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設定" sheetId="2" state="visible" r:id="rId2"/>
    <sheet xmlns:r="http://schemas.openxmlformats.org/officeDocument/2006/relationships" name="得意先" sheetId="3" state="visible" r:id="rId3"/>
    <sheet xmlns:r="http://schemas.openxmlformats.org/officeDocument/2006/relationships" name="請求台帳" sheetId="4" state="visible" r:id="rId4"/>
    <sheet xmlns:r="http://schemas.openxmlformats.org/officeDocument/2006/relationships" name="入金消込" sheetId="5" state="visible" r:id="rId5"/>
    <sheet xmlns:r="http://schemas.openxmlformats.org/officeDocument/2006/relationships" name="売掛帳" sheetId="6" state="visible" r:id="rId6"/>
    <sheet xmlns:r="http://schemas.openxmlformats.org/officeDocument/2006/relationships" name="残高一覧" sheetId="7" state="visible" r:id="rId7"/>
    <sheet xmlns:r="http://schemas.openxmlformats.org/officeDocument/2006/relationships" name="滞留一覧" sheetId="8" state="visible" r:id="rId8"/>
    <sheet xmlns:r="http://schemas.openxmlformats.org/officeDocument/2006/relationships" name="仕入先" sheetId="9" state="visible" r:id="rId9"/>
    <sheet xmlns:r="http://schemas.openxmlformats.org/officeDocument/2006/relationships" name="仕入請求台帳" sheetId="10" state="visible" r:id="rId10"/>
    <sheet xmlns:r="http://schemas.openxmlformats.org/officeDocument/2006/relationships" name="買掛帳" sheetId="11" state="visible" r:id="rId11"/>
    <sheet xmlns:r="http://schemas.openxmlformats.org/officeDocument/2006/relationships" name="支払予定表" sheetId="12" state="visible" r:id="rId12"/>
  </sheets>
  <definedNames>
    <definedName name="_xlnm.Print_Area" localSheetId="1">'設定'!$A$1:$C$22</definedName>
    <definedName name="_xlnm.Print_Area" localSheetId="2">'得意先'!$A$1:$I$104</definedName>
    <definedName name="_xlnm._FilterDatabase" localSheetId="3" hidden="1">'請求台帳'!$A$4:$U$1004</definedName>
    <definedName name="_xlnm.Print_Titles" localSheetId="3">'請求台帳'!$4:$4</definedName>
    <definedName name="_xlnm.Print_Area" localSheetId="3">'請求台帳'!$A$1:$U$1004</definedName>
    <definedName name="_xlnm._FilterDatabase" localSheetId="4" hidden="1">'入金消込'!$A$4:$M$1004</definedName>
    <definedName name="_xlnm.Print_Titles" localSheetId="4">'入金消込'!$4:$4</definedName>
    <definedName name="_xlnm.Print_Area" localSheetId="4">'入金消込'!$A$1:$M$1004</definedName>
    <definedName name="_xlnm.Print_Titles" localSheetId="5">'売掛帳'!$22:$22</definedName>
    <definedName name="_xlnm.Print_Area" localSheetId="5">'売掛帳'!$A$1:$H$324</definedName>
    <definedName name="_xlnm.Print_Titles" localSheetId="6">'残高一覧'!$10:$10</definedName>
    <definedName name="_xlnm.Print_Area" localSheetId="6">'残高一覧'!$A$1:$O$112</definedName>
    <definedName name="_xlnm.Print_Titles" localSheetId="7">'滞留一覧'!$5:$5</definedName>
    <definedName name="_xlnm.Print_Area" localSheetId="7">'滞留一覧'!$A$1:$L$105</definedName>
    <definedName name="_xlnm.Print_Area" localSheetId="8">'仕入先'!$A$1:$M$54</definedName>
    <definedName name="_xlnm._FilterDatabase" localSheetId="9" hidden="1">'仕入請求台帳'!$A$4:$P$504</definedName>
    <definedName name="_xlnm.Print_Titles" localSheetId="9">'仕入請求台帳'!$4:$4</definedName>
    <definedName name="_xlnm.Print_Area" localSheetId="9">'仕入請求台帳'!$A$1:$P$504</definedName>
    <definedName name="_xlnm.Print_Titles" localSheetId="10">'買掛帳'!$22:$22</definedName>
    <definedName name="_xlnm.Print_Area" localSheetId="10">'買掛帳'!$A$1:$H$324</definedName>
    <definedName name="_xlnm.Print_Titles" localSheetId="11">'支払予定表'!$6:$6</definedName>
    <definedName name="_xlnm.Print_Area" localSheetId="11">'支払予定表'!$A$1:$L$106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/m/d"/>
    <numFmt numFmtId="165" formatCode="#,##0;-#,##0"/>
    <numFmt numFmtId="166" formatCode="0.000000"/>
    <numFmt numFmtId="167" formatCode="0.0000000"/>
    <numFmt numFmtId="168" formatCode="yyyy&quot;年&quot;m&quot;月&quot;"/>
    <numFmt numFmtId="169" formatCode="#,##0;-#,##0;&quot;&quot;"/>
    <numFmt numFmtId="170" formatCode="0.0%"/>
  </numFmts>
  <fonts count="11">
    <font>
      <name val="Calibri"/>
      <family val="2"/>
      <color theme="1"/>
      <sz val="11"/>
      <scheme val="minor"/>
    </font>
    <font>
      <name val="Yu Gothic"/>
      <b val="1"/>
      <color rgb="00FFFFFF"/>
      <sz val="13"/>
    </font>
    <font>
      <name val="Yu Gothic"/>
      <b val="1"/>
      <color rgb="001B3A5C"/>
      <sz val="10"/>
    </font>
    <font>
      <name val="Yu Gothic"/>
      <color rgb="001A1A1A"/>
      <sz val="10"/>
    </font>
    <font>
      <name val="Yu Gothic"/>
      <color rgb="0066707A"/>
      <sz val="9"/>
    </font>
    <font>
      <name val="Yu Gothic"/>
      <b val="1"/>
      <color rgb="00FFFFFF"/>
      <sz val="10"/>
    </font>
    <font>
      <name val="Yu Gothic"/>
      <color rgb="0066707A"/>
      <sz val="8"/>
    </font>
    <font>
      <name val="Yu Gothic"/>
      <b val="1"/>
      <color rgb="001B3A5C"/>
      <sz val="12"/>
    </font>
    <font>
      <name val="Yu Gothic"/>
      <color theme="1"/>
      <sz val="11"/>
    </font>
    <font>
      <name val="Yu Gothic"/>
      <b val="1"/>
      <color rgb="FF1B3A5C"/>
      <sz val="10"/>
    </font>
    <font>
      <name val="Yu Gothic"/>
      <b val="1"/>
      <color rgb="FF1B3A5C"/>
      <sz val="12"/>
    </font>
  </fonts>
  <fills count="7">
    <fill>
      <patternFill/>
    </fill>
    <fill>
      <patternFill patternType="gray125"/>
    </fill>
    <fill>
      <patternFill patternType="solid">
        <fgColor rgb="001B3A5C"/>
      </patternFill>
    </fill>
    <fill>
      <patternFill patternType="solid">
        <fgColor rgb="00F2F2EF"/>
      </patternFill>
    </fill>
    <fill>
      <patternFill patternType="solid">
        <fgColor rgb="00FFF9E6"/>
      </patternFill>
    </fill>
    <fill>
      <patternFill patternType="solid">
        <fgColor rgb="004A5D73"/>
      </patternFill>
    </fill>
    <fill>
      <patternFill patternType="solid">
        <fgColor rgb="0066707A"/>
      </patternFill>
    </fill>
  </fills>
  <borders count="12">
    <border>
      <left/>
      <right/>
      <top/>
      <bottom/>
      <diagonal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  <border>
      <top style="medium">
        <color rgb="001B3A5C"/>
      </top>
    </border>
    <border>
      <left/>
      <right/>
      <top style="thin">
        <color rgb="00B9C4CF"/>
      </top>
      <bottom/>
      <diagonal/>
    </border>
    <border>
      <left/>
      <right style="thin">
        <color rgb="00B9C4CF"/>
      </right>
      <top style="thin">
        <color rgb="00B9C4CF"/>
      </top>
      <bottom/>
      <diagonal/>
    </border>
    <border>
      <left/>
      <right style="thin">
        <color rgb="00B9C4CF"/>
      </right>
      <top style="thin">
        <color rgb="00B9C4CF"/>
      </top>
      <bottom style="thin">
        <color rgb="00B9C4CF"/>
      </bottom>
      <diagonal/>
    </border>
    <border>
      <left/>
      <right/>
      <top style="medium">
        <color rgb="001B3A5C"/>
      </top>
      <bottom/>
      <diagonal/>
    </border>
    <border>
      <left/>
      <right/>
      <top style="thin">
        <color rgb="00B9C4CF"/>
      </top>
      <bottom style="thin">
        <color rgb="00B9C4CF"/>
      </bottom>
      <diagonal/>
    </border>
    <border>
      <left/>
      <right/>
      <top/>
      <bottom/>
    </border>
    <border>
      <left/>
      <right/>
      <top style="medium">
        <color rgb="001B3A5C"/>
      </top>
      <bottom/>
    </border>
    <border>
      <left/>
      <right/>
      <top style="thin">
        <color rgb="00B9C4CF"/>
      </top>
      <bottom style="thin">
        <color rgb="00B9C4CF"/>
      </bottom>
    </border>
    <border>
      <left/>
      <right style="thin">
        <color rgb="00B9C4CF"/>
      </right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76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164" fontId="3" fillId="3" borderId="1" applyAlignment="1" pivotButton="0" quotePrefix="0" xfId="0">
      <alignment horizontal="left" vertical="center" wrapText="1"/>
    </xf>
    <xf numFmtId="0" fontId="2" fillId="3" borderId="2" applyAlignment="1" pivotButton="0" quotePrefix="0" xfId="0">
      <alignment horizontal="left" vertical="center" wrapText="1"/>
    </xf>
    <xf numFmtId="0" fontId="0" fillId="3" borderId="2" pivotButton="0" quotePrefix="0" xfId="0"/>
    <xf numFmtId="1" fontId="3" fillId="4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shrinkToFit="1"/>
    </xf>
    <xf numFmtId="0" fontId="3" fillId="3" borderId="1" applyAlignment="1" pivotButton="0" quotePrefix="0" xfId="0">
      <alignment horizontal="left" vertical="center" shrinkToFit="1"/>
    </xf>
    <xf numFmtId="164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165" fontId="2" fillId="3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164" fontId="3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1" fontId="3" fillId="3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left" vertical="center" wrapText="1"/>
    </xf>
    <xf numFmtId="164" fontId="6" fillId="0" borderId="1" applyAlignment="1" pivotButton="0" quotePrefix="0" xfId="0">
      <alignment horizontal="left" vertical="center" wrapText="1"/>
    </xf>
    <xf numFmtId="166" fontId="6" fillId="0" borderId="1" applyAlignment="1" pivotButton="0" quotePrefix="0" xfId="0">
      <alignment horizontal="left" vertical="center" wrapText="1"/>
    </xf>
    <xf numFmtId="167" fontId="6" fillId="0" borderId="1" applyAlignment="1" pivotButton="0" quotePrefix="0" xfId="0">
      <alignment horizontal="left" vertical="center" wrapText="1"/>
    </xf>
    <xf numFmtId="0" fontId="0" fillId="0" borderId="5" pivotButton="0" quotePrefix="0" xfId="0"/>
    <xf numFmtId="0" fontId="6" fillId="0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left" vertical="center" shrinkToFit="1"/>
    </xf>
    <xf numFmtId="164" fontId="6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0" fillId="0" borderId="1" pivotButton="0" quotePrefix="0" xfId="0"/>
    <xf numFmtId="168" fontId="3" fillId="3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shrinkToFit="1"/>
    </xf>
    <xf numFmtId="169" fontId="3" fillId="0" borderId="1" applyAlignment="1" pivotButton="0" quotePrefix="0" xfId="0">
      <alignment horizontal="right" vertical="center"/>
    </xf>
    <xf numFmtId="165" fontId="3" fillId="0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right" vertical="center"/>
    </xf>
    <xf numFmtId="170" fontId="2" fillId="3" borderId="1" applyAlignment="1" pivotButton="0" quotePrefix="0" xfId="0">
      <alignment horizontal="right" vertical="center"/>
    </xf>
    <xf numFmtId="1" fontId="3" fillId="0" borderId="1" applyAlignment="1" pivotButton="0" quotePrefix="0" xfId="0">
      <alignment horizontal="right" vertical="center"/>
    </xf>
    <xf numFmtId="0" fontId="6" fillId="0" borderId="0" pivotButton="0" quotePrefix="0" xfId="0"/>
    <xf numFmtId="0" fontId="1" fillId="2" borderId="8" applyAlignment="1" pivotButton="0" quotePrefix="0" xfId="0">
      <alignment horizontal="left" vertical="center" wrapText="1"/>
    </xf>
    <xf numFmtId="0" fontId="8" fillId="0" borderId="8" pivotButton="0" quotePrefix="0" xfId="0"/>
    <xf numFmtId="0" fontId="9" fillId="3" borderId="8" applyAlignment="1" pivotButton="0" quotePrefix="0" xfId="0">
      <alignment horizontal="left" vertical="center" wrapText="1"/>
    </xf>
    <xf numFmtId="0" fontId="3" fillId="0" borderId="8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center" vertical="center" wrapText="1"/>
    </xf>
    <xf numFmtId="0" fontId="9" fillId="3" borderId="2" applyAlignment="1" pivotButton="0" quotePrefix="0" xfId="0">
      <alignment horizontal="left" vertical="center" wrapText="1"/>
    </xf>
    <xf numFmtId="0" fontId="8" fillId="0" borderId="9" pivotButton="0" quotePrefix="0" xfId="0"/>
    <xf numFmtId="164" fontId="9" fillId="3" borderId="1" applyAlignment="1" pivotButton="0" quotePrefix="0" xfId="0">
      <alignment horizontal="center" vertical="center" wrapText="1"/>
    </xf>
    <xf numFmtId="0" fontId="9" fillId="3" borderId="1" applyAlignment="1" pivotButton="0" quotePrefix="0" xfId="0">
      <alignment horizontal="left" vertical="center" wrapText="1"/>
    </xf>
    <xf numFmtId="0" fontId="8" fillId="0" borderId="10" pivotButton="0" quotePrefix="0" xfId="0"/>
    <xf numFmtId="0" fontId="8" fillId="0" borderId="11" pivotButton="0" quotePrefix="0" xfId="0"/>
    <xf numFmtId="165" fontId="9" fillId="3" borderId="1" applyAlignment="1" pivotButton="0" quotePrefix="0" xfId="0">
      <alignment horizontal="right" vertical="center"/>
    </xf>
    <xf numFmtId="0" fontId="6" fillId="0" borderId="8" applyAlignment="1" pivotButton="0" quotePrefix="0" xfId="0">
      <alignment horizontal="left" vertical="center" wrapText="1"/>
    </xf>
    <xf numFmtId="0" fontId="10" fillId="4" borderId="1" applyAlignment="1" pivotButton="0" quotePrefix="0" xfId="0">
      <alignment horizontal="center" vertical="center" wrapText="1"/>
    </xf>
    <xf numFmtId="0" fontId="10" fillId="3" borderId="1" applyAlignment="1" pivotButton="0" quotePrefix="0" xfId="0">
      <alignment horizontal="left" vertical="center" shrinkToFit="1"/>
    </xf>
    <xf numFmtId="164" fontId="6" fillId="0" borderId="8" pivotButton="0" quotePrefix="0" xfId="0"/>
    <xf numFmtId="0" fontId="9" fillId="0" borderId="8" applyAlignment="1" pivotButton="0" quotePrefix="0" xfId="0">
      <alignment horizontal="left" vertical="center" wrapText="1"/>
    </xf>
    <xf numFmtId="164" fontId="9" fillId="3" borderId="1" applyAlignment="1" pivotButton="0" quotePrefix="0" xfId="0">
      <alignment horizontal="right" vertical="center"/>
    </xf>
    <xf numFmtId="170" fontId="9" fillId="3" borderId="1" applyAlignment="1" pivotButton="0" quotePrefix="0" xfId="0">
      <alignment horizontal="right" vertical="center"/>
    </xf>
    <xf numFmtId="0" fontId="6" fillId="0" borderId="8" pivotButton="0" quotePrefix="0" xfId="0"/>
  </cellXfs>
  <cellStyles count="1">
    <cellStyle name="Normal" xfId="0" builtinId="0" hidden="0"/>
  </cellStyles>
  <dxfs count="2">
    <dxf>
      <font>
        <b val="1"/>
        <color rgb="00B3261E"/>
      </font>
      <fill>
        <patternFill patternType="solid">
          <fgColor rgb="00FDECEA"/>
          <bgColor rgb="00FDECEA"/>
        </patternFill>
      </fill>
    </dxf>
    <dxf>
      <fill>
        <patternFill patternType="solid">
          <fgColor rgb="00FFF4CC"/>
          <bgColor rgb="00FFF4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66707A"/>
    <outlinePr summaryBelow="1" summaryRight="1"/>
    <pageSetUpPr fitToPage="1"/>
  </sheetPr>
  <dimension ref="A1:B60"/>
  <sheetViews>
    <sheetView showGridLines="0" tabSelected="1" workbookViewId="0">
      <selection activeCell="A1" sqref="A1"/>
    </sheetView>
  </sheetViews>
  <sheetFormatPr baseColWidth="8" defaultRowHeight="15"/>
  <cols>
    <col width="24" customWidth="1" min="1" max="1"/>
    <col width="104" customWidth="1" min="2" max="2"/>
  </cols>
  <sheetData>
    <row r="1" ht="26" customHeight="1">
      <c r="A1" s="55" t="inlineStr">
        <is>
          <t>使い方（売掛帳・売掛金管理表／買掛帳つき）</t>
        </is>
      </c>
      <c r="B1" s="56" t="n"/>
    </row>
    <row r="2" ht="20" customHeight="1">
      <c r="A2" s="57" t="inlineStr">
        <is>
          <t>このファイルでできること</t>
        </is>
      </c>
      <c r="B2" s="56" t="n"/>
    </row>
    <row r="3" ht="17.5" customHeight="1">
      <c r="A3" s="58" t="inlineStr">
        <is>
          <t>得意先ごとの売掛金（請求したがまだ入っていないお金）を、請求書1枚ごとに管理するエクセルです。</t>
        </is>
      </c>
      <c r="B3" s="56" t="n"/>
    </row>
    <row r="4" ht="32" customHeight="1">
      <c r="A4" s="58" t="inlineStr">
        <is>
          <t>請求を「請求台帳」に、入金を「入金消込」に入れると、請求ごとの未回収残・回収予定日・超過日数、得意先ごとの残高、日付順の売掛帳が出ます。</t>
        </is>
      </c>
      <c r="B4" s="56" t="n"/>
    </row>
    <row r="5" ht="17.5" customHeight="1">
      <c r="A5" s="58" t="inlineStr">
        <is>
          <t>仕入先から受け取った請求書は「仕入請求台帳」に入れます。仕入先ごとの買掛帳と、支払日順の支払予定表が出ます。</t>
        </is>
      </c>
      <c r="B5" s="56" t="n"/>
    </row>
    <row r="6" ht="17.5" customHeight="1">
      <c r="A6" s="58" t="inlineStr">
        <is>
          <t>黄色のセルが入力、灰色のセルが数式です。灰色のセルは書き換えません。</t>
        </is>
      </c>
      <c r="B6" s="56" t="n"/>
    </row>
    <row r="7">
      <c r="A7" s="56" t="n"/>
      <c r="B7" s="56" t="n"/>
    </row>
    <row r="8" ht="20" customHeight="1">
      <c r="A8" s="57" t="inlineStr">
        <is>
          <t>最初の1回</t>
        </is>
      </c>
      <c r="B8" s="56" t="n"/>
    </row>
    <row r="9" ht="32" customHeight="1">
      <c r="A9" s="58" t="inlineStr">
        <is>
          <t>1. 「設定」に会社名・期首日・金額の入れ方（税抜／税込）・消費税の端数処理を入れます。基準日は空のままなら今日の日付になります。</t>
        </is>
      </c>
      <c r="B9" s="56" t="n"/>
    </row>
    <row r="10" ht="32" customHeight="1">
      <c r="A10" s="58" t="inlineStr">
        <is>
          <t>2. 「得意先」に、コード・名前・締日・回収サイト・回収日を入れます。締日と回収日は 1〜31 の数か「末」、回収サイトは 0（当月）・1（翌月）・2（翌々月）…の数です。</t>
        </is>
      </c>
      <c r="B10" s="56" t="n"/>
    </row>
    <row r="11" ht="17.5" customHeight="1">
      <c r="A11" s="58" t="inlineStr">
        <is>
          <t>3. 「仕入先」に、同じように締日・支払サイト・支払日を入れます。</t>
        </is>
      </c>
      <c r="B11" s="56" t="n"/>
    </row>
    <row r="12" ht="32" customHeight="1">
      <c r="A12" s="58" t="inlineStr">
        <is>
          <t>4. 期首の時点で入金されていない請求は、元の請求日のまま「請求台帳」に1件ずつ入れます（このファイルは残高を請求の積み上げで出すので、期首残高の欄はありません）。</t>
        </is>
      </c>
      <c r="B12" s="56" t="n"/>
    </row>
    <row r="13">
      <c r="A13" s="56" t="n"/>
      <c r="B13" s="56" t="n"/>
    </row>
    <row r="14" ht="20" customHeight="1">
      <c r="A14" s="57" t="inlineStr">
        <is>
          <t>請求書を出したら（請求台帳）</t>
        </is>
      </c>
      <c r="B14" s="56" t="n"/>
    </row>
    <row r="15" ht="32" customHeight="1">
      <c r="A15" s="58" t="inlineStr">
        <is>
          <t>請求No・請求日・得意先コードと、税率ごとの金額を入れます。消費税は、1枚の請求書について税率ごとに1回だけ端数を処理して出します（消費税法施行令第70条の10）。</t>
        </is>
      </c>
      <c r="B15" s="56" t="n"/>
    </row>
    <row r="16" ht="32" customHeight="1">
      <c r="A16" s="58" t="inlineStr">
        <is>
          <t>売上日（計上日）には、締めでまとめた請求なら締日を入れます。空のときは請求日を使います。回収予定日は、この日と得意先の締日・回収サイト・回収日から出します。</t>
        </is>
      </c>
      <c r="B16" s="56" t="n"/>
    </row>
    <row r="17" ht="32" customHeight="1">
      <c r="A17" s="58" t="inlineStr">
        <is>
          <t>回収予定日が休日に当たり、契約で前後の営業日にずらすときは「回収予定日（手入力）」に入れます。こちらが優先されます。休日の判定はエクセルでは自動でしていません。</t>
        </is>
      </c>
      <c r="B17" s="56" t="n"/>
    </row>
    <row r="18" ht="32" customHeight="1">
      <c r="A18" s="58" t="inlineStr">
        <is>
          <t>返品・値引きで請求を取り消すときは、マイナスの金額で1行入れ、入金消込で元の請求と同じ入金Noにして差し引きます（下の「マイナスの請求」）。</t>
        </is>
      </c>
      <c r="B18" s="56" t="n"/>
    </row>
    <row r="19">
      <c r="A19" s="56" t="n"/>
      <c r="B19" s="56" t="n"/>
    </row>
    <row r="20" ht="20" customHeight="1">
      <c r="A20" s="57" t="inlineStr">
        <is>
          <t>入金があったら（入金消込）</t>
        </is>
      </c>
      <c r="B20" s="56" t="n"/>
    </row>
    <row r="21" ht="17.5" customHeight="1">
      <c r="A21" s="58" t="inlineStr">
        <is>
          <t>通帳の1回の入金ごとに入金Noを付けます。入金日・入金No・得意先コード・通帳の入金額と、どの請求に当てたかを入れます。</t>
        </is>
      </c>
      <c r="B21" s="56" t="n"/>
    </row>
    <row r="22" ht="32" customHeight="1">
      <c r="A22" s="58" t="inlineStr">
        <is>
          <t>1回の入金で複数の請求を消すとき: 同じ入金Noで請求ごとに行を分けます。通帳の入金額は最初の行にだけ入れ、各行の「入金を当てた額」に請求ごとの額を入れます。</t>
        </is>
      </c>
      <c r="B22" s="56" t="n"/>
    </row>
    <row r="23" ht="17.5" customHeight="1">
      <c r="A23" s="58" t="inlineStr">
        <is>
          <t>一部入金のとき: 入ってきた額だけを「入金を当てた額」に入れます。請求台帳の状態が「一部入金」になり、未回収残が残ります。</t>
        </is>
      </c>
      <c r="B23" s="56" t="n"/>
    </row>
    <row r="24" ht="32" customHeight="1">
      <c r="A24" s="58" t="inlineStr">
        <is>
          <t>振込手数料を差し引かれたとき: 通帳に入った額を「入金を当てた額」に、差し引かれた額を「差し引かれた振込手数料」に入れます。請求は全額消えます。</t>
        </is>
      </c>
      <c r="B24" s="56" t="n"/>
    </row>
    <row r="25" ht="32" customHeight="1">
      <c r="A25" s="58" t="inlineStr">
        <is>
          <t>相殺・値引きで差し引かれたときは「その他の差引」に入れます。何の入金か分からないときは、請求Noを空にしておくと「消込先が未定」として残ります。</t>
        </is>
      </c>
      <c r="B25" s="56" t="n"/>
    </row>
    <row r="26" ht="32" customHeight="1">
      <c r="A26" s="58" t="inlineStr">
        <is>
          <t>確認の列が「OK」以外なら、メッセージのとおりに直します。入金Noごとに、通帳の入金額と、当てた額の合計が合っているかを見ています。</t>
        </is>
      </c>
      <c r="B26" s="56" t="n"/>
    </row>
    <row r="27">
      <c r="A27" s="56" t="n"/>
      <c r="B27" s="56" t="n"/>
    </row>
    <row r="28" ht="20" customHeight="1">
      <c r="A28" s="57" t="inlineStr">
        <is>
          <t>月末に見るもの</t>
        </is>
      </c>
      <c r="B28" s="56" t="n"/>
    </row>
    <row r="29" ht="32" customHeight="1">
      <c r="A29" s="58" t="inlineStr">
        <is>
          <t>「残高一覧」: 得意先ごとの売掛金残高と、回収予定日を過ぎた日数ごとの内訳（期日前・1〜30日・31〜60日・61〜90日・90日超）。境目の日数は設定で変えられます。</t>
        </is>
      </c>
      <c r="B29" s="56" t="n"/>
    </row>
    <row r="30" ht="17.5" customHeight="1">
      <c r="A30" s="58" t="inlineStr">
        <is>
          <t>「滞留一覧」: 回収予定日を過ぎた請求が、予定日の古い順に並びます。回収予定日の当日はまだ超過に数えません。</t>
        </is>
      </c>
      <c r="B30" s="56" t="n"/>
    </row>
    <row r="31" ht="17.5" customHeight="1">
      <c r="A31" s="58" t="inlineStr">
        <is>
          <t>「売掛帳」: 得意先を選ぶと、その得意先の売上と入金が日付順に並び、差引残高が出ます。上に12か月の月別の推移があります。</t>
        </is>
      </c>
      <c r="B31" s="56" t="n"/>
    </row>
    <row r="32" ht="17.5" customHeight="1">
      <c r="A32" s="58" t="inlineStr">
        <is>
          <t>「支払予定表」: まだ払っていない仕入先の請求が、支払予定日の順に並びます。期日を過ぎたものは「期日超過」と出ます。</t>
        </is>
      </c>
      <c r="B32" s="56" t="n"/>
    </row>
    <row r="33">
      <c r="A33" s="56" t="n"/>
      <c r="B33" s="56" t="n"/>
    </row>
    <row r="34" ht="20" customHeight="1">
      <c r="A34" s="57" t="inlineStr">
        <is>
          <t>回収予定日の出し方</t>
        </is>
      </c>
      <c r="B34" s="56" t="n"/>
    </row>
    <row r="35" ht="17.5" customHeight="1">
      <c r="A35" s="58" t="inlineStr">
        <is>
          <t>売上日の「日」が締日以前ならその月の締め、締日より後なら翌月の締めです。締日が「末」ならその月の締めです。</t>
        </is>
      </c>
      <c r="B35" s="56" t="n"/>
    </row>
    <row r="36" ht="17.5" customHeight="1">
      <c r="A36" s="58" t="inlineStr">
        <is>
          <t>締めた月から回収サイトのか月数だけ進めた月の回収日が、回収予定日です。回収日が「末」ならその月の末日です。</t>
        </is>
      </c>
      <c r="B36" s="56" t="n"/>
    </row>
    <row r="37" ht="17.5" customHeight="1">
      <c r="A37" s="58" t="inlineStr">
        <is>
          <t>その月に無い日（2月30日・4月31日など）は、その月の末日にします。2026年2月なら2月28日、2028年2月なら2月29日です。</t>
        </is>
      </c>
      <c r="B37" s="56" t="n"/>
    </row>
    <row r="38" ht="17.5" customHeight="1">
      <c r="A38" s="58" t="inlineStr">
        <is>
          <t>土日・祝日・年末年始に当たっても、自動ではずらしません。ずらすときは手入力の欄に入れます。</t>
        </is>
      </c>
      <c r="B38" s="56" t="n"/>
    </row>
    <row r="39">
      <c r="A39" s="56" t="n"/>
      <c r="B39" s="56" t="n"/>
    </row>
    <row r="40" ht="20" customHeight="1">
      <c r="A40" s="57" t="inlineStr">
        <is>
          <t>マイナスの請求（返品・値引きの取り消し）</t>
        </is>
      </c>
      <c r="B40" s="56" t="n"/>
    </row>
    <row r="41" ht="17.5" customHeight="1">
      <c r="A41" s="58" t="inlineStr">
        <is>
          <t>請求台帳にマイナスの金額で1行入れます（例: 請求No INV-040 で 10%対象 −5,000）。</t>
        </is>
      </c>
      <c r="B41" s="56" t="n"/>
    </row>
    <row r="42" ht="32" customHeight="1">
      <c r="A42" s="58" t="inlineStr">
        <is>
          <t>入金があったとき、同じ入金Noで「元の請求に入金を当てた額 100,000」「マイナスの請求に −5,000」の2行にすると、通帳の 95,000 と合います。</t>
        </is>
      </c>
      <c r="B42" s="56" t="n"/>
    </row>
    <row r="43" ht="17.5" customHeight="1">
      <c r="A43" s="58" t="inlineStr">
        <is>
          <t>まだ差し引いていないマイナスの請求は、状態が「差し引き待ち」になります。</t>
        </is>
      </c>
      <c r="B43" s="56" t="n"/>
    </row>
    <row r="44">
      <c r="A44" s="56" t="n"/>
      <c r="B44" s="56" t="n"/>
    </row>
    <row r="45" ht="20" customHeight="1">
      <c r="A45" s="57" t="inlineStr">
        <is>
          <t>買掛（仕入請求台帳・買掛帳・支払予定表）</t>
        </is>
      </c>
      <c r="B45" s="56" t="n"/>
    </row>
    <row r="46" ht="17.5" customHeight="1">
      <c r="A46" s="58" t="inlineStr">
        <is>
          <t>仕入先から請求書を受け取ったら、仕入請求台帳に1枚1行で入れます。請求額は請求書の税込の合計を写します。</t>
        </is>
      </c>
      <c r="B46" s="56" t="n"/>
    </row>
    <row r="47" ht="17.5" customHeight="1">
      <c r="A47" s="58" t="inlineStr">
        <is>
          <t>払ったら、同じ行に支払日・支払額を入れます。値引きや相殺で差し引いて払ったときは「値引・相殺」に入れます。</t>
        </is>
      </c>
      <c r="B47" s="56" t="n"/>
    </row>
    <row r="48" ht="17.5" customHeight="1">
      <c r="A48" s="58" t="inlineStr">
        <is>
          <t>2回に分けて払ったときは、支払額に合計を、支払日に最後に払った日を入れます（買掛帳には1行で出ます）。</t>
        </is>
      </c>
      <c r="B48" s="56" t="n"/>
    </row>
    <row r="49" ht="17.5" customHeight="1">
      <c r="A49" s="58" t="inlineStr">
        <is>
          <t>買掛帳は仕入先を選ぶと、仕入と支払が日付順に並び、差引残高が出ます。</t>
        </is>
      </c>
      <c r="B49" s="56" t="n"/>
    </row>
    <row r="50">
      <c r="A50" s="56" t="n"/>
      <c r="B50" s="56" t="n"/>
    </row>
    <row r="51" ht="20" customHeight="1">
      <c r="A51" s="57" t="inlineStr">
        <is>
          <t>容量と注意</t>
        </is>
      </c>
      <c r="B51" s="56" t="n"/>
    </row>
    <row r="52" ht="32" customHeight="1">
      <c r="A52" s="58" t="inlineStr">
        <is>
          <t>得意先100件・請求1,000件・入金の行1,000行・仕入先50件・仕入の請求500件まで。売掛帳と買掛帳は1つの得意先（仕入先）につき期間内300行まで、滞留一覧と支払予定表は100件まで並びます。</t>
        </is>
      </c>
      <c r="B52" s="56" t="n"/>
    </row>
    <row r="53" ht="17.5" customHeight="1">
      <c r="A53" s="58" t="inlineStr">
        <is>
          <t>請求No・コードは INV-001・K01 のように英字から始めてください（このファイルの動作は、英字から始まる番号で確かめています）。</t>
        </is>
      </c>
      <c r="B53" s="56" t="n"/>
    </row>
    <row r="54" ht="17.5" customHeight="1">
      <c r="A54" s="58" t="inlineStr">
        <is>
          <t>請求No・コードに * や ? を使わないでください（集計の関数がほかの番号と混ぜてしまいます）。</t>
        </is>
      </c>
      <c r="B54" s="56" t="n"/>
    </row>
    <row r="55" ht="17.5" customHeight="1">
      <c r="A55" s="58" t="inlineStr">
        <is>
          <t>請求Noは1件に1つです。同じ番号を入れると赤くなります。</t>
        </is>
      </c>
      <c r="B55" s="56" t="n"/>
    </row>
    <row r="56" ht="17.5" customHeight="1">
      <c r="A56" s="58" t="inlineStr">
        <is>
          <t>残高一覧・滞留一覧は、入れてある請求と入金をすべて数えます（基準日より後の日付の入金も入ります）。</t>
        </is>
      </c>
      <c r="B56" s="56" t="n"/>
    </row>
    <row r="57">
      <c r="A57" s="56" t="n"/>
      <c r="B57" s="56" t="n"/>
    </row>
    <row r="58" ht="20" customHeight="1">
      <c r="A58" s="57" t="inlineStr">
        <is>
          <t>使っている関数</t>
        </is>
      </c>
      <c r="B58" s="56" t="n"/>
    </row>
    <row r="59" ht="32" customHeight="1">
      <c r="A59" s="58" t="inlineStr">
        <is>
          <t>IF・AND・OR・NOT・ISNUMBER・N・IFERROR・INDEX・MATCH・SMALL・MIN・SUM・SUMIF・SUMIFS・COUNT・COUNTIF・DATE・YEAR・MONTH・DAY・ROUND・ROUNDDOWN・ROUNDUP・TEXT・TODAY・ROW。</t>
        </is>
      </c>
      <c r="B59" s="56" t="n"/>
    </row>
    <row r="60" ht="32" customHeight="1">
      <c r="A60" s="58" t="inlineStr">
        <is>
          <t>XLOOKUP・FILTER・MAXIFS・EOMONTH・WORKDAY は使っていません。Excel 2016 で使える関数だけです（当サイトの再計算の確認は LibreOffice で行いました）。</t>
        </is>
      </c>
      <c r="B60" s="56" t="n"/>
    </row>
  </sheetData>
  <mergeCells count="51">
    <mergeCell ref="A48:B48"/>
    <mergeCell ref="A24:B24"/>
    <mergeCell ref="A30:B30"/>
    <mergeCell ref="A15:B15"/>
    <mergeCell ref="A59:B59"/>
    <mergeCell ref="A60:B60"/>
    <mergeCell ref="A11:B11"/>
    <mergeCell ref="A49:B49"/>
    <mergeCell ref="A51:B51"/>
    <mergeCell ref="A45:B45"/>
    <mergeCell ref="A36:B36"/>
    <mergeCell ref="A1:B1"/>
    <mergeCell ref="A6:B6"/>
    <mergeCell ref="A16:B16"/>
    <mergeCell ref="A54:B54"/>
    <mergeCell ref="A25:B25"/>
    <mergeCell ref="A41:B41"/>
    <mergeCell ref="A37:B37"/>
    <mergeCell ref="A46:B46"/>
    <mergeCell ref="A18:B18"/>
    <mergeCell ref="A56:B56"/>
    <mergeCell ref="A3:B3"/>
    <mergeCell ref="A55:B55"/>
    <mergeCell ref="A12:B12"/>
    <mergeCell ref="A26:B26"/>
    <mergeCell ref="A21:B21"/>
    <mergeCell ref="A2:B2"/>
    <mergeCell ref="A47:B47"/>
    <mergeCell ref="A5:B5"/>
    <mergeCell ref="A42:B42"/>
    <mergeCell ref="A32:B32"/>
    <mergeCell ref="A14:B14"/>
    <mergeCell ref="A17:B17"/>
    <mergeCell ref="A23:B23"/>
    <mergeCell ref="A8:B8"/>
    <mergeCell ref="A22:B22"/>
    <mergeCell ref="A53:B53"/>
    <mergeCell ref="A35:B35"/>
    <mergeCell ref="A4:B4"/>
    <mergeCell ref="A20:B20"/>
    <mergeCell ref="A38:B38"/>
    <mergeCell ref="A29:B29"/>
    <mergeCell ref="A52:B52"/>
    <mergeCell ref="A43:B43"/>
    <mergeCell ref="A10:B10"/>
    <mergeCell ref="A28:B28"/>
    <mergeCell ref="A40:B40"/>
    <mergeCell ref="A9:B9"/>
    <mergeCell ref="A31:B31"/>
    <mergeCell ref="A58:B58"/>
    <mergeCell ref="A34:B34"/>
  </mergeCells>
  <pageMargins left="0.4" right="0.4" top="0.45" bottom="0.45" header="0.2" footer="0.2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1B3A5C"/>
    <outlinePr summaryBelow="1" summaryRight="1"/>
    <pageSetUpPr fitToPage="1"/>
  </sheetPr>
  <dimension ref="A1:C22"/>
  <sheetViews>
    <sheetView showGridLines="0" tabSelected="0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74" customWidth="1" min="3" max="3"/>
  </cols>
  <sheetData>
    <row r="1" ht="26" customHeight="1">
      <c r="A1" s="55" t="inlineStr">
        <is>
          <t>設定（最初に1回入れる）</t>
        </is>
      </c>
      <c r="B1" s="56" t="n"/>
      <c r="C1" s="56" t="n"/>
    </row>
    <row r="2" ht="20" customHeight="1">
      <c r="A2" s="59" t="inlineStr">
        <is>
          <t>黄色のセルに入れます。ここで決めた日付・消費税の計算・滞留の区分が、ほかのシートすべてに使われます。</t>
        </is>
      </c>
      <c r="B2" s="56" t="n"/>
      <c r="C2" s="56" t="n"/>
    </row>
    <row r="3">
      <c r="A3" s="56" t="n"/>
      <c r="B3" s="56" t="n"/>
      <c r="C3" s="56" t="n"/>
    </row>
    <row r="4" ht="22" customHeight="1">
      <c r="A4" s="60" t="inlineStr">
        <is>
          <t>会社名・屋号</t>
        </is>
      </c>
      <c r="B4" s="8" t="n"/>
      <c r="C4" s="59" t="n"/>
    </row>
    <row r="5" ht="22" customHeight="1">
      <c r="A5" s="60" t="inlineStr">
        <is>
          <t>期首日（帳簿の始まり）</t>
        </is>
      </c>
      <c r="B5" s="9" t="n"/>
      <c r="C5" s="59" t="inlineStr">
        <is>
          <t>売掛帳・買掛帳の期間の初期値です（売掛帳で期間を入れればそちらが優先）。例: 2026/4/1</t>
        </is>
      </c>
    </row>
    <row r="6" ht="22" customHeight="1">
      <c r="A6" s="60" t="inlineStr">
        <is>
          <t>基準日</t>
        </is>
      </c>
      <c r="B6" s="9" t="n"/>
      <c r="C6" s="59" t="inlineStr">
        <is>
          <t>残高と「回収予定日を過ぎたか」を見る日。空にすると今日の日付になります。</t>
        </is>
      </c>
    </row>
    <row r="7" ht="22" customHeight="1">
      <c r="A7" s="60" t="inlineStr">
        <is>
          <t>基準日（自動）</t>
        </is>
      </c>
      <c r="B7" s="10">
        <f>IF(ISNUMBER(B6),B6,TODAY())</f>
        <v/>
      </c>
      <c r="C7" s="59" t="inlineStr">
        <is>
          <t>計算に使う基準日です（書き換えない）。</t>
        </is>
      </c>
    </row>
    <row r="8">
      <c r="A8" s="56" t="n"/>
      <c r="B8" s="56" t="n"/>
      <c r="C8" s="56" t="n"/>
    </row>
    <row r="9" ht="22" customHeight="1">
      <c r="A9" s="60" t="inlineStr">
        <is>
          <t>金額の入れ方</t>
        </is>
      </c>
      <c r="B9" s="8" t="inlineStr">
        <is>
          <t>税抜</t>
        </is>
      </c>
      <c r="C9" s="59" t="inlineStr">
        <is>
          <t>請求台帳の10%対象・8%対象の金額を、税抜で入れるか税込で入れるか。</t>
        </is>
      </c>
    </row>
    <row r="10" ht="22" customHeight="1">
      <c r="A10" s="60" t="inlineStr">
        <is>
          <t>消費税の端数処理</t>
        </is>
      </c>
      <c r="B10" s="8" t="inlineStr">
        <is>
          <t>切り捨て</t>
        </is>
      </c>
      <c r="C10" s="59" t="inlineStr">
        <is>
          <t>1枚の請求書について税率ごとに1回だけ端数を処理します（消費税法施行令第70条の10）。方法は自社の請求書に合わせます。</t>
        </is>
      </c>
    </row>
    <row r="11" ht="20" customHeight="1">
      <c r="A11" s="61" t="inlineStr">
        <is>
          <t>滞留の区分（回収予定日を過ぎた日数の境目）</t>
        </is>
      </c>
      <c r="B11" s="62" t="n"/>
      <c r="C11" s="62" t="n"/>
    </row>
    <row r="12" ht="22" customHeight="1">
      <c r="A12" s="60" t="inlineStr">
        <is>
          <t>区分1 の上限（日）</t>
        </is>
      </c>
      <c r="B12" s="13" t="n">
        <v>30</v>
      </c>
      <c r="C12" s="59" t="inlineStr">
        <is>
          <t>初期値 30。1〜30日がこの区分。</t>
        </is>
      </c>
    </row>
    <row r="13" ht="22" customHeight="1">
      <c r="A13" s="60" t="inlineStr">
        <is>
          <t>区分2 の上限（日）</t>
        </is>
      </c>
      <c r="B13" s="13" t="n">
        <v>60</v>
      </c>
      <c r="C13" s="59" t="inlineStr">
        <is>
          <t>初期値 60。区分1の次の日〜この日数。</t>
        </is>
      </c>
    </row>
    <row r="14" ht="22" customHeight="1">
      <c r="A14" s="60" t="inlineStr">
        <is>
          <t>区分3 の上限（日）</t>
        </is>
      </c>
      <c r="B14" s="13" t="n">
        <v>90</v>
      </c>
      <c r="C14" s="59" t="inlineStr">
        <is>
          <t>初期値 90。これを超えると最後の区分（○日超）。</t>
        </is>
      </c>
    </row>
    <row r="15">
      <c r="A15" s="56" t="n"/>
      <c r="B15" s="56" t="n"/>
      <c r="C15" s="56" t="n"/>
    </row>
    <row r="16" ht="20" customHeight="1">
      <c r="A16" s="61" t="inlineStr">
        <is>
          <t>区分の名前（自動・書き換えない）</t>
        </is>
      </c>
      <c r="B16" s="62" t="n"/>
      <c r="C16" s="62" t="n"/>
    </row>
    <row r="17" ht="18" customHeight="1">
      <c r="A17" s="60" t="inlineStr">
        <is>
          <t>区分 1</t>
        </is>
      </c>
      <c r="B17" s="14">
        <f>"期日前"</f>
        <v/>
      </c>
      <c r="C17" s="59" t="inlineStr">
        <is>
          <t>回収予定日が基準日以降（当日を含む）</t>
        </is>
      </c>
    </row>
    <row r="18" ht="18" customHeight="1">
      <c r="A18" s="60" t="inlineStr">
        <is>
          <t>区分 2</t>
        </is>
      </c>
      <c r="B18" s="14">
        <f>"1〜"&amp;B12&amp;"日"</f>
        <v/>
      </c>
      <c r="C18" s="59" t="n"/>
    </row>
    <row r="19" ht="18" customHeight="1">
      <c r="A19" s="60" t="inlineStr">
        <is>
          <t>区分 3</t>
        </is>
      </c>
      <c r="B19" s="14">
        <f>(B12+1)&amp;"〜"&amp;B13&amp;"日"</f>
        <v/>
      </c>
      <c r="C19" s="59" t="n"/>
    </row>
    <row r="20" ht="18" customHeight="1">
      <c r="A20" s="60" t="inlineStr">
        <is>
          <t>区分 4</t>
        </is>
      </c>
      <c r="B20" s="14">
        <f>(B13+1)&amp;"〜"&amp;B14&amp;"日"</f>
        <v/>
      </c>
      <c r="C20" s="59" t="n"/>
    </row>
    <row r="21" ht="18" customHeight="1">
      <c r="A21" s="60" t="inlineStr">
        <is>
          <t>区分 5</t>
        </is>
      </c>
      <c r="B21" s="14">
        <f>B14&amp;"日超"</f>
        <v/>
      </c>
      <c r="C21" s="59" t="n"/>
    </row>
    <row r="22" ht="18" customHeight="1">
      <c r="A22" s="60" t="inlineStr">
        <is>
          <t>区分 6</t>
        </is>
      </c>
      <c r="B22" s="14">
        <f>"予定日なし"</f>
        <v/>
      </c>
      <c r="C22" s="59" t="inlineStr">
        <is>
          <t>得意先の締日・サイト・回収日が空で、回収予定日が出ない請求</t>
        </is>
      </c>
    </row>
  </sheetData>
  <mergeCells count="4">
    <mergeCell ref="A1:C1"/>
    <mergeCell ref="A11:C11"/>
    <mergeCell ref="A2:C2"/>
    <mergeCell ref="A16:C16"/>
  </mergeCells>
  <dataValidations count="7">
    <dataValidation sqref="B5" showDropDown="0" showInputMessage="0" showErrorMessage="1" allowBlank="1" errorTitle="日付で入力してください" error="2026/9/30 のように、日付として入力してください。" type="date" operator="greaterThanOrEqual">
      <formula1>36526</formula1>
    </dataValidation>
    <dataValidation sqref="B6" showDropDown="0" showInputMessage="0" showErrorMessage="1" allowBlank="1" errorTitle="日付で入力してください" error="2026/9/30 のように、日付として入力してください。" type="date" operator="greaterThanOrEqual">
      <formula1>36526</formula1>
    </dataValidation>
    <dataValidation sqref="B9" showDropDown="0" showInputMessage="0" showErrorMessage="1" allowBlank="1" errorTitle="一覧から選んでください" error="一覧から選んでください" type="list">
      <formula1>"税抜,税込"</formula1>
    </dataValidation>
    <dataValidation sqref="B10" showDropDown="0" showInputMessage="0" showErrorMessage="1" allowBlank="1" errorTitle="一覧から選んでください" error="一覧から選んでください" type="list">
      <formula1>"切り捨て,四捨五入,切り上げ"</formula1>
    </dataValidation>
    <dataValidation sqref="B12" showDropDown="0" showInputMessage="0" showErrorMessage="1" allowBlank="1" errorTitle="区分1" error="1〜3650 の日数を入れてください。" type="whole" operator="between">
      <formula1>1</formula1>
      <formula2>3650</formula2>
    </dataValidation>
    <dataValidation sqref="B13" showDropDown="0" showInputMessage="0" showErrorMessage="1" allowBlank="1" errorTitle="区分2" error="区分1 より大きい日数を入れてください。" type="custom">
      <formula1>AND(ISNUMBER(B13),B13&gt;B12)</formula1>
    </dataValidation>
    <dataValidation sqref="B14" showDropDown="0" showInputMessage="0" showErrorMessage="1" allowBlank="1" errorTitle="区分3" error="区分2 より大きい日数を入れてください。" type="custom">
      <formula1>AND(ISNUMBER(B14),B14&gt;B13)</formula1>
    </dataValidation>
  </dataValidations>
  <pageMargins left="0.4" right="0.4" top="0.45" bottom="0.45" header="0.2" footer="0.2"/>
  <pageSetup orientation="portrait" paperSize="9" fitToHeight="1" fitToWidth="1"/>
</worksheet>
</file>

<file path=xl/worksheets/sheet3.xml><?xml version="1.0" encoding="utf-8"?>
<worksheet xmlns="http://schemas.openxmlformats.org/spreadsheetml/2006/main">
  <sheetPr>
    <tabColor rgb="001B3A5C"/>
    <outlinePr summaryBelow="1" summaryRight="1"/>
    <pageSetUpPr fitToPage="1"/>
  </sheetPr>
  <dimension ref="A1:I104"/>
  <sheetViews>
    <sheetView showGridLines="0" tabSelected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10" customWidth="1" min="2" max="2"/>
    <col width="28" customWidth="1" min="3" max="3"/>
    <col width="7" customWidth="1" min="4" max="4"/>
    <col width="8" customWidth="1" min="5" max="5"/>
    <col width="7" customWidth="1" min="6" max="6"/>
    <col width="18" customWidth="1" min="7" max="7"/>
    <col width="12" customWidth="1" min="8" max="8"/>
    <col width="44" customWidth="1" min="9" max="9"/>
  </cols>
  <sheetData>
    <row r="1" ht="26" customHeight="1">
      <c r="A1" s="55" t="inlineStr">
        <is>
          <t>得意先（100件まで）</t>
        </is>
      </c>
      <c r="B1" s="56" t="n"/>
      <c r="C1" s="56" t="n"/>
      <c r="D1" s="56" t="n"/>
      <c r="E1" s="56" t="n"/>
      <c r="F1" s="56" t="n"/>
      <c r="G1" s="56" t="n"/>
      <c r="H1" s="56" t="n"/>
      <c r="I1" s="56" t="n"/>
    </row>
    <row r="2" ht="30" customHeight="1">
      <c r="A2" s="59" t="inlineStr">
        <is>
          <t>締日・回収日は 1〜31 の数か「末」、回収サイトは 0＝当月・1＝翌月・2＝翌々月 の数で入れます。その月に無い日（2月30日など）は月末として計算します。コードは K01 のように英字から始めると、ほかのシートで選びやすくなります。</t>
        </is>
      </c>
      <c r="B2" s="56" t="n"/>
      <c r="C2" s="56" t="n"/>
      <c r="D2" s="56" t="n"/>
      <c r="E2" s="56" t="n"/>
      <c r="F2" s="56" t="n"/>
      <c r="G2" s="56" t="n"/>
      <c r="H2" s="56" t="n"/>
      <c r="I2" s="56" t="n"/>
    </row>
    <row r="3">
      <c r="A3" s="56" t="n"/>
      <c r="B3" s="56" t="n"/>
      <c r="C3" s="56" t="n"/>
      <c r="D3" s="56" t="n"/>
      <c r="E3" s="56" t="n"/>
      <c r="F3" s="56" t="n"/>
      <c r="G3" s="56" t="n"/>
      <c r="H3" s="56" t="n"/>
      <c r="I3" s="56" t="n"/>
    </row>
    <row r="4" ht="34" customHeight="1">
      <c r="A4" s="15" t="inlineStr">
        <is>
          <t>No.</t>
        </is>
      </c>
      <c r="B4" s="15" t="inlineStr">
        <is>
          <t>得意先コード</t>
        </is>
      </c>
      <c r="C4" s="15" t="inlineStr">
        <is>
          <t>得意先名</t>
        </is>
      </c>
      <c r="D4" s="15" t="inlineStr">
        <is>
          <t>締日</t>
        </is>
      </c>
      <c r="E4" s="15" t="inlineStr">
        <is>
          <t>回収サイト（か月）</t>
        </is>
      </c>
      <c r="F4" s="15" t="inlineStr">
        <is>
          <t>回収日</t>
        </is>
      </c>
      <c r="G4" s="16" t="inlineStr">
        <is>
          <t>回収条件</t>
        </is>
      </c>
      <c r="H4" s="15" t="inlineStr">
        <is>
          <t>担当者</t>
        </is>
      </c>
      <c r="I4" s="15" t="inlineStr">
        <is>
          <t>メモ（連絡先・請求書の送り方など）</t>
        </is>
      </c>
    </row>
    <row r="5" ht="18" customHeight="1">
      <c r="A5" s="17" t="n">
        <v>1</v>
      </c>
      <c r="B5" s="18" t="n"/>
      <c r="C5" s="19" t="n"/>
      <c r="D5" s="18" t="n"/>
      <c r="E5" s="18" t="n"/>
      <c r="F5" s="18" t="n"/>
      <c r="G5" s="20">
        <f>IF($B5="","",IF(OR($D5="",$E5="",$F5=""),"（締日・サイト・回収日を入れる）",IF($D5="末","末",$D5&amp;"日")&amp;"締め "&amp;IF(N($E5)=0,"当月",IF(N($E5)=1,"翌月",IF(N($E5)=2,"翌々月",$E5&amp;"か月後")))&amp;IF($F5="末","末",$F5&amp;"日")))</f>
        <v/>
      </c>
      <c r="H5" s="19" t="n"/>
      <c r="I5" s="19" t="n"/>
    </row>
    <row r="6" ht="18" customHeight="1">
      <c r="A6" s="17" t="n">
        <v>2</v>
      </c>
      <c r="B6" s="18" t="n"/>
      <c r="C6" s="19" t="n"/>
      <c r="D6" s="18" t="n"/>
      <c r="E6" s="18" t="n"/>
      <c r="F6" s="18" t="n"/>
      <c r="G6" s="20">
        <f>IF($B6="","",IF(OR($D6="",$E6="",$F6=""),"（締日・サイト・回収日を入れる）",IF($D6="末","末",$D6&amp;"日")&amp;"締め "&amp;IF(N($E6)=0,"当月",IF(N($E6)=1,"翌月",IF(N($E6)=2,"翌々月",$E6&amp;"か月後")))&amp;IF($F6="末","末",$F6&amp;"日")))</f>
        <v/>
      </c>
      <c r="H6" s="19" t="n"/>
      <c r="I6" s="19" t="n"/>
    </row>
    <row r="7" ht="18" customHeight="1">
      <c r="A7" s="17" t="n">
        <v>3</v>
      </c>
      <c r="B7" s="18" t="n"/>
      <c r="C7" s="19" t="n"/>
      <c r="D7" s="18" t="n"/>
      <c r="E7" s="18" t="n"/>
      <c r="F7" s="18" t="n"/>
      <c r="G7" s="20">
        <f>IF($B7="","",IF(OR($D7="",$E7="",$F7=""),"（締日・サイト・回収日を入れる）",IF($D7="末","末",$D7&amp;"日")&amp;"締め "&amp;IF(N($E7)=0,"当月",IF(N($E7)=1,"翌月",IF(N($E7)=2,"翌々月",$E7&amp;"か月後")))&amp;IF($F7="末","末",$F7&amp;"日")))</f>
        <v/>
      </c>
      <c r="H7" s="19" t="n"/>
      <c r="I7" s="19" t="n"/>
    </row>
    <row r="8" ht="18" customHeight="1">
      <c r="A8" s="17" t="n">
        <v>4</v>
      </c>
      <c r="B8" s="18" t="n"/>
      <c r="C8" s="19" t="n"/>
      <c r="D8" s="18" t="n"/>
      <c r="E8" s="18" t="n"/>
      <c r="F8" s="18" t="n"/>
      <c r="G8" s="20">
        <f>IF($B8="","",IF(OR($D8="",$E8="",$F8=""),"（締日・サイト・回収日を入れる）",IF($D8="末","末",$D8&amp;"日")&amp;"締め "&amp;IF(N($E8)=0,"当月",IF(N($E8)=1,"翌月",IF(N($E8)=2,"翌々月",$E8&amp;"か月後")))&amp;IF($F8="末","末",$F8&amp;"日")))</f>
        <v/>
      </c>
      <c r="H8" s="19" t="n"/>
      <c r="I8" s="19" t="n"/>
    </row>
    <row r="9" ht="18" customHeight="1">
      <c r="A9" s="17" t="n">
        <v>5</v>
      </c>
      <c r="B9" s="18" t="n"/>
      <c r="C9" s="19" t="n"/>
      <c r="D9" s="18" t="n"/>
      <c r="E9" s="18" t="n"/>
      <c r="F9" s="18" t="n"/>
      <c r="G9" s="20">
        <f>IF($B9="","",IF(OR($D9="",$E9="",$F9=""),"（締日・サイト・回収日を入れる）",IF($D9="末","末",$D9&amp;"日")&amp;"締め "&amp;IF(N($E9)=0,"当月",IF(N($E9)=1,"翌月",IF(N($E9)=2,"翌々月",$E9&amp;"か月後")))&amp;IF($F9="末","末",$F9&amp;"日")))</f>
        <v/>
      </c>
      <c r="H9" s="19" t="n"/>
      <c r="I9" s="19" t="n"/>
    </row>
    <row r="10" ht="18" customHeight="1">
      <c r="A10" s="17" t="n">
        <v>6</v>
      </c>
      <c r="B10" s="18" t="n"/>
      <c r="C10" s="19" t="n"/>
      <c r="D10" s="18" t="n"/>
      <c r="E10" s="18" t="n"/>
      <c r="F10" s="18" t="n"/>
      <c r="G10" s="20">
        <f>IF($B10="","",IF(OR($D10="",$E10="",$F10=""),"（締日・サイト・回収日を入れる）",IF($D10="末","末",$D10&amp;"日")&amp;"締め "&amp;IF(N($E10)=0,"当月",IF(N($E10)=1,"翌月",IF(N($E10)=2,"翌々月",$E10&amp;"か月後")))&amp;IF($F10="末","末",$F10&amp;"日")))</f>
        <v/>
      </c>
      <c r="H10" s="19" t="n"/>
      <c r="I10" s="19" t="n"/>
    </row>
    <row r="11" ht="18" customHeight="1">
      <c r="A11" s="17" t="n">
        <v>7</v>
      </c>
      <c r="B11" s="18" t="n"/>
      <c r="C11" s="19" t="n"/>
      <c r="D11" s="18" t="n"/>
      <c r="E11" s="18" t="n"/>
      <c r="F11" s="18" t="n"/>
      <c r="G11" s="20">
        <f>IF($B11="","",IF(OR($D11="",$E11="",$F11=""),"（締日・サイト・回収日を入れる）",IF($D11="末","末",$D11&amp;"日")&amp;"締め "&amp;IF(N($E11)=0,"当月",IF(N($E11)=1,"翌月",IF(N($E11)=2,"翌々月",$E11&amp;"か月後")))&amp;IF($F11="末","末",$F11&amp;"日")))</f>
        <v/>
      </c>
      <c r="H11" s="19" t="n"/>
      <c r="I11" s="19" t="n"/>
    </row>
    <row r="12" ht="18" customHeight="1">
      <c r="A12" s="17" t="n">
        <v>8</v>
      </c>
      <c r="B12" s="18" t="n"/>
      <c r="C12" s="19" t="n"/>
      <c r="D12" s="18" t="n"/>
      <c r="E12" s="18" t="n"/>
      <c r="F12" s="18" t="n"/>
      <c r="G12" s="20">
        <f>IF($B12="","",IF(OR($D12="",$E12="",$F12=""),"（締日・サイト・回収日を入れる）",IF($D12="末","末",$D12&amp;"日")&amp;"締め "&amp;IF(N($E12)=0,"当月",IF(N($E12)=1,"翌月",IF(N($E12)=2,"翌々月",$E12&amp;"か月後")))&amp;IF($F12="末","末",$F12&amp;"日")))</f>
        <v/>
      </c>
      <c r="H12" s="19" t="n"/>
      <c r="I12" s="19" t="n"/>
    </row>
    <row r="13" ht="18" customHeight="1">
      <c r="A13" s="17" t="n">
        <v>9</v>
      </c>
      <c r="B13" s="18" t="n"/>
      <c r="C13" s="19" t="n"/>
      <c r="D13" s="18" t="n"/>
      <c r="E13" s="18" t="n"/>
      <c r="F13" s="18" t="n"/>
      <c r="G13" s="20">
        <f>IF($B13="","",IF(OR($D13="",$E13="",$F13=""),"（締日・サイト・回収日を入れる）",IF($D13="末","末",$D13&amp;"日")&amp;"締め "&amp;IF(N($E13)=0,"当月",IF(N($E13)=1,"翌月",IF(N($E13)=2,"翌々月",$E13&amp;"か月後")))&amp;IF($F13="末","末",$F13&amp;"日")))</f>
        <v/>
      </c>
      <c r="H13" s="19" t="n"/>
      <c r="I13" s="19" t="n"/>
    </row>
    <row r="14" ht="18" customHeight="1">
      <c r="A14" s="17" t="n">
        <v>10</v>
      </c>
      <c r="B14" s="18" t="n"/>
      <c r="C14" s="19" t="n"/>
      <c r="D14" s="18" t="n"/>
      <c r="E14" s="18" t="n"/>
      <c r="F14" s="18" t="n"/>
      <c r="G14" s="20">
        <f>IF($B14="","",IF(OR($D14="",$E14="",$F14=""),"（締日・サイト・回収日を入れる）",IF($D14="末","末",$D14&amp;"日")&amp;"締め "&amp;IF(N($E14)=0,"当月",IF(N($E14)=1,"翌月",IF(N($E14)=2,"翌々月",$E14&amp;"か月後")))&amp;IF($F14="末","末",$F14&amp;"日")))</f>
        <v/>
      </c>
      <c r="H14" s="19" t="n"/>
      <c r="I14" s="19" t="n"/>
    </row>
    <row r="15" ht="18" customHeight="1">
      <c r="A15" s="17" t="n">
        <v>11</v>
      </c>
      <c r="B15" s="18" t="n"/>
      <c r="C15" s="19" t="n"/>
      <c r="D15" s="18" t="n"/>
      <c r="E15" s="18" t="n"/>
      <c r="F15" s="18" t="n"/>
      <c r="G15" s="20">
        <f>IF($B15="","",IF(OR($D15="",$E15="",$F15=""),"（締日・サイト・回収日を入れる）",IF($D15="末","末",$D15&amp;"日")&amp;"締め "&amp;IF(N($E15)=0,"当月",IF(N($E15)=1,"翌月",IF(N($E15)=2,"翌々月",$E15&amp;"か月後")))&amp;IF($F15="末","末",$F15&amp;"日")))</f>
        <v/>
      </c>
      <c r="H15" s="19" t="n"/>
      <c r="I15" s="19" t="n"/>
    </row>
    <row r="16" ht="18" customHeight="1">
      <c r="A16" s="17" t="n">
        <v>12</v>
      </c>
      <c r="B16" s="18" t="n"/>
      <c r="C16" s="19" t="n"/>
      <c r="D16" s="18" t="n"/>
      <c r="E16" s="18" t="n"/>
      <c r="F16" s="18" t="n"/>
      <c r="G16" s="20">
        <f>IF($B16="","",IF(OR($D16="",$E16="",$F16=""),"（締日・サイト・回収日を入れる）",IF($D16="末","末",$D16&amp;"日")&amp;"締め "&amp;IF(N($E16)=0,"当月",IF(N($E16)=1,"翌月",IF(N($E16)=2,"翌々月",$E16&amp;"か月後")))&amp;IF($F16="末","末",$F16&amp;"日")))</f>
        <v/>
      </c>
      <c r="H16" s="19" t="n"/>
      <c r="I16" s="19" t="n"/>
    </row>
    <row r="17" ht="18" customHeight="1">
      <c r="A17" s="17" t="n">
        <v>13</v>
      </c>
      <c r="B17" s="18" t="n"/>
      <c r="C17" s="19" t="n"/>
      <c r="D17" s="18" t="n"/>
      <c r="E17" s="18" t="n"/>
      <c r="F17" s="18" t="n"/>
      <c r="G17" s="20">
        <f>IF($B17="","",IF(OR($D17="",$E17="",$F17=""),"（締日・サイト・回収日を入れる）",IF($D17="末","末",$D17&amp;"日")&amp;"締め "&amp;IF(N($E17)=0,"当月",IF(N($E17)=1,"翌月",IF(N($E17)=2,"翌々月",$E17&amp;"か月後")))&amp;IF($F17="末","末",$F17&amp;"日")))</f>
        <v/>
      </c>
      <c r="H17" s="19" t="n"/>
      <c r="I17" s="19" t="n"/>
    </row>
    <row r="18" ht="18" customHeight="1">
      <c r="A18" s="17" t="n">
        <v>14</v>
      </c>
      <c r="B18" s="18" t="n"/>
      <c r="C18" s="19" t="n"/>
      <c r="D18" s="18" t="n"/>
      <c r="E18" s="18" t="n"/>
      <c r="F18" s="18" t="n"/>
      <c r="G18" s="20">
        <f>IF($B18="","",IF(OR($D18="",$E18="",$F18=""),"（締日・サイト・回収日を入れる）",IF($D18="末","末",$D18&amp;"日")&amp;"締め "&amp;IF(N($E18)=0,"当月",IF(N($E18)=1,"翌月",IF(N($E18)=2,"翌々月",$E18&amp;"か月後")))&amp;IF($F18="末","末",$F18&amp;"日")))</f>
        <v/>
      </c>
      <c r="H18" s="19" t="n"/>
      <c r="I18" s="19" t="n"/>
    </row>
    <row r="19" ht="18" customHeight="1">
      <c r="A19" s="17" t="n">
        <v>15</v>
      </c>
      <c r="B19" s="18" t="n"/>
      <c r="C19" s="19" t="n"/>
      <c r="D19" s="18" t="n"/>
      <c r="E19" s="18" t="n"/>
      <c r="F19" s="18" t="n"/>
      <c r="G19" s="20">
        <f>IF($B19="","",IF(OR($D19="",$E19="",$F19=""),"（締日・サイト・回収日を入れる）",IF($D19="末","末",$D19&amp;"日")&amp;"締め "&amp;IF(N($E19)=0,"当月",IF(N($E19)=1,"翌月",IF(N($E19)=2,"翌々月",$E19&amp;"か月後")))&amp;IF($F19="末","末",$F19&amp;"日")))</f>
        <v/>
      </c>
      <c r="H19" s="19" t="n"/>
      <c r="I19" s="19" t="n"/>
    </row>
    <row r="20" ht="18" customHeight="1">
      <c r="A20" s="17" t="n">
        <v>16</v>
      </c>
      <c r="B20" s="18" t="n"/>
      <c r="C20" s="19" t="n"/>
      <c r="D20" s="18" t="n"/>
      <c r="E20" s="18" t="n"/>
      <c r="F20" s="18" t="n"/>
      <c r="G20" s="20">
        <f>IF($B20="","",IF(OR($D20="",$E20="",$F20=""),"（締日・サイト・回収日を入れる）",IF($D20="末","末",$D20&amp;"日")&amp;"締め "&amp;IF(N($E20)=0,"当月",IF(N($E20)=1,"翌月",IF(N($E20)=2,"翌々月",$E20&amp;"か月後")))&amp;IF($F20="末","末",$F20&amp;"日")))</f>
        <v/>
      </c>
      <c r="H20" s="19" t="n"/>
      <c r="I20" s="19" t="n"/>
    </row>
    <row r="21" ht="18" customHeight="1">
      <c r="A21" s="17" t="n">
        <v>17</v>
      </c>
      <c r="B21" s="18" t="n"/>
      <c r="C21" s="19" t="n"/>
      <c r="D21" s="18" t="n"/>
      <c r="E21" s="18" t="n"/>
      <c r="F21" s="18" t="n"/>
      <c r="G21" s="20">
        <f>IF($B21="","",IF(OR($D21="",$E21="",$F21=""),"（締日・サイト・回収日を入れる）",IF($D21="末","末",$D21&amp;"日")&amp;"締め "&amp;IF(N($E21)=0,"当月",IF(N($E21)=1,"翌月",IF(N($E21)=2,"翌々月",$E21&amp;"か月後")))&amp;IF($F21="末","末",$F21&amp;"日")))</f>
        <v/>
      </c>
      <c r="H21" s="19" t="n"/>
      <c r="I21" s="19" t="n"/>
    </row>
    <row r="22" ht="18" customHeight="1">
      <c r="A22" s="17" t="n">
        <v>18</v>
      </c>
      <c r="B22" s="18" t="n"/>
      <c r="C22" s="19" t="n"/>
      <c r="D22" s="18" t="n"/>
      <c r="E22" s="18" t="n"/>
      <c r="F22" s="18" t="n"/>
      <c r="G22" s="20">
        <f>IF($B22="","",IF(OR($D22="",$E22="",$F22=""),"（締日・サイト・回収日を入れる）",IF($D22="末","末",$D22&amp;"日")&amp;"締め "&amp;IF(N($E22)=0,"当月",IF(N($E22)=1,"翌月",IF(N($E22)=2,"翌々月",$E22&amp;"か月後")))&amp;IF($F22="末","末",$F22&amp;"日")))</f>
        <v/>
      </c>
      <c r="H22" s="19" t="n"/>
      <c r="I22" s="19" t="n"/>
    </row>
    <row r="23" ht="18" customHeight="1">
      <c r="A23" s="17" t="n">
        <v>19</v>
      </c>
      <c r="B23" s="18" t="n"/>
      <c r="C23" s="19" t="n"/>
      <c r="D23" s="18" t="n"/>
      <c r="E23" s="18" t="n"/>
      <c r="F23" s="18" t="n"/>
      <c r="G23" s="20">
        <f>IF($B23="","",IF(OR($D23="",$E23="",$F23=""),"（締日・サイト・回収日を入れる）",IF($D23="末","末",$D23&amp;"日")&amp;"締め "&amp;IF(N($E23)=0,"当月",IF(N($E23)=1,"翌月",IF(N($E23)=2,"翌々月",$E23&amp;"か月後")))&amp;IF($F23="末","末",$F23&amp;"日")))</f>
        <v/>
      </c>
      <c r="H23" s="19" t="n"/>
      <c r="I23" s="19" t="n"/>
    </row>
    <row r="24" ht="18" customHeight="1">
      <c r="A24" s="17" t="n">
        <v>20</v>
      </c>
      <c r="B24" s="18" t="n"/>
      <c r="C24" s="19" t="n"/>
      <c r="D24" s="18" t="n"/>
      <c r="E24" s="18" t="n"/>
      <c r="F24" s="18" t="n"/>
      <c r="G24" s="20">
        <f>IF($B24="","",IF(OR($D24="",$E24="",$F24=""),"（締日・サイト・回収日を入れる）",IF($D24="末","末",$D24&amp;"日")&amp;"締め "&amp;IF(N($E24)=0,"当月",IF(N($E24)=1,"翌月",IF(N($E24)=2,"翌々月",$E24&amp;"か月後")))&amp;IF($F24="末","末",$F24&amp;"日")))</f>
        <v/>
      </c>
      <c r="H24" s="19" t="n"/>
      <c r="I24" s="19" t="n"/>
    </row>
    <row r="25" ht="18" customHeight="1">
      <c r="A25" s="17" t="n">
        <v>21</v>
      </c>
      <c r="B25" s="18" t="n"/>
      <c r="C25" s="19" t="n"/>
      <c r="D25" s="18" t="n"/>
      <c r="E25" s="18" t="n"/>
      <c r="F25" s="18" t="n"/>
      <c r="G25" s="20">
        <f>IF($B25="","",IF(OR($D25="",$E25="",$F25=""),"（締日・サイト・回収日を入れる）",IF($D25="末","末",$D25&amp;"日")&amp;"締め "&amp;IF(N($E25)=0,"当月",IF(N($E25)=1,"翌月",IF(N($E25)=2,"翌々月",$E25&amp;"か月後")))&amp;IF($F25="末","末",$F25&amp;"日")))</f>
        <v/>
      </c>
      <c r="H25" s="19" t="n"/>
      <c r="I25" s="19" t="n"/>
    </row>
    <row r="26" ht="18" customHeight="1">
      <c r="A26" s="17" t="n">
        <v>22</v>
      </c>
      <c r="B26" s="18" t="n"/>
      <c r="C26" s="19" t="n"/>
      <c r="D26" s="18" t="n"/>
      <c r="E26" s="18" t="n"/>
      <c r="F26" s="18" t="n"/>
      <c r="G26" s="20">
        <f>IF($B26="","",IF(OR($D26="",$E26="",$F26=""),"（締日・サイト・回収日を入れる）",IF($D26="末","末",$D26&amp;"日")&amp;"締め "&amp;IF(N($E26)=0,"当月",IF(N($E26)=1,"翌月",IF(N($E26)=2,"翌々月",$E26&amp;"か月後")))&amp;IF($F26="末","末",$F26&amp;"日")))</f>
        <v/>
      </c>
      <c r="H26" s="19" t="n"/>
      <c r="I26" s="19" t="n"/>
    </row>
    <row r="27" ht="18" customHeight="1">
      <c r="A27" s="17" t="n">
        <v>23</v>
      </c>
      <c r="B27" s="18" t="n"/>
      <c r="C27" s="19" t="n"/>
      <c r="D27" s="18" t="n"/>
      <c r="E27" s="18" t="n"/>
      <c r="F27" s="18" t="n"/>
      <c r="G27" s="20">
        <f>IF($B27="","",IF(OR($D27="",$E27="",$F27=""),"（締日・サイト・回収日を入れる）",IF($D27="末","末",$D27&amp;"日")&amp;"締め "&amp;IF(N($E27)=0,"当月",IF(N($E27)=1,"翌月",IF(N($E27)=2,"翌々月",$E27&amp;"か月後")))&amp;IF($F27="末","末",$F27&amp;"日")))</f>
        <v/>
      </c>
      <c r="H27" s="19" t="n"/>
      <c r="I27" s="19" t="n"/>
    </row>
    <row r="28" ht="18" customHeight="1">
      <c r="A28" s="17" t="n">
        <v>24</v>
      </c>
      <c r="B28" s="18" t="n"/>
      <c r="C28" s="19" t="n"/>
      <c r="D28" s="18" t="n"/>
      <c r="E28" s="18" t="n"/>
      <c r="F28" s="18" t="n"/>
      <c r="G28" s="20">
        <f>IF($B28="","",IF(OR($D28="",$E28="",$F28=""),"（締日・サイト・回収日を入れる）",IF($D28="末","末",$D28&amp;"日")&amp;"締め "&amp;IF(N($E28)=0,"当月",IF(N($E28)=1,"翌月",IF(N($E28)=2,"翌々月",$E28&amp;"か月後")))&amp;IF($F28="末","末",$F28&amp;"日")))</f>
        <v/>
      </c>
      <c r="H28" s="19" t="n"/>
      <c r="I28" s="19" t="n"/>
    </row>
    <row r="29" ht="18" customHeight="1">
      <c r="A29" s="17" t="n">
        <v>25</v>
      </c>
      <c r="B29" s="18" t="n"/>
      <c r="C29" s="19" t="n"/>
      <c r="D29" s="18" t="n"/>
      <c r="E29" s="18" t="n"/>
      <c r="F29" s="18" t="n"/>
      <c r="G29" s="20">
        <f>IF($B29="","",IF(OR($D29="",$E29="",$F29=""),"（締日・サイト・回収日を入れる）",IF($D29="末","末",$D29&amp;"日")&amp;"締め "&amp;IF(N($E29)=0,"当月",IF(N($E29)=1,"翌月",IF(N($E29)=2,"翌々月",$E29&amp;"か月後")))&amp;IF($F29="末","末",$F29&amp;"日")))</f>
        <v/>
      </c>
      <c r="H29" s="19" t="n"/>
      <c r="I29" s="19" t="n"/>
    </row>
    <row r="30" ht="18" customHeight="1">
      <c r="A30" s="17" t="n">
        <v>26</v>
      </c>
      <c r="B30" s="18" t="n"/>
      <c r="C30" s="19" t="n"/>
      <c r="D30" s="18" t="n"/>
      <c r="E30" s="18" t="n"/>
      <c r="F30" s="18" t="n"/>
      <c r="G30" s="20">
        <f>IF($B30="","",IF(OR($D30="",$E30="",$F30=""),"（締日・サイト・回収日を入れる）",IF($D30="末","末",$D30&amp;"日")&amp;"締め "&amp;IF(N($E30)=0,"当月",IF(N($E30)=1,"翌月",IF(N($E30)=2,"翌々月",$E30&amp;"か月後")))&amp;IF($F30="末","末",$F30&amp;"日")))</f>
        <v/>
      </c>
      <c r="H30" s="19" t="n"/>
      <c r="I30" s="19" t="n"/>
    </row>
    <row r="31" ht="18" customHeight="1">
      <c r="A31" s="17" t="n">
        <v>27</v>
      </c>
      <c r="B31" s="18" t="n"/>
      <c r="C31" s="19" t="n"/>
      <c r="D31" s="18" t="n"/>
      <c r="E31" s="18" t="n"/>
      <c r="F31" s="18" t="n"/>
      <c r="G31" s="20">
        <f>IF($B31="","",IF(OR($D31="",$E31="",$F31=""),"（締日・サイト・回収日を入れる）",IF($D31="末","末",$D31&amp;"日")&amp;"締め "&amp;IF(N($E31)=0,"当月",IF(N($E31)=1,"翌月",IF(N($E31)=2,"翌々月",$E31&amp;"か月後")))&amp;IF($F31="末","末",$F31&amp;"日")))</f>
        <v/>
      </c>
      <c r="H31" s="19" t="n"/>
      <c r="I31" s="19" t="n"/>
    </row>
    <row r="32" ht="18" customHeight="1">
      <c r="A32" s="17" t="n">
        <v>28</v>
      </c>
      <c r="B32" s="18" t="n"/>
      <c r="C32" s="19" t="n"/>
      <c r="D32" s="18" t="n"/>
      <c r="E32" s="18" t="n"/>
      <c r="F32" s="18" t="n"/>
      <c r="G32" s="20">
        <f>IF($B32="","",IF(OR($D32="",$E32="",$F32=""),"（締日・サイト・回収日を入れる）",IF($D32="末","末",$D32&amp;"日")&amp;"締め "&amp;IF(N($E32)=0,"当月",IF(N($E32)=1,"翌月",IF(N($E32)=2,"翌々月",$E32&amp;"か月後")))&amp;IF($F32="末","末",$F32&amp;"日")))</f>
        <v/>
      </c>
      <c r="H32" s="19" t="n"/>
      <c r="I32" s="19" t="n"/>
    </row>
    <row r="33" ht="18" customHeight="1">
      <c r="A33" s="17" t="n">
        <v>29</v>
      </c>
      <c r="B33" s="18" t="n"/>
      <c r="C33" s="19" t="n"/>
      <c r="D33" s="18" t="n"/>
      <c r="E33" s="18" t="n"/>
      <c r="F33" s="18" t="n"/>
      <c r="G33" s="20">
        <f>IF($B33="","",IF(OR($D33="",$E33="",$F33=""),"（締日・サイト・回収日を入れる）",IF($D33="末","末",$D33&amp;"日")&amp;"締め "&amp;IF(N($E33)=0,"当月",IF(N($E33)=1,"翌月",IF(N($E33)=2,"翌々月",$E33&amp;"か月後")))&amp;IF($F33="末","末",$F33&amp;"日")))</f>
        <v/>
      </c>
      <c r="H33" s="19" t="n"/>
      <c r="I33" s="19" t="n"/>
    </row>
    <row r="34" ht="18" customHeight="1">
      <c r="A34" s="17" t="n">
        <v>30</v>
      </c>
      <c r="B34" s="18" t="n"/>
      <c r="C34" s="19" t="n"/>
      <c r="D34" s="18" t="n"/>
      <c r="E34" s="18" t="n"/>
      <c r="F34" s="18" t="n"/>
      <c r="G34" s="20">
        <f>IF($B34="","",IF(OR($D34="",$E34="",$F34=""),"（締日・サイト・回収日を入れる）",IF($D34="末","末",$D34&amp;"日")&amp;"締め "&amp;IF(N($E34)=0,"当月",IF(N($E34)=1,"翌月",IF(N($E34)=2,"翌々月",$E34&amp;"か月後")))&amp;IF($F34="末","末",$F34&amp;"日")))</f>
        <v/>
      </c>
      <c r="H34" s="19" t="n"/>
      <c r="I34" s="19" t="n"/>
    </row>
    <row r="35" ht="18" customHeight="1">
      <c r="A35" s="17" t="n">
        <v>31</v>
      </c>
      <c r="B35" s="18" t="n"/>
      <c r="C35" s="19" t="n"/>
      <c r="D35" s="18" t="n"/>
      <c r="E35" s="18" t="n"/>
      <c r="F35" s="18" t="n"/>
      <c r="G35" s="20">
        <f>IF($B35="","",IF(OR($D35="",$E35="",$F35=""),"（締日・サイト・回収日を入れる）",IF($D35="末","末",$D35&amp;"日")&amp;"締め "&amp;IF(N($E35)=0,"当月",IF(N($E35)=1,"翌月",IF(N($E35)=2,"翌々月",$E35&amp;"か月後")))&amp;IF($F35="末","末",$F35&amp;"日")))</f>
        <v/>
      </c>
      <c r="H35" s="19" t="n"/>
      <c r="I35" s="19" t="n"/>
    </row>
    <row r="36" ht="18" customHeight="1">
      <c r="A36" s="17" t="n">
        <v>32</v>
      </c>
      <c r="B36" s="18" t="n"/>
      <c r="C36" s="19" t="n"/>
      <c r="D36" s="18" t="n"/>
      <c r="E36" s="18" t="n"/>
      <c r="F36" s="18" t="n"/>
      <c r="G36" s="20">
        <f>IF($B36="","",IF(OR($D36="",$E36="",$F36=""),"（締日・サイト・回収日を入れる）",IF($D36="末","末",$D36&amp;"日")&amp;"締め "&amp;IF(N($E36)=0,"当月",IF(N($E36)=1,"翌月",IF(N($E36)=2,"翌々月",$E36&amp;"か月後")))&amp;IF($F36="末","末",$F36&amp;"日")))</f>
        <v/>
      </c>
      <c r="H36" s="19" t="n"/>
      <c r="I36" s="19" t="n"/>
    </row>
    <row r="37" ht="18" customHeight="1">
      <c r="A37" s="17" t="n">
        <v>33</v>
      </c>
      <c r="B37" s="18" t="n"/>
      <c r="C37" s="19" t="n"/>
      <c r="D37" s="18" t="n"/>
      <c r="E37" s="18" t="n"/>
      <c r="F37" s="18" t="n"/>
      <c r="G37" s="20">
        <f>IF($B37="","",IF(OR($D37="",$E37="",$F37=""),"（締日・サイト・回収日を入れる）",IF($D37="末","末",$D37&amp;"日")&amp;"締め "&amp;IF(N($E37)=0,"当月",IF(N($E37)=1,"翌月",IF(N($E37)=2,"翌々月",$E37&amp;"か月後")))&amp;IF($F37="末","末",$F37&amp;"日")))</f>
        <v/>
      </c>
      <c r="H37" s="19" t="n"/>
      <c r="I37" s="19" t="n"/>
    </row>
    <row r="38" ht="18" customHeight="1">
      <c r="A38" s="17" t="n">
        <v>34</v>
      </c>
      <c r="B38" s="18" t="n"/>
      <c r="C38" s="19" t="n"/>
      <c r="D38" s="18" t="n"/>
      <c r="E38" s="18" t="n"/>
      <c r="F38" s="18" t="n"/>
      <c r="G38" s="20">
        <f>IF($B38="","",IF(OR($D38="",$E38="",$F38=""),"（締日・サイト・回収日を入れる）",IF($D38="末","末",$D38&amp;"日")&amp;"締め "&amp;IF(N($E38)=0,"当月",IF(N($E38)=1,"翌月",IF(N($E38)=2,"翌々月",$E38&amp;"か月後")))&amp;IF($F38="末","末",$F38&amp;"日")))</f>
        <v/>
      </c>
      <c r="H38" s="19" t="n"/>
      <c r="I38" s="19" t="n"/>
    </row>
    <row r="39" ht="18" customHeight="1">
      <c r="A39" s="17" t="n">
        <v>35</v>
      </c>
      <c r="B39" s="18" t="n"/>
      <c r="C39" s="19" t="n"/>
      <c r="D39" s="18" t="n"/>
      <c r="E39" s="18" t="n"/>
      <c r="F39" s="18" t="n"/>
      <c r="G39" s="20">
        <f>IF($B39="","",IF(OR($D39="",$E39="",$F39=""),"（締日・サイト・回収日を入れる）",IF($D39="末","末",$D39&amp;"日")&amp;"締め "&amp;IF(N($E39)=0,"当月",IF(N($E39)=1,"翌月",IF(N($E39)=2,"翌々月",$E39&amp;"か月後")))&amp;IF($F39="末","末",$F39&amp;"日")))</f>
        <v/>
      </c>
      <c r="H39" s="19" t="n"/>
      <c r="I39" s="19" t="n"/>
    </row>
    <row r="40" ht="18" customHeight="1">
      <c r="A40" s="17" t="n">
        <v>36</v>
      </c>
      <c r="B40" s="18" t="n"/>
      <c r="C40" s="19" t="n"/>
      <c r="D40" s="18" t="n"/>
      <c r="E40" s="18" t="n"/>
      <c r="F40" s="18" t="n"/>
      <c r="G40" s="20">
        <f>IF($B40="","",IF(OR($D40="",$E40="",$F40=""),"（締日・サイト・回収日を入れる）",IF($D40="末","末",$D40&amp;"日")&amp;"締め "&amp;IF(N($E40)=0,"当月",IF(N($E40)=1,"翌月",IF(N($E40)=2,"翌々月",$E40&amp;"か月後")))&amp;IF($F40="末","末",$F40&amp;"日")))</f>
        <v/>
      </c>
      <c r="H40" s="19" t="n"/>
      <c r="I40" s="19" t="n"/>
    </row>
    <row r="41" ht="18" customHeight="1">
      <c r="A41" s="17" t="n">
        <v>37</v>
      </c>
      <c r="B41" s="18" t="n"/>
      <c r="C41" s="19" t="n"/>
      <c r="D41" s="18" t="n"/>
      <c r="E41" s="18" t="n"/>
      <c r="F41" s="18" t="n"/>
      <c r="G41" s="20">
        <f>IF($B41="","",IF(OR($D41="",$E41="",$F41=""),"（締日・サイト・回収日を入れる）",IF($D41="末","末",$D41&amp;"日")&amp;"締め "&amp;IF(N($E41)=0,"当月",IF(N($E41)=1,"翌月",IF(N($E41)=2,"翌々月",$E41&amp;"か月後")))&amp;IF($F41="末","末",$F41&amp;"日")))</f>
        <v/>
      </c>
      <c r="H41" s="19" t="n"/>
      <c r="I41" s="19" t="n"/>
    </row>
    <row r="42" ht="18" customHeight="1">
      <c r="A42" s="17" t="n">
        <v>38</v>
      </c>
      <c r="B42" s="18" t="n"/>
      <c r="C42" s="19" t="n"/>
      <c r="D42" s="18" t="n"/>
      <c r="E42" s="18" t="n"/>
      <c r="F42" s="18" t="n"/>
      <c r="G42" s="20">
        <f>IF($B42="","",IF(OR($D42="",$E42="",$F42=""),"（締日・サイト・回収日を入れる）",IF($D42="末","末",$D42&amp;"日")&amp;"締め "&amp;IF(N($E42)=0,"当月",IF(N($E42)=1,"翌月",IF(N($E42)=2,"翌々月",$E42&amp;"か月後")))&amp;IF($F42="末","末",$F42&amp;"日")))</f>
        <v/>
      </c>
      <c r="H42" s="19" t="n"/>
      <c r="I42" s="19" t="n"/>
    </row>
    <row r="43" ht="18" customHeight="1">
      <c r="A43" s="17" t="n">
        <v>39</v>
      </c>
      <c r="B43" s="18" t="n"/>
      <c r="C43" s="19" t="n"/>
      <c r="D43" s="18" t="n"/>
      <c r="E43" s="18" t="n"/>
      <c r="F43" s="18" t="n"/>
      <c r="G43" s="20">
        <f>IF($B43="","",IF(OR($D43="",$E43="",$F43=""),"（締日・サイト・回収日を入れる）",IF($D43="末","末",$D43&amp;"日")&amp;"締め "&amp;IF(N($E43)=0,"当月",IF(N($E43)=1,"翌月",IF(N($E43)=2,"翌々月",$E43&amp;"か月後")))&amp;IF($F43="末","末",$F43&amp;"日")))</f>
        <v/>
      </c>
      <c r="H43" s="19" t="n"/>
      <c r="I43" s="19" t="n"/>
    </row>
    <row r="44" ht="18" customHeight="1">
      <c r="A44" s="17" t="n">
        <v>40</v>
      </c>
      <c r="B44" s="18" t="n"/>
      <c r="C44" s="19" t="n"/>
      <c r="D44" s="18" t="n"/>
      <c r="E44" s="18" t="n"/>
      <c r="F44" s="18" t="n"/>
      <c r="G44" s="20">
        <f>IF($B44="","",IF(OR($D44="",$E44="",$F44=""),"（締日・サイト・回収日を入れる）",IF($D44="末","末",$D44&amp;"日")&amp;"締め "&amp;IF(N($E44)=0,"当月",IF(N($E44)=1,"翌月",IF(N($E44)=2,"翌々月",$E44&amp;"か月後")))&amp;IF($F44="末","末",$F44&amp;"日")))</f>
        <v/>
      </c>
      <c r="H44" s="19" t="n"/>
      <c r="I44" s="19" t="n"/>
    </row>
    <row r="45" ht="18" customHeight="1">
      <c r="A45" s="17" t="n">
        <v>41</v>
      </c>
      <c r="B45" s="18" t="n"/>
      <c r="C45" s="19" t="n"/>
      <c r="D45" s="18" t="n"/>
      <c r="E45" s="18" t="n"/>
      <c r="F45" s="18" t="n"/>
      <c r="G45" s="20">
        <f>IF($B45="","",IF(OR($D45="",$E45="",$F45=""),"（締日・サイト・回収日を入れる）",IF($D45="末","末",$D45&amp;"日")&amp;"締め "&amp;IF(N($E45)=0,"当月",IF(N($E45)=1,"翌月",IF(N($E45)=2,"翌々月",$E45&amp;"か月後")))&amp;IF($F45="末","末",$F45&amp;"日")))</f>
        <v/>
      </c>
      <c r="H45" s="19" t="n"/>
      <c r="I45" s="19" t="n"/>
    </row>
    <row r="46" ht="18" customHeight="1">
      <c r="A46" s="17" t="n">
        <v>42</v>
      </c>
      <c r="B46" s="18" t="n"/>
      <c r="C46" s="19" t="n"/>
      <c r="D46" s="18" t="n"/>
      <c r="E46" s="18" t="n"/>
      <c r="F46" s="18" t="n"/>
      <c r="G46" s="20">
        <f>IF($B46="","",IF(OR($D46="",$E46="",$F46=""),"（締日・サイト・回収日を入れる）",IF($D46="末","末",$D46&amp;"日")&amp;"締め "&amp;IF(N($E46)=0,"当月",IF(N($E46)=1,"翌月",IF(N($E46)=2,"翌々月",$E46&amp;"か月後")))&amp;IF($F46="末","末",$F46&amp;"日")))</f>
        <v/>
      </c>
      <c r="H46" s="19" t="n"/>
      <c r="I46" s="19" t="n"/>
    </row>
    <row r="47" ht="18" customHeight="1">
      <c r="A47" s="17" t="n">
        <v>43</v>
      </c>
      <c r="B47" s="18" t="n"/>
      <c r="C47" s="19" t="n"/>
      <c r="D47" s="18" t="n"/>
      <c r="E47" s="18" t="n"/>
      <c r="F47" s="18" t="n"/>
      <c r="G47" s="20">
        <f>IF($B47="","",IF(OR($D47="",$E47="",$F47=""),"（締日・サイト・回収日を入れる）",IF($D47="末","末",$D47&amp;"日")&amp;"締め "&amp;IF(N($E47)=0,"当月",IF(N($E47)=1,"翌月",IF(N($E47)=2,"翌々月",$E47&amp;"か月後")))&amp;IF($F47="末","末",$F47&amp;"日")))</f>
        <v/>
      </c>
      <c r="H47" s="19" t="n"/>
      <c r="I47" s="19" t="n"/>
    </row>
    <row r="48" ht="18" customHeight="1">
      <c r="A48" s="17" t="n">
        <v>44</v>
      </c>
      <c r="B48" s="18" t="n"/>
      <c r="C48" s="19" t="n"/>
      <c r="D48" s="18" t="n"/>
      <c r="E48" s="18" t="n"/>
      <c r="F48" s="18" t="n"/>
      <c r="G48" s="20">
        <f>IF($B48="","",IF(OR($D48="",$E48="",$F48=""),"（締日・サイト・回収日を入れる）",IF($D48="末","末",$D48&amp;"日")&amp;"締め "&amp;IF(N($E48)=0,"当月",IF(N($E48)=1,"翌月",IF(N($E48)=2,"翌々月",$E48&amp;"か月後")))&amp;IF($F48="末","末",$F48&amp;"日")))</f>
        <v/>
      </c>
      <c r="H48" s="19" t="n"/>
      <c r="I48" s="19" t="n"/>
    </row>
    <row r="49" ht="18" customHeight="1">
      <c r="A49" s="17" t="n">
        <v>45</v>
      </c>
      <c r="B49" s="18" t="n"/>
      <c r="C49" s="19" t="n"/>
      <c r="D49" s="18" t="n"/>
      <c r="E49" s="18" t="n"/>
      <c r="F49" s="18" t="n"/>
      <c r="G49" s="20">
        <f>IF($B49="","",IF(OR($D49="",$E49="",$F49=""),"（締日・サイト・回収日を入れる）",IF($D49="末","末",$D49&amp;"日")&amp;"締め "&amp;IF(N($E49)=0,"当月",IF(N($E49)=1,"翌月",IF(N($E49)=2,"翌々月",$E49&amp;"か月後")))&amp;IF($F49="末","末",$F49&amp;"日")))</f>
        <v/>
      </c>
      <c r="H49" s="19" t="n"/>
      <c r="I49" s="19" t="n"/>
    </row>
    <row r="50" ht="18" customHeight="1">
      <c r="A50" s="17" t="n">
        <v>46</v>
      </c>
      <c r="B50" s="18" t="n"/>
      <c r="C50" s="19" t="n"/>
      <c r="D50" s="18" t="n"/>
      <c r="E50" s="18" t="n"/>
      <c r="F50" s="18" t="n"/>
      <c r="G50" s="20">
        <f>IF($B50="","",IF(OR($D50="",$E50="",$F50=""),"（締日・サイト・回収日を入れる）",IF($D50="末","末",$D50&amp;"日")&amp;"締め "&amp;IF(N($E50)=0,"当月",IF(N($E50)=1,"翌月",IF(N($E50)=2,"翌々月",$E50&amp;"か月後")))&amp;IF($F50="末","末",$F50&amp;"日")))</f>
        <v/>
      </c>
      <c r="H50" s="19" t="n"/>
      <c r="I50" s="19" t="n"/>
    </row>
    <row r="51" ht="18" customHeight="1">
      <c r="A51" s="17" t="n">
        <v>47</v>
      </c>
      <c r="B51" s="18" t="n"/>
      <c r="C51" s="19" t="n"/>
      <c r="D51" s="18" t="n"/>
      <c r="E51" s="18" t="n"/>
      <c r="F51" s="18" t="n"/>
      <c r="G51" s="20">
        <f>IF($B51="","",IF(OR($D51="",$E51="",$F51=""),"（締日・サイト・回収日を入れる）",IF($D51="末","末",$D51&amp;"日")&amp;"締め "&amp;IF(N($E51)=0,"当月",IF(N($E51)=1,"翌月",IF(N($E51)=2,"翌々月",$E51&amp;"か月後")))&amp;IF($F51="末","末",$F51&amp;"日")))</f>
        <v/>
      </c>
      <c r="H51" s="19" t="n"/>
      <c r="I51" s="19" t="n"/>
    </row>
    <row r="52" ht="18" customHeight="1">
      <c r="A52" s="17" t="n">
        <v>48</v>
      </c>
      <c r="B52" s="18" t="n"/>
      <c r="C52" s="19" t="n"/>
      <c r="D52" s="18" t="n"/>
      <c r="E52" s="18" t="n"/>
      <c r="F52" s="18" t="n"/>
      <c r="G52" s="20">
        <f>IF($B52="","",IF(OR($D52="",$E52="",$F52=""),"（締日・サイト・回収日を入れる）",IF($D52="末","末",$D52&amp;"日")&amp;"締め "&amp;IF(N($E52)=0,"当月",IF(N($E52)=1,"翌月",IF(N($E52)=2,"翌々月",$E52&amp;"か月後")))&amp;IF($F52="末","末",$F52&amp;"日")))</f>
        <v/>
      </c>
      <c r="H52" s="19" t="n"/>
      <c r="I52" s="19" t="n"/>
    </row>
    <row r="53" ht="18" customHeight="1">
      <c r="A53" s="17" t="n">
        <v>49</v>
      </c>
      <c r="B53" s="18" t="n"/>
      <c r="C53" s="19" t="n"/>
      <c r="D53" s="18" t="n"/>
      <c r="E53" s="18" t="n"/>
      <c r="F53" s="18" t="n"/>
      <c r="G53" s="20">
        <f>IF($B53="","",IF(OR($D53="",$E53="",$F53=""),"（締日・サイト・回収日を入れる）",IF($D53="末","末",$D53&amp;"日")&amp;"締め "&amp;IF(N($E53)=0,"当月",IF(N($E53)=1,"翌月",IF(N($E53)=2,"翌々月",$E53&amp;"か月後")))&amp;IF($F53="末","末",$F53&amp;"日")))</f>
        <v/>
      </c>
      <c r="H53" s="19" t="n"/>
      <c r="I53" s="19" t="n"/>
    </row>
    <row r="54" ht="18" customHeight="1">
      <c r="A54" s="17" t="n">
        <v>50</v>
      </c>
      <c r="B54" s="18" t="n"/>
      <c r="C54" s="19" t="n"/>
      <c r="D54" s="18" t="n"/>
      <c r="E54" s="18" t="n"/>
      <c r="F54" s="18" t="n"/>
      <c r="G54" s="20">
        <f>IF($B54="","",IF(OR($D54="",$E54="",$F54=""),"（締日・サイト・回収日を入れる）",IF($D54="末","末",$D54&amp;"日")&amp;"締め "&amp;IF(N($E54)=0,"当月",IF(N($E54)=1,"翌月",IF(N($E54)=2,"翌々月",$E54&amp;"か月後")))&amp;IF($F54="末","末",$F54&amp;"日")))</f>
        <v/>
      </c>
      <c r="H54" s="19" t="n"/>
      <c r="I54" s="19" t="n"/>
    </row>
    <row r="55" ht="18" customHeight="1">
      <c r="A55" s="17" t="n">
        <v>51</v>
      </c>
      <c r="B55" s="18" t="n"/>
      <c r="C55" s="19" t="n"/>
      <c r="D55" s="18" t="n"/>
      <c r="E55" s="18" t="n"/>
      <c r="F55" s="18" t="n"/>
      <c r="G55" s="20">
        <f>IF($B55="","",IF(OR($D55="",$E55="",$F55=""),"（締日・サイト・回収日を入れる）",IF($D55="末","末",$D55&amp;"日")&amp;"締め "&amp;IF(N($E55)=0,"当月",IF(N($E55)=1,"翌月",IF(N($E55)=2,"翌々月",$E55&amp;"か月後")))&amp;IF($F55="末","末",$F55&amp;"日")))</f>
        <v/>
      </c>
      <c r="H55" s="19" t="n"/>
      <c r="I55" s="19" t="n"/>
    </row>
    <row r="56" ht="18" customHeight="1">
      <c r="A56" s="17" t="n">
        <v>52</v>
      </c>
      <c r="B56" s="18" t="n"/>
      <c r="C56" s="19" t="n"/>
      <c r="D56" s="18" t="n"/>
      <c r="E56" s="18" t="n"/>
      <c r="F56" s="18" t="n"/>
      <c r="G56" s="20">
        <f>IF($B56="","",IF(OR($D56="",$E56="",$F56=""),"（締日・サイト・回収日を入れる）",IF($D56="末","末",$D56&amp;"日")&amp;"締め "&amp;IF(N($E56)=0,"当月",IF(N($E56)=1,"翌月",IF(N($E56)=2,"翌々月",$E56&amp;"か月後")))&amp;IF($F56="末","末",$F56&amp;"日")))</f>
        <v/>
      </c>
      <c r="H56" s="19" t="n"/>
      <c r="I56" s="19" t="n"/>
    </row>
    <row r="57" ht="18" customHeight="1">
      <c r="A57" s="17" t="n">
        <v>53</v>
      </c>
      <c r="B57" s="18" t="n"/>
      <c r="C57" s="19" t="n"/>
      <c r="D57" s="18" t="n"/>
      <c r="E57" s="18" t="n"/>
      <c r="F57" s="18" t="n"/>
      <c r="G57" s="20">
        <f>IF($B57="","",IF(OR($D57="",$E57="",$F57=""),"（締日・サイト・回収日を入れる）",IF($D57="末","末",$D57&amp;"日")&amp;"締め "&amp;IF(N($E57)=0,"当月",IF(N($E57)=1,"翌月",IF(N($E57)=2,"翌々月",$E57&amp;"か月後")))&amp;IF($F57="末","末",$F57&amp;"日")))</f>
        <v/>
      </c>
      <c r="H57" s="19" t="n"/>
      <c r="I57" s="19" t="n"/>
    </row>
    <row r="58" ht="18" customHeight="1">
      <c r="A58" s="17" t="n">
        <v>54</v>
      </c>
      <c r="B58" s="18" t="n"/>
      <c r="C58" s="19" t="n"/>
      <c r="D58" s="18" t="n"/>
      <c r="E58" s="18" t="n"/>
      <c r="F58" s="18" t="n"/>
      <c r="G58" s="20">
        <f>IF($B58="","",IF(OR($D58="",$E58="",$F58=""),"（締日・サイト・回収日を入れる）",IF($D58="末","末",$D58&amp;"日")&amp;"締め "&amp;IF(N($E58)=0,"当月",IF(N($E58)=1,"翌月",IF(N($E58)=2,"翌々月",$E58&amp;"か月後")))&amp;IF($F58="末","末",$F58&amp;"日")))</f>
        <v/>
      </c>
      <c r="H58" s="19" t="n"/>
      <c r="I58" s="19" t="n"/>
    </row>
    <row r="59" ht="18" customHeight="1">
      <c r="A59" s="17" t="n">
        <v>55</v>
      </c>
      <c r="B59" s="18" t="n"/>
      <c r="C59" s="19" t="n"/>
      <c r="D59" s="18" t="n"/>
      <c r="E59" s="18" t="n"/>
      <c r="F59" s="18" t="n"/>
      <c r="G59" s="20">
        <f>IF($B59="","",IF(OR($D59="",$E59="",$F59=""),"（締日・サイト・回収日を入れる）",IF($D59="末","末",$D59&amp;"日")&amp;"締め "&amp;IF(N($E59)=0,"当月",IF(N($E59)=1,"翌月",IF(N($E59)=2,"翌々月",$E59&amp;"か月後")))&amp;IF($F59="末","末",$F59&amp;"日")))</f>
        <v/>
      </c>
      <c r="H59" s="19" t="n"/>
      <c r="I59" s="19" t="n"/>
    </row>
    <row r="60" ht="18" customHeight="1">
      <c r="A60" s="17" t="n">
        <v>56</v>
      </c>
      <c r="B60" s="18" t="n"/>
      <c r="C60" s="19" t="n"/>
      <c r="D60" s="18" t="n"/>
      <c r="E60" s="18" t="n"/>
      <c r="F60" s="18" t="n"/>
      <c r="G60" s="20">
        <f>IF($B60="","",IF(OR($D60="",$E60="",$F60=""),"（締日・サイト・回収日を入れる）",IF($D60="末","末",$D60&amp;"日")&amp;"締め "&amp;IF(N($E60)=0,"当月",IF(N($E60)=1,"翌月",IF(N($E60)=2,"翌々月",$E60&amp;"か月後")))&amp;IF($F60="末","末",$F60&amp;"日")))</f>
        <v/>
      </c>
      <c r="H60" s="19" t="n"/>
      <c r="I60" s="19" t="n"/>
    </row>
    <row r="61" ht="18" customHeight="1">
      <c r="A61" s="17" t="n">
        <v>57</v>
      </c>
      <c r="B61" s="18" t="n"/>
      <c r="C61" s="19" t="n"/>
      <c r="D61" s="18" t="n"/>
      <c r="E61" s="18" t="n"/>
      <c r="F61" s="18" t="n"/>
      <c r="G61" s="20">
        <f>IF($B61="","",IF(OR($D61="",$E61="",$F61=""),"（締日・サイト・回収日を入れる）",IF($D61="末","末",$D61&amp;"日")&amp;"締め "&amp;IF(N($E61)=0,"当月",IF(N($E61)=1,"翌月",IF(N($E61)=2,"翌々月",$E61&amp;"か月後")))&amp;IF($F61="末","末",$F61&amp;"日")))</f>
        <v/>
      </c>
      <c r="H61" s="19" t="n"/>
      <c r="I61" s="19" t="n"/>
    </row>
    <row r="62" ht="18" customHeight="1">
      <c r="A62" s="17" t="n">
        <v>58</v>
      </c>
      <c r="B62" s="18" t="n"/>
      <c r="C62" s="19" t="n"/>
      <c r="D62" s="18" t="n"/>
      <c r="E62" s="18" t="n"/>
      <c r="F62" s="18" t="n"/>
      <c r="G62" s="20">
        <f>IF($B62="","",IF(OR($D62="",$E62="",$F62=""),"（締日・サイト・回収日を入れる）",IF($D62="末","末",$D62&amp;"日")&amp;"締め "&amp;IF(N($E62)=0,"当月",IF(N($E62)=1,"翌月",IF(N($E62)=2,"翌々月",$E62&amp;"か月後")))&amp;IF($F62="末","末",$F62&amp;"日")))</f>
        <v/>
      </c>
      <c r="H62" s="19" t="n"/>
      <c r="I62" s="19" t="n"/>
    </row>
    <row r="63" ht="18" customHeight="1">
      <c r="A63" s="17" t="n">
        <v>59</v>
      </c>
      <c r="B63" s="18" t="n"/>
      <c r="C63" s="19" t="n"/>
      <c r="D63" s="18" t="n"/>
      <c r="E63" s="18" t="n"/>
      <c r="F63" s="18" t="n"/>
      <c r="G63" s="20">
        <f>IF($B63="","",IF(OR($D63="",$E63="",$F63=""),"（締日・サイト・回収日を入れる）",IF($D63="末","末",$D63&amp;"日")&amp;"締め "&amp;IF(N($E63)=0,"当月",IF(N($E63)=1,"翌月",IF(N($E63)=2,"翌々月",$E63&amp;"か月後")))&amp;IF($F63="末","末",$F63&amp;"日")))</f>
        <v/>
      </c>
      <c r="H63" s="19" t="n"/>
      <c r="I63" s="19" t="n"/>
    </row>
    <row r="64" ht="18" customHeight="1">
      <c r="A64" s="17" t="n">
        <v>60</v>
      </c>
      <c r="B64" s="18" t="n"/>
      <c r="C64" s="19" t="n"/>
      <c r="D64" s="18" t="n"/>
      <c r="E64" s="18" t="n"/>
      <c r="F64" s="18" t="n"/>
      <c r="G64" s="20">
        <f>IF($B64="","",IF(OR($D64="",$E64="",$F64=""),"（締日・サイト・回収日を入れる）",IF($D64="末","末",$D64&amp;"日")&amp;"締め "&amp;IF(N($E64)=0,"当月",IF(N($E64)=1,"翌月",IF(N($E64)=2,"翌々月",$E64&amp;"か月後")))&amp;IF($F64="末","末",$F64&amp;"日")))</f>
        <v/>
      </c>
      <c r="H64" s="19" t="n"/>
      <c r="I64" s="19" t="n"/>
    </row>
    <row r="65" ht="18" customHeight="1">
      <c r="A65" s="17" t="n">
        <v>61</v>
      </c>
      <c r="B65" s="18" t="n"/>
      <c r="C65" s="19" t="n"/>
      <c r="D65" s="18" t="n"/>
      <c r="E65" s="18" t="n"/>
      <c r="F65" s="18" t="n"/>
      <c r="G65" s="20">
        <f>IF($B65="","",IF(OR($D65="",$E65="",$F65=""),"（締日・サイト・回収日を入れる）",IF($D65="末","末",$D65&amp;"日")&amp;"締め "&amp;IF(N($E65)=0,"当月",IF(N($E65)=1,"翌月",IF(N($E65)=2,"翌々月",$E65&amp;"か月後")))&amp;IF($F65="末","末",$F65&amp;"日")))</f>
        <v/>
      </c>
      <c r="H65" s="19" t="n"/>
      <c r="I65" s="19" t="n"/>
    </row>
    <row r="66" ht="18" customHeight="1">
      <c r="A66" s="17" t="n">
        <v>62</v>
      </c>
      <c r="B66" s="18" t="n"/>
      <c r="C66" s="19" t="n"/>
      <c r="D66" s="18" t="n"/>
      <c r="E66" s="18" t="n"/>
      <c r="F66" s="18" t="n"/>
      <c r="G66" s="20">
        <f>IF($B66="","",IF(OR($D66="",$E66="",$F66=""),"（締日・サイト・回収日を入れる）",IF($D66="末","末",$D66&amp;"日")&amp;"締め "&amp;IF(N($E66)=0,"当月",IF(N($E66)=1,"翌月",IF(N($E66)=2,"翌々月",$E66&amp;"か月後")))&amp;IF($F66="末","末",$F66&amp;"日")))</f>
        <v/>
      </c>
      <c r="H66" s="19" t="n"/>
      <c r="I66" s="19" t="n"/>
    </row>
    <row r="67" ht="18" customHeight="1">
      <c r="A67" s="17" t="n">
        <v>63</v>
      </c>
      <c r="B67" s="18" t="n"/>
      <c r="C67" s="19" t="n"/>
      <c r="D67" s="18" t="n"/>
      <c r="E67" s="18" t="n"/>
      <c r="F67" s="18" t="n"/>
      <c r="G67" s="20">
        <f>IF($B67="","",IF(OR($D67="",$E67="",$F67=""),"（締日・サイト・回収日を入れる）",IF($D67="末","末",$D67&amp;"日")&amp;"締め "&amp;IF(N($E67)=0,"当月",IF(N($E67)=1,"翌月",IF(N($E67)=2,"翌々月",$E67&amp;"か月後")))&amp;IF($F67="末","末",$F67&amp;"日")))</f>
        <v/>
      </c>
      <c r="H67" s="19" t="n"/>
      <c r="I67" s="19" t="n"/>
    </row>
    <row r="68" ht="18" customHeight="1">
      <c r="A68" s="17" t="n">
        <v>64</v>
      </c>
      <c r="B68" s="18" t="n"/>
      <c r="C68" s="19" t="n"/>
      <c r="D68" s="18" t="n"/>
      <c r="E68" s="18" t="n"/>
      <c r="F68" s="18" t="n"/>
      <c r="G68" s="20">
        <f>IF($B68="","",IF(OR($D68="",$E68="",$F68=""),"（締日・サイト・回収日を入れる）",IF($D68="末","末",$D68&amp;"日")&amp;"締め "&amp;IF(N($E68)=0,"当月",IF(N($E68)=1,"翌月",IF(N($E68)=2,"翌々月",$E68&amp;"か月後")))&amp;IF($F68="末","末",$F68&amp;"日")))</f>
        <v/>
      </c>
      <c r="H68" s="19" t="n"/>
      <c r="I68" s="19" t="n"/>
    </row>
    <row r="69" ht="18" customHeight="1">
      <c r="A69" s="17" t="n">
        <v>65</v>
      </c>
      <c r="B69" s="18" t="n"/>
      <c r="C69" s="19" t="n"/>
      <c r="D69" s="18" t="n"/>
      <c r="E69" s="18" t="n"/>
      <c r="F69" s="18" t="n"/>
      <c r="G69" s="20">
        <f>IF($B69="","",IF(OR($D69="",$E69="",$F69=""),"（締日・サイト・回収日を入れる）",IF($D69="末","末",$D69&amp;"日")&amp;"締め "&amp;IF(N($E69)=0,"当月",IF(N($E69)=1,"翌月",IF(N($E69)=2,"翌々月",$E69&amp;"か月後")))&amp;IF($F69="末","末",$F69&amp;"日")))</f>
        <v/>
      </c>
      <c r="H69" s="19" t="n"/>
      <c r="I69" s="19" t="n"/>
    </row>
    <row r="70" ht="18" customHeight="1">
      <c r="A70" s="17" t="n">
        <v>66</v>
      </c>
      <c r="B70" s="18" t="n"/>
      <c r="C70" s="19" t="n"/>
      <c r="D70" s="18" t="n"/>
      <c r="E70" s="18" t="n"/>
      <c r="F70" s="18" t="n"/>
      <c r="G70" s="20">
        <f>IF($B70="","",IF(OR($D70="",$E70="",$F70=""),"（締日・サイト・回収日を入れる）",IF($D70="末","末",$D70&amp;"日")&amp;"締め "&amp;IF(N($E70)=0,"当月",IF(N($E70)=1,"翌月",IF(N($E70)=2,"翌々月",$E70&amp;"か月後")))&amp;IF($F70="末","末",$F70&amp;"日")))</f>
        <v/>
      </c>
      <c r="H70" s="19" t="n"/>
      <c r="I70" s="19" t="n"/>
    </row>
    <row r="71" ht="18" customHeight="1">
      <c r="A71" s="17" t="n">
        <v>67</v>
      </c>
      <c r="B71" s="18" t="n"/>
      <c r="C71" s="19" t="n"/>
      <c r="D71" s="18" t="n"/>
      <c r="E71" s="18" t="n"/>
      <c r="F71" s="18" t="n"/>
      <c r="G71" s="20">
        <f>IF($B71="","",IF(OR($D71="",$E71="",$F71=""),"（締日・サイト・回収日を入れる）",IF($D71="末","末",$D71&amp;"日")&amp;"締め "&amp;IF(N($E71)=0,"当月",IF(N($E71)=1,"翌月",IF(N($E71)=2,"翌々月",$E71&amp;"か月後")))&amp;IF($F71="末","末",$F71&amp;"日")))</f>
        <v/>
      </c>
      <c r="H71" s="19" t="n"/>
      <c r="I71" s="19" t="n"/>
    </row>
    <row r="72" ht="18" customHeight="1">
      <c r="A72" s="17" t="n">
        <v>68</v>
      </c>
      <c r="B72" s="18" t="n"/>
      <c r="C72" s="19" t="n"/>
      <c r="D72" s="18" t="n"/>
      <c r="E72" s="18" t="n"/>
      <c r="F72" s="18" t="n"/>
      <c r="G72" s="20">
        <f>IF($B72="","",IF(OR($D72="",$E72="",$F72=""),"（締日・サイト・回収日を入れる）",IF($D72="末","末",$D72&amp;"日")&amp;"締め "&amp;IF(N($E72)=0,"当月",IF(N($E72)=1,"翌月",IF(N($E72)=2,"翌々月",$E72&amp;"か月後")))&amp;IF($F72="末","末",$F72&amp;"日")))</f>
        <v/>
      </c>
      <c r="H72" s="19" t="n"/>
      <c r="I72" s="19" t="n"/>
    </row>
    <row r="73" ht="18" customHeight="1">
      <c r="A73" s="17" t="n">
        <v>69</v>
      </c>
      <c r="B73" s="18" t="n"/>
      <c r="C73" s="19" t="n"/>
      <c r="D73" s="18" t="n"/>
      <c r="E73" s="18" t="n"/>
      <c r="F73" s="18" t="n"/>
      <c r="G73" s="20">
        <f>IF($B73="","",IF(OR($D73="",$E73="",$F73=""),"（締日・サイト・回収日を入れる）",IF($D73="末","末",$D73&amp;"日")&amp;"締め "&amp;IF(N($E73)=0,"当月",IF(N($E73)=1,"翌月",IF(N($E73)=2,"翌々月",$E73&amp;"か月後")))&amp;IF($F73="末","末",$F73&amp;"日")))</f>
        <v/>
      </c>
      <c r="H73" s="19" t="n"/>
      <c r="I73" s="19" t="n"/>
    </row>
    <row r="74" ht="18" customHeight="1">
      <c r="A74" s="17" t="n">
        <v>70</v>
      </c>
      <c r="B74" s="18" t="n"/>
      <c r="C74" s="19" t="n"/>
      <c r="D74" s="18" t="n"/>
      <c r="E74" s="18" t="n"/>
      <c r="F74" s="18" t="n"/>
      <c r="G74" s="20">
        <f>IF($B74="","",IF(OR($D74="",$E74="",$F74=""),"（締日・サイト・回収日を入れる）",IF($D74="末","末",$D74&amp;"日")&amp;"締め "&amp;IF(N($E74)=0,"当月",IF(N($E74)=1,"翌月",IF(N($E74)=2,"翌々月",$E74&amp;"か月後")))&amp;IF($F74="末","末",$F74&amp;"日")))</f>
        <v/>
      </c>
      <c r="H74" s="19" t="n"/>
      <c r="I74" s="19" t="n"/>
    </row>
    <row r="75" ht="18" customHeight="1">
      <c r="A75" s="17" t="n">
        <v>71</v>
      </c>
      <c r="B75" s="18" t="n"/>
      <c r="C75" s="19" t="n"/>
      <c r="D75" s="18" t="n"/>
      <c r="E75" s="18" t="n"/>
      <c r="F75" s="18" t="n"/>
      <c r="G75" s="20">
        <f>IF($B75="","",IF(OR($D75="",$E75="",$F75=""),"（締日・サイト・回収日を入れる）",IF($D75="末","末",$D75&amp;"日")&amp;"締め "&amp;IF(N($E75)=0,"当月",IF(N($E75)=1,"翌月",IF(N($E75)=2,"翌々月",$E75&amp;"か月後")))&amp;IF($F75="末","末",$F75&amp;"日")))</f>
        <v/>
      </c>
      <c r="H75" s="19" t="n"/>
      <c r="I75" s="19" t="n"/>
    </row>
    <row r="76" ht="18" customHeight="1">
      <c r="A76" s="17" t="n">
        <v>72</v>
      </c>
      <c r="B76" s="18" t="n"/>
      <c r="C76" s="19" t="n"/>
      <c r="D76" s="18" t="n"/>
      <c r="E76" s="18" t="n"/>
      <c r="F76" s="18" t="n"/>
      <c r="G76" s="20">
        <f>IF($B76="","",IF(OR($D76="",$E76="",$F76=""),"（締日・サイト・回収日を入れる）",IF($D76="末","末",$D76&amp;"日")&amp;"締め "&amp;IF(N($E76)=0,"当月",IF(N($E76)=1,"翌月",IF(N($E76)=2,"翌々月",$E76&amp;"か月後")))&amp;IF($F76="末","末",$F76&amp;"日")))</f>
        <v/>
      </c>
      <c r="H76" s="19" t="n"/>
      <c r="I76" s="19" t="n"/>
    </row>
    <row r="77" ht="18" customHeight="1">
      <c r="A77" s="17" t="n">
        <v>73</v>
      </c>
      <c r="B77" s="18" t="n"/>
      <c r="C77" s="19" t="n"/>
      <c r="D77" s="18" t="n"/>
      <c r="E77" s="18" t="n"/>
      <c r="F77" s="18" t="n"/>
      <c r="G77" s="20">
        <f>IF($B77="","",IF(OR($D77="",$E77="",$F77=""),"（締日・サイト・回収日を入れる）",IF($D77="末","末",$D77&amp;"日")&amp;"締め "&amp;IF(N($E77)=0,"当月",IF(N($E77)=1,"翌月",IF(N($E77)=2,"翌々月",$E77&amp;"か月後")))&amp;IF($F77="末","末",$F77&amp;"日")))</f>
        <v/>
      </c>
      <c r="H77" s="19" t="n"/>
      <c r="I77" s="19" t="n"/>
    </row>
    <row r="78" ht="18" customHeight="1">
      <c r="A78" s="17" t="n">
        <v>74</v>
      </c>
      <c r="B78" s="18" t="n"/>
      <c r="C78" s="19" t="n"/>
      <c r="D78" s="18" t="n"/>
      <c r="E78" s="18" t="n"/>
      <c r="F78" s="18" t="n"/>
      <c r="G78" s="20">
        <f>IF($B78="","",IF(OR($D78="",$E78="",$F78=""),"（締日・サイト・回収日を入れる）",IF($D78="末","末",$D78&amp;"日")&amp;"締め "&amp;IF(N($E78)=0,"当月",IF(N($E78)=1,"翌月",IF(N($E78)=2,"翌々月",$E78&amp;"か月後")))&amp;IF($F78="末","末",$F78&amp;"日")))</f>
        <v/>
      </c>
      <c r="H78" s="19" t="n"/>
      <c r="I78" s="19" t="n"/>
    </row>
    <row r="79" ht="18" customHeight="1">
      <c r="A79" s="17" t="n">
        <v>75</v>
      </c>
      <c r="B79" s="18" t="n"/>
      <c r="C79" s="19" t="n"/>
      <c r="D79" s="18" t="n"/>
      <c r="E79" s="18" t="n"/>
      <c r="F79" s="18" t="n"/>
      <c r="G79" s="20">
        <f>IF($B79="","",IF(OR($D79="",$E79="",$F79=""),"（締日・サイト・回収日を入れる）",IF($D79="末","末",$D79&amp;"日")&amp;"締め "&amp;IF(N($E79)=0,"当月",IF(N($E79)=1,"翌月",IF(N($E79)=2,"翌々月",$E79&amp;"か月後")))&amp;IF($F79="末","末",$F79&amp;"日")))</f>
        <v/>
      </c>
      <c r="H79" s="19" t="n"/>
      <c r="I79" s="19" t="n"/>
    </row>
    <row r="80" ht="18" customHeight="1">
      <c r="A80" s="17" t="n">
        <v>76</v>
      </c>
      <c r="B80" s="18" t="n"/>
      <c r="C80" s="19" t="n"/>
      <c r="D80" s="18" t="n"/>
      <c r="E80" s="18" t="n"/>
      <c r="F80" s="18" t="n"/>
      <c r="G80" s="20">
        <f>IF($B80="","",IF(OR($D80="",$E80="",$F80=""),"（締日・サイト・回収日を入れる）",IF($D80="末","末",$D80&amp;"日")&amp;"締め "&amp;IF(N($E80)=0,"当月",IF(N($E80)=1,"翌月",IF(N($E80)=2,"翌々月",$E80&amp;"か月後")))&amp;IF($F80="末","末",$F80&amp;"日")))</f>
        <v/>
      </c>
      <c r="H80" s="19" t="n"/>
      <c r="I80" s="19" t="n"/>
    </row>
    <row r="81" ht="18" customHeight="1">
      <c r="A81" s="17" t="n">
        <v>77</v>
      </c>
      <c r="B81" s="18" t="n"/>
      <c r="C81" s="19" t="n"/>
      <c r="D81" s="18" t="n"/>
      <c r="E81" s="18" t="n"/>
      <c r="F81" s="18" t="n"/>
      <c r="G81" s="20">
        <f>IF($B81="","",IF(OR($D81="",$E81="",$F81=""),"（締日・サイト・回収日を入れる）",IF($D81="末","末",$D81&amp;"日")&amp;"締め "&amp;IF(N($E81)=0,"当月",IF(N($E81)=1,"翌月",IF(N($E81)=2,"翌々月",$E81&amp;"か月後")))&amp;IF($F81="末","末",$F81&amp;"日")))</f>
        <v/>
      </c>
      <c r="H81" s="19" t="n"/>
      <c r="I81" s="19" t="n"/>
    </row>
    <row r="82" ht="18" customHeight="1">
      <c r="A82" s="17" t="n">
        <v>78</v>
      </c>
      <c r="B82" s="18" t="n"/>
      <c r="C82" s="19" t="n"/>
      <c r="D82" s="18" t="n"/>
      <c r="E82" s="18" t="n"/>
      <c r="F82" s="18" t="n"/>
      <c r="G82" s="20">
        <f>IF($B82="","",IF(OR($D82="",$E82="",$F82=""),"（締日・サイト・回収日を入れる）",IF($D82="末","末",$D82&amp;"日")&amp;"締め "&amp;IF(N($E82)=0,"当月",IF(N($E82)=1,"翌月",IF(N($E82)=2,"翌々月",$E82&amp;"か月後")))&amp;IF($F82="末","末",$F82&amp;"日")))</f>
        <v/>
      </c>
      <c r="H82" s="19" t="n"/>
      <c r="I82" s="19" t="n"/>
    </row>
    <row r="83" ht="18" customHeight="1">
      <c r="A83" s="17" t="n">
        <v>79</v>
      </c>
      <c r="B83" s="18" t="n"/>
      <c r="C83" s="19" t="n"/>
      <c r="D83" s="18" t="n"/>
      <c r="E83" s="18" t="n"/>
      <c r="F83" s="18" t="n"/>
      <c r="G83" s="20">
        <f>IF($B83="","",IF(OR($D83="",$E83="",$F83=""),"（締日・サイト・回収日を入れる）",IF($D83="末","末",$D83&amp;"日")&amp;"締め "&amp;IF(N($E83)=0,"当月",IF(N($E83)=1,"翌月",IF(N($E83)=2,"翌々月",$E83&amp;"か月後")))&amp;IF($F83="末","末",$F83&amp;"日")))</f>
        <v/>
      </c>
      <c r="H83" s="19" t="n"/>
      <c r="I83" s="19" t="n"/>
    </row>
    <row r="84" ht="18" customHeight="1">
      <c r="A84" s="17" t="n">
        <v>80</v>
      </c>
      <c r="B84" s="18" t="n"/>
      <c r="C84" s="19" t="n"/>
      <c r="D84" s="18" t="n"/>
      <c r="E84" s="18" t="n"/>
      <c r="F84" s="18" t="n"/>
      <c r="G84" s="20">
        <f>IF($B84="","",IF(OR($D84="",$E84="",$F84=""),"（締日・サイト・回収日を入れる）",IF($D84="末","末",$D84&amp;"日")&amp;"締め "&amp;IF(N($E84)=0,"当月",IF(N($E84)=1,"翌月",IF(N($E84)=2,"翌々月",$E84&amp;"か月後")))&amp;IF($F84="末","末",$F84&amp;"日")))</f>
        <v/>
      </c>
      <c r="H84" s="19" t="n"/>
      <c r="I84" s="19" t="n"/>
    </row>
    <row r="85" ht="18" customHeight="1">
      <c r="A85" s="17" t="n">
        <v>81</v>
      </c>
      <c r="B85" s="18" t="n"/>
      <c r="C85" s="19" t="n"/>
      <c r="D85" s="18" t="n"/>
      <c r="E85" s="18" t="n"/>
      <c r="F85" s="18" t="n"/>
      <c r="G85" s="20">
        <f>IF($B85="","",IF(OR($D85="",$E85="",$F85=""),"（締日・サイト・回収日を入れる）",IF($D85="末","末",$D85&amp;"日")&amp;"締め "&amp;IF(N($E85)=0,"当月",IF(N($E85)=1,"翌月",IF(N($E85)=2,"翌々月",$E85&amp;"か月後")))&amp;IF($F85="末","末",$F85&amp;"日")))</f>
        <v/>
      </c>
      <c r="H85" s="19" t="n"/>
      <c r="I85" s="19" t="n"/>
    </row>
    <row r="86" ht="18" customHeight="1">
      <c r="A86" s="17" t="n">
        <v>82</v>
      </c>
      <c r="B86" s="18" t="n"/>
      <c r="C86" s="19" t="n"/>
      <c r="D86" s="18" t="n"/>
      <c r="E86" s="18" t="n"/>
      <c r="F86" s="18" t="n"/>
      <c r="G86" s="20">
        <f>IF($B86="","",IF(OR($D86="",$E86="",$F86=""),"（締日・サイト・回収日を入れる）",IF($D86="末","末",$D86&amp;"日")&amp;"締め "&amp;IF(N($E86)=0,"当月",IF(N($E86)=1,"翌月",IF(N($E86)=2,"翌々月",$E86&amp;"か月後")))&amp;IF($F86="末","末",$F86&amp;"日")))</f>
        <v/>
      </c>
      <c r="H86" s="19" t="n"/>
      <c r="I86" s="19" t="n"/>
    </row>
    <row r="87" ht="18" customHeight="1">
      <c r="A87" s="17" t="n">
        <v>83</v>
      </c>
      <c r="B87" s="18" t="n"/>
      <c r="C87" s="19" t="n"/>
      <c r="D87" s="18" t="n"/>
      <c r="E87" s="18" t="n"/>
      <c r="F87" s="18" t="n"/>
      <c r="G87" s="20">
        <f>IF($B87="","",IF(OR($D87="",$E87="",$F87=""),"（締日・サイト・回収日を入れる）",IF($D87="末","末",$D87&amp;"日")&amp;"締め "&amp;IF(N($E87)=0,"当月",IF(N($E87)=1,"翌月",IF(N($E87)=2,"翌々月",$E87&amp;"か月後")))&amp;IF($F87="末","末",$F87&amp;"日")))</f>
        <v/>
      </c>
      <c r="H87" s="19" t="n"/>
      <c r="I87" s="19" t="n"/>
    </row>
    <row r="88" ht="18" customHeight="1">
      <c r="A88" s="17" t="n">
        <v>84</v>
      </c>
      <c r="B88" s="18" t="n"/>
      <c r="C88" s="19" t="n"/>
      <c r="D88" s="18" t="n"/>
      <c r="E88" s="18" t="n"/>
      <c r="F88" s="18" t="n"/>
      <c r="G88" s="20">
        <f>IF($B88="","",IF(OR($D88="",$E88="",$F88=""),"（締日・サイト・回収日を入れる）",IF($D88="末","末",$D88&amp;"日")&amp;"締め "&amp;IF(N($E88)=0,"当月",IF(N($E88)=1,"翌月",IF(N($E88)=2,"翌々月",$E88&amp;"か月後")))&amp;IF($F88="末","末",$F88&amp;"日")))</f>
        <v/>
      </c>
      <c r="H88" s="19" t="n"/>
      <c r="I88" s="19" t="n"/>
    </row>
    <row r="89" ht="18" customHeight="1">
      <c r="A89" s="17" t="n">
        <v>85</v>
      </c>
      <c r="B89" s="18" t="n"/>
      <c r="C89" s="19" t="n"/>
      <c r="D89" s="18" t="n"/>
      <c r="E89" s="18" t="n"/>
      <c r="F89" s="18" t="n"/>
      <c r="G89" s="20">
        <f>IF($B89="","",IF(OR($D89="",$E89="",$F89=""),"（締日・サイト・回収日を入れる）",IF($D89="末","末",$D89&amp;"日")&amp;"締め "&amp;IF(N($E89)=0,"当月",IF(N($E89)=1,"翌月",IF(N($E89)=2,"翌々月",$E89&amp;"か月後")))&amp;IF($F89="末","末",$F89&amp;"日")))</f>
        <v/>
      </c>
      <c r="H89" s="19" t="n"/>
      <c r="I89" s="19" t="n"/>
    </row>
    <row r="90" ht="18" customHeight="1">
      <c r="A90" s="17" t="n">
        <v>86</v>
      </c>
      <c r="B90" s="18" t="n"/>
      <c r="C90" s="19" t="n"/>
      <c r="D90" s="18" t="n"/>
      <c r="E90" s="18" t="n"/>
      <c r="F90" s="18" t="n"/>
      <c r="G90" s="20">
        <f>IF($B90="","",IF(OR($D90="",$E90="",$F90=""),"（締日・サイト・回収日を入れる）",IF($D90="末","末",$D90&amp;"日")&amp;"締め "&amp;IF(N($E90)=0,"当月",IF(N($E90)=1,"翌月",IF(N($E90)=2,"翌々月",$E90&amp;"か月後")))&amp;IF($F90="末","末",$F90&amp;"日")))</f>
        <v/>
      </c>
      <c r="H90" s="19" t="n"/>
      <c r="I90" s="19" t="n"/>
    </row>
    <row r="91" ht="18" customHeight="1">
      <c r="A91" s="17" t="n">
        <v>87</v>
      </c>
      <c r="B91" s="18" t="n"/>
      <c r="C91" s="19" t="n"/>
      <c r="D91" s="18" t="n"/>
      <c r="E91" s="18" t="n"/>
      <c r="F91" s="18" t="n"/>
      <c r="G91" s="20">
        <f>IF($B91="","",IF(OR($D91="",$E91="",$F91=""),"（締日・サイト・回収日を入れる）",IF($D91="末","末",$D91&amp;"日")&amp;"締め "&amp;IF(N($E91)=0,"当月",IF(N($E91)=1,"翌月",IF(N($E91)=2,"翌々月",$E91&amp;"か月後")))&amp;IF($F91="末","末",$F91&amp;"日")))</f>
        <v/>
      </c>
      <c r="H91" s="19" t="n"/>
      <c r="I91" s="19" t="n"/>
    </row>
    <row r="92" ht="18" customHeight="1">
      <c r="A92" s="17" t="n">
        <v>88</v>
      </c>
      <c r="B92" s="18" t="n"/>
      <c r="C92" s="19" t="n"/>
      <c r="D92" s="18" t="n"/>
      <c r="E92" s="18" t="n"/>
      <c r="F92" s="18" t="n"/>
      <c r="G92" s="20">
        <f>IF($B92="","",IF(OR($D92="",$E92="",$F92=""),"（締日・サイト・回収日を入れる）",IF($D92="末","末",$D92&amp;"日")&amp;"締め "&amp;IF(N($E92)=0,"当月",IF(N($E92)=1,"翌月",IF(N($E92)=2,"翌々月",$E92&amp;"か月後")))&amp;IF($F92="末","末",$F92&amp;"日")))</f>
        <v/>
      </c>
      <c r="H92" s="19" t="n"/>
      <c r="I92" s="19" t="n"/>
    </row>
    <row r="93" ht="18" customHeight="1">
      <c r="A93" s="17" t="n">
        <v>89</v>
      </c>
      <c r="B93" s="18" t="n"/>
      <c r="C93" s="19" t="n"/>
      <c r="D93" s="18" t="n"/>
      <c r="E93" s="18" t="n"/>
      <c r="F93" s="18" t="n"/>
      <c r="G93" s="20">
        <f>IF($B93="","",IF(OR($D93="",$E93="",$F93=""),"（締日・サイト・回収日を入れる）",IF($D93="末","末",$D93&amp;"日")&amp;"締め "&amp;IF(N($E93)=0,"当月",IF(N($E93)=1,"翌月",IF(N($E93)=2,"翌々月",$E93&amp;"か月後")))&amp;IF($F93="末","末",$F93&amp;"日")))</f>
        <v/>
      </c>
      <c r="H93" s="19" t="n"/>
      <c r="I93" s="19" t="n"/>
    </row>
    <row r="94" ht="18" customHeight="1">
      <c r="A94" s="17" t="n">
        <v>90</v>
      </c>
      <c r="B94" s="18" t="n"/>
      <c r="C94" s="19" t="n"/>
      <c r="D94" s="18" t="n"/>
      <c r="E94" s="18" t="n"/>
      <c r="F94" s="18" t="n"/>
      <c r="G94" s="20">
        <f>IF($B94="","",IF(OR($D94="",$E94="",$F94=""),"（締日・サイト・回収日を入れる）",IF($D94="末","末",$D94&amp;"日")&amp;"締め "&amp;IF(N($E94)=0,"当月",IF(N($E94)=1,"翌月",IF(N($E94)=2,"翌々月",$E94&amp;"か月後")))&amp;IF($F94="末","末",$F94&amp;"日")))</f>
        <v/>
      </c>
      <c r="H94" s="19" t="n"/>
      <c r="I94" s="19" t="n"/>
    </row>
    <row r="95" ht="18" customHeight="1">
      <c r="A95" s="17" t="n">
        <v>91</v>
      </c>
      <c r="B95" s="18" t="n"/>
      <c r="C95" s="19" t="n"/>
      <c r="D95" s="18" t="n"/>
      <c r="E95" s="18" t="n"/>
      <c r="F95" s="18" t="n"/>
      <c r="G95" s="20">
        <f>IF($B95="","",IF(OR($D95="",$E95="",$F95=""),"（締日・サイト・回収日を入れる）",IF($D95="末","末",$D95&amp;"日")&amp;"締め "&amp;IF(N($E95)=0,"当月",IF(N($E95)=1,"翌月",IF(N($E95)=2,"翌々月",$E95&amp;"か月後")))&amp;IF($F95="末","末",$F95&amp;"日")))</f>
        <v/>
      </c>
      <c r="H95" s="19" t="n"/>
      <c r="I95" s="19" t="n"/>
    </row>
    <row r="96" ht="18" customHeight="1">
      <c r="A96" s="17" t="n">
        <v>92</v>
      </c>
      <c r="B96" s="18" t="n"/>
      <c r="C96" s="19" t="n"/>
      <c r="D96" s="18" t="n"/>
      <c r="E96" s="18" t="n"/>
      <c r="F96" s="18" t="n"/>
      <c r="G96" s="20">
        <f>IF($B96="","",IF(OR($D96="",$E96="",$F96=""),"（締日・サイト・回収日を入れる）",IF($D96="末","末",$D96&amp;"日")&amp;"締め "&amp;IF(N($E96)=0,"当月",IF(N($E96)=1,"翌月",IF(N($E96)=2,"翌々月",$E96&amp;"か月後")))&amp;IF($F96="末","末",$F96&amp;"日")))</f>
        <v/>
      </c>
      <c r="H96" s="19" t="n"/>
      <c r="I96" s="19" t="n"/>
    </row>
    <row r="97" ht="18" customHeight="1">
      <c r="A97" s="17" t="n">
        <v>93</v>
      </c>
      <c r="B97" s="18" t="n"/>
      <c r="C97" s="19" t="n"/>
      <c r="D97" s="18" t="n"/>
      <c r="E97" s="18" t="n"/>
      <c r="F97" s="18" t="n"/>
      <c r="G97" s="20">
        <f>IF($B97="","",IF(OR($D97="",$E97="",$F97=""),"（締日・サイト・回収日を入れる）",IF($D97="末","末",$D97&amp;"日")&amp;"締め "&amp;IF(N($E97)=0,"当月",IF(N($E97)=1,"翌月",IF(N($E97)=2,"翌々月",$E97&amp;"か月後")))&amp;IF($F97="末","末",$F97&amp;"日")))</f>
        <v/>
      </c>
      <c r="H97" s="19" t="n"/>
      <c r="I97" s="19" t="n"/>
    </row>
    <row r="98" ht="18" customHeight="1">
      <c r="A98" s="17" t="n">
        <v>94</v>
      </c>
      <c r="B98" s="18" t="n"/>
      <c r="C98" s="19" t="n"/>
      <c r="D98" s="18" t="n"/>
      <c r="E98" s="18" t="n"/>
      <c r="F98" s="18" t="n"/>
      <c r="G98" s="20">
        <f>IF($B98="","",IF(OR($D98="",$E98="",$F98=""),"（締日・サイト・回収日を入れる）",IF($D98="末","末",$D98&amp;"日")&amp;"締め "&amp;IF(N($E98)=0,"当月",IF(N($E98)=1,"翌月",IF(N($E98)=2,"翌々月",$E98&amp;"か月後")))&amp;IF($F98="末","末",$F98&amp;"日")))</f>
        <v/>
      </c>
      <c r="H98" s="19" t="n"/>
      <c r="I98" s="19" t="n"/>
    </row>
    <row r="99" ht="18" customHeight="1">
      <c r="A99" s="17" t="n">
        <v>95</v>
      </c>
      <c r="B99" s="18" t="n"/>
      <c r="C99" s="19" t="n"/>
      <c r="D99" s="18" t="n"/>
      <c r="E99" s="18" t="n"/>
      <c r="F99" s="18" t="n"/>
      <c r="G99" s="20">
        <f>IF($B99="","",IF(OR($D99="",$E99="",$F99=""),"（締日・サイト・回収日を入れる）",IF($D99="末","末",$D99&amp;"日")&amp;"締め "&amp;IF(N($E99)=0,"当月",IF(N($E99)=1,"翌月",IF(N($E99)=2,"翌々月",$E99&amp;"か月後")))&amp;IF($F99="末","末",$F99&amp;"日")))</f>
        <v/>
      </c>
      <c r="H99" s="19" t="n"/>
      <c r="I99" s="19" t="n"/>
    </row>
    <row r="100" ht="18" customHeight="1">
      <c r="A100" s="17" t="n">
        <v>96</v>
      </c>
      <c r="B100" s="18" t="n"/>
      <c r="C100" s="19" t="n"/>
      <c r="D100" s="18" t="n"/>
      <c r="E100" s="18" t="n"/>
      <c r="F100" s="18" t="n"/>
      <c r="G100" s="20">
        <f>IF($B100="","",IF(OR($D100="",$E100="",$F100=""),"（締日・サイト・回収日を入れる）",IF($D100="末","末",$D100&amp;"日")&amp;"締め "&amp;IF(N($E100)=0,"当月",IF(N($E100)=1,"翌月",IF(N($E100)=2,"翌々月",$E100&amp;"か月後")))&amp;IF($F100="末","末",$F100&amp;"日")))</f>
        <v/>
      </c>
      <c r="H100" s="19" t="n"/>
      <c r="I100" s="19" t="n"/>
    </row>
    <row r="101" ht="18" customHeight="1">
      <c r="A101" s="17" t="n">
        <v>97</v>
      </c>
      <c r="B101" s="18" t="n"/>
      <c r="C101" s="19" t="n"/>
      <c r="D101" s="18" t="n"/>
      <c r="E101" s="18" t="n"/>
      <c r="F101" s="18" t="n"/>
      <c r="G101" s="20">
        <f>IF($B101="","",IF(OR($D101="",$E101="",$F101=""),"（締日・サイト・回収日を入れる）",IF($D101="末","末",$D101&amp;"日")&amp;"締め "&amp;IF(N($E101)=0,"当月",IF(N($E101)=1,"翌月",IF(N($E101)=2,"翌々月",$E101&amp;"か月後")))&amp;IF($F101="末","末",$F101&amp;"日")))</f>
        <v/>
      </c>
      <c r="H101" s="19" t="n"/>
      <c r="I101" s="19" t="n"/>
    </row>
    <row r="102" ht="18" customHeight="1">
      <c r="A102" s="17" t="n">
        <v>98</v>
      </c>
      <c r="B102" s="18" t="n"/>
      <c r="C102" s="19" t="n"/>
      <c r="D102" s="18" t="n"/>
      <c r="E102" s="18" t="n"/>
      <c r="F102" s="18" t="n"/>
      <c r="G102" s="20">
        <f>IF($B102="","",IF(OR($D102="",$E102="",$F102=""),"（締日・サイト・回収日を入れる）",IF($D102="末","末",$D102&amp;"日")&amp;"締め "&amp;IF(N($E102)=0,"当月",IF(N($E102)=1,"翌月",IF(N($E102)=2,"翌々月",$E102&amp;"か月後")))&amp;IF($F102="末","末",$F102&amp;"日")))</f>
        <v/>
      </c>
      <c r="H102" s="19" t="n"/>
      <c r="I102" s="19" t="n"/>
    </row>
    <row r="103" ht="18" customHeight="1">
      <c r="A103" s="17" t="n">
        <v>99</v>
      </c>
      <c r="B103" s="18" t="n"/>
      <c r="C103" s="19" t="n"/>
      <c r="D103" s="18" t="n"/>
      <c r="E103" s="18" t="n"/>
      <c r="F103" s="18" t="n"/>
      <c r="G103" s="20">
        <f>IF($B103="","",IF(OR($D103="",$E103="",$F103=""),"（締日・サイト・回収日を入れる）",IF($D103="末","末",$D103&amp;"日")&amp;"締め "&amp;IF(N($E103)=0,"当月",IF(N($E103)=1,"翌月",IF(N($E103)=2,"翌々月",$E103&amp;"か月後")))&amp;IF($F103="末","末",$F103&amp;"日")))</f>
        <v/>
      </c>
      <c r="H103" s="19" t="n"/>
      <c r="I103" s="19" t="n"/>
    </row>
    <row r="104" ht="18" customHeight="1">
      <c r="A104" s="17" t="n">
        <v>100</v>
      </c>
      <c r="B104" s="18" t="n"/>
      <c r="C104" s="19" t="n"/>
      <c r="D104" s="18" t="n"/>
      <c r="E104" s="18" t="n"/>
      <c r="F104" s="18" t="n"/>
      <c r="G104" s="20">
        <f>IF($B104="","",IF(OR($D104="",$E104="",$F104=""),"（締日・サイト・回収日を入れる）",IF($D104="末","末",$D104&amp;"日")&amp;"締め "&amp;IF(N($E104)=0,"当月",IF(N($E104)=1,"翌月",IF(N($E104)=2,"翌々月",$E104&amp;"か月後")))&amp;IF($F104="末","末",$F104&amp;"日")))</f>
        <v/>
      </c>
      <c r="H104" s="19" t="n"/>
      <c r="I104" s="19" t="n"/>
    </row>
  </sheetData>
  <mergeCells count="2">
    <mergeCell ref="A1:I1"/>
    <mergeCell ref="A2:I2"/>
  </mergeCells>
  <conditionalFormatting sqref="B5:B104">
    <cfRule type="expression" priority="1" dxfId="0">
      <formula>AND($B5&lt;&gt;"",COUNTIF($B$5:$B$104,$B5)&gt;1)</formula>
    </cfRule>
  </conditionalFormatting>
  <dataValidations count="4">
    <dataValidation sqref="B5:B104" showDropDown="0" showInputMessage="0" showErrorMessage="1" allowBlank="1" errorTitle="コードが重なっています" error="同じコードがすでにあります。コードは1件に1つです。" type="custom">
      <formula1>COUNTIF($B$5:$B$104,B5)=1</formula1>
    </dataValidation>
    <dataValidation sqref="D5:D104" showDropDown="0" showInputMessage="0" showErrorMessage="1" allowBlank="1" errorTitle="1〜31 か「末」" error="1〜31 の数か、「末」と入れてください。" type="custom">
      <formula1>OR(D5="末",AND(ISNUMBER(D5),D5&gt;=1,D5&lt;=31,INT(D5)=D5))</formula1>
    </dataValidation>
    <dataValidation sqref="F5:F104" showDropDown="0" showInputMessage="0" showErrorMessage="1" allowBlank="1" errorTitle="1〜31 か「末」" error="1〜31 の数か、「末」と入れてください。" type="custom">
      <formula1>OR(F5="末",AND(ISNUMBER(F5),F5&gt;=1,F5&lt;=31,INT(F5)=F5))</formula1>
    </dataValidation>
    <dataValidation sqref="E5:E104" showDropDown="0" showInputMessage="0" showErrorMessage="1" allowBlank="1" errorTitle="回収サイト" error="0〜12 の数（0＝当月・1＝翌月・2＝翌々月）を入れてください。" type="whole" operator="between">
      <formula1>0</formula1>
      <formula2>12</formula2>
    </dataValidation>
  </dataValidations>
  <pageMargins left="0.4" right="0.4" top="0.45" bottom="0.45" header="0.2" footer="0.2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001B3A5C"/>
    <outlinePr summaryBelow="1" summaryRight="1"/>
    <pageSetUpPr fitToPage="1"/>
  </sheetPr>
  <dimension ref="A1:Z1004"/>
  <sheetViews>
    <sheetView showGridLines="0" tabSelected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9" customWidth="1" min="1" max="1"/>
    <col width="10.5" customWidth="1" min="2" max="2"/>
    <col width="8" customWidth="1" min="3" max="3"/>
    <col width="20" customWidth="1" min="4" max="4"/>
    <col width="10.5" customWidth="1" min="5" max="5"/>
    <col width="26" customWidth="1" min="6" max="6"/>
    <col width="11" customWidth="1" min="7" max="7"/>
    <col width="11" customWidth="1" min="8" max="8"/>
    <col width="10" customWidth="1" min="9" max="9"/>
    <col width="9.5" customWidth="1" min="10" max="10"/>
    <col width="9.5" customWidth="1" min="11" max="11"/>
    <col width="12" customWidth="1" min="12" max="12"/>
    <col width="10.5" customWidth="1" min="13" max="13"/>
    <col width="10.5" customWidth="1" min="14" max="14"/>
    <col width="10.5" customWidth="1" min="15" max="15"/>
    <col width="11" customWidth="1" min="16" max="16"/>
    <col width="9.5" customWidth="1" min="17" max="17"/>
    <col width="11.5" customWidth="1" min="18" max="18"/>
    <col width="9" customWidth="1" min="19" max="19"/>
    <col width="6.5" customWidth="1" min="20" max="20"/>
    <col width="9.5" customWidth="1" min="21" max="21"/>
    <col width="2" customWidth="1" min="22" max="22"/>
    <col width="7" customWidth="1" min="23" max="23"/>
    <col width="10" customWidth="1" min="24" max="24"/>
    <col width="11" customWidth="1" min="25" max="25"/>
    <col width="13" customWidth="1" min="26" max="26"/>
  </cols>
  <sheetData>
    <row r="1" ht="26" customHeight="1">
      <c r="A1" s="55" t="inlineStr">
        <is>
          <t>請求台帳（請求書1枚を1行）</t>
        </is>
      </c>
      <c r="B1" s="56" t="n"/>
      <c r="C1" s="56" t="n"/>
      <c r="D1" s="56" t="n"/>
      <c r="E1" s="56" t="n"/>
      <c r="F1" s="56" t="n"/>
      <c r="G1" s="56" t="n"/>
      <c r="H1" s="56" t="n"/>
      <c r="I1" s="56" t="n"/>
      <c r="J1" s="56" t="n"/>
      <c r="K1" s="56" t="n"/>
      <c r="L1" s="56" t="n"/>
      <c r="M1" s="56" t="n"/>
      <c r="N1" s="56" t="n"/>
      <c r="O1" s="56" t="n"/>
      <c r="P1" s="56" t="n"/>
      <c r="Q1" s="56" t="n"/>
      <c r="R1" s="56" t="n"/>
      <c r="S1" s="56" t="n"/>
      <c r="T1" s="56" t="n"/>
      <c r="U1" s="56" t="n"/>
      <c r="V1" s="56" t="n"/>
      <c r="W1" s="56" t="n"/>
      <c r="X1" s="56" t="n"/>
      <c r="Y1" s="56" t="n"/>
      <c r="Z1" s="56" t="n"/>
    </row>
    <row r="2" ht="30" customHeight="1">
      <c r="A2" s="59" t="inlineStr">
        <is>
          <t>紺の見出しの列（黄色のセル）に入れます。消費税は1枚の請求書について税率ごとに1回だけ端数を処理します（設定シートの方法）。入金済額・差引額・未回収残は「入金消込」シートから自動で出ます。回収予定日の当日はまだ超過に数えません。</t>
        </is>
      </c>
      <c r="B2" s="56" t="n"/>
      <c r="C2" s="56" t="n"/>
      <c r="D2" s="56" t="n"/>
      <c r="E2" s="56" t="n"/>
      <c r="F2" s="56" t="n"/>
      <c r="G2" s="56" t="n"/>
      <c r="H2" s="56" t="n"/>
      <c r="I2" s="56" t="n"/>
      <c r="J2" s="56" t="n"/>
      <c r="K2" s="56" t="n"/>
      <c r="L2" s="56" t="n"/>
      <c r="M2" s="56" t="n"/>
      <c r="N2" s="56" t="n"/>
      <c r="O2" s="56" t="n"/>
      <c r="P2" s="56" t="n"/>
      <c r="Q2" s="56" t="n"/>
      <c r="R2" s="56" t="n"/>
      <c r="S2" s="56" t="n"/>
      <c r="T2" s="56" t="n"/>
      <c r="U2" s="56" t="n"/>
      <c r="V2" s="56" t="n"/>
      <c r="W2" s="56" t="n"/>
      <c r="X2" s="56" t="n"/>
      <c r="Y2" s="56" t="n"/>
      <c r="Z2" s="56" t="n"/>
    </row>
    <row r="3" ht="20" customHeight="1">
      <c r="A3" s="60" t="inlineStr">
        <is>
          <t>基準日</t>
        </is>
      </c>
      <c r="B3" s="63">
        <f>'設定'!$B$7</f>
        <v/>
      </c>
      <c r="C3" s="64">
        <f>"金額の入れ方: "&amp;'設定'!$B$9&amp;"　端数処理: "&amp;'設定'!$B$10</f>
        <v/>
      </c>
      <c r="D3" s="65" t="n"/>
      <c r="E3" s="65" t="n"/>
      <c r="F3" s="66" t="n"/>
      <c r="G3" s="56" t="n"/>
      <c r="H3" s="56" t="n"/>
      <c r="I3" s="56" t="n"/>
      <c r="J3" s="56" t="n"/>
      <c r="K3" s="56" t="n"/>
      <c r="L3" s="67">
        <f>SUM($L$5:$L$1004)</f>
        <v/>
      </c>
      <c r="M3" s="56" t="n"/>
      <c r="N3" s="56" t="n"/>
      <c r="O3" s="56" t="n"/>
      <c r="P3" s="60" t="inlineStr">
        <is>
          <t>未回収残の合計</t>
        </is>
      </c>
      <c r="Q3" s="66" t="n"/>
      <c r="R3" s="67">
        <f>SUMIF($R$5:$R$1004,"&gt;0")</f>
        <v/>
      </c>
      <c r="S3" s="56" t="n"/>
      <c r="T3" s="56" t="n"/>
      <c r="U3" s="56" t="n"/>
      <c r="V3" s="56" t="n"/>
      <c r="W3" s="56" t="n"/>
      <c r="X3" s="56" t="n"/>
      <c r="Y3" s="56" t="n"/>
      <c r="Z3" s="56" t="n"/>
    </row>
    <row r="4" ht="44" customHeight="1">
      <c r="A4" s="15" t="inlineStr">
        <is>
          <t>請求No</t>
        </is>
      </c>
      <c r="B4" s="15" t="inlineStr">
        <is>
          <t>請求日</t>
        </is>
      </c>
      <c r="C4" s="15" t="inlineStr">
        <is>
          <t>得意先コード</t>
        </is>
      </c>
      <c r="D4" s="16" t="inlineStr">
        <is>
          <t>得意先名</t>
        </is>
      </c>
      <c r="E4" s="15" t="inlineStr">
        <is>
          <t>売上日（計上日）</t>
        </is>
      </c>
      <c r="F4" s="15" t="inlineStr">
        <is>
          <t>件名・摘要</t>
        </is>
      </c>
      <c r="G4" s="15" t="inlineStr">
        <is>
          <t>10%対象の金額</t>
        </is>
      </c>
      <c r="H4" s="15" t="inlineStr">
        <is>
          <t>8%対象の金額</t>
        </is>
      </c>
      <c r="I4" s="15" t="inlineStr">
        <is>
          <t>対象外・非課税（立替金など）</t>
        </is>
      </c>
      <c r="J4" s="16" t="inlineStr">
        <is>
          <t>消費税（10%）</t>
        </is>
      </c>
      <c r="K4" s="16" t="inlineStr">
        <is>
          <t>消費税（8%）</t>
        </is>
      </c>
      <c r="L4" s="16" t="inlineStr">
        <is>
          <t>請求額（税込）</t>
        </is>
      </c>
      <c r="M4" s="16" t="inlineStr">
        <is>
          <t>回収予定日（計算）</t>
        </is>
      </c>
      <c r="N4" s="15" t="inlineStr">
        <is>
          <t>回収予定日（手入力・優先）</t>
        </is>
      </c>
      <c r="O4" s="16" t="inlineStr">
        <is>
          <t>回収予定日</t>
        </is>
      </c>
      <c r="P4" s="16" t="inlineStr">
        <is>
          <t>入金済額</t>
        </is>
      </c>
      <c r="Q4" s="16" t="inlineStr">
        <is>
          <t>差引額（手数料・値引など）</t>
        </is>
      </c>
      <c r="R4" s="16" t="inlineStr">
        <is>
          <t>未回収残</t>
        </is>
      </c>
      <c r="S4" s="16" t="inlineStr">
        <is>
          <t>状態</t>
        </is>
      </c>
      <c r="T4" s="16" t="inlineStr">
        <is>
          <t>超過日数</t>
        </is>
      </c>
      <c r="U4" s="16" t="inlineStr">
        <is>
          <t>滞留区分</t>
        </is>
      </c>
      <c r="V4" s="56" t="n"/>
      <c r="W4" s="25" t="inlineStr">
        <is>
          <t>作業:得意先の行</t>
        </is>
      </c>
      <c r="X4" s="25" t="inlineStr">
        <is>
          <t>作業:計上日</t>
        </is>
      </c>
      <c r="Y4" s="25" t="inlineStr">
        <is>
          <t>作業:滞留キー</t>
        </is>
      </c>
      <c r="Z4" s="25" t="inlineStr">
        <is>
          <t>作業:売掛帳キー</t>
        </is>
      </c>
    </row>
    <row r="5" ht="18" customHeight="1">
      <c r="A5" s="18" t="n"/>
      <c r="B5" s="26" t="n"/>
      <c r="C5" s="18" t="n"/>
      <c r="D5" s="20">
        <f>IF($W5="","",IF($W5="なし","※得意先にないコード",INDEX('得意先'!$C$5:$C$104,$W5)&amp;""))</f>
        <v/>
      </c>
      <c r="E5" s="26" t="n"/>
      <c r="F5" s="19" t="n"/>
      <c r="G5" s="27" t="n"/>
      <c r="H5" s="27" t="n"/>
      <c r="I5" s="27" t="n"/>
      <c r="J5" s="28">
        <f>IF($A5="","",IF('設定'!$B$10="四捨五入",ROUND(IF('設定'!$B$9="税込",N($G5)*10/110,N($G5)*10/100),0),IF('設定'!$B$10="切り上げ",ROUNDUP(IF('設定'!$B$9="税込",N($G5)*10/110,N($G5)*10/100),0),ROUNDDOWN(IF('設定'!$B$9="税込",N($G5)*10/110,N($G5)*10/100),0))))</f>
        <v/>
      </c>
      <c r="K5" s="28">
        <f>IF($A5="","",IF('設定'!$B$10="四捨五入",ROUND(IF('設定'!$B$9="税込",N($H5)*8/108,N($H5)*8/100),0),IF('設定'!$B$10="切り上げ",ROUNDUP(IF('設定'!$B$9="税込",N($H5)*8/108,N($H5)*8/100),0),ROUNDDOWN(IF('設定'!$B$9="税込",N($H5)*8/108,N($H5)*8/100),0))))</f>
        <v/>
      </c>
      <c r="L5" s="28">
        <f>IF($A5="","",N($G5)+N($H5)+N($I5)+IF('設定'!$B$9="税込",0,$J5+$K5))</f>
        <v/>
      </c>
      <c r="M5" s="29">
        <f>IF(OR($A5="",NOT(ISNUMBER($W5)),NOT(ISNUMBER($X5))),"",IF(OR(INDEX('得意先'!$D$5:$D$104,$W5)="",INDEX('得意先'!$E$5:$E$104,$W5)="",INDEX('得意先'!$F$5:$F$104,$W5)=""),"",IF(INDEX('得意先'!$F$5:$F$104,$W5)="末",DATE(YEAR($X5),(MONTH($X5)+IF(INDEX('得意先'!$D$5:$D$104,$W5)="末",0,IF(DAY($X5)&lt;=INDEX('得意先'!$D$5:$D$104,$W5),0,1))+N(INDEX('得意先'!$E$5:$E$104,$W5)))+1,0),DATE(YEAR($X5),(MONTH($X5)+IF(INDEX('得意先'!$D$5:$D$104,$W5)="末",0,IF(DAY($X5)&lt;=INDEX('得意先'!$D$5:$D$104,$W5),0,1))+N(INDEX('得意先'!$E$5:$E$104,$W5))),MIN(INDEX('得意先'!$F$5:$F$104,$W5),DAY(DATE(YEAR($X5),(MONTH($X5)+IF(INDEX('得意先'!$D$5:$D$104,$W5)="末",0,IF(DAY($X5)&lt;=INDEX('得意先'!$D$5:$D$104,$W5),0,1))+N(INDEX('得意先'!$E$5:$E$104,$W5)))+1,0)))))))</f>
        <v/>
      </c>
      <c r="N5" s="26" t="n"/>
      <c r="O5" s="29">
        <f>IF($A5="","",IF(ISNUMBER($N5),$N5,$M5))</f>
        <v/>
      </c>
      <c r="P5" s="28">
        <f>IF($A5="","",SUMIF('入金消込'!$F$5:$F$1004,$A5,'入金消込'!$G$5:$G$1004))</f>
        <v/>
      </c>
      <c r="Q5" s="28">
        <f>IF($A5="","",SUMIF('入金消込'!$F$5:$F$1004,$A5,'入金消込'!$H$5:$H$1004)+SUMIF('入金消込'!$F$5:$F$1004,$A5,'入金消込'!$I$5:$I$1004))</f>
        <v/>
      </c>
      <c r="R5" s="28">
        <f>IF($A5="","",$L5-$P5-$Q5)</f>
        <v/>
      </c>
      <c r="S5" s="30">
        <f>IF($A5="","",IF($R5=0,IF($L5=0,"請求額0","回収済"),IF($L5&lt;0,IF($R5&lt;0,"差し引き待ち","差し引きすぎ"),IF($R5&lt;0,"入金が多い",IF($P5+$Q5=0,"未入金","一部入金")))))</f>
        <v/>
      </c>
      <c r="T5" s="31">
        <f>IF(OR($A5="",N($R5)&lt;=0,NOT(ISNUMBER($O5))),"",IF($O5&lt;'設定'!$B$7,'設定'!$B$7-$O5,""))</f>
        <v/>
      </c>
      <c r="U5" s="30">
        <f>IF(OR($A5="",N($R5)&lt;=0),"",IF(NOT(ISNUMBER($O5)),'設定'!$B$22,IF($O5&gt;='設定'!$B$7,'設定'!$B$17,IF('設定'!$B$7-$O5&lt;='設定'!$B$12,'設定'!$B$18,IF('設定'!$B$7-$O5&lt;='設定'!$B$13,'設定'!$B$19,IF('設定'!$B$7-$O5&lt;='設定'!$B$14,'設定'!$B$20,'設定'!$B$21))))))</f>
        <v/>
      </c>
      <c r="V5" s="56" t="n"/>
      <c r="W5" s="32">
        <f>IF($C5="","",IFERROR(MATCH($C5,'得意先'!$B$5:$B$104,0),"なし"))</f>
        <v/>
      </c>
      <c r="X5" s="33">
        <f>IF($A5="","",IF(ISNUMBER($E5),$E5,IF(ISNUMBER($B5),$B5,"")))</f>
        <v/>
      </c>
      <c r="Y5" s="34">
        <f>IF($T5="","",$O5+ROW()/1000000)</f>
        <v/>
      </c>
      <c r="Z5" s="35">
        <f>IF(OR($A5="",$C5="",$C5&lt;&gt;'売掛帳'!$B$3,NOT(ISNUMBER($X5))),"",IF(AND($X5&gt;='売掛帳'!$Q$3,$X5&lt;='売掛帳'!$Q$4),$X5+ROW()/10000000,""))</f>
        <v/>
      </c>
    </row>
    <row r="6" ht="18" customHeight="1">
      <c r="A6" s="18" t="n"/>
      <c r="B6" s="26" t="n"/>
      <c r="C6" s="18" t="n"/>
      <c r="D6" s="20">
        <f>IF($W6="","",IF($W6="なし","※得意先にないコード",INDEX('得意先'!$C$5:$C$104,$W6)&amp;""))</f>
        <v/>
      </c>
      <c r="E6" s="26" t="n"/>
      <c r="F6" s="19" t="n"/>
      <c r="G6" s="27" t="n"/>
      <c r="H6" s="27" t="n"/>
      <c r="I6" s="27" t="n"/>
      <c r="J6" s="28">
        <f>IF($A6="","",IF('設定'!$B$10="四捨五入",ROUND(IF('設定'!$B$9="税込",N($G6)*10/110,N($G6)*10/100),0),IF('設定'!$B$10="切り上げ",ROUNDUP(IF('設定'!$B$9="税込",N($G6)*10/110,N($G6)*10/100),0),ROUNDDOWN(IF('設定'!$B$9="税込",N($G6)*10/110,N($G6)*10/100),0))))</f>
        <v/>
      </c>
      <c r="K6" s="28">
        <f>IF($A6="","",IF('設定'!$B$10="四捨五入",ROUND(IF('設定'!$B$9="税込",N($H6)*8/108,N($H6)*8/100),0),IF('設定'!$B$10="切り上げ",ROUNDUP(IF('設定'!$B$9="税込",N($H6)*8/108,N($H6)*8/100),0),ROUNDDOWN(IF('設定'!$B$9="税込",N($H6)*8/108,N($H6)*8/100),0))))</f>
        <v/>
      </c>
      <c r="L6" s="28">
        <f>IF($A6="","",N($G6)+N($H6)+N($I6)+IF('設定'!$B$9="税込",0,$J6+$K6))</f>
        <v/>
      </c>
      <c r="M6" s="29">
        <f>IF(OR($A6="",NOT(ISNUMBER($W6)),NOT(ISNUMBER($X6))),"",IF(OR(INDEX('得意先'!$D$5:$D$104,$W6)="",INDEX('得意先'!$E$5:$E$104,$W6)="",INDEX('得意先'!$F$5:$F$104,$W6)=""),"",IF(INDEX('得意先'!$F$5:$F$104,$W6)="末",DATE(YEAR($X6),(MONTH($X6)+IF(INDEX('得意先'!$D$5:$D$104,$W6)="末",0,IF(DAY($X6)&lt;=INDEX('得意先'!$D$5:$D$104,$W6),0,1))+N(INDEX('得意先'!$E$5:$E$104,$W6)))+1,0),DATE(YEAR($X6),(MONTH($X6)+IF(INDEX('得意先'!$D$5:$D$104,$W6)="末",0,IF(DAY($X6)&lt;=INDEX('得意先'!$D$5:$D$104,$W6),0,1))+N(INDEX('得意先'!$E$5:$E$104,$W6))),MIN(INDEX('得意先'!$F$5:$F$104,$W6),DAY(DATE(YEAR($X6),(MONTH($X6)+IF(INDEX('得意先'!$D$5:$D$104,$W6)="末",0,IF(DAY($X6)&lt;=INDEX('得意先'!$D$5:$D$104,$W6),0,1))+N(INDEX('得意先'!$E$5:$E$104,$W6)))+1,0)))))))</f>
        <v/>
      </c>
      <c r="N6" s="26" t="n"/>
      <c r="O6" s="29">
        <f>IF($A6="","",IF(ISNUMBER($N6),$N6,$M6))</f>
        <v/>
      </c>
      <c r="P6" s="28">
        <f>IF($A6="","",SUMIF('入金消込'!$F$5:$F$1004,$A6,'入金消込'!$G$5:$G$1004))</f>
        <v/>
      </c>
      <c r="Q6" s="28">
        <f>IF($A6="","",SUMIF('入金消込'!$F$5:$F$1004,$A6,'入金消込'!$H$5:$H$1004)+SUMIF('入金消込'!$F$5:$F$1004,$A6,'入金消込'!$I$5:$I$1004))</f>
        <v/>
      </c>
      <c r="R6" s="28">
        <f>IF($A6="","",$L6-$P6-$Q6)</f>
        <v/>
      </c>
      <c r="S6" s="30">
        <f>IF($A6="","",IF($R6=0,IF($L6=0,"請求額0","回収済"),IF($L6&lt;0,IF($R6&lt;0,"差し引き待ち","差し引きすぎ"),IF($R6&lt;0,"入金が多い",IF($P6+$Q6=0,"未入金","一部入金")))))</f>
        <v/>
      </c>
      <c r="T6" s="31">
        <f>IF(OR($A6="",N($R6)&lt;=0,NOT(ISNUMBER($O6))),"",IF($O6&lt;'設定'!$B$7,'設定'!$B$7-$O6,""))</f>
        <v/>
      </c>
      <c r="U6" s="30">
        <f>IF(OR($A6="",N($R6)&lt;=0),"",IF(NOT(ISNUMBER($O6)),'設定'!$B$22,IF($O6&gt;='設定'!$B$7,'設定'!$B$17,IF('設定'!$B$7-$O6&lt;='設定'!$B$12,'設定'!$B$18,IF('設定'!$B$7-$O6&lt;='設定'!$B$13,'設定'!$B$19,IF('設定'!$B$7-$O6&lt;='設定'!$B$14,'設定'!$B$20,'設定'!$B$21))))))</f>
        <v/>
      </c>
      <c r="V6" s="56" t="n"/>
      <c r="W6" s="32">
        <f>IF($C6="","",IFERROR(MATCH($C6,'得意先'!$B$5:$B$104,0),"なし"))</f>
        <v/>
      </c>
      <c r="X6" s="33">
        <f>IF($A6="","",IF(ISNUMBER($E6),$E6,IF(ISNUMBER($B6),$B6,"")))</f>
        <v/>
      </c>
      <c r="Y6" s="34">
        <f>IF($T6="","",$O6+ROW()/1000000)</f>
        <v/>
      </c>
      <c r="Z6" s="35">
        <f>IF(OR($A6="",$C6="",$C6&lt;&gt;'売掛帳'!$B$3,NOT(ISNUMBER($X6))),"",IF(AND($X6&gt;='売掛帳'!$Q$3,$X6&lt;='売掛帳'!$Q$4),$X6+ROW()/10000000,""))</f>
        <v/>
      </c>
    </row>
    <row r="7" ht="18" customHeight="1">
      <c r="A7" s="18" t="n"/>
      <c r="B7" s="26" t="n"/>
      <c r="C7" s="18" t="n"/>
      <c r="D7" s="20">
        <f>IF($W7="","",IF($W7="なし","※得意先にないコード",INDEX('得意先'!$C$5:$C$104,$W7)&amp;""))</f>
        <v/>
      </c>
      <c r="E7" s="26" t="n"/>
      <c r="F7" s="19" t="n"/>
      <c r="G7" s="27" t="n"/>
      <c r="H7" s="27" t="n"/>
      <c r="I7" s="27" t="n"/>
      <c r="J7" s="28">
        <f>IF($A7="","",IF('設定'!$B$10="四捨五入",ROUND(IF('設定'!$B$9="税込",N($G7)*10/110,N($G7)*10/100),0),IF('設定'!$B$10="切り上げ",ROUNDUP(IF('設定'!$B$9="税込",N($G7)*10/110,N($G7)*10/100),0),ROUNDDOWN(IF('設定'!$B$9="税込",N($G7)*10/110,N($G7)*10/100),0))))</f>
        <v/>
      </c>
      <c r="K7" s="28">
        <f>IF($A7="","",IF('設定'!$B$10="四捨五入",ROUND(IF('設定'!$B$9="税込",N($H7)*8/108,N($H7)*8/100),0),IF('設定'!$B$10="切り上げ",ROUNDUP(IF('設定'!$B$9="税込",N($H7)*8/108,N($H7)*8/100),0),ROUNDDOWN(IF('設定'!$B$9="税込",N($H7)*8/108,N($H7)*8/100),0))))</f>
        <v/>
      </c>
      <c r="L7" s="28">
        <f>IF($A7="","",N($G7)+N($H7)+N($I7)+IF('設定'!$B$9="税込",0,$J7+$K7))</f>
        <v/>
      </c>
      <c r="M7" s="29">
        <f>IF(OR($A7="",NOT(ISNUMBER($W7)),NOT(ISNUMBER($X7))),"",IF(OR(INDEX('得意先'!$D$5:$D$104,$W7)="",INDEX('得意先'!$E$5:$E$104,$W7)="",INDEX('得意先'!$F$5:$F$104,$W7)=""),"",IF(INDEX('得意先'!$F$5:$F$104,$W7)="末",DATE(YEAR($X7),(MONTH($X7)+IF(INDEX('得意先'!$D$5:$D$104,$W7)="末",0,IF(DAY($X7)&lt;=INDEX('得意先'!$D$5:$D$104,$W7),0,1))+N(INDEX('得意先'!$E$5:$E$104,$W7)))+1,0),DATE(YEAR($X7),(MONTH($X7)+IF(INDEX('得意先'!$D$5:$D$104,$W7)="末",0,IF(DAY($X7)&lt;=INDEX('得意先'!$D$5:$D$104,$W7),0,1))+N(INDEX('得意先'!$E$5:$E$104,$W7))),MIN(INDEX('得意先'!$F$5:$F$104,$W7),DAY(DATE(YEAR($X7),(MONTH($X7)+IF(INDEX('得意先'!$D$5:$D$104,$W7)="末",0,IF(DAY($X7)&lt;=INDEX('得意先'!$D$5:$D$104,$W7),0,1))+N(INDEX('得意先'!$E$5:$E$104,$W7)))+1,0)))))))</f>
        <v/>
      </c>
      <c r="N7" s="26" t="n"/>
      <c r="O7" s="29">
        <f>IF($A7="","",IF(ISNUMBER($N7),$N7,$M7))</f>
        <v/>
      </c>
      <c r="P7" s="28">
        <f>IF($A7="","",SUMIF('入金消込'!$F$5:$F$1004,$A7,'入金消込'!$G$5:$G$1004))</f>
        <v/>
      </c>
      <c r="Q7" s="28">
        <f>IF($A7="","",SUMIF('入金消込'!$F$5:$F$1004,$A7,'入金消込'!$H$5:$H$1004)+SUMIF('入金消込'!$F$5:$F$1004,$A7,'入金消込'!$I$5:$I$1004))</f>
        <v/>
      </c>
      <c r="R7" s="28">
        <f>IF($A7="","",$L7-$P7-$Q7)</f>
        <v/>
      </c>
      <c r="S7" s="30">
        <f>IF($A7="","",IF($R7=0,IF($L7=0,"請求額0","回収済"),IF($L7&lt;0,IF($R7&lt;0,"差し引き待ち","差し引きすぎ"),IF($R7&lt;0,"入金が多い",IF($P7+$Q7=0,"未入金","一部入金")))))</f>
        <v/>
      </c>
      <c r="T7" s="31">
        <f>IF(OR($A7="",N($R7)&lt;=0,NOT(ISNUMBER($O7))),"",IF($O7&lt;'設定'!$B$7,'設定'!$B$7-$O7,""))</f>
        <v/>
      </c>
      <c r="U7" s="30">
        <f>IF(OR($A7="",N($R7)&lt;=0),"",IF(NOT(ISNUMBER($O7)),'設定'!$B$22,IF($O7&gt;='設定'!$B$7,'設定'!$B$17,IF('設定'!$B$7-$O7&lt;='設定'!$B$12,'設定'!$B$18,IF('設定'!$B$7-$O7&lt;='設定'!$B$13,'設定'!$B$19,IF('設定'!$B$7-$O7&lt;='設定'!$B$14,'設定'!$B$20,'設定'!$B$21))))))</f>
        <v/>
      </c>
      <c r="V7" s="56" t="n"/>
      <c r="W7" s="32">
        <f>IF($C7="","",IFERROR(MATCH($C7,'得意先'!$B$5:$B$104,0),"なし"))</f>
        <v/>
      </c>
      <c r="X7" s="33">
        <f>IF($A7="","",IF(ISNUMBER($E7),$E7,IF(ISNUMBER($B7),$B7,"")))</f>
        <v/>
      </c>
      <c r="Y7" s="34">
        <f>IF($T7="","",$O7+ROW()/1000000)</f>
        <v/>
      </c>
      <c r="Z7" s="35">
        <f>IF(OR($A7="",$C7="",$C7&lt;&gt;'売掛帳'!$B$3,NOT(ISNUMBER($X7))),"",IF(AND($X7&gt;='売掛帳'!$Q$3,$X7&lt;='売掛帳'!$Q$4),$X7+ROW()/10000000,""))</f>
        <v/>
      </c>
    </row>
    <row r="8" ht="18" customHeight="1">
      <c r="A8" s="18" t="n"/>
      <c r="B8" s="26" t="n"/>
      <c r="C8" s="18" t="n"/>
      <c r="D8" s="20">
        <f>IF($W8="","",IF($W8="なし","※得意先にないコード",INDEX('得意先'!$C$5:$C$104,$W8)&amp;""))</f>
        <v/>
      </c>
      <c r="E8" s="26" t="n"/>
      <c r="F8" s="19" t="n"/>
      <c r="G8" s="27" t="n"/>
      <c r="H8" s="27" t="n"/>
      <c r="I8" s="27" t="n"/>
      <c r="J8" s="28">
        <f>IF($A8="","",IF('設定'!$B$10="四捨五入",ROUND(IF('設定'!$B$9="税込",N($G8)*10/110,N($G8)*10/100),0),IF('設定'!$B$10="切り上げ",ROUNDUP(IF('設定'!$B$9="税込",N($G8)*10/110,N($G8)*10/100),0),ROUNDDOWN(IF('設定'!$B$9="税込",N($G8)*10/110,N($G8)*10/100),0))))</f>
        <v/>
      </c>
      <c r="K8" s="28">
        <f>IF($A8="","",IF('設定'!$B$10="四捨五入",ROUND(IF('設定'!$B$9="税込",N($H8)*8/108,N($H8)*8/100),0),IF('設定'!$B$10="切り上げ",ROUNDUP(IF('設定'!$B$9="税込",N($H8)*8/108,N($H8)*8/100),0),ROUNDDOWN(IF('設定'!$B$9="税込",N($H8)*8/108,N($H8)*8/100),0))))</f>
        <v/>
      </c>
      <c r="L8" s="28">
        <f>IF($A8="","",N($G8)+N($H8)+N($I8)+IF('設定'!$B$9="税込",0,$J8+$K8))</f>
        <v/>
      </c>
      <c r="M8" s="29">
        <f>IF(OR($A8="",NOT(ISNUMBER($W8)),NOT(ISNUMBER($X8))),"",IF(OR(INDEX('得意先'!$D$5:$D$104,$W8)="",INDEX('得意先'!$E$5:$E$104,$W8)="",INDEX('得意先'!$F$5:$F$104,$W8)=""),"",IF(INDEX('得意先'!$F$5:$F$104,$W8)="末",DATE(YEAR($X8),(MONTH($X8)+IF(INDEX('得意先'!$D$5:$D$104,$W8)="末",0,IF(DAY($X8)&lt;=INDEX('得意先'!$D$5:$D$104,$W8),0,1))+N(INDEX('得意先'!$E$5:$E$104,$W8)))+1,0),DATE(YEAR($X8),(MONTH($X8)+IF(INDEX('得意先'!$D$5:$D$104,$W8)="末",0,IF(DAY($X8)&lt;=INDEX('得意先'!$D$5:$D$104,$W8),0,1))+N(INDEX('得意先'!$E$5:$E$104,$W8))),MIN(INDEX('得意先'!$F$5:$F$104,$W8),DAY(DATE(YEAR($X8),(MONTH($X8)+IF(INDEX('得意先'!$D$5:$D$104,$W8)="末",0,IF(DAY($X8)&lt;=INDEX('得意先'!$D$5:$D$104,$W8),0,1))+N(INDEX('得意先'!$E$5:$E$104,$W8)))+1,0)))))))</f>
        <v/>
      </c>
      <c r="N8" s="26" t="n"/>
      <c r="O8" s="29">
        <f>IF($A8="","",IF(ISNUMBER($N8),$N8,$M8))</f>
        <v/>
      </c>
      <c r="P8" s="28">
        <f>IF($A8="","",SUMIF('入金消込'!$F$5:$F$1004,$A8,'入金消込'!$G$5:$G$1004))</f>
        <v/>
      </c>
      <c r="Q8" s="28">
        <f>IF($A8="","",SUMIF('入金消込'!$F$5:$F$1004,$A8,'入金消込'!$H$5:$H$1004)+SUMIF('入金消込'!$F$5:$F$1004,$A8,'入金消込'!$I$5:$I$1004))</f>
        <v/>
      </c>
      <c r="R8" s="28">
        <f>IF($A8="","",$L8-$P8-$Q8)</f>
        <v/>
      </c>
      <c r="S8" s="30">
        <f>IF($A8="","",IF($R8=0,IF($L8=0,"請求額0","回収済"),IF($L8&lt;0,IF($R8&lt;0,"差し引き待ち","差し引きすぎ"),IF($R8&lt;0,"入金が多い",IF($P8+$Q8=0,"未入金","一部入金")))))</f>
        <v/>
      </c>
      <c r="T8" s="31">
        <f>IF(OR($A8="",N($R8)&lt;=0,NOT(ISNUMBER($O8))),"",IF($O8&lt;'設定'!$B$7,'設定'!$B$7-$O8,""))</f>
        <v/>
      </c>
      <c r="U8" s="30">
        <f>IF(OR($A8="",N($R8)&lt;=0),"",IF(NOT(ISNUMBER($O8)),'設定'!$B$22,IF($O8&gt;='設定'!$B$7,'設定'!$B$17,IF('設定'!$B$7-$O8&lt;='設定'!$B$12,'設定'!$B$18,IF('設定'!$B$7-$O8&lt;='設定'!$B$13,'設定'!$B$19,IF('設定'!$B$7-$O8&lt;='設定'!$B$14,'設定'!$B$20,'設定'!$B$21))))))</f>
        <v/>
      </c>
      <c r="V8" s="56" t="n"/>
      <c r="W8" s="32">
        <f>IF($C8="","",IFERROR(MATCH($C8,'得意先'!$B$5:$B$104,0),"なし"))</f>
        <v/>
      </c>
      <c r="X8" s="33">
        <f>IF($A8="","",IF(ISNUMBER($E8),$E8,IF(ISNUMBER($B8),$B8,"")))</f>
        <v/>
      </c>
      <c r="Y8" s="34">
        <f>IF($T8="","",$O8+ROW()/1000000)</f>
        <v/>
      </c>
      <c r="Z8" s="35">
        <f>IF(OR($A8="",$C8="",$C8&lt;&gt;'売掛帳'!$B$3,NOT(ISNUMBER($X8))),"",IF(AND($X8&gt;='売掛帳'!$Q$3,$X8&lt;='売掛帳'!$Q$4),$X8+ROW()/10000000,""))</f>
        <v/>
      </c>
    </row>
    <row r="9" ht="18" customHeight="1">
      <c r="A9" s="18" t="n"/>
      <c r="B9" s="26" t="n"/>
      <c r="C9" s="18" t="n"/>
      <c r="D9" s="20">
        <f>IF($W9="","",IF($W9="なし","※得意先にないコード",INDEX('得意先'!$C$5:$C$104,$W9)&amp;""))</f>
        <v/>
      </c>
      <c r="E9" s="26" t="n"/>
      <c r="F9" s="19" t="n"/>
      <c r="G9" s="27" t="n"/>
      <c r="H9" s="27" t="n"/>
      <c r="I9" s="27" t="n"/>
      <c r="J9" s="28">
        <f>IF($A9="","",IF('設定'!$B$10="四捨五入",ROUND(IF('設定'!$B$9="税込",N($G9)*10/110,N($G9)*10/100),0),IF('設定'!$B$10="切り上げ",ROUNDUP(IF('設定'!$B$9="税込",N($G9)*10/110,N($G9)*10/100),0),ROUNDDOWN(IF('設定'!$B$9="税込",N($G9)*10/110,N($G9)*10/100),0))))</f>
        <v/>
      </c>
      <c r="K9" s="28">
        <f>IF($A9="","",IF('設定'!$B$10="四捨五入",ROUND(IF('設定'!$B$9="税込",N($H9)*8/108,N($H9)*8/100),0),IF('設定'!$B$10="切り上げ",ROUNDUP(IF('設定'!$B$9="税込",N($H9)*8/108,N($H9)*8/100),0),ROUNDDOWN(IF('設定'!$B$9="税込",N($H9)*8/108,N($H9)*8/100),0))))</f>
        <v/>
      </c>
      <c r="L9" s="28">
        <f>IF($A9="","",N($G9)+N($H9)+N($I9)+IF('設定'!$B$9="税込",0,$J9+$K9))</f>
        <v/>
      </c>
      <c r="M9" s="29">
        <f>IF(OR($A9="",NOT(ISNUMBER($W9)),NOT(ISNUMBER($X9))),"",IF(OR(INDEX('得意先'!$D$5:$D$104,$W9)="",INDEX('得意先'!$E$5:$E$104,$W9)="",INDEX('得意先'!$F$5:$F$104,$W9)=""),"",IF(INDEX('得意先'!$F$5:$F$104,$W9)="末",DATE(YEAR($X9),(MONTH($X9)+IF(INDEX('得意先'!$D$5:$D$104,$W9)="末",0,IF(DAY($X9)&lt;=INDEX('得意先'!$D$5:$D$104,$W9),0,1))+N(INDEX('得意先'!$E$5:$E$104,$W9)))+1,0),DATE(YEAR($X9),(MONTH($X9)+IF(INDEX('得意先'!$D$5:$D$104,$W9)="末",0,IF(DAY($X9)&lt;=INDEX('得意先'!$D$5:$D$104,$W9),0,1))+N(INDEX('得意先'!$E$5:$E$104,$W9))),MIN(INDEX('得意先'!$F$5:$F$104,$W9),DAY(DATE(YEAR($X9),(MONTH($X9)+IF(INDEX('得意先'!$D$5:$D$104,$W9)="末",0,IF(DAY($X9)&lt;=INDEX('得意先'!$D$5:$D$104,$W9),0,1))+N(INDEX('得意先'!$E$5:$E$104,$W9)))+1,0)))))))</f>
        <v/>
      </c>
      <c r="N9" s="26" t="n"/>
      <c r="O9" s="29">
        <f>IF($A9="","",IF(ISNUMBER($N9),$N9,$M9))</f>
        <v/>
      </c>
      <c r="P9" s="28">
        <f>IF($A9="","",SUMIF('入金消込'!$F$5:$F$1004,$A9,'入金消込'!$G$5:$G$1004))</f>
        <v/>
      </c>
      <c r="Q9" s="28">
        <f>IF($A9="","",SUMIF('入金消込'!$F$5:$F$1004,$A9,'入金消込'!$H$5:$H$1004)+SUMIF('入金消込'!$F$5:$F$1004,$A9,'入金消込'!$I$5:$I$1004))</f>
        <v/>
      </c>
      <c r="R9" s="28">
        <f>IF($A9="","",$L9-$P9-$Q9)</f>
        <v/>
      </c>
      <c r="S9" s="30">
        <f>IF($A9="","",IF($R9=0,IF($L9=0,"請求額0","回収済"),IF($L9&lt;0,IF($R9&lt;0,"差し引き待ち","差し引きすぎ"),IF($R9&lt;0,"入金が多い",IF($P9+$Q9=0,"未入金","一部入金")))))</f>
        <v/>
      </c>
      <c r="T9" s="31">
        <f>IF(OR($A9="",N($R9)&lt;=0,NOT(ISNUMBER($O9))),"",IF($O9&lt;'設定'!$B$7,'設定'!$B$7-$O9,""))</f>
        <v/>
      </c>
      <c r="U9" s="30">
        <f>IF(OR($A9="",N($R9)&lt;=0),"",IF(NOT(ISNUMBER($O9)),'設定'!$B$22,IF($O9&gt;='設定'!$B$7,'設定'!$B$17,IF('設定'!$B$7-$O9&lt;='設定'!$B$12,'設定'!$B$18,IF('設定'!$B$7-$O9&lt;='設定'!$B$13,'設定'!$B$19,IF('設定'!$B$7-$O9&lt;='設定'!$B$14,'設定'!$B$20,'設定'!$B$21))))))</f>
        <v/>
      </c>
      <c r="V9" s="56" t="n"/>
      <c r="W9" s="32">
        <f>IF($C9="","",IFERROR(MATCH($C9,'得意先'!$B$5:$B$104,0),"なし"))</f>
        <v/>
      </c>
      <c r="X9" s="33">
        <f>IF($A9="","",IF(ISNUMBER($E9),$E9,IF(ISNUMBER($B9),$B9,"")))</f>
        <v/>
      </c>
      <c r="Y9" s="34">
        <f>IF($T9="","",$O9+ROW()/1000000)</f>
        <v/>
      </c>
      <c r="Z9" s="35">
        <f>IF(OR($A9="",$C9="",$C9&lt;&gt;'売掛帳'!$B$3,NOT(ISNUMBER($X9))),"",IF(AND($X9&gt;='売掛帳'!$Q$3,$X9&lt;='売掛帳'!$Q$4),$X9+ROW()/10000000,""))</f>
        <v/>
      </c>
    </row>
    <row r="10" ht="18" customHeight="1">
      <c r="A10" s="18" t="n"/>
      <c r="B10" s="26" t="n"/>
      <c r="C10" s="18" t="n"/>
      <c r="D10" s="20">
        <f>IF($W10="","",IF($W10="なし","※得意先にないコード",INDEX('得意先'!$C$5:$C$104,$W10)&amp;""))</f>
        <v/>
      </c>
      <c r="E10" s="26" t="n"/>
      <c r="F10" s="19" t="n"/>
      <c r="G10" s="27" t="n"/>
      <c r="H10" s="27" t="n"/>
      <c r="I10" s="27" t="n"/>
      <c r="J10" s="28">
        <f>IF($A10="","",IF('設定'!$B$10="四捨五入",ROUND(IF('設定'!$B$9="税込",N($G10)*10/110,N($G10)*10/100),0),IF('設定'!$B$10="切り上げ",ROUNDUP(IF('設定'!$B$9="税込",N($G10)*10/110,N($G10)*10/100),0),ROUNDDOWN(IF('設定'!$B$9="税込",N($G10)*10/110,N($G10)*10/100),0))))</f>
        <v/>
      </c>
      <c r="K10" s="28">
        <f>IF($A10="","",IF('設定'!$B$10="四捨五入",ROUND(IF('設定'!$B$9="税込",N($H10)*8/108,N($H10)*8/100),0),IF('設定'!$B$10="切り上げ",ROUNDUP(IF('設定'!$B$9="税込",N($H10)*8/108,N($H10)*8/100),0),ROUNDDOWN(IF('設定'!$B$9="税込",N($H10)*8/108,N($H10)*8/100),0))))</f>
        <v/>
      </c>
      <c r="L10" s="28">
        <f>IF($A10="","",N($G10)+N($H10)+N($I10)+IF('設定'!$B$9="税込",0,$J10+$K10))</f>
        <v/>
      </c>
      <c r="M10" s="29">
        <f>IF(OR($A10="",NOT(ISNUMBER($W10)),NOT(ISNUMBER($X10))),"",IF(OR(INDEX('得意先'!$D$5:$D$104,$W10)="",INDEX('得意先'!$E$5:$E$104,$W10)="",INDEX('得意先'!$F$5:$F$104,$W10)=""),"",IF(INDEX('得意先'!$F$5:$F$104,$W10)="末",DATE(YEAR($X10),(MONTH($X10)+IF(INDEX('得意先'!$D$5:$D$104,$W10)="末",0,IF(DAY($X10)&lt;=INDEX('得意先'!$D$5:$D$104,$W10),0,1))+N(INDEX('得意先'!$E$5:$E$104,$W10)))+1,0),DATE(YEAR($X10),(MONTH($X10)+IF(INDEX('得意先'!$D$5:$D$104,$W10)="末",0,IF(DAY($X10)&lt;=INDEX('得意先'!$D$5:$D$104,$W10),0,1))+N(INDEX('得意先'!$E$5:$E$104,$W10))),MIN(INDEX('得意先'!$F$5:$F$104,$W10),DAY(DATE(YEAR($X10),(MONTH($X10)+IF(INDEX('得意先'!$D$5:$D$104,$W10)="末",0,IF(DAY($X10)&lt;=INDEX('得意先'!$D$5:$D$104,$W10),0,1))+N(INDEX('得意先'!$E$5:$E$104,$W10)))+1,0)))))))</f>
        <v/>
      </c>
      <c r="N10" s="26" t="n"/>
      <c r="O10" s="29">
        <f>IF($A10="","",IF(ISNUMBER($N10),$N10,$M10))</f>
        <v/>
      </c>
      <c r="P10" s="28">
        <f>IF($A10="","",SUMIF('入金消込'!$F$5:$F$1004,$A10,'入金消込'!$G$5:$G$1004))</f>
        <v/>
      </c>
      <c r="Q10" s="28">
        <f>IF($A10="","",SUMIF('入金消込'!$F$5:$F$1004,$A10,'入金消込'!$H$5:$H$1004)+SUMIF('入金消込'!$F$5:$F$1004,$A10,'入金消込'!$I$5:$I$1004))</f>
        <v/>
      </c>
      <c r="R10" s="28">
        <f>IF($A10="","",$L10-$P10-$Q10)</f>
        <v/>
      </c>
      <c r="S10" s="30">
        <f>IF($A10="","",IF($R10=0,IF($L10=0,"請求額0","回収済"),IF($L10&lt;0,IF($R10&lt;0,"差し引き待ち","差し引きすぎ"),IF($R10&lt;0,"入金が多い",IF($P10+$Q10=0,"未入金","一部入金")))))</f>
        <v/>
      </c>
      <c r="T10" s="31">
        <f>IF(OR($A10="",N($R10)&lt;=0,NOT(ISNUMBER($O10))),"",IF($O10&lt;'設定'!$B$7,'設定'!$B$7-$O10,""))</f>
        <v/>
      </c>
      <c r="U10" s="30">
        <f>IF(OR($A10="",N($R10)&lt;=0),"",IF(NOT(ISNUMBER($O10)),'設定'!$B$22,IF($O10&gt;='設定'!$B$7,'設定'!$B$17,IF('設定'!$B$7-$O10&lt;='設定'!$B$12,'設定'!$B$18,IF('設定'!$B$7-$O10&lt;='設定'!$B$13,'設定'!$B$19,IF('設定'!$B$7-$O10&lt;='設定'!$B$14,'設定'!$B$20,'設定'!$B$21))))))</f>
        <v/>
      </c>
      <c r="V10" s="56" t="n"/>
      <c r="W10" s="32">
        <f>IF($C10="","",IFERROR(MATCH($C10,'得意先'!$B$5:$B$104,0),"なし"))</f>
        <v/>
      </c>
      <c r="X10" s="33">
        <f>IF($A10="","",IF(ISNUMBER($E10),$E10,IF(ISNUMBER($B10),$B10,"")))</f>
        <v/>
      </c>
      <c r="Y10" s="34">
        <f>IF($T10="","",$O10+ROW()/1000000)</f>
        <v/>
      </c>
      <c r="Z10" s="35">
        <f>IF(OR($A10="",$C10="",$C10&lt;&gt;'売掛帳'!$B$3,NOT(ISNUMBER($X10))),"",IF(AND($X10&gt;='売掛帳'!$Q$3,$X10&lt;='売掛帳'!$Q$4),$X10+ROW()/10000000,""))</f>
        <v/>
      </c>
    </row>
    <row r="11" ht="18" customHeight="1">
      <c r="A11" s="18" t="n"/>
      <c r="B11" s="26" t="n"/>
      <c r="C11" s="18" t="n"/>
      <c r="D11" s="20">
        <f>IF($W11="","",IF($W11="なし","※得意先にないコード",INDEX('得意先'!$C$5:$C$104,$W11)&amp;""))</f>
        <v/>
      </c>
      <c r="E11" s="26" t="n"/>
      <c r="F11" s="19" t="n"/>
      <c r="G11" s="27" t="n"/>
      <c r="H11" s="27" t="n"/>
      <c r="I11" s="27" t="n"/>
      <c r="J11" s="28">
        <f>IF($A11="","",IF('設定'!$B$10="四捨五入",ROUND(IF('設定'!$B$9="税込",N($G11)*10/110,N($G11)*10/100),0),IF('設定'!$B$10="切り上げ",ROUNDUP(IF('設定'!$B$9="税込",N($G11)*10/110,N($G11)*10/100),0),ROUNDDOWN(IF('設定'!$B$9="税込",N($G11)*10/110,N($G11)*10/100),0))))</f>
        <v/>
      </c>
      <c r="K11" s="28">
        <f>IF($A11="","",IF('設定'!$B$10="四捨五入",ROUND(IF('設定'!$B$9="税込",N($H11)*8/108,N($H11)*8/100),0),IF('設定'!$B$10="切り上げ",ROUNDUP(IF('設定'!$B$9="税込",N($H11)*8/108,N($H11)*8/100),0),ROUNDDOWN(IF('設定'!$B$9="税込",N($H11)*8/108,N($H11)*8/100),0))))</f>
        <v/>
      </c>
      <c r="L11" s="28">
        <f>IF($A11="","",N($G11)+N($H11)+N($I11)+IF('設定'!$B$9="税込",0,$J11+$K11))</f>
        <v/>
      </c>
      <c r="M11" s="29">
        <f>IF(OR($A11="",NOT(ISNUMBER($W11)),NOT(ISNUMBER($X11))),"",IF(OR(INDEX('得意先'!$D$5:$D$104,$W11)="",INDEX('得意先'!$E$5:$E$104,$W11)="",INDEX('得意先'!$F$5:$F$104,$W11)=""),"",IF(INDEX('得意先'!$F$5:$F$104,$W11)="末",DATE(YEAR($X11),(MONTH($X11)+IF(INDEX('得意先'!$D$5:$D$104,$W11)="末",0,IF(DAY($X11)&lt;=INDEX('得意先'!$D$5:$D$104,$W11),0,1))+N(INDEX('得意先'!$E$5:$E$104,$W11)))+1,0),DATE(YEAR($X11),(MONTH($X11)+IF(INDEX('得意先'!$D$5:$D$104,$W11)="末",0,IF(DAY($X11)&lt;=INDEX('得意先'!$D$5:$D$104,$W11),0,1))+N(INDEX('得意先'!$E$5:$E$104,$W11))),MIN(INDEX('得意先'!$F$5:$F$104,$W11),DAY(DATE(YEAR($X11),(MONTH($X11)+IF(INDEX('得意先'!$D$5:$D$104,$W11)="末",0,IF(DAY($X11)&lt;=INDEX('得意先'!$D$5:$D$104,$W11),0,1))+N(INDEX('得意先'!$E$5:$E$104,$W11)))+1,0)))))))</f>
        <v/>
      </c>
      <c r="N11" s="26" t="n"/>
      <c r="O11" s="29">
        <f>IF($A11="","",IF(ISNUMBER($N11),$N11,$M11))</f>
        <v/>
      </c>
      <c r="P11" s="28">
        <f>IF($A11="","",SUMIF('入金消込'!$F$5:$F$1004,$A11,'入金消込'!$G$5:$G$1004))</f>
        <v/>
      </c>
      <c r="Q11" s="28">
        <f>IF($A11="","",SUMIF('入金消込'!$F$5:$F$1004,$A11,'入金消込'!$H$5:$H$1004)+SUMIF('入金消込'!$F$5:$F$1004,$A11,'入金消込'!$I$5:$I$1004))</f>
        <v/>
      </c>
      <c r="R11" s="28">
        <f>IF($A11="","",$L11-$P11-$Q11)</f>
        <v/>
      </c>
      <c r="S11" s="30">
        <f>IF($A11="","",IF($R11=0,IF($L11=0,"請求額0","回収済"),IF($L11&lt;0,IF($R11&lt;0,"差し引き待ち","差し引きすぎ"),IF($R11&lt;0,"入金が多い",IF($P11+$Q11=0,"未入金","一部入金")))))</f>
        <v/>
      </c>
      <c r="T11" s="31">
        <f>IF(OR($A11="",N($R11)&lt;=0,NOT(ISNUMBER($O11))),"",IF($O11&lt;'設定'!$B$7,'設定'!$B$7-$O11,""))</f>
        <v/>
      </c>
      <c r="U11" s="30">
        <f>IF(OR($A11="",N($R11)&lt;=0),"",IF(NOT(ISNUMBER($O11)),'設定'!$B$22,IF($O11&gt;='設定'!$B$7,'設定'!$B$17,IF('設定'!$B$7-$O11&lt;='設定'!$B$12,'設定'!$B$18,IF('設定'!$B$7-$O11&lt;='設定'!$B$13,'設定'!$B$19,IF('設定'!$B$7-$O11&lt;='設定'!$B$14,'設定'!$B$20,'設定'!$B$21))))))</f>
        <v/>
      </c>
      <c r="V11" s="56" t="n"/>
      <c r="W11" s="32">
        <f>IF($C11="","",IFERROR(MATCH($C11,'得意先'!$B$5:$B$104,0),"なし"))</f>
        <v/>
      </c>
      <c r="X11" s="33">
        <f>IF($A11="","",IF(ISNUMBER($E11),$E11,IF(ISNUMBER($B11),$B11,"")))</f>
        <v/>
      </c>
      <c r="Y11" s="34">
        <f>IF($T11="","",$O11+ROW()/1000000)</f>
        <v/>
      </c>
      <c r="Z11" s="35">
        <f>IF(OR($A11="",$C11="",$C11&lt;&gt;'売掛帳'!$B$3,NOT(ISNUMBER($X11))),"",IF(AND($X11&gt;='売掛帳'!$Q$3,$X11&lt;='売掛帳'!$Q$4),$X11+ROW()/10000000,""))</f>
        <v/>
      </c>
    </row>
    <row r="12" ht="18" customHeight="1">
      <c r="A12" s="18" t="n"/>
      <c r="B12" s="26" t="n"/>
      <c r="C12" s="18" t="n"/>
      <c r="D12" s="20">
        <f>IF($W12="","",IF($W12="なし","※得意先にないコード",INDEX('得意先'!$C$5:$C$104,$W12)&amp;""))</f>
        <v/>
      </c>
      <c r="E12" s="26" t="n"/>
      <c r="F12" s="19" t="n"/>
      <c r="G12" s="27" t="n"/>
      <c r="H12" s="27" t="n"/>
      <c r="I12" s="27" t="n"/>
      <c r="J12" s="28">
        <f>IF($A12="","",IF('設定'!$B$10="四捨五入",ROUND(IF('設定'!$B$9="税込",N($G12)*10/110,N($G12)*10/100),0),IF('設定'!$B$10="切り上げ",ROUNDUP(IF('設定'!$B$9="税込",N($G12)*10/110,N($G12)*10/100),0),ROUNDDOWN(IF('設定'!$B$9="税込",N($G12)*10/110,N($G12)*10/100),0))))</f>
        <v/>
      </c>
      <c r="K12" s="28">
        <f>IF($A12="","",IF('設定'!$B$10="四捨五入",ROUND(IF('設定'!$B$9="税込",N($H12)*8/108,N($H12)*8/100),0),IF('設定'!$B$10="切り上げ",ROUNDUP(IF('設定'!$B$9="税込",N($H12)*8/108,N($H12)*8/100),0),ROUNDDOWN(IF('設定'!$B$9="税込",N($H12)*8/108,N($H12)*8/100),0))))</f>
        <v/>
      </c>
      <c r="L12" s="28">
        <f>IF($A12="","",N($G12)+N($H12)+N($I12)+IF('設定'!$B$9="税込",0,$J12+$K12))</f>
        <v/>
      </c>
      <c r="M12" s="29">
        <f>IF(OR($A12="",NOT(ISNUMBER($W12)),NOT(ISNUMBER($X12))),"",IF(OR(INDEX('得意先'!$D$5:$D$104,$W12)="",INDEX('得意先'!$E$5:$E$104,$W12)="",INDEX('得意先'!$F$5:$F$104,$W12)=""),"",IF(INDEX('得意先'!$F$5:$F$104,$W12)="末",DATE(YEAR($X12),(MONTH($X12)+IF(INDEX('得意先'!$D$5:$D$104,$W12)="末",0,IF(DAY($X12)&lt;=INDEX('得意先'!$D$5:$D$104,$W12),0,1))+N(INDEX('得意先'!$E$5:$E$104,$W12)))+1,0),DATE(YEAR($X12),(MONTH($X12)+IF(INDEX('得意先'!$D$5:$D$104,$W12)="末",0,IF(DAY($X12)&lt;=INDEX('得意先'!$D$5:$D$104,$W12),0,1))+N(INDEX('得意先'!$E$5:$E$104,$W12))),MIN(INDEX('得意先'!$F$5:$F$104,$W12),DAY(DATE(YEAR($X12),(MONTH($X12)+IF(INDEX('得意先'!$D$5:$D$104,$W12)="末",0,IF(DAY($X12)&lt;=INDEX('得意先'!$D$5:$D$104,$W12),0,1))+N(INDEX('得意先'!$E$5:$E$104,$W12)))+1,0)))))))</f>
        <v/>
      </c>
      <c r="N12" s="26" t="n"/>
      <c r="O12" s="29">
        <f>IF($A12="","",IF(ISNUMBER($N12),$N12,$M12))</f>
        <v/>
      </c>
      <c r="P12" s="28">
        <f>IF($A12="","",SUMIF('入金消込'!$F$5:$F$1004,$A12,'入金消込'!$G$5:$G$1004))</f>
        <v/>
      </c>
      <c r="Q12" s="28">
        <f>IF($A12="","",SUMIF('入金消込'!$F$5:$F$1004,$A12,'入金消込'!$H$5:$H$1004)+SUMIF('入金消込'!$F$5:$F$1004,$A12,'入金消込'!$I$5:$I$1004))</f>
        <v/>
      </c>
      <c r="R12" s="28">
        <f>IF($A12="","",$L12-$P12-$Q12)</f>
        <v/>
      </c>
      <c r="S12" s="30">
        <f>IF($A12="","",IF($R12=0,IF($L12=0,"請求額0","回収済"),IF($L12&lt;0,IF($R12&lt;0,"差し引き待ち","差し引きすぎ"),IF($R12&lt;0,"入金が多い",IF($P12+$Q12=0,"未入金","一部入金")))))</f>
        <v/>
      </c>
      <c r="T12" s="31">
        <f>IF(OR($A12="",N($R12)&lt;=0,NOT(ISNUMBER($O12))),"",IF($O12&lt;'設定'!$B$7,'設定'!$B$7-$O12,""))</f>
        <v/>
      </c>
      <c r="U12" s="30">
        <f>IF(OR($A12="",N($R12)&lt;=0),"",IF(NOT(ISNUMBER($O12)),'設定'!$B$22,IF($O12&gt;='設定'!$B$7,'設定'!$B$17,IF('設定'!$B$7-$O12&lt;='設定'!$B$12,'設定'!$B$18,IF('設定'!$B$7-$O12&lt;='設定'!$B$13,'設定'!$B$19,IF('設定'!$B$7-$O12&lt;='設定'!$B$14,'設定'!$B$20,'設定'!$B$21))))))</f>
        <v/>
      </c>
      <c r="V12" s="56" t="n"/>
      <c r="W12" s="32">
        <f>IF($C12="","",IFERROR(MATCH($C12,'得意先'!$B$5:$B$104,0),"なし"))</f>
        <v/>
      </c>
      <c r="X12" s="33">
        <f>IF($A12="","",IF(ISNUMBER($E12),$E12,IF(ISNUMBER($B12),$B12,"")))</f>
        <v/>
      </c>
      <c r="Y12" s="34">
        <f>IF($T12="","",$O12+ROW()/1000000)</f>
        <v/>
      </c>
      <c r="Z12" s="35">
        <f>IF(OR($A12="",$C12="",$C12&lt;&gt;'売掛帳'!$B$3,NOT(ISNUMBER($X12))),"",IF(AND($X12&gt;='売掛帳'!$Q$3,$X12&lt;='売掛帳'!$Q$4),$X12+ROW()/10000000,""))</f>
        <v/>
      </c>
    </row>
    <row r="13" ht="18" customHeight="1">
      <c r="A13" s="18" t="n"/>
      <c r="B13" s="26" t="n"/>
      <c r="C13" s="18" t="n"/>
      <c r="D13" s="20">
        <f>IF($W13="","",IF($W13="なし","※得意先にないコード",INDEX('得意先'!$C$5:$C$104,$W13)&amp;""))</f>
        <v/>
      </c>
      <c r="E13" s="26" t="n"/>
      <c r="F13" s="19" t="n"/>
      <c r="G13" s="27" t="n"/>
      <c r="H13" s="27" t="n"/>
      <c r="I13" s="27" t="n"/>
      <c r="J13" s="28">
        <f>IF($A13="","",IF('設定'!$B$10="四捨五入",ROUND(IF('設定'!$B$9="税込",N($G13)*10/110,N($G13)*10/100),0),IF('設定'!$B$10="切り上げ",ROUNDUP(IF('設定'!$B$9="税込",N($G13)*10/110,N($G13)*10/100),0),ROUNDDOWN(IF('設定'!$B$9="税込",N($G13)*10/110,N($G13)*10/100),0))))</f>
        <v/>
      </c>
      <c r="K13" s="28">
        <f>IF($A13="","",IF('設定'!$B$10="四捨五入",ROUND(IF('設定'!$B$9="税込",N($H13)*8/108,N($H13)*8/100),0),IF('設定'!$B$10="切り上げ",ROUNDUP(IF('設定'!$B$9="税込",N($H13)*8/108,N($H13)*8/100),0),ROUNDDOWN(IF('設定'!$B$9="税込",N($H13)*8/108,N($H13)*8/100),0))))</f>
        <v/>
      </c>
      <c r="L13" s="28">
        <f>IF($A13="","",N($G13)+N($H13)+N($I13)+IF('設定'!$B$9="税込",0,$J13+$K13))</f>
        <v/>
      </c>
      <c r="M13" s="29">
        <f>IF(OR($A13="",NOT(ISNUMBER($W13)),NOT(ISNUMBER($X13))),"",IF(OR(INDEX('得意先'!$D$5:$D$104,$W13)="",INDEX('得意先'!$E$5:$E$104,$W13)="",INDEX('得意先'!$F$5:$F$104,$W13)=""),"",IF(INDEX('得意先'!$F$5:$F$104,$W13)="末",DATE(YEAR($X13),(MONTH($X13)+IF(INDEX('得意先'!$D$5:$D$104,$W13)="末",0,IF(DAY($X13)&lt;=INDEX('得意先'!$D$5:$D$104,$W13),0,1))+N(INDEX('得意先'!$E$5:$E$104,$W13)))+1,0),DATE(YEAR($X13),(MONTH($X13)+IF(INDEX('得意先'!$D$5:$D$104,$W13)="末",0,IF(DAY($X13)&lt;=INDEX('得意先'!$D$5:$D$104,$W13),0,1))+N(INDEX('得意先'!$E$5:$E$104,$W13))),MIN(INDEX('得意先'!$F$5:$F$104,$W13),DAY(DATE(YEAR($X13),(MONTH($X13)+IF(INDEX('得意先'!$D$5:$D$104,$W13)="末",0,IF(DAY($X13)&lt;=INDEX('得意先'!$D$5:$D$104,$W13),0,1))+N(INDEX('得意先'!$E$5:$E$104,$W13)))+1,0)))))))</f>
        <v/>
      </c>
      <c r="N13" s="26" t="n"/>
      <c r="O13" s="29">
        <f>IF($A13="","",IF(ISNUMBER($N13),$N13,$M13))</f>
        <v/>
      </c>
      <c r="P13" s="28">
        <f>IF($A13="","",SUMIF('入金消込'!$F$5:$F$1004,$A13,'入金消込'!$G$5:$G$1004))</f>
        <v/>
      </c>
      <c r="Q13" s="28">
        <f>IF($A13="","",SUMIF('入金消込'!$F$5:$F$1004,$A13,'入金消込'!$H$5:$H$1004)+SUMIF('入金消込'!$F$5:$F$1004,$A13,'入金消込'!$I$5:$I$1004))</f>
        <v/>
      </c>
      <c r="R13" s="28">
        <f>IF($A13="","",$L13-$P13-$Q13)</f>
        <v/>
      </c>
      <c r="S13" s="30">
        <f>IF($A13="","",IF($R13=0,IF($L13=0,"請求額0","回収済"),IF($L13&lt;0,IF($R13&lt;0,"差し引き待ち","差し引きすぎ"),IF($R13&lt;0,"入金が多い",IF($P13+$Q13=0,"未入金","一部入金")))))</f>
        <v/>
      </c>
      <c r="T13" s="31">
        <f>IF(OR($A13="",N($R13)&lt;=0,NOT(ISNUMBER($O13))),"",IF($O13&lt;'設定'!$B$7,'設定'!$B$7-$O13,""))</f>
        <v/>
      </c>
      <c r="U13" s="30">
        <f>IF(OR($A13="",N($R13)&lt;=0),"",IF(NOT(ISNUMBER($O13)),'設定'!$B$22,IF($O13&gt;='設定'!$B$7,'設定'!$B$17,IF('設定'!$B$7-$O13&lt;='設定'!$B$12,'設定'!$B$18,IF('設定'!$B$7-$O13&lt;='設定'!$B$13,'設定'!$B$19,IF('設定'!$B$7-$O13&lt;='設定'!$B$14,'設定'!$B$20,'設定'!$B$21))))))</f>
        <v/>
      </c>
      <c r="V13" s="56" t="n"/>
      <c r="W13" s="32">
        <f>IF($C13="","",IFERROR(MATCH($C13,'得意先'!$B$5:$B$104,0),"なし"))</f>
        <v/>
      </c>
      <c r="X13" s="33">
        <f>IF($A13="","",IF(ISNUMBER($E13),$E13,IF(ISNUMBER($B13),$B13,"")))</f>
        <v/>
      </c>
      <c r="Y13" s="34">
        <f>IF($T13="","",$O13+ROW()/1000000)</f>
        <v/>
      </c>
      <c r="Z13" s="35">
        <f>IF(OR($A13="",$C13="",$C13&lt;&gt;'売掛帳'!$B$3,NOT(ISNUMBER($X13))),"",IF(AND($X13&gt;='売掛帳'!$Q$3,$X13&lt;='売掛帳'!$Q$4),$X13+ROW()/10000000,""))</f>
        <v/>
      </c>
    </row>
    <row r="14" ht="18" customHeight="1">
      <c r="A14" s="18" t="n"/>
      <c r="B14" s="26" t="n"/>
      <c r="C14" s="18" t="n"/>
      <c r="D14" s="20">
        <f>IF($W14="","",IF($W14="なし","※得意先にないコード",INDEX('得意先'!$C$5:$C$104,$W14)&amp;""))</f>
        <v/>
      </c>
      <c r="E14" s="26" t="n"/>
      <c r="F14" s="19" t="n"/>
      <c r="G14" s="27" t="n"/>
      <c r="H14" s="27" t="n"/>
      <c r="I14" s="27" t="n"/>
      <c r="J14" s="28">
        <f>IF($A14="","",IF('設定'!$B$10="四捨五入",ROUND(IF('設定'!$B$9="税込",N($G14)*10/110,N($G14)*10/100),0),IF('設定'!$B$10="切り上げ",ROUNDUP(IF('設定'!$B$9="税込",N($G14)*10/110,N($G14)*10/100),0),ROUNDDOWN(IF('設定'!$B$9="税込",N($G14)*10/110,N($G14)*10/100),0))))</f>
        <v/>
      </c>
      <c r="K14" s="28">
        <f>IF($A14="","",IF('設定'!$B$10="四捨五入",ROUND(IF('設定'!$B$9="税込",N($H14)*8/108,N($H14)*8/100),0),IF('設定'!$B$10="切り上げ",ROUNDUP(IF('設定'!$B$9="税込",N($H14)*8/108,N($H14)*8/100),0),ROUNDDOWN(IF('設定'!$B$9="税込",N($H14)*8/108,N($H14)*8/100),0))))</f>
        <v/>
      </c>
      <c r="L14" s="28">
        <f>IF($A14="","",N($G14)+N($H14)+N($I14)+IF('設定'!$B$9="税込",0,$J14+$K14))</f>
        <v/>
      </c>
      <c r="M14" s="29">
        <f>IF(OR($A14="",NOT(ISNUMBER($W14)),NOT(ISNUMBER($X14))),"",IF(OR(INDEX('得意先'!$D$5:$D$104,$W14)="",INDEX('得意先'!$E$5:$E$104,$W14)="",INDEX('得意先'!$F$5:$F$104,$W14)=""),"",IF(INDEX('得意先'!$F$5:$F$104,$W14)="末",DATE(YEAR($X14),(MONTH($X14)+IF(INDEX('得意先'!$D$5:$D$104,$W14)="末",0,IF(DAY($X14)&lt;=INDEX('得意先'!$D$5:$D$104,$W14),0,1))+N(INDEX('得意先'!$E$5:$E$104,$W14)))+1,0),DATE(YEAR($X14),(MONTH($X14)+IF(INDEX('得意先'!$D$5:$D$104,$W14)="末",0,IF(DAY($X14)&lt;=INDEX('得意先'!$D$5:$D$104,$W14),0,1))+N(INDEX('得意先'!$E$5:$E$104,$W14))),MIN(INDEX('得意先'!$F$5:$F$104,$W14),DAY(DATE(YEAR($X14),(MONTH($X14)+IF(INDEX('得意先'!$D$5:$D$104,$W14)="末",0,IF(DAY($X14)&lt;=INDEX('得意先'!$D$5:$D$104,$W14),0,1))+N(INDEX('得意先'!$E$5:$E$104,$W14)))+1,0)))))))</f>
        <v/>
      </c>
      <c r="N14" s="26" t="n"/>
      <c r="O14" s="29">
        <f>IF($A14="","",IF(ISNUMBER($N14),$N14,$M14))</f>
        <v/>
      </c>
      <c r="P14" s="28">
        <f>IF($A14="","",SUMIF('入金消込'!$F$5:$F$1004,$A14,'入金消込'!$G$5:$G$1004))</f>
        <v/>
      </c>
      <c r="Q14" s="28">
        <f>IF($A14="","",SUMIF('入金消込'!$F$5:$F$1004,$A14,'入金消込'!$H$5:$H$1004)+SUMIF('入金消込'!$F$5:$F$1004,$A14,'入金消込'!$I$5:$I$1004))</f>
        <v/>
      </c>
      <c r="R14" s="28">
        <f>IF($A14="","",$L14-$P14-$Q14)</f>
        <v/>
      </c>
      <c r="S14" s="30">
        <f>IF($A14="","",IF($R14=0,IF($L14=0,"請求額0","回収済"),IF($L14&lt;0,IF($R14&lt;0,"差し引き待ち","差し引きすぎ"),IF($R14&lt;0,"入金が多い",IF($P14+$Q14=0,"未入金","一部入金")))))</f>
        <v/>
      </c>
      <c r="T14" s="31">
        <f>IF(OR($A14="",N($R14)&lt;=0,NOT(ISNUMBER($O14))),"",IF($O14&lt;'設定'!$B$7,'設定'!$B$7-$O14,""))</f>
        <v/>
      </c>
      <c r="U14" s="30">
        <f>IF(OR($A14="",N($R14)&lt;=0),"",IF(NOT(ISNUMBER($O14)),'設定'!$B$22,IF($O14&gt;='設定'!$B$7,'設定'!$B$17,IF('設定'!$B$7-$O14&lt;='設定'!$B$12,'設定'!$B$18,IF('設定'!$B$7-$O14&lt;='設定'!$B$13,'設定'!$B$19,IF('設定'!$B$7-$O14&lt;='設定'!$B$14,'設定'!$B$20,'設定'!$B$21))))))</f>
        <v/>
      </c>
      <c r="V14" s="56" t="n"/>
      <c r="W14" s="32">
        <f>IF($C14="","",IFERROR(MATCH($C14,'得意先'!$B$5:$B$104,0),"なし"))</f>
        <v/>
      </c>
      <c r="X14" s="33">
        <f>IF($A14="","",IF(ISNUMBER($E14),$E14,IF(ISNUMBER($B14),$B14,"")))</f>
        <v/>
      </c>
      <c r="Y14" s="34">
        <f>IF($T14="","",$O14+ROW()/1000000)</f>
        <v/>
      </c>
      <c r="Z14" s="35">
        <f>IF(OR($A14="",$C14="",$C14&lt;&gt;'売掛帳'!$B$3,NOT(ISNUMBER($X14))),"",IF(AND($X14&gt;='売掛帳'!$Q$3,$X14&lt;='売掛帳'!$Q$4),$X14+ROW()/10000000,""))</f>
        <v/>
      </c>
    </row>
    <row r="15" ht="18" customHeight="1">
      <c r="A15" s="18" t="n"/>
      <c r="B15" s="26" t="n"/>
      <c r="C15" s="18" t="n"/>
      <c r="D15" s="20">
        <f>IF($W15="","",IF($W15="なし","※得意先にないコード",INDEX('得意先'!$C$5:$C$104,$W15)&amp;""))</f>
        <v/>
      </c>
      <c r="E15" s="26" t="n"/>
      <c r="F15" s="19" t="n"/>
      <c r="G15" s="27" t="n"/>
      <c r="H15" s="27" t="n"/>
      <c r="I15" s="27" t="n"/>
      <c r="J15" s="28">
        <f>IF($A15="","",IF('設定'!$B$10="四捨五入",ROUND(IF('設定'!$B$9="税込",N($G15)*10/110,N($G15)*10/100),0),IF('設定'!$B$10="切り上げ",ROUNDUP(IF('設定'!$B$9="税込",N($G15)*10/110,N($G15)*10/100),0),ROUNDDOWN(IF('設定'!$B$9="税込",N($G15)*10/110,N($G15)*10/100),0))))</f>
        <v/>
      </c>
      <c r="K15" s="28">
        <f>IF($A15="","",IF('設定'!$B$10="四捨五入",ROUND(IF('設定'!$B$9="税込",N($H15)*8/108,N($H15)*8/100),0),IF('設定'!$B$10="切り上げ",ROUNDUP(IF('設定'!$B$9="税込",N($H15)*8/108,N($H15)*8/100),0),ROUNDDOWN(IF('設定'!$B$9="税込",N($H15)*8/108,N($H15)*8/100),0))))</f>
        <v/>
      </c>
      <c r="L15" s="28">
        <f>IF($A15="","",N($G15)+N($H15)+N($I15)+IF('設定'!$B$9="税込",0,$J15+$K15))</f>
        <v/>
      </c>
      <c r="M15" s="29">
        <f>IF(OR($A15="",NOT(ISNUMBER($W15)),NOT(ISNUMBER($X15))),"",IF(OR(INDEX('得意先'!$D$5:$D$104,$W15)="",INDEX('得意先'!$E$5:$E$104,$W15)="",INDEX('得意先'!$F$5:$F$104,$W15)=""),"",IF(INDEX('得意先'!$F$5:$F$104,$W15)="末",DATE(YEAR($X15),(MONTH($X15)+IF(INDEX('得意先'!$D$5:$D$104,$W15)="末",0,IF(DAY($X15)&lt;=INDEX('得意先'!$D$5:$D$104,$W15),0,1))+N(INDEX('得意先'!$E$5:$E$104,$W15)))+1,0),DATE(YEAR($X15),(MONTH($X15)+IF(INDEX('得意先'!$D$5:$D$104,$W15)="末",0,IF(DAY($X15)&lt;=INDEX('得意先'!$D$5:$D$104,$W15),0,1))+N(INDEX('得意先'!$E$5:$E$104,$W15))),MIN(INDEX('得意先'!$F$5:$F$104,$W15),DAY(DATE(YEAR($X15),(MONTH($X15)+IF(INDEX('得意先'!$D$5:$D$104,$W15)="末",0,IF(DAY($X15)&lt;=INDEX('得意先'!$D$5:$D$104,$W15),0,1))+N(INDEX('得意先'!$E$5:$E$104,$W15)))+1,0)))))))</f>
        <v/>
      </c>
      <c r="N15" s="26" t="n"/>
      <c r="O15" s="29">
        <f>IF($A15="","",IF(ISNUMBER($N15),$N15,$M15))</f>
        <v/>
      </c>
      <c r="P15" s="28">
        <f>IF($A15="","",SUMIF('入金消込'!$F$5:$F$1004,$A15,'入金消込'!$G$5:$G$1004))</f>
        <v/>
      </c>
      <c r="Q15" s="28">
        <f>IF($A15="","",SUMIF('入金消込'!$F$5:$F$1004,$A15,'入金消込'!$H$5:$H$1004)+SUMIF('入金消込'!$F$5:$F$1004,$A15,'入金消込'!$I$5:$I$1004))</f>
        <v/>
      </c>
      <c r="R15" s="28">
        <f>IF($A15="","",$L15-$P15-$Q15)</f>
        <v/>
      </c>
      <c r="S15" s="30">
        <f>IF($A15="","",IF($R15=0,IF($L15=0,"請求額0","回収済"),IF($L15&lt;0,IF($R15&lt;0,"差し引き待ち","差し引きすぎ"),IF($R15&lt;0,"入金が多い",IF($P15+$Q15=0,"未入金","一部入金")))))</f>
        <v/>
      </c>
      <c r="T15" s="31">
        <f>IF(OR($A15="",N($R15)&lt;=0,NOT(ISNUMBER($O15))),"",IF($O15&lt;'設定'!$B$7,'設定'!$B$7-$O15,""))</f>
        <v/>
      </c>
      <c r="U15" s="30">
        <f>IF(OR($A15="",N($R15)&lt;=0),"",IF(NOT(ISNUMBER($O15)),'設定'!$B$22,IF($O15&gt;='設定'!$B$7,'設定'!$B$17,IF('設定'!$B$7-$O15&lt;='設定'!$B$12,'設定'!$B$18,IF('設定'!$B$7-$O15&lt;='設定'!$B$13,'設定'!$B$19,IF('設定'!$B$7-$O15&lt;='設定'!$B$14,'設定'!$B$20,'設定'!$B$21))))))</f>
        <v/>
      </c>
      <c r="V15" s="56" t="n"/>
      <c r="W15" s="32">
        <f>IF($C15="","",IFERROR(MATCH($C15,'得意先'!$B$5:$B$104,0),"なし"))</f>
        <v/>
      </c>
      <c r="X15" s="33">
        <f>IF($A15="","",IF(ISNUMBER($E15),$E15,IF(ISNUMBER($B15),$B15,"")))</f>
        <v/>
      </c>
      <c r="Y15" s="34">
        <f>IF($T15="","",$O15+ROW()/1000000)</f>
        <v/>
      </c>
      <c r="Z15" s="35">
        <f>IF(OR($A15="",$C15="",$C15&lt;&gt;'売掛帳'!$B$3,NOT(ISNUMBER($X15))),"",IF(AND($X15&gt;='売掛帳'!$Q$3,$X15&lt;='売掛帳'!$Q$4),$X15+ROW()/10000000,""))</f>
        <v/>
      </c>
    </row>
    <row r="16" ht="18" customHeight="1">
      <c r="A16" s="18" t="n"/>
      <c r="B16" s="26" t="n"/>
      <c r="C16" s="18" t="n"/>
      <c r="D16" s="20">
        <f>IF($W16="","",IF($W16="なし","※得意先にないコード",INDEX('得意先'!$C$5:$C$104,$W16)&amp;""))</f>
        <v/>
      </c>
      <c r="E16" s="26" t="n"/>
      <c r="F16" s="19" t="n"/>
      <c r="G16" s="27" t="n"/>
      <c r="H16" s="27" t="n"/>
      <c r="I16" s="27" t="n"/>
      <c r="J16" s="28">
        <f>IF($A16="","",IF('設定'!$B$10="四捨五入",ROUND(IF('設定'!$B$9="税込",N($G16)*10/110,N($G16)*10/100),0),IF('設定'!$B$10="切り上げ",ROUNDUP(IF('設定'!$B$9="税込",N($G16)*10/110,N($G16)*10/100),0),ROUNDDOWN(IF('設定'!$B$9="税込",N($G16)*10/110,N($G16)*10/100),0))))</f>
        <v/>
      </c>
      <c r="K16" s="28">
        <f>IF($A16="","",IF('設定'!$B$10="四捨五入",ROUND(IF('設定'!$B$9="税込",N($H16)*8/108,N($H16)*8/100),0),IF('設定'!$B$10="切り上げ",ROUNDUP(IF('設定'!$B$9="税込",N($H16)*8/108,N($H16)*8/100),0),ROUNDDOWN(IF('設定'!$B$9="税込",N($H16)*8/108,N($H16)*8/100),0))))</f>
        <v/>
      </c>
      <c r="L16" s="28">
        <f>IF($A16="","",N($G16)+N($H16)+N($I16)+IF('設定'!$B$9="税込",0,$J16+$K16))</f>
        <v/>
      </c>
      <c r="M16" s="29">
        <f>IF(OR($A16="",NOT(ISNUMBER($W16)),NOT(ISNUMBER($X16))),"",IF(OR(INDEX('得意先'!$D$5:$D$104,$W16)="",INDEX('得意先'!$E$5:$E$104,$W16)="",INDEX('得意先'!$F$5:$F$104,$W16)=""),"",IF(INDEX('得意先'!$F$5:$F$104,$W16)="末",DATE(YEAR($X16),(MONTH($X16)+IF(INDEX('得意先'!$D$5:$D$104,$W16)="末",0,IF(DAY($X16)&lt;=INDEX('得意先'!$D$5:$D$104,$W16),0,1))+N(INDEX('得意先'!$E$5:$E$104,$W16)))+1,0),DATE(YEAR($X16),(MONTH($X16)+IF(INDEX('得意先'!$D$5:$D$104,$W16)="末",0,IF(DAY($X16)&lt;=INDEX('得意先'!$D$5:$D$104,$W16),0,1))+N(INDEX('得意先'!$E$5:$E$104,$W16))),MIN(INDEX('得意先'!$F$5:$F$104,$W16),DAY(DATE(YEAR($X16),(MONTH($X16)+IF(INDEX('得意先'!$D$5:$D$104,$W16)="末",0,IF(DAY($X16)&lt;=INDEX('得意先'!$D$5:$D$104,$W16),0,1))+N(INDEX('得意先'!$E$5:$E$104,$W16)))+1,0)))))))</f>
        <v/>
      </c>
      <c r="N16" s="26" t="n"/>
      <c r="O16" s="29">
        <f>IF($A16="","",IF(ISNUMBER($N16),$N16,$M16))</f>
        <v/>
      </c>
      <c r="P16" s="28">
        <f>IF($A16="","",SUMIF('入金消込'!$F$5:$F$1004,$A16,'入金消込'!$G$5:$G$1004))</f>
        <v/>
      </c>
      <c r="Q16" s="28">
        <f>IF($A16="","",SUMIF('入金消込'!$F$5:$F$1004,$A16,'入金消込'!$H$5:$H$1004)+SUMIF('入金消込'!$F$5:$F$1004,$A16,'入金消込'!$I$5:$I$1004))</f>
        <v/>
      </c>
      <c r="R16" s="28">
        <f>IF($A16="","",$L16-$P16-$Q16)</f>
        <v/>
      </c>
      <c r="S16" s="30">
        <f>IF($A16="","",IF($R16=0,IF($L16=0,"請求額0","回収済"),IF($L16&lt;0,IF($R16&lt;0,"差し引き待ち","差し引きすぎ"),IF($R16&lt;0,"入金が多い",IF($P16+$Q16=0,"未入金","一部入金")))))</f>
        <v/>
      </c>
      <c r="T16" s="31">
        <f>IF(OR($A16="",N($R16)&lt;=0,NOT(ISNUMBER($O16))),"",IF($O16&lt;'設定'!$B$7,'設定'!$B$7-$O16,""))</f>
        <v/>
      </c>
      <c r="U16" s="30">
        <f>IF(OR($A16="",N($R16)&lt;=0),"",IF(NOT(ISNUMBER($O16)),'設定'!$B$22,IF($O16&gt;='設定'!$B$7,'設定'!$B$17,IF('設定'!$B$7-$O16&lt;='設定'!$B$12,'設定'!$B$18,IF('設定'!$B$7-$O16&lt;='設定'!$B$13,'設定'!$B$19,IF('設定'!$B$7-$O16&lt;='設定'!$B$14,'設定'!$B$20,'設定'!$B$21))))))</f>
        <v/>
      </c>
      <c r="V16" s="56" t="n"/>
      <c r="W16" s="32">
        <f>IF($C16="","",IFERROR(MATCH($C16,'得意先'!$B$5:$B$104,0),"なし"))</f>
        <v/>
      </c>
      <c r="X16" s="33">
        <f>IF($A16="","",IF(ISNUMBER($E16),$E16,IF(ISNUMBER($B16),$B16,"")))</f>
        <v/>
      </c>
      <c r="Y16" s="34">
        <f>IF($T16="","",$O16+ROW()/1000000)</f>
        <v/>
      </c>
      <c r="Z16" s="35">
        <f>IF(OR($A16="",$C16="",$C16&lt;&gt;'売掛帳'!$B$3,NOT(ISNUMBER($X16))),"",IF(AND($X16&gt;='売掛帳'!$Q$3,$X16&lt;='売掛帳'!$Q$4),$X16+ROW()/10000000,""))</f>
        <v/>
      </c>
    </row>
    <row r="17" ht="18" customHeight="1">
      <c r="A17" s="18" t="n"/>
      <c r="B17" s="26" t="n"/>
      <c r="C17" s="18" t="n"/>
      <c r="D17" s="20">
        <f>IF($W17="","",IF($W17="なし","※得意先にないコード",INDEX('得意先'!$C$5:$C$104,$W17)&amp;""))</f>
        <v/>
      </c>
      <c r="E17" s="26" t="n"/>
      <c r="F17" s="19" t="n"/>
      <c r="G17" s="27" t="n"/>
      <c r="H17" s="27" t="n"/>
      <c r="I17" s="27" t="n"/>
      <c r="J17" s="28">
        <f>IF($A17="","",IF('設定'!$B$10="四捨五入",ROUND(IF('設定'!$B$9="税込",N($G17)*10/110,N($G17)*10/100),0),IF('設定'!$B$10="切り上げ",ROUNDUP(IF('設定'!$B$9="税込",N($G17)*10/110,N($G17)*10/100),0),ROUNDDOWN(IF('設定'!$B$9="税込",N($G17)*10/110,N($G17)*10/100),0))))</f>
        <v/>
      </c>
      <c r="K17" s="28">
        <f>IF($A17="","",IF('設定'!$B$10="四捨五入",ROUND(IF('設定'!$B$9="税込",N($H17)*8/108,N($H17)*8/100),0),IF('設定'!$B$10="切り上げ",ROUNDUP(IF('設定'!$B$9="税込",N($H17)*8/108,N($H17)*8/100),0),ROUNDDOWN(IF('設定'!$B$9="税込",N($H17)*8/108,N($H17)*8/100),0))))</f>
        <v/>
      </c>
      <c r="L17" s="28">
        <f>IF($A17="","",N($G17)+N($H17)+N($I17)+IF('設定'!$B$9="税込",0,$J17+$K17))</f>
        <v/>
      </c>
      <c r="M17" s="29">
        <f>IF(OR($A17="",NOT(ISNUMBER($W17)),NOT(ISNUMBER($X17))),"",IF(OR(INDEX('得意先'!$D$5:$D$104,$W17)="",INDEX('得意先'!$E$5:$E$104,$W17)="",INDEX('得意先'!$F$5:$F$104,$W17)=""),"",IF(INDEX('得意先'!$F$5:$F$104,$W17)="末",DATE(YEAR($X17),(MONTH($X17)+IF(INDEX('得意先'!$D$5:$D$104,$W17)="末",0,IF(DAY($X17)&lt;=INDEX('得意先'!$D$5:$D$104,$W17),0,1))+N(INDEX('得意先'!$E$5:$E$104,$W17)))+1,0),DATE(YEAR($X17),(MONTH($X17)+IF(INDEX('得意先'!$D$5:$D$104,$W17)="末",0,IF(DAY($X17)&lt;=INDEX('得意先'!$D$5:$D$104,$W17),0,1))+N(INDEX('得意先'!$E$5:$E$104,$W17))),MIN(INDEX('得意先'!$F$5:$F$104,$W17),DAY(DATE(YEAR($X17),(MONTH($X17)+IF(INDEX('得意先'!$D$5:$D$104,$W17)="末",0,IF(DAY($X17)&lt;=INDEX('得意先'!$D$5:$D$104,$W17),0,1))+N(INDEX('得意先'!$E$5:$E$104,$W17)))+1,0)))))))</f>
        <v/>
      </c>
      <c r="N17" s="26" t="n"/>
      <c r="O17" s="29">
        <f>IF($A17="","",IF(ISNUMBER($N17),$N17,$M17))</f>
        <v/>
      </c>
      <c r="P17" s="28">
        <f>IF($A17="","",SUMIF('入金消込'!$F$5:$F$1004,$A17,'入金消込'!$G$5:$G$1004))</f>
        <v/>
      </c>
      <c r="Q17" s="28">
        <f>IF($A17="","",SUMIF('入金消込'!$F$5:$F$1004,$A17,'入金消込'!$H$5:$H$1004)+SUMIF('入金消込'!$F$5:$F$1004,$A17,'入金消込'!$I$5:$I$1004))</f>
        <v/>
      </c>
      <c r="R17" s="28">
        <f>IF($A17="","",$L17-$P17-$Q17)</f>
        <v/>
      </c>
      <c r="S17" s="30">
        <f>IF($A17="","",IF($R17=0,IF($L17=0,"請求額0","回収済"),IF($L17&lt;0,IF($R17&lt;0,"差し引き待ち","差し引きすぎ"),IF($R17&lt;0,"入金が多い",IF($P17+$Q17=0,"未入金","一部入金")))))</f>
        <v/>
      </c>
      <c r="T17" s="31">
        <f>IF(OR($A17="",N($R17)&lt;=0,NOT(ISNUMBER($O17))),"",IF($O17&lt;'設定'!$B$7,'設定'!$B$7-$O17,""))</f>
        <v/>
      </c>
      <c r="U17" s="30">
        <f>IF(OR($A17="",N($R17)&lt;=0),"",IF(NOT(ISNUMBER($O17)),'設定'!$B$22,IF($O17&gt;='設定'!$B$7,'設定'!$B$17,IF('設定'!$B$7-$O17&lt;='設定'!$B$12,'設定'!$B$18,IF('設定'!$B$7-$O17&lt;='設定'!$B$13,'設定'!$B$19,IF('設定'!$B$7-$O17&lt;='設定'!$B$14,'設定'!$B$20,'設定'!$B$21))))))</f>
        <v/>
      </c>
      <c r="V17" s="56" t="n"/>
      <c r="W17" s="32">
        <f>IF($C17="","",IFERROR(MATCH($C17,'得意先'!$B$5:$B$104,0),"なし"))</f>
        <v/>
      </c>
      <c r="X17" s="33">
        <f>IF($A17="","",IF(ISNUMBER($E17),$E17,IF(ISNUMBER($B17),$B17,"")))</f>
        <v/>
      </c>
      <c r="Y17" s="34">
        <f>IF($T17="","",$O17+ROW()/1000000)</f>
        <v/>
      </c>
      <c r="Z17" s="35">
        <f>IF(OR($A17="",$C17="",$C17&lt;&gt;'売掛帳'!$B$3,NOT(ISNUMBER($X17))),"",IF(AND($X17&gt;='売掛帳'!$Q$3,$X17&lt;='売掛帳'!$Q$4),$X17+ROW()/10000000,""))</f>
        <v/>
      </c>
    </row>
    <row r="18" ht="18" customHeight="1">
      <c r="A18" s="18" t="n"/>
      <c r="B18" s="26" t="n"/>
      <c r="C18" s="18" t="n"/>
      <c r="D18" s="20">
        <f>IF($W18="","",IF($W18="なし","※得意先にないコード",INDEX('得意先'!$C$5:$C$104,$W18)&amp;""))</f>
        <v/>
      </c>
      <c r="E18" s="26" t="n"/>
      <c r="F18" s="19" t="n"/>
      <c r="G18" s="27" t="n"/>
      <c r="H18" s="27" t="n"/>
      <c r="I18" s="27" t="n"/>
      <c r="J18" s="28">
        <f>IF($A18="","",IF('設定'!$B$10="四捨五入",ROUND(IF('設定'!$B$9="税込",N($G18)*10/110,N($G18)*10/100),0),IF('設定'!$B$10="切り上げ",ROUNDUP(IF('設定'!$B$9="税込",N($G18)*10/110,N($G18)*10/100),0),ROUNDDOWN(IF('設定'!$B$9="税込",N($G18)*10/110,N($G18)*10/100),0))))</f>
        <v/>
      </c>
      <c r="K18" s="28">
        <f>IF($A18="","",IF('設定'!$B$10="四捨五入",ROUND(IF('設定'!$B$9="税込",N($H18)*8/108,N($H18)*8/100),0),IF('設定'!$B$10="切り上げ",ROUNDUP(IF('設定'!$B$9="税込",N($H18)*8/108,N($H18)*8/100),0),ROUNDDOWN(IF('設定'!$B$9="税込",N($H18)*8/108,N($H18)*8/100),0))))</f>
        <v/>
      </c>
      <c r="L18" s="28">
        <f>IF($A18="","",N($G18)+N($H18)+N($I18)+IF('設定'!$B$9="税込",0,$J18+$K18))</f>
        <v/>
      </c>
      <c r="M18" s="29">
        <f>IF(OR($A18="",NOT(ISNUMBER($W18)),NOT(ISNUMBER($X18))),"",IF(OR(INDEX('得意先'!$D$5:$D$104,$W18)="",INDEX('得意先'!$E$5:$E$104,$W18)="",INDEX('得意先'!$F$5:$F$104,$W18)=""),"",IF(INDEX('得意先'!$F$5:$F$104,$W18)="末",DATE(YEAR($X18),(MONTH($X18)+IF(INDEX('得意先'!$D$5:$D$104,$W18)="末",0,IF(DAY($X18)&lt;=INDEX('得意先'!$D$5:$D$104,$W18),0,1))+N(INDEX('得意先'!$E$5:$E$104,$W18)))+1,0),DATE(YEAR($X18),(MONTH($X18)+IF(INDEX('得意先'!$D$5:$D$104,$W18)="末",0,IF(DAY($X18)&lt;=INDEX('得意先'!$D$5:$D$104,$W18),0,1))+N(INDEX('得意先'!$E$5:$E$104,$W18))),MIN(INDEX('得意先'!$F$5:$F$104,$W18),DAY(DATE(YEAR($X18),(MONTH($X18)+IF(INDEX('得意先'!$D$5:$D$104,$W18)="末",0,IF(DAY($X18)&lt;=INDEX('得意先'!$D$5:$D$104,$W18),0,1))+N(INDEX('得意先'!$E$5:$E$104,$W18)))+1,0)))))))</f>
        <v/>
      </c>
      <c r="N18" s="26" t="n"/>
      <c r="O18" s="29">
        <f>IF($A18="","",IF(ISNUMBER($N18),$N18,$M18))</f>
        <v/>
      </c>
      <c r="P18" s="28">
        <f>IF($A18="","",SUMIF('入金消込'!$F$5:$F$1004,$A18,'入金消込'!$G$5:$G$1004))</f>
        <v/>
      </c>
      <c r="Q18" s="28">
        <f>IF($A18="","",SUMIF('入金消込'!$F$5:$F$1004,$A18,'入金消込'!$H$5:$H$1004)+SUMIF('入金消込'!$F$5:$F$1004,$A18,'入金消込'!$I$5:$I$1004))</f>
        <v/>
      </c>
      <c r="R18" s="28">
        <f>IF($A18="","",$L18-$P18-$Q18)</f>
        <v/>
      </c>
      <c r="S18" s="30">
        <f>IF($A18="","",IF($R18=0,IF($L18=0,"請求額0","回収済"),IF($L18&lt;0,IF($R18&lt;0,"差し引き待ち","差し引きすぎ"),IF($R18&lt;0,"入金が多い",IF($P18+$Q18=0,"未入金","一部入金")))))</f>
        <v/>
      </c>
      <c r="T18" s="31">
        <f>IF(OR($A18="",N($R18)&lt;=0,NOT(ISNUMBER($O18))),"",IF($O18&lt;'設定'!$B$7,'設定'!$B$7-$O18,""))</f>
        <v/>
      </c>
      <c r="U18" s="30">
        <f>IF(OR($A18="",N($R18)&lt;=0),"",IF(NOT(ISNUMBER($O18)),'設定'!$B$22,IF($O18&gt;='設定'!$B$7,'設定'!$B$17,IF('設定'!$B$7-$O18&lt;='設定'!$B$12,'設定'!$B$18,IF('設定'!$B$7-$O18&lt;='設定'!$B$13,'設定'!$B$19,IF('設定'!$B$7-$O18&lt;='設定'!$B$14,'設定'!$B$20,'設定'!$B$21))))))</f>
        <v/>
      </c>
      <c r="V18" s="56" t="n"/>
      <c r="W18" s="32">
        <f>IF($C18="","",IFERROR(MATCH($C18,'得意先'!$B$5:$B$104,0),"なし"))</f>
        <v/>
      </c>
      <c r="X18" s="33">
        <f>IF($A18="","",IF(ISNUMBER($E18),$E18,IF(ISNUMBER($B18),$B18,"")))</f>
        <v/>
      </c>
      <c r="Y18" s="34">
        <f>IF($T18="","",$O18+ROW()/1000000)</f>
        <v/>
      </c>
      <c r="Z18" s="35">
        <f>IF(OR($A18="",$C18="",$C18&lt;&gt;'売掛帳'!$B$3,NOT(ISNUMBER($X18))),"",IF(AND($X18&gt;='売掛帳'!$Q$3,$X18&lt;='売掛帳'!$Q$4),$X18+ROW()/10000000,""))</f>
        <v/>
      </c>
    </row>
    <row r="19" ht="18" customHeight="1">
      <c r="A19" s="18" t="n"/>
      <c r="B19" s="26" t="n"/>
      <c r="C19" s="18" t="n"/>
      <c r="D19" s="20">
        <f>IF($W19="","",IF($W19="なし","※得意先にないコード",INDEX('得意先'!$C$5:$C$104,$W19)&amp;""))</f>
        <v/>
      </c>
      <c r="E19" s="26" t="n"/>
      <c r="F19" s="19" t="n"/>
      <c r="G19" s="27" t="n"/>
      <c r="H19" s="27" t="n"/>
      <c r="I19" s="27" t="n"/>
      <c r="J19" s="28">
        <f>IF($A19="","",IF('設定'!$B$10="四捨五入",ROUND(IF('設定'!$B$9="税込",N($G19)*10/110,N($G19)*10/100),0),IF('設定'!$B$10="切り上げ",ROUNDUP(IF('設定'!$B$9="税込",N($G19)*10/110,N($G19)*10/100),0),ROUNDDOWN(IF('設定'!$B$9="税込",N($G19)*10/110,N($G19)*10/100),0))))</f>
        <v/>
      </c>
      <c r="K19" s="28">
        <f>IF($A19="","",IF('設定'!$B$10="四捨五入",ROUND(IF('設定'!$B$9="税込",N($H19)*8/108,N($H19)*8/100),0),IF('設定'!$B$10="切り上げ",ROUNDUP(IF('設定'!$B$9="税込",N($H19)*8/108,N($H19)*8/100),0),ROUNDDOWN(IF('設定'!$B$9="税込",N($H19)*8/108,N($H19)*8/100),0))))</f>
        <v/>
      </c>
      <c r="L19" s="28">
        <f>IF($A19="","",N($G19)+N($H19)+N($I19)+IF('設定'!$B$9="税込",0,$J19+$K19))</f>
        <v/>
      </c>
      <c r="M19" s="29">
        <f>IF(OR($A19="",NOT(ISNUMBER($W19)),NOT(ISNUMBER($X19))),"",IF(OR(INDEX('得意先'!$D$5:$D$104,$W19)="",INDEX('得意先'!$E$5:$E$104,$W19)="",INDEX('得意先'!$F$5:$F$104,$W19)=""),"",IF(INDEX('得意先'!$F$5:$F$104,$W19)="末",DATE(YEAR($X19),(MONTH($X19)+IF(INDEX('得意先'!$D$5:$D$104,$W19)="末",0,IF(DAY($X19)&lt;=INDEX('得意先'!$D$5:$D$104,$W19),0,1))+N(INDEX('得意先'!$E$5:$E$104,$W19)))+1,0),DATE(YEAR($X19),(MONTH($X19)+IF(INDEX('得意先'!$D$5:$D$104,$W19)="末",0,IF(DAY($X19)&lt;=INDEX('得意先'!$D$5:$D$104,$W19),0,1))+N(INDEX('得意先'!$E$5:$E$104,$W19))),MIN(INDEX('得意先'!$F$5:$F$104,$W19),DAY(DATE(YEAR($X19),(MONTH($X19)+IF(INDEX('得意先'!$D$5:$D$104,$W19)="末",0,IF(DAY($X19)&lt;=INDEX('得意先'!$D$5:$D$104,$W19),0,1))+N(INDEX('得意先'!$E$5:$E$104,$W19)))+1,0)))))))</f>
        <v/>
      </c>
      <c r="N19" s="26" t="n"/>
      <c r="O19" s="29">
        <f>IF($A19="","",IF(ISNUMBER($N19),$N19,$M19))</f>
        <v/>
      </c>
      <c r="P19" s="28">
        <f>IF($A19="","",SUMIF('入金消込'!$F$5:$F$1004,$A19,'入金消込'!$G$5:$G$1004))</f>
        <v/>
      </c>
      <c r="Q19" s="28">
        <f>IF($A19="","",SUMIF('入金消込'!$F$5:$F$1004,$A19,'入金消込'!$H$5:$H$1004)+SUMIF('入金消込'!$F$5:$F$1004,$A19,'入金消込'!$I$5:$I$1004))</f>
        <v/>
      </c>
      <c r="R19" s="28">
        <f>IF($A19="","",$L19-$P19-$Q19)</f>
        <v/>
      </c>
      <c r="S19" s="30">
        <f>IF($A19="","",IF($R19=0,IF($L19=0,"請求額0","回収済"),IF($L19&lt;0,IF($R19&lt;0,"差し引き待ち","差し引きすぎ"),IF($R19&lt;0,"入金が多い",IF($P19+$Q19=0,"未入金","一部入金")))))</f>
        <v/>
      </c>
      <c r="T19" s="31">
        <f>IF(OR($A19="",N($R19)&lt;=0,NOT(ISNUMBER($O19))),"",IF($O19&lt;'設定'!$B$7,'設定'!$B$7-$O19,""))</f>
        <v/>
      </c>
      <c r="U19" s="30">
        <f>IF(OR($A19="",N($R19)&lt;=0),"",IF(NOT(ISNUMBER($O19)),'設定'!$B$22,IF($O19&gt;='設定'!$B$7,'設定'!$B$17,IF('設定'!$B$7-$O19&lt;='設定'!$B$12,'設定'!$B$18,IF('設定'!$B$7-$O19&lt;='設定'!$B$13,'設定'!$B$19,IF('設定'!$B$7-$O19&lt;='設定'!$B$14,'設定'!$B$20,'設定'!$B$21))))))</f>
        <v/>
      </c>
      <c r="V19" s="56" t="n"/>
      <c r="W19" s="32">
        <f>IF($C19="","",IFERROR(MATCH($C19,'得意先'!$B$5:$B$104,0),"なし"))</f>
        <v/>
      </c>
      <c r="X19" s="33">
        <f>IF($A19="","",IF(ISNUMBER($E19),$E19,IF(ISNUMBER($B19),$B19,"")))</f>
        <v/>
      </c>
      <c r="Y19" s="34">
        <f>IF($T19="","",$O19+ROW()/1000000)</f>
        <v/>
      </c>
      <c r="Z19" s="35">
        <f>IF(OR($A19="",$C19="",$C19&lt;&gt;'売掛帳'!$B$3,NOT(ISNUMBER($X19))),"",IF(AND($X19&gt;='売掛帳'!$Q$3,$X19&lt;='売掛帳'!$Q$4),$X19+ROW()/10000000,""))</f>
        <v/>
      </c>
    </row>
    <row r="20" ht="18" customHeight="1">
      <c r="A20" s="18" t="n"/>
      <c r="B20" s="26" t="n"/>
      <c r="C20" s="18" t="n"/>
      <c r="D20" s="20">
        <f>IF($W20="","",IF($W20="なし","※得意先にないコード",INDEX('得意先'!$C$5:$C$104,$W20)&amp;""))</f>
        <v/>
      </c>
      <c r="E20" s="26" t="n"/>
      <c r="F20" s="19" t="n"/>
      <c r="G20" s="27" t="n"/>
      <c r="H20" s="27" t="n"/>
      <c r="I20" s="27" t="n"/>
      <c r="J20" s="28">
        <f>IF($A20="","",IF('設定'!$B$10="四捨五入",ROUND(IF('設定'!$B$9="税込",N($G20)*10/110,N($G20)*10/100),0),IF('設定'!$B$10="切り上げ",ROUNDUP(IF('設定'!$B$9="税込",N($G20)*10/110,N($G20)*10/100),0),ROUNDDOWN(IF('設定'!$B$9="税込",N($G20)*10/110,N($G20)*10/100),0))))</f>
        <v/>
      </c>
      <c r="K20" s="28">
        <f>IF($A20="","",IF('設定'!$B$10="四捨五入",ROUND(IF('設定'!$B$9="税込",N($H20)*8/108,N($H20)*8/100),0),IF('設定'!$B$10="切り上げ",ROUNDUP(IF('設定'!$B$9="税込",N($H20)*8/108,N($H20)*8/100),0),ROUNDDOWN(IF('設定'!$B$9="税込",N($H20)*8/108,N($H20)*8/100),0))))</f>
        <v/>
      </c>
      <c r="L20" s="28">
        <f>IF($A20="","",N($G20)+N($H20)+N($I20)+IF('設定'!$B$9="税込",0,$J20+$K20))</f>
        <v/>
      </c>
      <c r="M20" s="29">
        <f>IF(OR($A20="",NOT(ISNUMBER($W20)),NOT(ISNUMBER($X20))),"",IF(OR(INDEX('得意先'!$D$5:$D$104,$W20)="",INDEX('得意先'!$E$5:$E$104,$W20)="",INDEX('得意先'!$F$5:$F$104,$W20)=""),"",IF(INDEX('得意先'!$F$5:$F$104,$W20)="末",DATE(YEAR($X20),(MONTH($X20)+IF(INDEX('得意先'!$D$5:$D$104,$W20)="末",0,IF(DAY($X20)&lt;=INDEX('得意先'!$D$5:$D$104,$W20),0,1))+N(INDEX('得意先'!$E$5:$E$104,$W20)))+1,0),DATE(YEAR($X20),(MONTH($X20)+IF(INDEX('得意先'!$D$5:$D$104,$W20)="末",0,IF(DAY($X20)&lt;=INDEX('得意先'!$D$5:$D$104,$W20),0,1))+N(INDEX('得意先'!$E$5:$E$104,$W20))),MIN(INDEX('得意先'!$F$5:$F$104,$W20),DAY(DATE(YEAR($X20),(MONTH($X20)+IF(INDEX('得意先'!$D$5:$D$104,$W20)="末",0,IF(DAY($X20)&lt;=INDEX('得意先'!$D$5:$D$104,$W20),0,1))+N(INDEX('得意先'!$E$5:$E$104,$W20)))+1,0)))))))</f>
        <v/>
      </c>
      <c r="N20" s="26" t="n"/>
      <c r="O20" s="29">
        <f>IF($A20="","",IF(ISNUMBER($N20),$N20,$M20))</f>
        <v/>
      </c>
      <c r="P20" s="28">
        <f>IF($A20="","",SUMIF('入金消込'!$F$5:$F$1004,$A20,'入金消込'!$G$5:$G$1004))</f>
        <v/>
      </c>
      <c r="Q20" s="28">
        <f>IF($A20="","",SUMIF('入金消込'!$F$5:$F$1004,$A20,'入金消込'!$H$5:$H$1004)+SUMIF('入金消込'!$F$5:$F$1004,$A20,'入金消込'!$I$5:$I$1004))</f>
        <v/>
      </c>
      <c r="R20" s="28">
        <f>IF($A20="","",$L20-$P20-$Q20)</f>
        <v/>
      </c>
      <c r="S20" s="30">
        <f>IF($A20="","",IF($R20=0,IF($L20=0,"請求額0","回収済"),IF($L20&lt;0,IF($R20&lt;0,"差し引き待ち","差し引きすぎ"),IF($R20&lt;0,"入金が多い",IF($P20+$Q20=0,"未入金","一部入金")))))</f>
        <v/>
      </c>
      <c r="T20" s="31">
        <f>IF(OR($A20="",N($R20)&lt;=0,NOT(ISNUMBER($O20))),"",IF($O20&lt;'設定'!$B$7,'設定'!$B$7-$O20,""))</f>
        <v/>
      </c>
      <c r="U20" s="30">
        <f>IF(OR($A20="",N($R20)&lt;=0),"",IF(NOT(ISNUMBER($O20)),'設定'!$B$22,IF($O20&gt;='設定'!$B$7,'設定'!$B$17,IF('設定'!$B$7-$O20&lt;='設定'!$B$12,'設定'!$B$18,IF('設定'!$B$7-$O20&lt;='設定'!$B$13,'設定'!$B$19,IF('設定'!$B$7-$O20&lt;='設定'!$B$14,'設定'!$B$20,'設定'!$B$21))))))</f>
        <v/>
      </c>
      <c r="V20" s="56" t="n"/>
      <c r="W20" s="32">
        <f>IF($C20="","",IFERROR(MATCH($C20,'得意先'!$B$5:$B$104,0),"なし"))</f>
        <v/>
      </c>
      <c r="X20" s="33">
        <f>IF($A20="","",IF(ISNUMBER($E20),$E20,IF(ISNUMBER($B20),$B20,"")))</f>
        <v/>
      </c>
      <c r="Y20" s="34">
        <f>IF($T20="","",$O20+ROW()/1000000)</f>
        <v/>
      </c>
      <c r="Z20" s="35">
        <f>IF(OR($A20="",$C20="",$C20&lt;&gt;'売掛帳'!$B$3,NOT(ISNUMBER($X20))),"",IF(AND($X20&gt;='売掛帳'!$Q$3,$X20&lt;='売掛帳'!$Q$4),$X20+ROW()/10000000,""))</f>
        <v/>
      </c>
    </row>
    <row r="21" ht="18" customHeight="1">
      <c r="A21" s="18" t="n"/>
      <c r="B21" s="26" t="n"/>
      <c r="C21" s="18" t="n"/>
      <c r="D21" s="20">
        <f>IF($W21="","",IF($W21="なし","※得意先にないコード",INDEX('得意先'!$C$5:$C$104,$W21)&amp;""))</f>
        <v/>
      </c>
      <c r="E21" s="26" t="n"/>
      <c r="F21" s="19" t="n"/>
      <c r="G21" s="27" t="n"/>
      <c r="H21" s="27" t="n"/>
      <c r="I21" s="27" t="n"/>
      <c r="J21" s="28">
        <f>IF($A21="","",IF('設定'!$B$10="四捨五入",ROUND(IF('設定'!$B$9="税込",N($G21)*10/110,N($G21)*10/100),0),IF('設定'!$B$10="切り上げ",ROUNDUP(IF('設定'!$B$9="税込",N($G21)*10/110,N($G21)*10/100),0),ROUNDDOWN(IF('設定'!$B$9="税込",N($G21)*10/110,N($G21)*10/100),0))))</f>
        <v/>
      </c>
      <c r="K21" s="28">
        <f>IF($A21="","",IF('設定'!$B$10="四捨五入",ROUND(IF('設定'!$B$9="税込",N($H21)*8/108,N($H21)*8/100),0),IF('設定'!$B$10="切り上げ",ROUNDUP(IF('設定'!$B$9="税込",N($H21)*8/108,N($H21)*8/100),0),ROUNDDOWN(IF('設定'!$B$9="税込",N($H21)*8/108,N($H21)*8/100),0))))</f>
        <v/>
      </c>
      <c r="L21" s="28">
        <f>IF($A21="","",N($G21)+N($H21)+N($I21)+IF('設定'!$B$9="税込",0,$J21+$K21))</f>
        <v/>
      </c>
      <c r="M21" s="29">
        <f>IF(OR($A21="",NOT(ISNUMBER($W21)),NOT(ISNUMBER($X21))),"",IF(OR(INDEX('得意先'!$D$5:$D$104,$W21)="",INDEX('得意先'!$E$5:$E$104,$W21)="",INDEX('得意先'!$F$5:$F$104,$W21)=""),"",IF(INDEX('得意先'!$F$5:$F$104,$W21)="末",DATE(YEAR($X21),(MONTH($X21)+IF(INDEX('得意先'!$D$5:$D$104,$W21)="末",0,IF(DAY($X21)&lt;=INDEX('得意先'!$D$5:$D$104,$W21),0,1))+N(INDEX('得意先'!$E$5:$E$104,$W21)))+1,0),DATE(YEAR($X21),(MONTH($X21)+IF(INDEX('得意先'!$D$5:$D$104,$W21)="末",0,IF(DAY($X21)&lt;=INDEX('得意先'!$D$5:$D$104,$W21),0,1))+N(INDEX('得意先'!$E$5:$E$104,$W21))),MIN(INDEX('得意先'!$F$5:$F$104,$W21),DAY(DATE(YEAR($X21),(MONTH($X21)+IF(INDEX('得意先'!$D$5:$D$104,$W21)="末",0,IF(DAY($X21)&lt;=INDEX('得意先'!$D$5:$D$104,$W21),0,1))+N(INDEX('得意先'!$E$5:$E$104,$W21)))+1,0)))))))</f>
        <v/>
      </c>
      <c r="N21" s="26" t="n"/>
      <c r="O21" s="29">
        <f>IF($A21="","",IF(ISNUMBER($N21),$N21,$M21))</f>
        <v/>
      </c>
      <c r="P21" s="28">
        <f>IF($A21="","",SUMIF('入金消込'!$F$5:$F$1004,$A21,'入金消込'!$G$5:$G$1004))</f>
        <v/>
      </c>
      <c r="Q21" s="28">
        <f>IF($A21="","",SUMIF('入金消込'!$F$5:$F$1004,$A21,'入金消込'!$H$5:$H$1004)+SUMIF('入金消込'!$F$5:$F$1004,$A21,'入金消込'!$I$5:$I$1004))</f>
        <v/>
      </c>
      <c r="R21" s="28">
        <f>IF($A21="","",$L21-$P21-$Q21)</f>
        <v/>
      </c>
      <c r="S21" s="30">
        <f>IF($A21="","",IF($R21=0,IF($L21=0,"請求額0","回収済"),IF($L21&lt;0,IF($R21&lt;0,"差し引き待ち","差し引きすぎ"),IF($R21&lt;0,"入金が多い",IF($P21+$Q21=0,"未入金","一部入金")))))</f>
        <v/>
      </c>
      <c r="T21" s="31">
        <f>IF(OR($A21="",N($R21)&lt;=0,NOT(ISNUMBER($O21))),"",IF($O21&lt;'設定'!$B$7,'設定'!$B$7-$O21,""))</f>
        <v/>
      </c>
      <c r="U21" s="30">
        <f>IF(OR($A21="",N($R21)&lt;=0),"",IF(NOT(ISNUMBER($O21)),'設定'!$B$22,IF($O21&gt;='設定'!$B$7,'設定'!$B$17,IF('設定'!$B$7-$O21&lt;='設定'!$B$12,'設定'!$B$18,IF('設定'!$B$7-$O21&lt;='設定'!$B$13,'設定'!$B$19,IF('設定'!$B$7-$O21&lt;='設定'!$B$14,'設定'!$B$20,'設定'!$B$21))))))</f>
        <v/>
      </c>
      <c r="V21" s="56" t="n"/>
      <c r="W21" s="32">
        <f>IF($C21="","",IFERROR(MATCH($C21,'得意先'!$B$5:$B$104,0),"なし"))</f>
        <v/>
      </c>
      <c r="X21" s="33">
        <f>IF($A21="","",IF(ISNUMBER($E21),$E21,IF(ISNUMBER($B21),$B21,"")))</f>
        <v/>
      </c>
      <c r="Y21" s="34">
        <f>IF($T21="","",$O21+ROW()/1000000)</f>
        <v/>
      </c>
      <c r="Z21" s="35">
        <f>IF(OR($A21="",$C21="",$C21&lt;&gt;'売掛帳'!$B$3,NOT(ISNUMBER($X21))),"",IF(AND($X21&gt;='売掛帳'!$Q$3,$X21&lt;='売掛帳'!$Q$4),$X21+ROW()/10000000,""))</f>
        <v/>
      </c>
    </row>
    <row r="22" ht="18" customHeight="1">
      <c r="A22" s="18" t="n"/>
      <c r="B22" s="26" t="n"/>
      <c r="C22" s="18" t="n"/>
      <c r="D22" s="20">
        <f>IF($W22="","",IF($W22="なし","※得意先にないコード",INDEX('得意先'!$C$5:$C$104,$W22)&amp;""))</f>
        <v/>
      </c>
      <c r="E22" s="26" t="n"/>
      <c r="F22" s="19" t="n"/>
      <c r="G22" s="27" t="n"/>
      <c r="H22" s="27" t="n"/>
      <c r="I22" s="27" t="n"/>
      <c r="J22" s="28">
        <f>IF($A22="","",IF('設定'!$B$10="四捨五入",ROUND(IF('設定'!$B$9="税込",N($G22)*10/110,N($G22)*10/100),0),IF('設定'!$B$10="切り上げ",ROUNDUP(IF('設定'!$B$9="税込",N($G22)*10/110,N($G22)*10/100),0),ROUNDDOWN(IF('設定'!$B$9="税込",N($G22)*10/110,N($G22)*10/100),0))))</f>
        <v/>
      </c>
      <c r="K22" s="28">
        <f>IF($A22="","",IF('設定'!$B$10="四捨五入",ROUND(IF('設定'!$B$9="税込",N($H22)*8/108,N($H22)*8/100),0),IF('設定'!$B$10="切り上げ",ROUNDUP(IF('設定'!$B$9="税込",N($H22)*8/108,N($H22)*8/100),0),ROUNDDOWN(IF('設定'!$B$9="税込",N($H22)*8/108,N($H22)*8/100),0))))</f>
        <v/>
      </c>
      <c r="L22" s="28">
        <f>IF($A22="","",N($G22)+N($H22)+N($I22)+IF('設定'!$B$9="税込",0,$J22+$K22))</f>
        <v/>
      </c>
      <c r="M22" s="29">
        <f>IF(OR($A22="",NOT(ISNUMBER($W22)),NOT(ISNUMBER($X22))),"",IF(OR(INDEX('得意先'!$D$5:$D$104,$W22)="",INDEX('得意先'!$E$5:$E$104,$W22)="",INDEX('得意先'!$F$5:$F$104,$W22)=""),"",IF(INDEX('得意先'!$F$5:$F$104,$W22)="末",DATE(YEAR($X22),(MONTH($X22)+IF(INDEX('得意先'!$D$5:$D$104,$W22)="末",0,IF(DAY($X22)&lt;=INDEX('得意先'!$D$5:$D$104,$W22),0,1))+N(INDEX('得意先'!$E$5:$E$104,$W22)))+1,0),DATE(YEAR($X22),(MONTH($X22)+IF(INDEX('得意先'!$D$5:$D$104,$W22)="末",0,IF(DAY($X22)&lt;=INDEX('得意先'!$D$5:$D$104,$W22),0,1))+N(INDEX('得意先'!$E$5:$E$104,$W22))),MIN(INDEX('得意先'!$F$5:$F$104,$W22),DAY(DATE(YEAR($X22),(MONTH($X22)+IF(INDEX('得意先'!$D$5:$D$104,$W22)="末",0,IF(DAY($X22)&lt;=INDEX('得意先'!$D$5:$D$104,$W22),0,1))+N(INDEX('得意先'!$E$5:$E$104,$W22)))+1,0)))))))</f>
        <v/>
      </c>
      <c r="N22" s="26" t="n"/>
      <c r="O22" s="29">
        <f>IF($A22="","",IF(ISNUMBER($N22),$N22,$M22))</f>
        <v/>
      </c>
      <c r="P22" s="28">
        <f>IF($A22="","",SUMIF('入金消込'!$F$5:$F$1004,$A22,'入金消込'!$G$5:$G$1004))</f>
        <v/>
      </c>
      <c r="Q22" s="28">
        <f>IF($A22="","",SUMIF('入金消込'!$F$5:$F$1004,$A22,'入金消込'!$H$5:$H$1004)+SUMIF('入金消込'!$F$5:$F$1004,$A22,'入金消込'!$I$5:$I$1004))</f>
        <v/>
      </c>
      <c r="R22" s="28">
        <f>IF($A22="","",$L22-$P22-$Q22)</f>
        <v/>
      </c>
      <c r="S22" s="30">
        <f>IF($A22="","",IF($R22=0,IF($L22=0,"請求額0","回収済"),IF($L22&lt;0,IF($R22&lt;0,"差し引き待ち","差し引きすぎ"),IF($R22&lt;0,"入金が多い",IF($P22+$Q22=0,"未入金","一部入金")))))</f>
        <v/>
      </c>
      <c r="T22" s="31">
        <f>IF(OR($A22="",N($R22)&lt;=0,NOT(ISNUMBER($O22))),"",IF($O22&lt;'設定'!$B$7,'設定'!$B$7-$O22,""))</f>
        <v/>
      </c>
      <c r="U22" s="30">
        <f>IF(OR($A22="",N($R22)&lt;=0),"",IF(NOT(ISNUMBER($O22)),'設定'!$B$22,IF($O22&gt;='設定'!$B$7,'設定'!$B$17,IF('設定'!$B$7-$O22&lt;='設定'!$B$12,'設定'!$B$18,IF('設定'!$B$7-$O22&lt;='設定'!$B$13,'設定'!$B$19,IF('設定'!$B$7-$O22&lt;='設定'!$B$14,'設定'!$B$20,'設定'!$B$21))))))</f>
        <v/>
      </c>
      <c r="V22" s="56" t="n"/>
      <c r="W22" s="32">
        <f>IF($C22="","",IFERROR(MATCH($C22,'得意先'!$B$5:$B$104,0),"なし"))</f>
        <v/>
      </c>
      <c r="X22" s="33">
        <f>IF($A22="","",IF(ISNUMBER($E22),$E22,IF(ISNUMBER($B22),$B22,"")))</f>
        <v/>
      </c>
      <c r="Y22" s="34">
        <f>IF($T22="","",$O22+ROW()/1000000)</f>
        <v/>
      </c>
      <c r="Z22" s="35">
        <f>IF(OR($A22="",$C22="",$C22&lt;&gt;'売掛帳'!$B$3,NOT(ISNUMBER($X22))),"",IF(AND($X22&gt;='売掛帳'!$Q$3,$X22&lt;='売掛帳'!$Q$4),$X22+ROW()/10000000,""))</f>
        <v/>
      </c>
    </row>
    <row r="23" ht="18" customHeight="1">
      <c r="A23" s="18" t="n"/>
      <c r="B23" s="26" t="n"/>
      <c r="C23" s="18" t="n"/>
      <c r="D23" s="20">
        <f>IF($W23="","",IF($W23="なし","※得意先にないコード",INDEX('得意先'!$C$5:$C$104,$W23)&amp;""))</f>
        <v/>
      </c>
      <c r="E23" s="26" t="n"/>
      <c r="F23" s="19" t="n"/>
      <c r="G23" s="27" t="n"/>
      <c r="H23" s="27" t="n"/>
      <c r="I23" s="27" t="n"/>
      <c r="J23" s="28">
        <f>IF($A23="","",IF('設定'!$B$10="四捨五入",ROUND(IF('設定'!$B$9="税込",N($G23)*10/110,N($G23)*10/100),0),IF('設定'!$B$10="切り上げ",ROUNDUP(IF('設定'!$B$9="税込",N($G23)*10/110,N($G23)*10/100),0),ROUNDDOWN(IF('設定'!$B$9="税込",N($G23)*10/110,N($G23)*10/100),0))))</f>
        <v/>
      </c>
      <c r="K23" s="28">
        <f>IF($A23="","",IF('設定'!$B$10="四捨五入",ROUND(IF('設定'!$B$9="税込",N($H23)*8/108,N($H23)*8/100),0),IF('設定'!$B$10="切り上げ",ROUNDUP(IF('設定'!$B$9="税込",N($H23)*8/108,N($H23)*8/100),0),ROUNDDOWN(IF('設定'!$B$9="税込",N($H23)*8/108,N($H23)*8/100),0))))</f>
        <v/>
      </c>
      <c r="L23" s="28">
        <f>IF($A23="","",N($G23)+N($H23)+N($I23)+IF('設定'!$B$9="税込",0,$J23+$K23))</f>
        <v/>
      </c>
      <c r="M23" s="29">
        <f>IF(OR($A23="",NOT(ISNUMBER($W23)),NOT(ISNUMBER($X23))),"",IF(OR(INDEX('得意先'!$D$5:$D$104,$W23)="",INDEX('得意先'!$E$5:$E$104,$W23)="",INDEX('得意先'!$F$5:$F$104,$W23)=""),"",IF(INDEX('得意先'!$F$5:$F$104,$W23)="末",DATE(YEAR($X23),(MONTH($X23)+IF(INDEX('得意先'!$D$5:$D$104,$W23)="末",0,IF(DAY($X23)&lt;=INDEX('得意先'!$D$5:$D$104,$W23),0,1))+N(INDEX('得意先'!$E$5:$E$104,$W23)))+1,0),DATE(YEAR($X23),(MONTH($X23)+IF(INDEX('得意先'!$D$5:$D$104,$W23)="末",0,IF(DAY($X23)&lt;=INDEX('得意先'!$D$5:$D$104,$W23),0,1))+N(INDEX('得意先'!$E$5:$E$104,$W23))),MIN(INDEX('得意先'!$F$5:$F$104,$W23),DAY(DATE(YEAR($X23),(MONTH($X23)+IF(INDEX('得意先'!$D$5:$D$104,$W23)="末",0,IF(DAY($X23)&lt;=INDEX('得意先'!$D$5:$D$104,$W23),0,1))+N(INDEX('得意先'!$E$5:$E$104,$W23)))+1,0)))))))</f>
        <v/>
      </c>
      <c r="N23" s="26" t="n"/>
      <c r="O23" s="29">
        <f>IF($A23="","",IF(ISNUMBER($N23),$N23,$M23))</f>
        <v/>
      </c>
      <c r="P23" s="28">
        <f>IF($A23="","",SUMIF('入金消込'!$F$5:$F$1004,$A23,'入金消込'!$G$5:$G$1004))</f>
        <v/>
      </c>
      <c r="Q23" s="28">
        <f>IF($A23="","",SUMIF('入金消込'!$F$5:$F$1004,$A23,'入金消込'!$H$5:$H$1004)+SUMIF('入金消込'!$F$5:$F$1004,$A23,'入金消込'!$I$5:$I$1004))</f>
        <v/>
      </c>
      <c r="R23" s="28">
        <f>IF($A23="","",$L23-$P23-$Q23)</f>
        <v/>
      </c>
      <c r="S23" s="30">
        <f>IF($A23="","",IF($R23=0,IF($L23=0,"請求額0","回収済"),IF($L23&lt;0,IF($R23&lt;0,"差し引き待ち","差し引きすぎ"),IF($R23&lt;0,"入金が多い",IF($P23+$Q23=0,"未入金","一部入金")))))</f>
        <v/>
      </c>
      <c r="T23" s="31">
        <f>IF(OR($A23="",N($R23)&lt;=0,NOT(ISNUMBER($O23))),"",IF($O23&lt;'設定'!$B$7,'設定'!$B$7-$O23,""))</f>
        <v/>
      </c>
      <c r="U23" s="30">
        <f>IF(OR($A23="",N($R23)&lt;=0),"",IF(NOT(ISNUMBER($O23)),'設定'!$B$22,IF($O23&gt;='設定'!$B$7,'設定'!$B$17,IF('設定'!$B$7-$O23&lt;='設定'!$B$12,'設定'!$B$18,IF('設定'!$B$7-$O23&lt;='設定'!$B$13,'設定'!$B$19,IF('設定'!$B$7-$O23&lt;='設定'!$B$14,'設定'!$B$20,'設定'!$B$21))))))</f>
        <v/>
      </c>
      <c r="V23" s="56" t="n"/>
      <c r="W23" s="32">
        <f>IF($C23="","",IFERROR(MATCH($C23,'得意先'!$B$5:$B$104,0),"なし"))</f>
        <v/>
      </c>
      <c r="X23" s="33">
        <f>IF($A23="","",IF(ISNUMBER($E23),$E23,IF(ISNUMBER($B23),$B23,"")))</f>
        <v/>
      </c>
      <c r="Y23" s="34">
        <f>IF($T23="","",$O23+ROW()/1000000)</f>
        <v/>
      </c>
      <c r="Z23" s="35">
        <f>IF(OR($A23="",$C23="",$C23&lt;&gt;'売掛帳'!$B$3,NOT(ISNUMBER($X23))),"",IF(AND($X23&gt;='売掛帳'!$Q$3,$X23&lt;='売掛帳'!$Q$4),$X23+ROW()/10000000,""))</f>
        <v/>
      </c>
    </row>
    <row r="24" ht="18" customHeight="1">
      <c r="A24" s="18" t="n"/>
      <c r="B24" s="26" t="n"/>
      <c r="C24" s="18" t="n"/>
      <c r="D24" s="20">
        <f>IF($W24="","",IF($W24="なし","※得意先にないコード",INDEX('得意先'!$C$5:$C$104,$W24)&amp;""))</f>
        <v/>
      </c>
      <c r="E24" s="26" t="n"/>
      <c r="F24" s="19" t="n"/>
      <c r="G24" s="27" t="n"/>
      <c r="H24" s="27" t="n"/>
      <c r="I24" s="27" t="n"/>
      <c r="J24" s="28">
        <f>IF($A24="","",IF('設定'!$B$10="四捨五入",ROUND(IF('設定'!$B$9="税込",N($G24)*10/110,N($G24)*10/100),0),IF('設定'!$B$10="切り上げ",ROUNDUP(IF('設定'!$B$9="税込",N($G24)*10/110,N($G24)*10/100),0),ROUNDDOWN(IF('設定'!$B$9="税込",N($G24)*10/110,N($G24)*10/100),0))))</f>
        <v/>
      </c>
      <c r="K24" s="28">
        <f>IF($A24="","",IF('設定'!$B$10="四捨五入",ROUND(IF('設定'!$B$9="税込",N($H24)*8/108,N($H24)*8/100),0),IF('設定'!$B$10="切り上げ",ROUNDUP(IF('設定'!$B$9="税込",N($H24)*8/108,N($H24)*8/100),0),ROUNDDOWN(IF('設定'!$B$9="税込",N($H24)*8/108,N($H24)*8/100),0))))</f>
        <v/>
      </c>
      <c r="L24" s="28">
        <f>IF($A24="","",N($G24)+N($H24)+N($I24)+IF('設定'!$B$9="税込",0,$J24+$K24))</f>
        <v/>
      </c>
      <c r="M24" s="29">
        <f>IF(OR($A24="",NOT(ISNUMBER($W24)),NOT(ISNUMBER($X24))),"",IF(OR(INDEX('得意先'!$D$5:$D$104,$W24)="",INDEX('得意先'!$E$5:$E$104,$W24)="",INDEX('得意先'!$F$5:$F$104,$W24)=""),"",IF(INDEX('得意先'!$F$5:$F$104,$W24)="末",DATE(YEAR($X24),(MONTH($X24)+IF(INDEX('得意先'!$D$5:$D$104,$W24)="末",0,IF(DAY($X24)&lt;=INDEX('得意先'!$D$5:$D$104,$W24),0,1))+N(INDEX('得意先'!$E$5:$E$104,$W24)))+1,0),DATE(YEAR($X24),(MONTH($X24)+IF(INDEX('得意先'!$D$5:$D$104,$W24)="末",0,IF(DAY($X24)&lt;=INDEX('得意先'!$D$5:$D$104,$W24),0,1))+N(INDEX('得意先'!$E$5:$E$104,$W24))),MIN(INDEX('得意先'!$F$5:$F$104,$W24),DAY(DATE(YEAR($X24),(MONTH($X24)+IF(INDEX('得意先'!$D$5:$D$104,$W24)="末",0,IF(DAY($X24)&lt;=INDEX('得意先'!$D$5:$D$104,$W24),0,1))+N(INDEX('得意先'!$E$5:$E$104,$W24)))+1,0)))))))</f>
        <v/>
      </c>
      <c r="N24" s="26" t="n"/>
      <c r="O24" s="29">
        <f>IF($A24="","",IF(ISNUMBER($N24),$N24,$M24))</f>
        <v/>
      </c>
      <c r="P24" s="28">
        <f>IF($A24="","",SUMIF('入金消込'!$F$5:$F$1004,$A24,'入金消込'!$G$5:$G$1004))</f>
        <v/>
      </c>
      <c r="Q24" s="28">
        <f>IF($A24="","",SUMIF('入金消込'!$F$5:$F$1004,$A24,'入金消込'!$H$5:$H$1004)+SUMIF('入金消込'!$F$5:$F$1004,$A24,'入金消込'!$I$5:$I$1004))</f>
        <v/>
      </c>
      <c r="R24" s="28">
        <f>IF($A24="","",$L24-$P24-$Q24)</f>
        <v/>
      </c>
      <c r="S24" s="30">
        <f>IF($A24="","",IF($R24=0,IF($L24=0,"請求額0","回収済"),IF($L24&lt;0,IF($R24&lt;0,"差し引き待ち","差し引きすぎ"),IF($R24&lt;0,"入金が多い",IF($P24+$Q24=0,"未入金","一部入金")))))</f>
        <v/>
      </c>
      <c r="T24" s="31">
        <f>IF(OR($A24="",N($R24)&lt;=0,NOT(ISNUMBER($O24))),"",IF($O24&lt;'設定'!$B$7,'設定'!$B$7-$O24,""))</f>
        <v/>
      </c>
      <c r="U24" s="30">
        <f>IF(OR($A24="",N($R24)&lt;=0),"",IF(NOT(ISNUMBER($O24)),'設定'!$B$22,IF($O24&gt;='設定'!$B$7,'設定'!$B$17,IF('設定'!$B$7-$O24&lt;='設定'!$B$12,'設定'!$B$18,IF('設定'!$B$7-$O24&lt;='設定'!$B$13,'設定'!$B$19,IF('設定'!$B$7-$O24&lt;='設定'!$B$14,'設定'!$B$20,'設定'!$B$21))))))</f>
        <v/>
      </c>
      <c r="V24" s="56" t="n"/>
      <c r="W24" s="32">
        <f>IF($C24="","",IFERROR(MATCH($C24,'得意先'!$B$5:$B$104,0),"なし"))</f>
        <v/>
      </c>
      <c r="X24" s="33">
        <f>IF($A24="","",IF(ISNUMBER($E24),$E24,IF(ISNUMBER($B24),$B24,"")))</f>
        <v/>
      </c>
      <c r="Y24" s="34">
        <f>IF($T24="","",$O24+ROW()/1000000)</f>
        <v/>
      </c>
      <c r="Z24" s="35">
        <f>IF(OR($A24="",$C24="",$C24&lt;&gt;'売掛帳'!$B$3,NOT(ISNUMBER($X24))),"",IF(AND($X24&gt;='売掛帳'!$Q$3,$X24&lt;='売掛帳'!$Q$4),$X24+ROW()/10000000,""))</f>
        <v/>
      </c>
    </row>
    <row r="25" ht="18" customHeight="1">
      <c r="A25" s="18" t="n"/>
      <c r="B25" s="26" t="n"/>
      <c r="C25" s="18" t="n"/>
      <c r="D25" s="20">
        <f>IF($W25="","",IF($W25="なし","※得意先にないコード",INDEX('得意先'!$C$5:$C$104,$W25)&amp;""))</f>
        <v/>
      </c>
      <c r="E25" s="26" t="n"/>
      <c r="F25" s="19" t="n"/>
      <c r="G25" s="27" t="n"/>
      <c r="H25" s="27" t="n"/>
      <c r="I25" s="27" t="n"/>
      <c r="J25" s="28">
        <f>IF($A25="","",IF('設定'!$B$10="四捨五入",ROUND(IF('設定'!$B$9="税込",N($G25)*10/110,N($G25)*10/100),0),IF('設定'!$B$10="切り上げ",ROUNDUP(IF('設定'!$B$9="税込",N($G25)*10/110,N($G25)*10/100),0),ROUNDDOWN(IF('設定'!$B$9="税込",N($G25)*10/110,N($G25)*10/100),0))))</f>
        <v/>
      </c>
      <c r="K25" s="28">
        <f>IF($A25="","",IF('設定'!$B$10="四捨五入",ROUND(IF('設定'!$B$9="税込",N($H25)*8/108,N($H25)*8/100),0),IF('設定'!$B$10="切り上げ",ROUNDUP(IF('設定'!$B$9="税込",N($H25)*8/108,N($H25)*8/100),0),ROUNDDOWN(IF('設定'!$B$9="税込",N($H25)*8/108,N($H25)*8/100),0))))</f>
        <v/>
      </c>
      <c r="L25" s="28">
        <f>IF($A25="","",N($G25)+N($H25)+N($I25)+IF('設定'!$B$9="税込",0,$J25+$K25))</f>
        <v/>
      </c>
      <c r="M25" s="29">
        <f>IF(OR($A25="",NOT(ISNUMBER($W25)),NOT(ISNUMBER($X25))),"",IF(OR(INDEX('得意先'!$D$5:$D$104,$W25)="",INDEX('得意先'!$E$5:$E$104,$W25)="",INDEX('得意先'!$F$5:$F$104,$W25)=""),"",IF(INDEX('得意先'!$F$5:$F$104,$W25)="末",DATE(YEAR($X25),(MONTH($X25)+IF(INDEX('得意先'!$D$5:$D$104,$W25)="末",0,IF(DAY($X25)&lt;=INDEX('得意先'!$D$5:$D$104,$W25),0,1))+N(INDEX('得意先'!$E$5:$E$104,$W25)))+1,0),DATE(YEAR($X25),(MONTH($X25)+IF(INDEX('得意先'!$D$5:$D$104,$W25)="末",0,IF(DAY($X25)&lt;=INDEX('得意先'!$D$5:$D$104,$W25),0,1))+N(INDEX('得意先'!$E$5:$E$104,$W25))),MIN(INDEX('得意先'!$F$5:$F$104,$W25),DAY(DATE(YEAR($X25),(MONTH($X25)+IF(INDEX('得意先'!$D$5:$D$104,$W25)="末",0,IF(DAY($X25)&lt;=INDEX('得意先'!$D$5:$D$104,$W25),0,1))+N(INDEX('得意先'!$E$5:$E$104,$W25)))+1,0)))))))</f>
        <v/>
      </c>
      <c r="N25" s="26" t="n"/>
      <c r="O25" s="29">
        <f>IF($A25="","",IF(ISNUMBER($N25),$N25,$M25))</f>
        <v/>
      </c>
      <c r="P25" s="28">
        <f>IF($A25="","",SUMIF('入金消込'!$F$5:$F$1004,$A25,'入金消込'!$G$5:$G$1004))</f>
        <v/>
      </c>
      <c r="Q25" s="28">
        <f>IF($A25="","",SUMIF('入金消込'!$F$5:$F$1004,$A25,'入金消込'!$H$5:$H$1004)+SUMIF('入金消込'!$F$5:$F$1004,$A25,'入金消込'!$I$5:$I$1004))</f>
        <v/>
      </c>
      <c r="R25" s="28">
        <f>IF($A25="","",$L25-$P25-$Q25)</f>
        <v/>
      </c>
      <c r="S25" s="30">
        <f>IF($A25="","",IF($R25=0,IF($L25=0,"請求額0","回収済"),IF($L25&lt;0,IF($R25&lt;0,"差し引き待ち","差し引きすぎ"),IF($R25&lt;0,"入金が多い",IF($P25+$Q25=0,"未入金","一部入金")))))</f>
        <v/>
      </c>
      <c r="T25" s="31">
        <f>IF(OR($A25="",N($R25)&lt;=0,NOT(ISNUMBER($O25))),"",IF($O25&lt;'設定'!$B$7,'設定'!$B$7-$O25,""))</f>
        <v/>
      </c>
      <c r="U25" s="30">
        <f>IF(OR($A25="",N($R25)&lt;=0),"",IF(NOT(ISNUMBER($O25)),'設定'!$B$22,IF($O25&gt;='設定'!$B$7,'設定'!$B$17,IF('設定'!$B$7-$O25&lt;='設定'!$B$12,'設定'!$B$18,IF('設定'!$B$7-$O25&lt;='設定'!$B$13,'設定'!$B$19,IF('設定'!$B$7-$O25&lt;='設定'!$B$14,'設定'!$B$20,'設定'!$B$21))))))</f>
        <v/>
      </c>
      <c r="V25" s="56" t="n"/>
      <c r="W25" s="32">
        <f>IF($C25="","",IFERROR(MATCH($C25,'得意先'!$B$5:$B$104,0),"なし"))</f>
        <v/>
      </c>
      <c r="X25" s="33">
        <f>IF($A25="","",IF(ISNUMBER($E25),$E25,IF(ISNUMBER($B25),$B25,"")))</f>
        <v/>
      </c>
      <c r="Y25" s="34">
        <f>IF($T25="","",$O25+ROW()/1000000)</f>
        <v/>
      </c>
      <c r="Z25" s="35">
        <f>IF(OR($A25="",$C25="",$C25&lt;&gt;'売掛帳'!$B$3,NOT(ISNUMBER($X25))),"",IF(AND($X25&gt;='売掛帳'!$Q$3,$X25&lt;='売掛帳'!$Q$4),$X25+ROW()/10000000,""))</f>
        <v/>
      </c>
    </row>
    <row r="26" ht="18" customHeight="1">
      <c r="A26" s="18" t="n"/>
      <c r="B26" s="26" t="n"/>
      <c r="C26" s="18" t="n"/>
      <c r="D26" s="20">
        <f>IF($W26="","",IF($W26="なし","※得意先にないコード",INDEX('得意先'!$C$5:$C$104,$W26)&amp;""))</f>
        <v/>
      </c>
      <c r="E26" s="26" t="n"/>
      <c r="F26" s="19" t="n"/>
      <c r="G26" s="27" t="n"/>
      <c r="H26" s="27" t="n"/>
      <c r="I26" s="27" t="n"/>
      <c r="J26" s="28">
        <f>IF($A26="","",IF('設定'!$B$10="四捨五入",ROUND(IF('設定'!$B$9="税込",N($G26)*10/110,N($G26)*10/100),0),IF('設定'!$B$10="切り上げ",ROUNDUP(IF('設定'!$B$9="税込",N($G26)*10/110,N($G26)*10/100),0),ROUNDDOWN(IF('設定'!$B$9="税込",N($G26)*10/110,N($G26)*10/100),0))))</f>
        <v/>
      </c>
      <c r="K26" s="28">
        <f>IF($A26="","",IF('設定'!$B$10="四捨五入",ROUND(IF('設定'!$B$9="税込",N($H26)*8/108,N($H26)*8/100),0),IF('設定'!$B$10="切り上げ",ROUNDUP(IF('設定'!$B$9="税込",N($H26)*8/108,N($H26)*8/100),0),ROUNDDOWN(IF('設定'!$B$9="税込",N($H26)*8/108,N($H26)*8/100),0))))</f>
        <v/>
      </c>
      <c r="L26" s="28">
        <f>IF($A26="","",N($G26)+N($H26)+N($I26)+IF('設定'!$B$9="税込",0,$J26+$K26))</f>
        <v/>
      </c>
      <c r="M26" s="29">
        <f>IF(OR($A26="",NOT(ISNUMBER($W26)),NOT(ISNUMBER($X26))),"",IF(OR(INDEX('得意先'!$D$5:$D$104,$W26)="",INDEX('得意先'!$E$5:$E$104,$W26)="",INDEX('得意先'!$F$5:$F$104,$W26)=""),"",IF(INDEX('得意先'!$F$5:$F$104,$W26)="末",DATE(YEAR($X26),(MONTH($X26)+IF(INDEX('得意先'!$D$5:$D$104,$W26)="末",0,IF(DAY($X26)&lt;=INDEX('得意先'!$D$5:$D$104,$W26),0,1))+N(INDEX('得意先'!$E$5:$E$104,$W26)))+1,0),DATE(YEAR($X26),(MONTH($X26)+IF(INDEX('得意先'!$D$5:$D$104,$W26)="末",0,IF(DAY($X26)&lt;=INDEX('得意先'!$D$5:$D$104,$W26),0,1))+N(INDEX('得意先'!$E$5:$E$104,$W26))),MIN(INDEX('得意先'!$F$5:$F$104,$W26),DAY(DATE(YEAR($X26),(MONTH($X26)+IF(INDEX('得意先'!$D$5:$D$104,$W26)="末",0,IF(DAY($X26)&lt;=INDEX('得意先'!$D$5:$D$104,$W26),0,1))+N(INDEX('得意先'!$E$5:$E$104,$W26)))+1,0)))))))</f>
        <v/>
      </c>
      <c r="N26" s="26" t="n"/>
      <c r="O26" s="29">
        <f>IF($A26="","",IF(ISNUMBER($N26),$N26,$M26))</f>
        <v/>
      </c>
      <c r="P26" s="28">
        <f>IF($A26="","",SUMIF('入金消込'!$F$5:$F$1004,$A26,'入金消込'!$G$5:$G$1004))</f>
        <v/>
      </c>
      <c r="Q26" s="28">
        <f>IF($A26="","",SUMIF('入金消込'!$F$5:$F$1004,$A26,'入金消込'!$H$5:$H$1004)+SUMIF('入金消込'!$F$5:$F$1004,$A26,'入金消込'!$I$5:$I$1004))</f>
        <v/>
      </c>
      <c r="R26" s="28">
        <f>IF($A26="","",$L26-$P26-$Q26)</f>
        <v/>
      </c>
      <c r="S26" s="30">
        <f>IF($A26="","",IF($R26=0,IF($L26=0,"請求額0","回収済"),IF($L26&lt;0,IF($R26&lt;0,"差し引き待ち","差し引きすぎ"),IF($R26&lt;0,"入金が多い",IF($P26+$Q26=0,"未入金","一部入金")))))</f>
        <v/>
      </c>
      <c r="T26" s="31">
        <f>IF(OR($A26="",N($R26)&lt;=0,NOT(ISNUMBER($O26))),"",IF($O26&lt;'設定'!$B$7,'設定'!$B$7-$O26,""))</f>
        <v/>
      </c>
      <c r="U26" s="30">
        <f>IF(OR($A26="",N($R26)&lt;=0),"",IF(NOT(ISNUMBER($O26)),'設定'!$B$22,IF($O26&gt;='設定'!$B$7,'設定'!$B$17,IF('設定'!$B$7-$O26&lt;='設定'!$B$12,'設定'!$B$18,IF('設定'!$B$7-$O26&lt;='設定'!$B$13,'設定'!$B$19,IF('設定'!$B$7-$O26&lt;='設定'!$B$14,'設定'!$B$20,'設定'!$B$21))))))</f>
        <v/>
      </c>
      <c r="V26" s="56" t="n"/>
      <c r="W26" s="32">
        <f>IF($C26="","",IFERROR(MATCH($C26,'得意先'!$B$5:$B$104,0),"なし"))</f>
        <v/>
      </c>
      <c r="X26" s="33">
        <f>IF($A26="","",IF(ISNUMBER($E26),$E26,IF(ISNUMBER($B26),$B26,"")))</f>
        <v/>
      </c>
      <c r="Y26" s="34">
        <f>IF($T26="","",$O26+ROW()/1000000)</f>
        <v/>
      </c>
      <c r="Z26" s="35">
        <f>IF(OR($A26="",$C26="",$C26&lt;&gt;'売掛帳'!$B$3,NOT(ISNUMBER($X26))),"",IF(AND($X26&gt;='売掛帳'!$Q$3,$X26&lt;='売掛帳'!$Q$4),$X26+ROW()/10000000,""))</f>
        <v/>
      </c>
    </row>
    <row r="27" ht="18" customHeight="1">
      <c r="A27" s="18" t="n"/>
      <c r="B27" s="26" t="n"/>
      <c r="C27" s="18" t="n"/>
      <c r="D27" s="20">
        <f>IF($W27="","",IF($W27="なし","※得意先にないコード",INDEX('得意先'!$C$5:$C$104,$W27)&amp;""))</f>
        <v/>
      </c>
      <c r="E27" s="26" t="n"/>
      <c r="F27" s="19" t="n"/>
      <c r="G27" s="27" t="n"/>
      <c r="H27" s="27" t="n"/>
      <c r="I27" s="27" t="n"/>
      <c r="J27" s="28">
        <f>IF($A27="","",IF('設定'!$B$10="四捨五入",ROUND(IF('設定'!$B$9="税込",N($G27)*10/110,N($G27)*10/100),0),IF('設定'!$B$10="切り上げ",ROUNDUP(IF('設定'!$B$9="税込",N($G27)*10/110,N($G27)*10/100),0),ROUNDDOWN(IF('設定'!$B$9="税込",N($G27)*10/110,N($G27)*10/100),0))))</f>
        <v/>
      </c>
      <c r="K27" s="28">
        <f>IF($A27="","",IF('設定'!$B$10="四捨五入",ROUND(IF('設定'!$B$9="税込",N($H27)*8/108,N($H27)*8/100),0),IF('設定'!$B$10="切り上げ",ROUNDUP(IF('設定'!$B$9="税込",N($H27)*8/108,N($H27)*8/100),0),ROUNDDOWN(IF('設定'!$B$9="税込",N($H27)*8/108,N($H27)*8/100),0))))</f>
        <v/>
      </c>
      <c r="L27" s="28">
        <f>IF($A27="","",N($G27)+N($H27)+N($I27)+IF('設定'!$B$9="税込",0,$J27+$K27))</f>
        <v/>
      </c>
      <c r="M27" s="29">
        <f>IF(OR($A27="",NOT(ISNUMBER($W27)),NOT(ISNUMBER($X27))),"",IF(OR(INDEX('得意先'!$D$5:$D$104,$W27)="",INDEX('得意先'!$E$5:$E$104,$W27)="",INDEX('得意先'!$F$5:$F$104,$W27)=""),"",IF(INDEX('得意先'!$F$5:$F$104,$W27)="末",DATE(YEAR($X27),(MONTH($X27)+IF(INDEX('得意先'!$D$5:$D$104,$W27)="末",0,IF(DAY($X27)&lt;=INDEX('得意先'!$D$5:$D$104,$W27),0,1))+N(INDEX('得意先'!$E$5:$E$104,$W27)))+1,0),DATE(YEAR($X27),(MONTH($X27)+IF(INDEX('得意先'!$D$5:$D$104,$W27)="末",0,IF(DAY($X27)&lt;=INDEX('得意先'!$D$5:$D$104,$W27),0,1))+N(INDEX('得意先'!$E$5:$E$104,$W27))),MIN(INDEX('得意先'!$F$5:$F$104,$W27),DAY(DATE(YEAR($X27),(MONTH($X27)+IF(INDEX('得意先'!$D$5:$D$104,$W27)="末",0,IF(DAY($X27)&lt;=INDEX('得意先'!$D$5:$D$104,$W27),0,1))+N(INDEX('得意先'!$E$5:$E$104,$W27)))+1,0)))))))</f>
        <v/>
      </c>
      <c r="N27" s="26" t="n"/>
      <c r="O27" s="29">
        <f>IF($A27="","",IF(ISNUMBER($N27),$N27,$M27))</f>
        <v/>
      </c>
      <c r="P27" s="28">
        <f>IF($A27="","",SUMIF('入金消込'!$F$5:$F$1004,$A27,'入金消込'!$G$5:$G$1004))</f>
        <v/>
      </c>
      <c r="Q27" s="28">
        <f>IF($A27="","",SUMIF('入金消込'!$F$5:$F$1004,$A27,'入金消込'!$H$5:$H$1004)+SUMIF('入金消込'!$F$5:$F$1004,$A27,'入金消込'!$I$5:$I$1004))</f>
        <v/>
      </c>
      <c r="R27" s="28">
        <f>IF($A27="","",$L27-$P27-$Q27)</f>
        <v/>
      </c>
      <c r="S27" s="30">
        <f>IF($A27="","",IF($R27=0,IF($L27=0,"請求額0","回収済"),IF($L27&lt;0,IF($R27&lt;0,"差し引き待ち","差し引きすぎ"),IF($R27&lt;0,"入金が多い",IF($P27+$Q27=0,"未入金","一部入金")))))</f>
        <v/>
      </c>
      <c r="T27" s="31">
        <f>IF(OR($A27="",N($R27)&lt;=0,NOT(ISNUMBER($O27))),"",IF($O27&lt;'設定'!$B$7,'設定'!$B$7-$O27,""))</f>
        <v/>
      </c>
      <c r="U27" s="30">
        <f>IF(OR($A27="",N($R27)&lt;=0),"",IF(NOT(ISNUMBER($O27)),'設定'!$B$22,IF($O27&gt;='設定'!$B$7,'設定'!$B$17,IF('設定'!$B$7-$O27&lt;='設定'!$B$12,'設定'!$B$18,IF('設定'!$B$7-$O27&lt;='設定'!$B$13,'設定'!$B$19,IF('設定'!$B$7-$O27&lt;='設定'!$B$14,'設定'!$B$20,'設定'!$B$21))))))</f>
        <v/>
      </c>
      <c r="V27" s="56" t="n"/>
      <c r="W27" s="32">
        <f>IF($C27="","",IFERROR(MATCH($C27,'得意先'!$B$5:$B$104,0),"なし"))</f>
        <v/>
      </c>
      <c r="X27" s="33">
        <f>IF($A27="","",IF(ISNUMBER($E27),$E27,IF(ISNUMBER($B27),$B27,"")))</f>
        <v/>
      </c>
      <c r="Y27" s="34">
        <f>IF($T27="","",$O27+ROW()/1000000)</f>
        <v/>
      </c>
      <c r="Z27" s="35">
        <f>IF(OR($A27="",$C27="",$C27&lt;&gt;'売掛帳'!$B$3,NOT(ISNUMBER($X27))),"",IF(AND($X27&gt;='売掛帳'!$Q$3,$X27&lt;='売掛帳'!$Q$4),$X27+ROW()/10000000,""))</f>
        <v/>
      </c>
    </row>
    <row r="28" ht="18" customHeight="1">
      <c r="A28" s="18" t="n"/>
      <c r="B28" s="26" t="n"/>
      <c r="C28" s="18" t="n"/>
      <c r="D28" s="20">
        <f>IF($W28="","",IF($W28="なし","※得意先にないコード",INDEX('得意先'!$C$5:$C$104,$W28)&amp;""))</f>
        <v/>
      </c>
      <c r="E28" s="26" t="n"/>
      <c r="F28" s="19" t="n"/>
      <c r="G28" s="27" t="n"/>
      <c r="H28" s="27" t="n"/>
      <c r="I28" s="27" t="n"/>
      <c r="J28" s="28">
        <f>IF($A28="","",IF('設定'!$B$10="四捨五入",ROUND(IF('設定'!$B$9="税込",N($G28)*10/110,N($G28)*10/100),0),IF('設定'!$B$10="切り上げ",ROUNDUP(IF('設定'!$B$9="税込",N($G28)*10/110,N($G28)*10/100),0),ROUNDDOWN(IF('設定'!$B$9="税込",N($G28)*10/110,N($G28)*10/100),0))))</f>
        <v/>
      </c>
      <c r="K28" s="28">
        <f>IF($A28="","",IF('設定'!$B$10="四捨五入",ROUND(IF('設定'!$B$9="税込",N($H28)*8/108,N($H28)*8/100),0),IF('設定'!$B$10="切り上げ",ROUNDUP(IF('設定'!$B$9="税込",N($H28)*8/108,N($H28)*8/100),0),ROUNDDOWN(IF('設定'!$B$9="税込",N($H28)*8/108,N($H28)*8/100),0))))</f>
        <v/>
      </c>
      <c r="L28" s="28">
        <f>IF($A28="","",N($G28)+N($H28)+N($I28)+IF('設定'!$B$9="税込",0,$J28+$K28))</f>
        <v/>
      </c>
      <c r="M28" s="29">
        <f>IF(OR($A28="",NOT(ISNUMBER($W28)),NOT(ISNUMBER($X28))),"",IF(OR(INDEX('得意先'!$D$5:$D$104,$W28)="",INDEX('得意先'!$E$5:$E$104,$W28)="",INDEX('得意先'!$F$5:$F$104,$W28)=""),"",IF(INDEX('得意先'!$F$5:$F$104,$W28)="末",DATE(YEAR($X28),(MONTH($X28)+IF(INDEX('得意先'!$D$5:$D$104,$W28)="末",0,IF(DAY($X28)&lt;=INDEX('得意先'!$D$5:$D$104,$W28),0,1))+N(INDEX('得意先'!$E$5:$E$104,$W28)))+1,0),DATE(YEAR($X28),(MONTH($X28)+IF(INDEX('得意先'!$D$5:$D$104,$W28)="末",0,IF(DAY($X28)&lt;=INDEX('得意先'!$D$5:$D$104,$W28),0,1))+N(INDEX('得意先'!$E$5:$E$104,$W28))),MIN(INDEX('得意先'!$F$5:$F$104,$W28),DAY(DATE(YEAR($X28),(MONTH($X28)+IF(INDEX('得意先'!$D$5:$D$104,$W28)="末",0,IF(DAY($X28)&lt;=INDEX('得意先'!$D$5:$D$104,$W28),0,1))+N(INDEX('得意先'!$E$5:$E$104,$W28)))+1,0)))))))</f>
        <v/>
      </c>
      <c r="N28" s="26" t="n"/>
      <c r="O28" s="29">
        <f>IF($A28="","",IF(ISNUMBER($N28),$N28,$M28))</f>
        <v/>
      </c>
      <c r="P28" s="28">
        <f>IF($A28="","",SUMIF('入金消込'!$F$5:$F$1004,$A28,'入金消込'!$G$5:$G$1004))</f>
        <v/>
      </c>
      <c r="Q28" s="28">
        <f>IF($A28="","",SUMIF('入金消込'!$F$5:$F$1004,$A28,'入金消込'!$H$5:$H$1004)+SUMIF('入金消込'!$F$5:$F$1004,$A28,'入金消込'!$I$5:$I$1004))</f>
        <v/>
      </c>
      <c r="R28" s="28">
        <f>IF($A28="","",$L28-$P28-$Q28)</f>
        <v/>
      </c>
      <c r="S28" s="30">
        <f>IF($A28="","",IF($R28=0,IF($L28=0,"請求額0","回収済"),IF($L28&lt;0,IF($R28&lt;0,"差し引き待ち","差し引きすぎ"),IF($R28&lt;0,"入金が多い",IF($P28+$Q28=0,"未入金","一部入金")))))</f>
        <v/>
      </c>
      <c r="T28" s="31">
        <f>IF(OR($A28="",N($R28)&lt;=0,NOT(ISNUMBER($O28))),"",IF($O28&lt;'設定'!$B$7,'設定'!$B$7-$O28,""))</f>
        <v/>
      </c>
      <c r="U28" s="30">
        <f>IF(OR($A28="",N($R28)&lt;=0),"",IF(NOT(ISNUMBER($O28)),'設定'!$B$22,IF($O28&gt;='設定'!$B$7,'設定'!$B$17,IF('設定'!$B$7-$O28&lt;='設定'!$B$12,'設定'!$B$18,IF('設定'!$B$7-$O28&lt;='設定'!$B$13,'設定'!$B$19,IF('設定'!$B$7-$O28&lt;='設定'!$B$14,'設定'!$B$20,'設定'!$B$21))))))</f>
        <v/>
      </c>
      <c r="V28" s="56" t="n"/>
      <c r="W28" s="32">
        <f>IF($C28="","",IFERROR(MATCH($C28,'得意先'!$B$5:$B$104,0),"なし"))</f>
        <v/>
      </c>
      <c r="X28" s="33">
        <f>IF($A28="","",IF(ISNUMBER($E28),$E28,IF(ISNUMBER($B28),$B28,"")))</f>
        <v/>
      </c>
      <c r="Y28" s="34">
        <f>IF($T28="","",$O28+ROW()/1000000)</f>
        <v/>
      </c>
      <c r="Z28" s="35">
        <f>IF(OR($A28="",$C28="",$C28&lt;&gt;'売掛帳'!$B$3,NOT(ISNUMBER($X28))),"",IF(AND($X28&gt;='売掛帳'!$Q$3,$X28&lt;='売掛帳'!$Q$4),$X28+ROW()/10000000,""))</f>
        <v/>
      </c>
    </row>
    <row r="29" ht="18" customHeight="1">
      <c r="A29" s="18" t="n"/>
      <c r="B29" s="26" t="n"/>
      <c r="C29" s="18" t="n"/>
      <c r="D29" s="20">
        <f>IF($W29="","",IF($W29="なし","※得意先にないコード",INDEX('得意先'!$C$5:$C$104,$W29)&amp;""))</f>
        <v/>
      </c>
      <c r="E29" s="26" t="n"/>
      <c r="F29" s="19" t="n"/>
      <c r="G29" s="27" t="n"/>
      <c r="H29" s="27" t="n"/>
      <c r="I29" s="27" t="n"/>
      <c r="J29" s="28">
        <f>IF($A29="","",IF('設定'!$B$10="四捨五入",ROUND(IF('設定'!$B$9="税込",N($G29)*10/110,N($G29)*10/100),0),IF('設定'!$B$10="切り上げ",ROUNDUP(IF('設定'!$B$9="税込",N($G29)*10/110,N($G29)*10/100),0),ROUNDDOWN(IF('設定'!$B$9="税込",N($G29)*10/110,N($G29)*10/100),0))))</f>
        <v/>
      </c>
      <c r="K29" s="28">
        <f>IF($A29="","",IF('設定'!$B$10="四捨五入",ROUND(IF('設定'!$B$9="税込",N($H29)*8/108,N($H29)*8/100),0),IF('設定'!$B$10="切り上げ",ROUNDUP(IF('設定'!$B$9="税込",N($H29)*8/108,N($H29)*8/100),0),ROUNDDOWN(IF('設定'!$B$9="税込",N($H29)*8/108,N($H29)*8/100),0))))</f>
        <v/>
      </c>
      <c r="L29" s="28">
        <f>IF($A29="","",N($G29)+N($H29)+N($I29)+IF('設定'!$B$9="税込",0,$J29+$K29))</f>
        <v/>
      </c>
      <c r="M29" s="29">
        <f>IF(OR($A29="",NOT(ISNUMBER($W29)),NOT(ISNUMBER($X29))),"",IF(OR(INDEX('得意先'!$D$5:$D$104,$W29)="",INDEX('得意先'!$E$5:$E$104,$W29)="",INDEX('得意先'!$F$5:$F$104,$W29)=""),"",IF(INDEX('得意先'!$F$5:$F$104,$W29)="末",DATE(YEAR($X29),(MONTH($X29)+IF(INDEX('得意先'!$D$5:$D$104,$W29)="末",0,IF(DAY($X29)&lt;=INDEX('得意先'!$D$5:$D$104,$W29),0,1))+N(INDEX('得意先'!$E$5:$E$104,$W29)))+1,0),DATE(YEAR($X29),(MONTH($X29)+IF(INDEX('得意先'!$D$5:$D$104,$W29)="末",0,IF(DAY($X29)&lt;=INDEX('得意先'!$D$5:$D$104,$W29),0,1))+N(INDEX('得意先'!$E$5:$E$104,$W29))),MIN(INDEX('得意先'!$F$5:$F$104,$W29),DAY(DATE(YEAR($X29),(MONTH($X29)+IF(INDEX('得意先'!$D$5:$D$104,$W29)="末",0,IF(DAY($X29)&lt;=INDEX('得意先'!$D$5:$D$104,$W29),0,1))+N(INDEX('得意先'!$E$5:$E$104,$W29)))+1,0)))))))</f>
        <v/>
      </c>
      <c r="N29" s="26" t="n"/>
      <c r="O29" s="29">
        <f>IF($A29="","",IF(ISNUMBER($N29),$N29,$M29))</f>
        <v/>
      </c>
      <c r="P29" s="28">
        <f>IF($A29="","",SUMIF('入金消込'!$F$5:$F$1004,$A29,'入金消込'!$G$5:$G$1004))</f>
        <v/>
      </c>
      <c r="Q29" s="28">
        <f>IF($A29="","",SUMIF('入金消込'!$F$5:$F$1004,$A29,'入金消込'!$H$5:$H$1004)+SUMIF('入金消込'!$F$5:$F$1004,$A29,'入金消込'!$I$5:$I$1004))</f>
        <v/>
      </c>
      <c r="R29" s="28">
        <f>IF($A29="","",$L29-$P29-$Q29)</f>
        <v/>
      </c>
      <c r="S29" s="30">
        <f>IF($A29="","",IF($R29=0,IF($L29=0,"請求額0","回収済"),IF($L29&lt;0,IF($R29&lt;0,"差し引き待ち","差し引きすぎ"),IF($R29&lt;0,"入金が多い",IF($P29+$Q29=0,"未入金","一部入金")))))</f>
        <v/>
      </c>
      <c r="T29" s="31">
        <f>IF(OR($A29="",N($R29)&lt;=0,NOT(ISNUMBER($O29))),"",IF($O29&lt;'設定'!$B$7,'設定'!$B$7-$O29,""))</f>
        <v/>
      </c>
      <c r="U29" s="30">
        <f>IF(OR($A29="",N($R29)&lt;=0),"",IF(NOT(ISNUMBER($O29)),'設定'!$B$22,IF($O29&gt;='設定'!$B$7,'設定'!$B$17,IF('設定'!$B$7-$O29&lt;='設定'!$B$12,'設定'!$B$18,IF('設定'!$B$7-$O29&lt;='設定'!$B$13,'設定'!$B$19,IF('設定'!$B$7-$O29&lt;='設定'!$B$14,'設定'!$B$20,'設定'!$B$21))))))</f>
        <v/>
      </c>
      <c r="V29" s="56" t="n"/>
      <c r="W29" s="32">
        <f>IF($C29="","",IFERROR(MATCH($C29,'得意先'!$B$5:$B$104,0),"なし"))</f>
        <v/>
      </c>
      <c r="X29" s="33">
        <f>IF($A29="","",IF(ISNUMBER($E29),$E29,IF(ISNUMBER($B29),$B29,"")))</f>
        <v/>
      </c>
      <c r="Y29" s="34">
        <f>IF($T29="","",$O29+ROW()/1000000)</f>
        <v/>
      </c>
      <c r="Z29" s="35">
        <f>IF(OR($A29="",$C29="",$C29&lt;&gt;'売掛帳'!$B$3,NOT(ISNUMBER($X29))),"",IF(AND($X29&gt;='売掛帳'!$Q$3,$X29&lt;='売掛帳'!$Q$4),$X29+ROW()/10000000,""))</f>
        <v/>
      </c>
    </row>
    <row r="30" ht="18" customHeight="1">
      <c r="A30" s="18" t="n"/>
      <c r="B30" s="26" t="n"/>
      <c r="C30" s="18" t="n"/>
      <c r="D30" s="20">
        <f>IF($W30="","",IF($W30="なし","※得意先にないコード",INDEX('得意先'!$C$5:$C$104,$W30)&amp;""))</f>
        <v/>
      </c>
      <c r="E30" s="26" t="n"/>
      <c r="F30" s="19" t="n"/>
      <c r="G30" s="27" t="n"/>
      <c r="H30" s="27" t="n"/>
      <c r="I30" s="27" t="n"/>
      <c r="J30" s="28">
        <f>IF($A30="","",IF('設定'!$B$10="四捨五入",ROUND(IF('設定'!$B$9="税込",N($G30)*10/110,N($G30)*10/100),0),IF('設定'!$B$10="切り上げ",ROUNDUP(IF('設定'!$B$9="税込",N($G30)*10/110,N($G30)*10/100),0),ROUNDDOWN(IF('設定'!$B$9="税込",N($G30)*10/110,N($G30)*10/100),0))))</f>
        <v/>
      </c>
      <c r="K30" s="28">
        <f>IF($A30="","",IF('設定'!$B$10="四捨五入",ROUND(IF('設定'!$B$9="税込",N($H30)*8/108,N($H30)*8/100),0),IF('設定'!$B$10="切り上げ",ROUNDUP(IF('設定'!$B$9="税込",N($H30)*8/108,N($H30)*8/100),0),ROUNDDOWN(IF('設定'!$B$9="税込",N($H30)*8/108,N($H30)*8/100),0))))</f>
        <v/>
      </c>
      <c r="L30" s="28">
        <f>IF($A30="","",N($G30)+N($H30)+N($I30)+IF('設定'!$B$9="税込",0,$J30+$K30))</f>
        <v/>
      </c>
      <c r="M30" s="29">
        <f>IF(OR($A30="",NOT(ISNUMBER($W30)),NOT(ISNUMBER($X30))),"",IF(OR(INDEX('得意先'!$D$5:$D$104,$W30)="",INDEX('得意先'!$E$5:$E$104,$W30)="",INDEX('得意先'!$F$5:$F$104,$W30)=""),"",IF(INDEX('得意先'!$F$5:$F$104,$W30)="末",DATE(YEAR($X30),(MONTH($X30)+IF(INDEX('得意先'!$D$5:$D$104,$W30)="末",0,IF(DAY($X30)&lt;=INDEX('得意先'!$D$5:$D$104,$W30),0,1))+N(INDEX('得意先'!$E$5:$E$104,$W30)))+1,0),DATE(YEAR($X30),(MONTH($X30)+IF(INDEX('得意先'!$D$5:$D$104,$W30)="末",0,IF(DAY($X30)&lt;=INDEX('得意先'!$D$5:$D$104,$W30),0,1))+N(INDEX('得意先'!$E$5:$E$104,$W30))),MIN(INDEX('得意先'!$F$5:$F$104,$W30),DAY(DATE(YEAR($X30),(MONTH($X30)+IF(INDEX('得意先'!$D$5:$D$104,$W30)="末",0,IF(DAY($X30)&lt;=INDEX('得意先'!$D$5:$D$104,$W30),0,1))+N(INDEX('得意先'!$E$5:$E$104,$W30)))+1,0)))))))</f>
        <v/>
      </c>
      <c r="N30" s="26" t="n"/>
      <c r="O30" s="29">
        <f>IF($A30="","",IF(ISNUMBER($N30),$N30,$M30))</f>
        <v/>
      </c>
      <c r="P30" s="28">
        <f>IF($A30="","",SUMIF('入金消込'!$F$5:$F$1004,$A30,'入金消込'!$G$5:$G$1004))</f>
        <v/>
      </c>
      <c r="Q30" s="28">
        <f>IF($A30="","",SUMIF('入金消込'!$F$5:$F$1004,$A30,'入金消込'!$H$5:$H$1004)+SUMIF('入金消込'!$F$5:$F$1004,$A30,'入金消込'!$I$5:$I$1004))</f>
        <v/>
      </c>
      <c r="R30" s="28">
        <f>IF($A30="","",$L30-$P30-$Q30)</f>
        <v/>
      </c>
      <c r="S30" s="30">
        <f>IF($A30="","",IF($R30=0,IF($L30=0,"請求額0","回収済"),IF($L30&lt;0,IF($R30&lt;0,"差し引き待ち","差し引きすぎ"),IF($R30&lt;0,"入金が多い",IF($P30+$Q30=0,"未入金","一部入金")))))</f>
        <v/>
      </c>
      <c r="T30" s="31">
        <f>IF(OR($A30="",N($R30)&lt;=0,NOT(ISNUMBER($O30))),"",IF($O30&lt;'設定'!$B$7,'設定'!$B$7-$O30,""))</f>
        <v/>
      </c>
      <c r="U30" s="30">
        <f>IF(OR($A30="",N($R30)&lt;=0),"",IF(NOT(ISNUMBER($O30)),'設定'!$B$22,IF($O30&gt;='設定'!$B$7,'設定'!$B$17,IF('設定'!$B$7-$O30&lt;='設定'!$B$12,'設定'!$B$18,IF('設定'!$B$7-$O30&lt;='設定'!$B$13,'設定'!$B$19,IF('設定'!$B$7-$O30&lt;='設定'!$B$14,'設定'!$B$20,'設定'!$B$21))))))</f>
        <v/>
      </c>
      <c r="V30" s="56" t="n"/>
      <c r="W30" s="32">
        <f>IF($C30="","",IFERROR(MATCH($C30,'得意先'!$B$5:$B$104,0),"なし"))</f>
        <v/>
      </c>
      <c r="X30" s="33">
        <f>IF($A30="","",IF(ISNUMBER($E30),$E30,IF(ISNUMBER($B30),$B30,"")))</f>
        <v/>
      </c>
      <c r="Y30" s="34">
        <f>IF($T30="","",$O30+ROW()/1000000)</f>
        <v/>
      </c>
      <c r="Z30" s="35">
        <f>IF(OR($A30="",$C30="",$C30&lt;&gt;'売掛帳'!$B$3,NOT(ISNUMBER($X30))),"",IF(AND($X30&gt;='売掛帳'!$Q$3,$X30&lt;='売掛帳'!$Q$4),$X30+ROW()/10000000,""))</f>
        <v/>
      </c>
    </row>
    <row r="31" ht="18" customHeight="1">
      <c r="A31" s="18" t="n"/>
      <c r="B31" s="26" t="n"/>
      <c r="C31" s="18" t="n"/>
      <c r="D31" s="20">
        <f>IF($W31="","",IF($W31="なし","※得意先にないコード",INDEX('得意先'!$C$5:$C$104,$W31)&amp;""))</f>
        <v/>
      </c>
      <c r="E31" s="26" t="n"/>
      <c r="F31" s="19" t="n"/>
      <c r="G31" s="27" t="n"/>
      <c r="H31" s="27" t="n"/>
      <c r="I31" s="27" t="n"/>
      <c r="J31" s="28">
        <f>IF($A31="","",IF('設定'!$B$10="四捨五入",ROUND(IF('設定'!$B$9="税込",N($G31)*10/110,N($G31)*10/100),0),IF('設定'!$B$10="切り上げ",ROUNDUP(IF('設定'!$B$9="税込",N($G31)*10/110,N($G31)*10/100),0),ROUNDDOWN(IF('設定'!$B$9="税込",N($G31)*10/110,N($G31)*10/100),0))))</f>
        <v/>
      </c>
      <c r="K31" s="28">
        <f>IF($A31="","",IF('設定'!$B$10="四捨五入",ROUND(IF('設定'!$B$9="税込",N($H31)*8/108,N($H31)*8/100),0),IF('設定'!$B$10="切り上げ",ROUNDUP(IF('設定'!$B$9="税込",N($H31)*8/108,N($H31)*8/100),0),ROUNDDOWN(IF('設定'!$B$9="税込",N($H31)*8/108,N($H31)*8/100),0))))</f>
        <v/>
      </c>
      <c r="L31" s="28">
        <f>IF($A31="","",N($G31)+N($H31)+N($I31)+IF('設定'!$B$9="税込",0,$J31+$K31))</f>
        <v/>
      </c>
      <c r="M31" s="29">
        <f>IF(OR($A31="",NOT(ISNUMBER($W31)),NOT(ISNUMBER($X31))),"",IF(OR(INDEX('得意先'!$D$5:$D$104,$W31)="",INDEX('得意先'!$E$5:$E$104,$W31)="",INDEX('得意先'!$F$5:$F$104,$W31)=""),"",IF(INDEX('得意先'!$F$5:$F$104,$W31)="末",DATE(YEAR($X31),(MONTH($X31)+IF(INDEX('得意先'!$D$5:$D$104,$W31)="末",0,IF(DAY($X31)&lt;=INDEX('得意先'!$D$5:$D$104,$W31),0,1))+N(INDEX('得意先'!$E$5:$E$104,$W31)))+1,0),DATE(YEAR($X31),(MONTH($X31)+IF(INDEX('得意先'!$D$5:$D$104,$W31)="末",0,IF(DAY($X31)&lt;=INDEX('得意先'!$D$5:$D$104,$W31),0,1))+N(INDEX('得意先'!$E$5:$E$104,$W31))),MIN(INDEX('得意先'!$F$5:$F$104,$W31),DAY(DATE(YEAR($X31),(MONTH($X31)+IF(INDEX('得意先'!$D$5:$D$104,$W31)="末",0,IF(DAY($X31)&lt;=INDEX('得意先'!$D$5:$D$104,$W31),0,1))+N(INDEX('得意先'!$E$5:$E$104,$W31)))+1,0)))))))</f>
        <v/>
      </c>
      <c r="N31" s="26" t="n"/>
      <c r="O31" s="29">
        <f>IF($A31="","",IF(ISNUMBER($N31),$N31,$M31))</f>
        <v/>
      </c>
      <c r="P31" s="28">
        <f>IF($A31="","",SUMIF('入金消込'!$F$5:$F$1004,$A31,'入金消込'!$G$5:$G$1004))</f>
        <v/>
      </c>
      <c r="Q31" s="28">
        <f>IF($A31="","",SUMIF('入金消込'!$F$5:$F$1004,$A31,'入金消込'!$H$5:$H$1004)+SUMIF('入金消込'!$F$5:$F$1004,$A31,'入金消込'!$I$5:$I$1004))</f>
        <v/>
      </c>
      <c r="R31" s="28">
        <f>IF($A31="","",$L31-$P31-$Q31)</f>
        <v/>
      </c>
      <c r="S31" s="30">
        <f>IF($A31="","",IF($R31=0,IF($L31=0,"請求額0","回収済"),IF($L31&lt;0,IF($R31&lt;0,"差し引き待ち","差し引きすぎ"),IF($R31&lt;0,"入金が多い",IF($P31+$Q31=0,"未入金","一部入金")))))</f>
        <v/>
      </c>
      <c r="T31" s="31">
        <f>IF(OR($A31="",N($R31)&lt;=0,NOT(ISNUMBER($O31))),"",IF($O31&lt;'設定'!$B$7,'設定'!$B$7-$O31,""))</f>
        <v/>
      </c>
      <c r="U31" s="30">
        <f>IF(OR($A31="",N($R31)&lt;=0),"",IF(NOT(ISNUMBER($O31)),'設定'!$B$22,IF($O31&gt;='設定'!$B$7,'設定'!$B$17,IF('設定'!$B$7-$O31&lt;='設定'!$B$12,'設定'!$B$18,IF('設定'!$B$7-$O31&lt;='設定'!$B$13,'設定'!$B$19,IF('設定'!$B$7-$O31&lt;='設定'!$B$14,'設定'!$B$20,'設定'!$B$21))))))</f>
        <v/>
      </c>
      <c r="V31" s="56" t="n"/>
      <c r="W31" s="32">
        <f>IF($C31="","",IFERROR(MATCH($C31,'得意先'!$B$5:$B$104,0),"なし"))</f>
        <v/>
      </c>
      <c r="X31" s="33">
        <f>IF($A31="","",IF(ISNUMBER($E31),$E31,IF(ISNUMBER($B31),$B31,"")))</f>
        <v/>
      </c>
      <c r="Y31" s="34">
        <f>IF($T31="","",$O31+ROW()/1000000)</f>
        <v/>
      </c>
      <c r="Z31" s="35">
        <f>IF(OR($A31="",$C31="",$C31&lt;&gt;'売掛帳'!$B$3,NOT(ISNUMBER($X31))),"",IF(AND($X31&gt;='売掛帳'!$Q$3,$X31&lt;='売掛帳'!$Q$4),$X31+ROW()/10000000,""))</f>
        <v/>
      </c>
    </row>
    <row r="32" ht="18" customHeight="1">
      <c r="A32" s="18" t="n"/>
      <c r="B32" s="26" t="n"/>
      <c r="C32" s="18" t="n"/>
      <c r="D32" s="20">
        <f>IF($W32="","",IF($W32="なし","※得意先にないコード",INDEX('得意先'!$C$5:$C$104,$W32)&amp;""))</f>
        <v/>
      </c>
      <c r="E32" s="26" t="n"/>
      <c r="F32" s="19" t="n"/>
      <c r="G32" s="27" t="n"/>
      <c r="H32" s="27" t="n"/>
      <c r="I32" s="27" t="n"/>
      <c r="J32" s="28">
        <f>IF($A32="","",IF('設定'!$B$10="四捨五入",ROUND(IF('設定'!$B$9="税込",N($G32)*10/110,N($G32)*10/100),0),IF('設定'!$B$10="切り上げ",ROUNDUP(IF('設定'!$B$9="税込",N($G32)*10/110,N($G32)*10/100),0),ROUNDDOWN(IF('設定'!$B$9="税込",N($G32)*10/110,N($G32)*10/100),0))))</f>
        <v/>
      </c>
      <c r="K32" s="28">
        <f>IF($A32="","",IF('設定'!$B$10="四捨五入",ROUND(IF('設定'!$B$9="税込",N($H32)*8/108,N($H32)*8/100),0),IF('設定'!$B$10="切り上げ",ROUNDUP(IF('設定'!$B$9="税込",N($H32)*8/108,N($H32)*8/100),0),ROUNDDOWN(IF('設定'!$B$9="税込",N($H32)*8/108,N($H32)*8/100),0))))</f>
        <v/>
      </c>
      <c r="L32" s="28">
        <f>IF($A32="","",N($G32)+N($H32)+N($I32)+IF('設定'!$B$9="税込",0,$J32+$K32))</f>
        <v/>
      </c>
      <c r="M32" s="29">
        <f>IF(OR($A32="",NOT(ISNUMBER($W32)),NOT(ISNUMBER($X32))),"",IF(OR(INDEX('得意先'!$D$5:$D$104,$W32)="",INDEX('得意先'!$E$5:$E$104,$W32)="",INDEX('得意先'!$F$5:$F$104,$W32)=""),"",IF(INDEX('得意先'!$F$5:$F$104,$W32)="末",DATE(YEAR($X32),(MONTH($X32)+IF(INDEX('得意先'!$D$5:$D$104,$W32)="末",0,IF(DAY($X32)&lt;=INDEX('得意先'!$D$5:$D$104,$W32),0,1))+N(INDEX('得意先'!$E$5:$E$104,$W32)))+1,0),DATE(YEAR($X32),(MONTH($X32)+IF(INDEX('得意先'!$D$5:$D$104,$W32)="末",0,IF(DAY($X32)&lt;=INDEX('得意先'!$D$5:$D$104,$W32),0,1))+N(INDEX('得意先'!$E$5:$E$104,$W32))),MIN(INDEX('得意先'!$F$5:$F$104,$W32),DAY(DATE(YEAR($X32),(MONTH($X32)+IF(INDEX('得意先'!$D$5:$D$104,$W32)="末",0,IF(DAY($X32)&lt;=INDEX('得意先'!$D$5:$D$104,$W32),0,1))+N(INDEX('得意先'!$E$5:$E$104,$W32)))+1,0)))))))</f>
        <v/>
      </c>
      <c r="N32" s="26" t="n"/>
      <c r="O32" s="29">
        <f>IF($A32="","",IF(ISNUMBER($N32),$N32,$M32))</f>
        <v/>
      </c>
      <c r="P32" s="28">
        <f>IF($A32="","",SUMIF('入金消込'!$F$5:$F$1004,$A32,'入金消込'!$G$5:$G$1004))</f>
        <v/>
      </c>
      <c r="Q32" s="28">
        <f>IF($A32="","",SUMIF('入金消込'!$F$5:$F$1004,$A32,'入金消込'!$H$5:$H$1004)+SUMIF('入金消込'!$F$5:$F$1004,$A32,'入金消込'!$I$5:$I$1004))</f>
        <v/>
      </c>
      <c r="R32" s="28">
        <f>IF($A32="","",$L32-$P32-$Q32)</f>
        <v/>
      </c>
      <c r="S32" s="30">
        <f>IF($A32="","",IF($R32=0,IF($L32=0,"請求額0","回収済"),IF($L32&lt;0,IF($R32&lt;0,"差し引き待ち","差し引きすぎ"),IF($R32&lt;0,"入金が多い",IF($P32+$Q32=0,"未入金","一部入金")))))</f>
        <v/>
      </c>
      <c r="T32" s="31">
        <f>IF(OR($A32="",N($R32)&lt;=0,NOT(ISNUMBER($O32))),"",IF($O32&lt;'設定'!$B$7,'設定'!$B$7-$O32,""))</f>
        <v/>
      </c>
      <c r="U32" s="30">
        <f>IF(OR($A32="",N($R32)&lt;=0),"",IF(NOT(ISNUMBER($O32)),'設定'!$B$22,IF($O32&gt;='設定'!$B$7,'設定'!$B$17,IF('設定'!$B$7-$O32&lt;='設定'!$B$12,'設定'!$B$18,IF('設定'!$B$7-$O32&lt;='設定'!$B$13,'設定'!$B$19,IF('設定'!$B$7-$O32&lt;='設定'!$B$14,'設定'!$B$20,'設定'!$B$21))))))</f>
        <v/>
      </c>
      <c r="V32" s="56" t="n"/>
      <c r="W32" s="32">
        <f>IF($C32="","",IFERROR(MATCH($C32,'得意先'!$B$5:$B$104,0),"なし"))</f>
        <v/>
      </c>
      <c r="X32" s="33">
        <f>IF($A32="","",IF(ISNUMBER($E32),$E32,IF(ISNUMBER($B32),$B32,"")))</f>
        <v/>
      </c>
      <c r="Y32" s="34">
        <f>IF($T32="","",$O32+ROW()/1000000)</f>
        <v/>
      </c>
      <c r="Z32" s="35">
        <f>IF(OR($A32="",$C32="",$C32&lt;&gt;'売掛帳'!$B$3,NOT(ISNUMBER($X32))),"",IF(AND($X32&gt;='売掛帳'!$Q$3,$X32&lt;='売掛帳'!$Q$4),$X32+ROW()/10000000,""))</f>
        <v/>
      </c>
    </row>
    <row r="33" ht="18" customHeight="1">
      <c r="A33" s="18" t="n"/>
      <c r="B33" s="26" t="n"/>
      <c r="C33" s="18" t="n"/>
      <c r="D33" s="20">
        <f>IF($W33="","",IF($W33="なし","※得意先にないコード",INDEX('得意先'!$C$5:$C$104,$W33)&amp;""))</f>
        <v/>
      </c>
      <c r="E33" s="26" t="n"/>
      <c r="F33" s="19" t="n"/>
      <c r="G33" s="27" t="n"/>
      <c r="H33" s="27" t="n"/>
      <c r="I33" s="27" t="n"/>
      <c r="J33" s="28">
        <f>IF($A33="","",IF('設定'!$B$10="四捨五入",ROUND(IF('設定'!$B$9="税込",N($G33)*10/110,N($G33)*10/100),0),IF('設定'!$B$10="切り上げ",ROUNDUP(IF('設定'!$B$9="税込",N($G33)*10/110,N($G33)*10/100),0),ROUNDDOWN(IF('設定'!$B$9="税込",N($G33)*10/110,N($G33)*10/100),0))))</f>
        <v/>
      </c>
      <c r="K33" s="28">
        <f>IF($A33="","",IF('設定'!$B$10="四捨五入",ROUND(IF('設定'!$B$9="税込",N($H33)*8/108,N($H33)*8/100),0),IF('設定'!$B$10="切り上げ",ROUNDUP(IF('設定'!$B$9="税込",N($H33)*8/108,N($H33)*8/100),0),ROUNDDOWN(IF('設定'!$B$9="税込",N($H33)*8/108,N($H33)*8/100),0))))</f>
        <v/>
      </c>
      <c r="L33" s="28">
        <f>IF($A33="","",N($G33)+N($H33)+N($I33)+IF('設定'!$B$9="税込",0,$J33+$K33))</f>
        <v/>
      </c>
      <c r="M33" s="29">
        <f>IF(OR($A33="",NOT(ISNUMBER($W33)),NOT(ISNUMBER($X33))),"",IF(OR(INDEX('得意先'!$D$5:$D$104,$W33)="",INDEX('得意先'!$E$5:$E$104,$W33)="",INDEX('得意先'!$F$5:$F$104,$W33)=""),"",IF(INDEX('得意先'!$F$5:$F$104,$W33)="末",DATE(YEAR($X33),(MONTH($X33)+IF(INDEX('得意先'!$D$5:$D$104,$W33)="末",0,IF(DAY($X33)&lt;=INDEX('得意先'!$D$5:$D$104,$W33),0,1))+N(INDEX('得意先'!$E$5:$E$104,$W33)))+1,0),DATE(YEAR($X33),(MONTH($X33)+IF(INDEX('得意先'!$D$5:$D$104,$W33)="末",0,IF(DAY($X33)&lt;=INDEX('得意先'!$D$5:$D$104,$W33),0,1))+N(INDEX('得意先'!$E$5:$E$104,$W33))),MIN(INDEX('得意先'!$F$5:$F$104,$W33),DAY(DATE(YEAR($X33),(MONTH($X33)+IF(INDEX('得意先'!$D$5:$D$104,$W33)="末",0,IF(DAY($X33)&lt;=INDEX('得意先'!$D$5:$D$104,$W33),0,1))+N(INDEX('得意先'!$E$5:$E$104,$W33)))+1,0)))))))</f>
        <v/>
      </c>
      <c r="N33" s="26" t="n"/>
      <c r="O33" s="29">
        <f>IF($A33="","",IF(ISNUMBER($N33),$N33,$M33))</f>
        <v/>
      </c>
      <c r="P33" s="28">
        <f>IF($A33="","",SUMIF('入金消込'!$F$5:$F$1004,$A33,'入金消込'!$G$5:$G$1004))</f>
        <v/>
      </c>
      <c r="Q33" s="28">
        <f>IF($A33="","",SUMIF('入金消込'!$F$5:$F$1004,$A33,'入金消込'!$H$5:$H$1004)+SUMIF('入金消込'!$F$5:$F$1004,$A33,'入金消込'!$I$5:$I$1004))</f>
        <v/>
      </c>
      <c r="R33" s="28">
        <f>IF($A33="","",$L33-$P33-$Q33)</f>
        <v/>
      </c>
      <c r="S33" s="30">
        <f>IF($A33="","",IF($R33=0,IF($L33=0,"請求額0","回収済"),IF($L33&lt;0,IF($R33&lt;0,"差し引き待ち","差し引きすぎ"),IF($R33&lt;0,"入金が多い",IF($P33+$Q33=0,"未入金","一部入金")))))</f>
        <v/>
      </c>
      <c r="T33" s="31">
        <f>IF(OR($A33="",N($R33)&lt;=0,NOT(ISNUMBER($O33))),"",IF($O33&lt;'設定'!$B$7,'設定'!$B$7-$O33,""))</f>
        <v/>
      </c>
      <c r="U33" s="30">
        <f>IF(OR($A33="",N($R33)&lt;=0),"",IF(NOT(ISNUMBER($O33)),'設定'!$B$22,IF($O33&gt;='設定'!$B$7,'設定'!$B$17,IF('設定'!$B$7-$O33&lt;='設定'!$B$12,'設定'!$B$18,IF('設定'!$B$7-$O33&lt;='設定'!$B$13,'設定'!$B$19,IF('設定'!$B$7-$O33&lt;='設定'!$B$14,'設定'!$B$20,'設定'!$B$21))))))</f>
        <v/>
      </c>
      <c r="V33" s="56" t="n"/>
      <c r="W33" s="32">
        <f>IF($C33="","",IFERROR(MATCH($C33,'得意先'!$B$5:$B$104,0),"なし"))</f>
        <v/>
      </c>
      <c r="X33" s="33">
        <f>IF($A33="","",IF(ISNUMBER($E33),$E33,IF(ISNUMBER($B33),$B33,"")))</f>
        <v/>
      </c>
      <c r="Y33" s="34">
        <f>IF($T33="","",$O33+ROW()/1000000)</f>
        <v/>
      </c>
      <c r="Z33" s="35">
        <f>IF(OR($A33="",$C33="",$C33&lt;&gt;'売掛帳'!$B$3,NOT(ISNUMBER($X33))),"",IF(AND($X33&gt;='売掛帳'!$Q$3,$X33&lt;='売掛帳'!$Q$4),$X33+ROW()/10000000,""))</f>
        <v/>
      </c>
    </row>
    <row r="34" ht="18" customHeight="1">
      <c r="A34" s="18" t="n"/>
      <c r="B34" s="26" t="n"/>
      <c r="C34" s="18" t="n"/>
      <c r="D34" s="20">
        <f>IF($W34="","",IF($W34="なし","※得意先にないコード",INDEX('得意先'!$C$5:$C$104,$W34)&amp;""))</f>
        <v/>
      </c>
      <c r="E34" s="26" t="n"/>
      <c r="F34" s="19" t="n"/>
      <c r="G34" s="27" t="n"/>
      <c r="H34" s="27" t="n"/>
      <c r="I34" s="27" t="n"/>
      <c r="J34" s="28">
        <f>IF($A34="","",IF('設定'!$B$10="四捨五入",ROUND(IF('設定'!$B$9="税込",N($G34)*10/110,N($G34)*10/100),0),IF('設定'!$B$10="切り上げ",ROUNDUP(IF('設定'!$B$9="税込",N($G34)*10/110,N($G34)*10/100),0),ROUNDDOWN(IF('設定'!$B$9="税込",N($G34)*10/110,N($G34)*10/100),0))))</f>
        <v/>
      </c>
      <c r="K34" s="28">
        <f>IF($A34="","",IF('設定'!$B$10="四捨五入",ROUND(IF('設定'!$B$9="税込",N($H34)*8/108,N($H34)*8/100),0),IF('設定'!$B$10="切り上げ",ROUNDUP(IF('設定'!$B$9="税込",N($H34)*8/108,N($H34)*8/100),0),ROUNDDOWN(IF('設定'!$B$9="税込",N($H34)*8/108,N($H34)*8/100),0))))</f>
        <v/>
      </c>
      <c r="L34" s="28">
        <f>IF($A34="","",N($G34)+N($H34)+N($I34)+IF('設定'!$B$9="税込",0,$J34+$K34))</f>
        <v/>
      </c>
      <c r="M34" s="29">
        <f>IF(OR($A34="",NOT(ISNUMBER($W34)),NOT(ISNUMBER($X34))),"",IF(OR(INDEX('得意先'!$D$5:$D$104,$W34)="",INDEX('得意先'!$E$5:$E$104,$W34)="",INDEX('得意先'!$F$5:$F$104,$W34)=""),"",IF(INDEX('得意先'!$F$5:$F$104,$W34)="末",DATE(YEAR($X34),(MONTH($X34)+IF(INDEX('得意先'!$D$5:$D$104,$W34)="末",0,IF(DAY($X34)&lt;=INDEX('得意先'!$D$5:$D$104,$W34),0,1))+N(INDEX('得意先'!$E$5:$E$104,$W34)))+1,0),DATE(YEAR($X34),(MONTH($X34)+IF(INDEX('得意先'!$D$5:$D$104,$W34)="末",0,IF(DAY($X34)&lt;=INDEX('得意先'!$D$5:$D$104,$W34),0,1))+N(INDEX('得意先'!$E$5:$E$104,$W34))),MIN(INDEX('得意先'!$F$5:$F$104,$W34),DAY(DATE(YEAR($X34),(MONTH($X34)+IF(INDEX('得意先'!$D$5:$D$104,$W34)="末",0,IF(DAY($X34)&lt;=INDEX('得意先'!$D$5:$D$104,$W34),0,1))+N(INDEX('得意先'!$E$5:$E$104,$W34)))+1,0)))))))</f>
        <v/>
      </c>
      <c r="N34" s="26" t="n"/>
      <c r="O34" s="29">
        <f>IF($A34="","",IF(ISNUMBER($N34),$N34,$M34))</f>
        <v/>
      </c>
      <c r="P34" s="28">
        <f>IF($A34="","",SUMIF('入金消込'!$F$5:$F$1004,$A34,'入金消込'!$G$5:$G$1004))</f>
        <v/>
      </c>
      <c r="Q34" s="28">
        <f>IF($A34="","",SUMIF('入金消込'!$F$5:$F$1004,$A34,'入金消込'!$H$5:$H$1004)+SUMIF('入金消込'!$F$5:$F$1004,$A34,'入金消込'!$I$5:$I$1004))</f>
        <v/>
      </c>
      <c r="R34" s="28">
        <f>IF($A34="","",$L34-$P34-$Q34)</f>
        <v/>
      </c>
      <c r="S34" s="30">
        <f>IF($A34="","",IF($R34=0,IF($L34=0,"請求額0","回収済"),IF($L34&lt;0,IF($R34&lt;0,"差し引き待ち","差し引きすぎ"),IF($R34&lt;0,"入金が多い",IF($P34+$Q34=0,"未入金","一部入金")))))</f>
        <v/>
      </c>
      <c r="T34" s="31">
        <f>IF(OR($A34="",N($R34)&lt;=0,NOT(ISNUMBER($O34))),"",IF($O34&lt;'設定'!$B$7,'設定'!$B$7-$O34,""))</f>
        <v/>
      </c>
      <c r="U34" s="30">
        <f>IF(OR($A34="",N($R34)&lt;=0),"",IF(NOT(ISNUMBER($O34)),'設定'!$B$22,IF($O34&gt;='設定'!$B$7,'設定'!$B$17,IF('設定'!$B$7-$O34&lt;='設定'!$B$12,'設定'!$B$18,IF('設定'!$B$7-$O34&lt;='設定'!$B$13,'設定'!$B$19,IF('設定'!$B$7-$O34&lt;='設定'!$B$14,'設定'!$B$20,'設定'!$B$21))))))</f>
        <v/>
      </c>
      <c r="V34" s="56" t="n"/>
      <c r="W34" s="32">
        <f>IF($C34="","",IFERROR(MATCH($C34,'得意先'!$B$5:$B$104,0),"なし"))</f>
        <v/>
      </c>
      <c r="X34" s="33">
        <f>IF($A34="","",IF(ISNUMBER($E34),$E34,IF(ISNUMBER($B34),$B34,"")))</f>
        <v/>
      </c>
      <c r="Y34" s="34">
        <f>IF($T34="","",$O34+ROW()/1000000)</f>
        <v/>
      </c>
      <c r="Z34" s="35">
        <f>IF(OR($A34="",$C34="",$C34&lt;&gt;'売掛帳'!$B$3,NOT(ISNUMBER($X34))),"",IF(AND($X34&gt;='売掛帳'!$Q$3,$X34&lt;='売掛帳'!$Q$4),$X34+ROW()/10000000,""))</f>
        <v/>
      </c>
    </row>
    <row r="35" ht="18" customHeight="1">
      <c r="A35" s="18" t="n"/>
      <c r="B35" s="26" t="n"/>
      <c r="C35" s="18" t="n"/>
      <c r="D35" s="20">
        <f>IF($W35="","",IF($W35="なし","※得意先にないコード",INDEX('得意先'!$C$5:$C$104,$W35)&amp;""))</f>
        <v/>
      </c>
      <c r="E35" s="26" t="n"/>
      <c r="F35" s="19" t="n"/>
      <c r="G35" s="27" t="n"/>
      <c r="H35" s="27" t="n"/>
      <c r="I35" s="27" t="n"/>
      <c r="J35" s="28">
        <f>IF($A35="","",IF('設定'!$B$10="四捨五入",ROUND(IF('設定'!$B$9="税込",N($G35)*10/110,N($G35)*10/100),0),IF('設定'!$B$10="切り上げ",ROUNDUP(IF('設定'!$B$9="税込",N($G35)*10/110,N($G35)*10/100),0),ROUNDDOWN(IF('設定'!$B$9="税込",N($G35)*10/110,N($G35)*10/100),0))))</f>
        <v/>
      </c>
      <c r="K35" s="28">
        <f>IF($A35="","",IF('設定'!$B$10="四捨五入",ROUND(IF('設定'!$B$9="税込",N($H35)*8/108,N($H35)*8/100),0),IF('設定'!$B$10="切り上げ",ROUNDUP(IF('設定'!$B$9="税込",N($H35)*8/108,N($H35)*8/100),0),ROUNDDOWN(IF('設定'!$B$9="税込",N($H35)*8/108,N($H35)*8/100),0))))</f>
        <v/>
      </c>
      <c r="L35" s="28">
        <f>IF($A35="","",N($G35)+N($H35)+N($I35)+IF('設定'!$B$9="税込",0,$J35+$K35))</f>
        <v/>
      </c>
      <c r="M35" s="29">
        <f>IF(OR($A35="",NOT(ISNUMBER($W35)),NOT(ISNUMBER($X35))),"",IF(OR(INDEX('得意先'!$D$5:$D$104,$W35)="",INDEX('得意先'!$E$5:$E$104,$W35)="",INDEX('得意先'!$F$5:$F$104,$W35)=""),"",IF(INDEX('得意先'!$F$5:$F$104,$W35)="末",DATE(YEAR($X35),(MONTH($X35)+IF(INDEX('得意先'!$D$5:$D$104,$W35)="末",0,IF(DAY($X35)&lt;=INDEX('得意先'!$D$5:$D$104,$W35),0,1))+N(INDEX('得意先'!$E$5:$E$104,$W35)))+1,0),DATE(YEAR($X35),(MONTH($X35)+IF(INDEX('得意先'!$D$5:$D$104,$W35)="末",0,IF(DAY($X35)&lt;=INDEX('得意先'!$D$5:$D$104,$W35),0,1))+N(INDEX('得意先'!$E$5:$E$104,$W35))),MIN(INDEX('得意先'!$F$5:$F$104,$W35),DAY(DATE(YEAR($X35),(MONTH($X35)+IF(INDEX('得意先'!$D$5:$D$104,$W35)="末",0,IF(DAY($X35)&lt;=INDEX('得意先'!$D$5:$D$104,$W35),0,1))+N(INDEX('得意先'!$E$5:$E$104,$W35)))+1,0)))))))</f>
        <v/>
      </c>
      <c r="N35" s="26" t="n"/>
      <c r="O35" s="29">
        <f>IF($A35="","",IF(ISNUMBER($N35),$N35,$M35))</f>
        <v/>
      </c>
      <c r="P35" s="28">
        <f>IF($A35="","",SUMIF('入金消込'!$F$5:$F$1004,$A35,'入金消込'!$G$5:$G$1004))</f>
        <v/>
      </c>
      <c r="Q35" s="28">
        <f>IF($A35="","",SUMIF('入金消込'!$F$5:$F$1004,$A35,'入金消込'!$H$5:$H$1004)+SUMIF('入金消込'!$F$5:$F$1004,$A35,'入金消込'!$I$5:$I$1004))</f>
        <v/>
      </c>
      <c r="R35" s="28">
        <f>IF($A35="","",$L35-$P35-$Q35)</f>
        <v/>
      </c>
      <c r="S35" s="30">
        <f>IF($A35="","",IF($R35=0,IF($L35=0,"請求額0","回収済"),IF($L35&lt;0,IF($R35&lt;0,"差し引き待ち","差し引きすぎ"),IF($R35&lt;0,"入金が多い",IF($P35+$Q35=0,"未入金","一部入金")))))</f>
        <v/>
      </c>
      <c r="T35" s="31">
        <f>IF(OR($A35="",N($R35)&lt;=0,NOT(ISNUMBER($O35))),"",IF($O35&lt;'設定'!$B$7,'設定'!$B$7-$O35,""))</f>
        <v/>
      </c>
      <c r="U35" s="30">
        <f>IF(OR($A35="",N($R35)&lt;=0),"",IF(NOT(ISNUMBER($O35)),'設定'!$B$22,IF($O35&gt;='設定'!$B$7,'設定'!$B$17,IF('設定'!$B$7-$O35&lt;='設定'!$B$12,'設定'!$B$18,IF('設定'!$B$7-$O35&lt;='設定'!$B$13,'設定'!$B$19,IF('設定'!$B$7-$O35&lt;='設定'!$B$14,'設定'!$B$20,'設定'!$B$21))))))</f>
        <v/>
      </c>
      <c r="V35" s="56" t="n"/>
      <c r="W35" s="32">
        <f>IF($C35="","",IFERROR(MATCH($C35,'得意先'!$B$5:$B$104,0),"なし"))</f>
        <v/>
      </c>
      <c r="X35" s="33">
        <f>IF($A35="","",IF(ISNUMBER($E35),$E35,IF(ISNUMBER($B35),$B35,"")))</f>
        <v/>
      </c>
      <c r="Y35" s="34">
        <f>IF($T35="","",$O35+ROW()/1000000)</f>
        <v/>
      </c>
      <c r="Z35" s="35">
        <f>IF(OR($A35="",$C35="",$C35&lt;&gt;'売掛帳'!$B$3,NOT(ISNUMBER($X35))),"",IF(AND($X35&gt;='売掛帳'!$Q$3,$X35&lt;='売掛帳'!$Q$4),$X35+ROW()/10000000,""))</f>
        <v/>
      </c>
    </row>
    <row r="36" ht="18" customHeight="1">
      <c r="A36" s="18" t="n"/>
      <c r="B36" s="26" t="n"/>
      <c r="C36" s="18" t="n"/>
      <c r="D36" s="20">
        <f>IF($W36="","",IF($W36="なし","※得意先にないコード",INDEX('得意先'!$C$5:$C$104,$W36)&amp;""))</f>
        <v/>
      </c>
      <c r="E36" s="26" t="n"/>
      <c r="F36" s="19" t="n"/>
      <c r="G36" s="27" t="n"/>
      <c r="H36" s="27" t="n"/>
      <c r="I36" s="27" t="n"/>
      <c r="J36" s="28">
        <f>IF($A36="","",IF('設定'!$B$10="四捨五入",ROUND(IF('設定'!$B$9="税込",N($G36)*10/110,N($G36)*10/100),0),IF('設定'!$B$10="切り上げ",ROUNDUP(IF('設定'!$B$9="税込",N($G36)*10/110,N($G36)*10/100),0),ROUNDDOWN(IF('設定'!$B$9="税込",N($G36)*10/110,N($G36)*10/100),0))))</f>
        <v/>
      </c>
      <c r="K36" s="28">
        <f>IF($A36="","",IF('設定'!$B$10="四捨五入",ROUND(IF('設定'!$B$9="税込",N($H36)*8/108,N($H36)*8/100),0),IF('設定'!$B$10="切り上げ",ROUNDUP(IF('設定'!$B$9="税込",N($H36)*8/108,N($H36)*8/100),0),ROUNDDOWN(IF('設定'!$B$9="税込",N($H36)*8/108,N($H36)*8/100),0))))</f>
        <v/>
      </c>
      <c r="L36" s="28">
        <f>IF($A36="","",N($G36)+N($H36)+N($I36)+IF('設定'!$B$9="税込",0,$J36+$K36))</f>
        <v/>
      </c>
      <c r="M36" s="29">
        <f>IF(OR($A36="",NOT(ISNUMBER($W36)),NOT(ISNUMBER($X36))),"",IF(OR(INDEX('得意先'!$D$5:$D$104,$W36)="",INDEX('得意先'!$E$5:$E$104,$W36)="",INDEX('得意先'!$F$5:$F$104,$W36)=""),"",IF(INDEX('得意先'!$F$5:$F$104,$W36)="末",DATE(YEAR($X36),(MONTH($X36)+IF(INDEX('得意先'!$D$5:$D$104,$W36)="末",0,IF(DAY($X36)&lt;=INDEX('得意先'!$D$5:$D$104,$W36),0,1))+N(INDEX('得意先'!$E$5:$E$104,$W36)))+1,0),DATE(YEAR($X36),(MONTH($X36)+IF(INDEX('得意先'!$D$5:$D$104,$W36)="末",0,IF(DAY($X36)&lt;=INDEX('得意先'!$D$5:$D$104,$W36),0,1))+N(INDEX('得意先'!$E$5:$E$104,$W36))),MIN(INDEX('得意先'!$F$5:$F$104,$W36),DAY(DATE(YEAR($X36),(MONTH($X36)+IF(INDEX('得意先'!$D$5:$D$104,$W36)="末",0,IF(DAY($X36)&lt;=INDEX('得意先'!$D$5:$D$104,$W36),0,1))+N(INDEX('得意先'!$E$5:$E$104,$W36)))+1,0)))))))</f>
        <v/>
      </c>
      <c r="N36" s="26" t="n"/>
      <c r="O36" s="29">
        <f>IF($A36="","",IF(ISNUMBER($N36),$N36,$M36))</f>
        <v/>
      </c>
      <c r="P36" s="28">
        <f>IF($A36="","",SUMIF('入金消込'!$F$5:$F$1004,$A36,'入金消込'!$G$5:$G$1004))</f>
        <v/>
      </c>
      <c r="Q36" s="28">
        <f>IF($A36="","",SUMIF('入金消込'!$F$5:$F$1004,$A36,'入金消込'!$H$5:$H$1004)+SUMIF('入金消込'!$F$5:$F$1004,$A36,'入金消込'!$I$5:$I$1004))</f>
        <v/>
      </c>
      <c r="R36" s="28">
        <f>IF($A36="","",$L36-$P36-$Q36)</f>
        <v/>
      </c>
      <c r="S36" s="30">
        <f>IF($A36="","",IF($R36=0,IF($L36=0,"請求額0","回収済"),IF($L36&lt;0,IF($R36&lt;0,"差し引き待ち","差し引きすぎ"),IF($R36&lt;0,"入金が多い",IF($P36+$Q36=0,"未入金","一部入金")))))</f>
        <v/>
      </c>
      <c r="T36" s="31">
        <f>IF(OR($A36="",N($R36)&lt;=0,NOT(ISNUMBER($O36))),"",IF($O36&lt;'設定'!$B$7,'設定'!$B$7-$O36,""))</f>
        <v/>
      </c>
      <c r="U36" s="30">
        <f>IF(OR($A36="",N($R36)&lt;=0),"",IF(NOT(ISNUMBER($O36)),'設定'!$B$22,IF($O36&gt;='設定'!$B$7,'設定'!$B$17,IF('設定'!$B$7-$O36&lt;='設定'!$B$12,'設定'!$B$18,IF('設定'!$B$7-$O36&lt;='設定'!$B$13,'設定'!$B$19,IF('設定'!$B$7-$O36&lt;='設定'!$B$14,'設定'!$B$20,'設定'!$B$21))))))</f>
        <v/>
      </c>
      <c r="V36" s="56" t="n"/>
      <c r="W36" s="32">
        <f>IF($C36="","",IFERROR(MATCH($C36,'得意先'!$B$5:$B$104,0),"なし"))</f>
        <v/>
      </c>
      <c r="X36" s="33">
        <f>IF($A36="","",IF(ISNUMBER($E36),$E36,IF(ISNUMBER($B36),$B36,"")))</f>
        <v/>
      </c>
      <c r="Y36" s="34">
        <f>IF($T36="","",$O36+ROW()/1000000)</f>
        <v/>
      </c>
      <c r="Z36" s="35">
        <f>IF(OR($A36="",$C36="",$C36&lt;&gt;'売掛帳'!$B$3,NOT(ISNUMBER($X36))),"",IF(AND($X36&gt;='売掛帳'!$Q$3,$X36&lt;='売掛帳'!$Q$4),$X36+ROW()/10000000,""))</f>
        <v/>
      </c>
    </row>
    <row r="37" ht="18" customHeight="1">
      <c r="A37" s="18" t="n"/>
      <c r="B37" s="26" t="n"/>
      <c r="C37" s="18" t="n"/>
      <c r="D37" s="20">
        <f>IF($W37="","",IF($W37="なし","※得意先にないコード",INDEX('得意先'!$C$5:$C$104,$W37)&amp;""))</f>
        <v/>
      </c>
      <c r="E37" s="26" t="n"/>
      <c r="F37" s="19" t="n"/>
      <c r="G37" s="27" t="n"/>
      <c r="H37" s="27" t="n"/>
      <c r="I37" s="27" t="n"/>
      <c r="J37" s="28">
        <f>IF($A37="","",IF('設定'!$B$10="四捨五入",ROUND(IF('設定'!$B$9="税込",N($G37)*10/110,N($G37)*10/100),0),IF('設定'!$B$10="切り上げ",ROUNDUP(IF('設定'!$B$9="税込",N($G37)*10/110,N($G37)*10/100),0),ROUNDDOWN(IF('設定'!$B$9="税込",N($G37)*10/110,N($G37)*10/100),0))))</f>
        <v/>
      </c>
      <c r="K37" s="28">
        <f>IF($A37="","",IF('設定'!$B$10="四捨五入",ROUND(IF('設定'!$B$9="税込",N($H37)*8/108,N($H37)*8/100),0),IF('設定'!$B$10="切り上げ",ROUNDUP(IF('設定'!$B$9="税込",N($H37)*8/108,N($H37)*8/100),0),ROUNDDOWN(IF('設定'!$B$9="税込",N($H37)*8/108,N($H37)*8/100),0))))</f>
        <v/>
      </c>
      <c r="L37" s="28">
        <f>IF($A37="","",N($G37)+N($H37)+N($I37)+IF('設定'!$B$9="税込",0,$J37+$K37))</f>
        <v/>
      </c>
      <c r="M37" s="29">
        <f>IF(OR($A37="",NOT(ISNUMBER($W37)),NOT(ISNUMBER($X37))),"",IF(OR(INDEX('得意先'!$D$5:$D$104,$W37)="",INDEX('得意先'!$E$5:$E$104,$W37)="",INDEX('得意先'!$F$5:$F$104,$W37)=""),"",IF(INDEX('得意先'!$F$5:$F$104,$W37)="末",DATE(YEAR($X37),(MONTH($X37)+IF(INDEX('得意先'!$D$5:$D$104,$W37)="末",0,IF(DAY($X37)&lt;=INDEX('得意先'!$D$5:$D$104,$W37),0,1))+N(INDEX('得意先'!$E$5:$E$104,$W37)))+1,0),DATE(YEAR($X37),(MONTH($X37)+IF(INDEX('得意先'!$D$5:$D$104,$W37)="末",0,IF(DAY($X37)&lt;=INDEX('得意先'!$D$5:$D$104,$W37),0,1))+N(INDEX('得意先'!$E$5:$E$104,$W37))),MIN(INDEX('得意先'!$F$5:$F$104,$W37),DAY(DATE(YEAR($X37),(MONTH($X37)+IF(INDEX('得意先'!$D$5:$D$104,$W37)="末",0,IF(DAY($X37)&lt;=INDEX('得意先'!$D$5:$D$104,$W37),0,1))+N(INDEX('得意先'!$E$5:$E$104,$W37)))+1,0)))))))</f>
        <v/>
      </c>
      <c r="N37" s="26" t="n"/>
      <c r="O37" s="29">
        <f>IF($A37="","",IF(ISNUMBER($N37),$N37,$M37))</f>
        <v/>
      </c>
      <c r="P37" s="28">
        <f>IF($A37="","",SUMIF('入金消込'!$F$5:$F$1004,$A37,'入金消込'!$G$5:$G$1004))</f>
        <v/>
      </c>
      <c r="Q37" s="28">
        <f>IF($A37="","",SUMIF('入金消込'!$F$5:$F$1004,$A37,'入金消込'!$H$5:$H$1004)+SUMIF('入金消込'!$F$5:$F$1004,$A37,'入金消込'!$I$5:$I$1004))</f>
        <v/>
      </c>
      <c r="R37" s="28">
        <f>IF($A37="","",$L37-$P37-$Q37)</f>
        <v/>
      </c>
      <c r="S37" s="30">
        <f>IF($A37="","",IF($R37=0,IF($L37=0,"請求額0","回収済"),IF($L37&lt;0,IF($R37&lt;0,"差し引き待ち","差し引きすぎ"),IF($R37&lt;0,"入金が多い",IF($P37+$Q37=0,"未入金","一部入金")))))</f>
        <v/>
      </c>
      <c r="T37" s="31">
        <f>IF(OR($A37="",N($R37)&lt;=0,NOT(ISNUMBER($O37))),"",IF($O37&lt;'設定'!$B$7,'設定'!$B$7-$O37,""))</f>
        <v/>
      </c>
      <c r="U37" s="30">
        <f>IF(OR($A37="",N($R37)&lt;=0),"",IF(NOT(ISNUMBER($O37)),'設定'!$B$22,IF($O37&gt;='設定'!$B$7,'設定'!$B$17,IF('設定'!$B$7-$O37&lt;='設定'!$B$12,'設定'!$B$18,IF('設定'!$B$7-$O37&lt;='設定'!$B$13,'設定'!$B$19,IF('設定'!$B$7-$O37&lt;='設定'!$B$14,'設定'!$B$20,'設定'!$B$21))))))</f>
        <v/>
      </c>
      <c r="V37" s="56" t="n"/>
      <c r="W37" s="32">
        <f>IF($C37="","",IFERROR(MATCH($C37,'得意先'!$B$5:$B$104,0),"なし"))</f>
        <v/>
      </c>
      <c r="X37" s="33">
        <f>IF($A37="","",IF(ISNUMBER($E37),$E37,IF(ISNUMBER($B37),$B37,"")))</f>
        <v/>
      </c>
      <c r="Y37" s="34">
        <f>IF($T37="","",$O37+ROW()/1000000)</f>
        <v/>
      </c>
      <c r="Z37" s="35">
        <f>IF(OR($A37="",$C37="",$C37&lt;&gt;'売掛帳'!$B$3,NOT(ISNUMBER($X37))),"",IF(AND($X37&gt;='売掛帳'!$Q$3,$X37&lt;='売掛帳'!$Q$4),$X37+ROW()/10000000,""))</f>
        <v/>
      </c>
    </row>
    <row r="38" ht="18" customHeight="1">
      <c r="A38" s="18" t="n"/>
      <c r="B38" s="26" t="n"/>
      <c r="C38" s="18" t="n"/>
      <c r="D38" s="20">
        <f>IF($W38="","",IF($W38="なし","※得意先にないコード",INDEX('得意先'!$C$5:$C$104,$W38)&amp;""))</f>
        <v/>
      </c>
      <c r="E38" s="26" t="n"/>
      <c r="F38" s="19" t="n"/>
      <c r="G38" s="27" t="n"/>
      <c r="H38" s="27" t="n"/>
      <c r="I38" s="27" t="n"/>
      <c r="J38" s="28">
        <f>IF($A38="","",IF('設定'!$B$10="四捨五入",ROUND(IF('設定'!$B$9="税込",N($G38)*10/110,N($G38)*10/100),0),IF('設定'!$B$10="切り上げ",ROUNDUP(IF('設定'!$B$9="税込",N($G38)*10/110,N($G38)*10/100),0),ROUNDDOWN(IF('設定'!$B$9="税込",N($G38)*10/110,N($G38)*10/100),0))))</f>
        <v/>
      </c>
      <c r="K38" s="28">
        <f>IF($A38="","",IF('設定'!$B$10="四捨五入",ROUND(IF('設定'!$B$9="税込",N($H38)*8/108,N($H38)*8/100),0),IF('設定'!$B$10="切り上げ",ROUNDUP(IF('設定'!$B$9="税込",N($H38)*8/108,N($H38)*8/100),0),ROUNDDOWN(IF('設定'!$B$9="税込",N($H38)*8/108,N($H38)*8/100),0))))</f>
        <v/>
      </c>
      <c r="L38" s="28">
        <f>IF($A38="","",N($G38)+N($H38)+N($I38)+IF('設定'!$B$9="税込",0,$J38+$K38))</f>
        <v/>
      </c>
      <c r="M38" s="29">
        <f>IF(OR($A38="",NOT(ISNUMBER($W38)),NOT(ISNUMBER($X38))),"",IF(OR(INDEX('得意先'!$D$5:$D$104,$W38)="",INDEX('得意先'!$E$5:$E$104,$W38)="",INDEX('得意先'!$F$5:$F$104,$W38)=""),"",IF(INDEX('得意先'!$F$5:$F$104,$W38)="末",DATE(YEAR($X38),(MONTH($X38)+IF(INDEX('得意先'!$D$5:$D$104,$W38)="末",0,IF(DAY($X38)&lt;=INDEX('得意先'!$D$5:$D$104,$W38),0,1))+N(INDEX('得意先'!$E$5:$E$104,$W38)))+1,0),DATE(YEAR($X38),(MONTH($X38)+IF(INDEX('得意先'!$D$5:$D$104,$W38)="末",0,IF(DAY($X38)&lt;=INDEX('得意先'!$D$5:$D$104,$W38),0,1))+N(INDEX('得意先'!$E$5:$E$104,$W38))),MIN(INDEX('得意先'!$F$5:$F$104,$W38),DAY(DATE(YEAR($X38),(MONTH($X38)+IF(INDEX('得意先'!$D$5:$D$104,$W38)="末",0,IF(DAY($X38)&lt;=INDEX('得意先'!$D$5:$D$104,$W38),0,1))+N(INDEX('得意先'!$E$5:$E$104,$W38)))+1,0)))))))</f>
        <v/>
      </c>
      <c r="N38" s="26" t="n"/>
      <c r="O38" s="29">
        <f>IF($A38="","",IF(ISNUMBER($N38),$N38,$M38))</f>
        <v/>
      </c>
      <c r="P38" s="28">
        <f>IF($A38="","",SUMIF('入金消込'!$F$5:$F$1004,$A38,'入金消込'!$G$5:$G$1004))</f>
        <v/>
      </c>
      <c r="Q38" s="28">
        <f>IF($A38="","",SUMIF('入金消込'!$F$5:$F$1004,$A38,'入金消込'!$H$5:$H$1004)+SUMIF('入金消込'!$F$5:$F$1004,$A38,'入金消込'!$I$5:$I$1004))</f>
        <v/>
      </c>
      <c r="R38" s="28">
        <f>IF($A38="","",$L38-$P38-$Q38)</f>
        <v/>
      </c>
      <c r="S38" s="30">
        <f>IF($A38="","",IF($R38=0,IF($L38=0,"請求額0","回収済"),IF($L38&lt;0,IF($R38&lt;0,"差し引き待ち","差し引きすぎ"),IF($R38&lt;0,"入金が多い",IF($P38+$Q38=0,"未入金","一部入金")))))</f>
        <v/>
      </c>
      <c r="T38" s="31">
        <f>IF(OR($A38="",N($R38)&lt;=0,NOT(ISNUMBER($O38))),"",IF($O38&lt;'設定'!$B$7,'設定'!$B$7-$O38,""))</f>
        <v/>
      </c>
      <c r="U38" s="30">
        <f>IF(OR($A38="",N($R38)&lt;=0),"",IF(NOT(ISNUMBER($O38)),'設定'!$B$22,IF($O38&gt;='設定'!$B$7,'設定'!$B$17,IF('設定'!$B$7-$O38&lt;='設定'!$B$12,'設定'!$B$18,IF('設定'!$B$7-$O38&lt;='設定'!$B$13,'設定'!$B$19,IF('設定'!$B$7-$O38&lt;='設定'!$B$14,'設定'!$B$20,'設定'!$B$21))))))</f>
        <v/>
      </c>
      <c r="V38" s="56" t="n"/>
      <c r="W38" s="32">
        <f>IF($C38="","",IFERROR(MATCH($C38,'得意先'!$B$5:$B$104,0),"なし"))</f>
        <v/>
      </c>
      <c r="X38" s="33">
        <f>IF($A38="","",IF(ISNUMBER($E38),$E38,IF(ISNUMBER($B38),$B38,"")))</f>
        <v/>
      </c>
      <c r="Y38" s="34">
        <f>IF($T38="","",$O38+ROW()/1000000)</f>
        <v/>
      </c>
      <c r="Z38" s="35">
        <f>IF(OR($A38="",$C38="",$C38&lt;&gt;'売掛帳'!$B$3,NOT(ISNUMBER($X38))),"",IF(AND($X38&gt;='売掛帳'!$Q$3,$X38&lt;='売掛帳'!$Q$4),$X38+ROW()/10000000,""))</f>
        <v/>
      </c>
    </row>
    <row r="39" ht="18" customHeight="1">
      <c r="A39" s="18" t="n"/>
      <c r="B39" s="26" t="n"/>
      <c r="C39" s="18" t="n"/>
      <c r="D39" s="20">
        <f>IF($W39="","",IF($W39="なし","※得意先にないコード",INDEX('得意先'!$C$5:$C$104,$W39)&amp;""))</f>
        <v/>
      </c>
      <c r="E39" s="26" t="n"/>
      <c r="F39" s="19" t="n"/>
      <c r="G39" s="27" t="n"/>
      <c r="H39" s="27" t="n"/>
      <c r="I39" s="27" t="n"/>
      <c r="J39" s="28">
        <f>IF($A39="","",IF('設定'!$B$10="四捨五入",ROUND(IF('設定'!$B$9="税込",N($G39)*10/110,N($G39)*10/100),0),IF('設定'!$B$10="切り上げ",ROUNDUP(IF('設定'!$B$9="税込",N($G39)*10/110,N($G39)*10/100),0),ROUNDDOWN(IF('設定'!$B$9="税込",N($G39)*10/110,N($G39)*10/100),0))))</f>
        <v/>
      </c>
      <c r="K39" s="28">
        <f>IF($A39="","",IF('設定'!$B$10="四捨五入",ROUND(IF('設定'!$B$9="税込",N($H39)*8/108,N($H39)*8/100),0),IF('設定'!$B$10="切り上げ",ROUNDUP(IF('設定'!$B$9="税込",N($H39)*8/108,N($H39)*8/100),0),ROUNDDOWN(IF('設定'!$B$9="税込",N($H39)*8/108,N($H39)*8/100),0))))</f>
        <v/>
      </c>
      <c r="L39" s="28">
        <f>IF($A39="","",N($G39)+N($H39)+N($I39)+IF('設定'!$B$9="税込",0,$J39+$K39))</f>
        <v/>
      </c>
      <c r="M39" s="29">
        <f>IF(OR($A39="",NOT(ISNUMBER($W39)),NOT(ISNUMBER($X39))),"",IF(OR(INDEX('得意先'!$D$5:$D$104,$W39)="",INDEX('得意先'!$E$5:$E$104,$W39)="",INDEX('得意先'!$F$5:$F$104,$W39)=""),"",IF(INDEX('得意先'!$F$5:$F$104,$W39)="末",DATE(YEAR($X39),(MONTH($X39)+IF(INDEX('得意先'!$D$5:$D$104,$W39)="末",0,IF(DAY($X39)&lt;=INDEX('得意先'!$D$5:$D$104,$W39),0,1))+N(INDEX('得意先'!$E$5:$E$104,$W39)))+1,0),DATE(YEAR($X39),(MONTH($X39)+IF(INDEX('得意先'!$D$5:$D$104,$W39)="末",0,IF(DAY($X39)&lt;=INDEX('得意先'!$D$5:$D$104,$W39),0,1))+N(INDEX('得意先'!$E$5:$E$104,$W39))),MIN(INDEX('得意先'!$F$5:$F$104,$W39),DAY(DATE(YEAR($X39),(MONTH($X39)+IF(INDEX('得意先'!$D$5:$D$104,$W39)="末",0,IF(DAY($X39)&lt;=INDEX('得意先'!$D$5:$D$104,$W39),0,1))+N(INDEX('得意先'!$E$5:$E$104,$W39)))+1,0)))))))</f>
        <v/>
      </c>
      <c r="N39" s="26" t="n"/>
      <c r="O39" s="29">
        <f>IF($A39="","",IF(ISNUMBER($N39),$N39,$M39))</f>
        <v/>
      </c>
      <c r="P39" s="28">
        <f>IF($A39="","",SUMIF('入金消込'!$F$5:$F$1004,$A39,'入金消込'!$G$5:$G$1004))</f>
        <v/>
      </c>
      <c r="Q39" s="28">
        <f>IF($A39="","",SUMIF('入金消込'!$F$5:$F$1004,$A39,'入金消込'!$H$5:$H$1004)+SUMIF('入金消込'!$F$5:$F$1004,$A39,'入金消込'!$I$5:$I$1004))</f>
        <v/>
      </c>
      <c r="R39" s="28">
        <f>IF($A39="","",$L39-$P39-$Q39)</f>
        <v/>
      </c>
      <c r="S39" s="30">
        <f>IF($A39="","",IF($R39=0,IF($L39=0,"請求額0","回収済"),IF($L39&lt;0,IF($R39&lt;0,"差し引き待ち","差し引きすぎ"),IF($R39&lt;0,"入金が多い",IF($P39+$Q39=0,"未入金","一部入金")))))</f>
        <v/>
      </c>
      <c r="T39" s="31">
        <f>IF(OR($A39="",N($R39)&lt;=0,NOT(ISNUMBER($O39))),"",IF($O39&lt;'設定'!$B$7,'設定'!$B$7-$O39,""))</f>
        <v/>
      </c>
      <c r="U39" s="30">
        <f>IF(OR($A39="",N($R39)&lt;=0),"",IF(NOT(ISNUMBER($O39)),'設定'!$B$22,IF($O39&gt;='設定'!$B$7,'設定'!$B$17,IF('設定'!$B$7-$O39&lt;='設定'!$B$12,'設定'!$B$18,IF('設定'!$B$7-$O39&lt;='設定'!$B$13,'設定'!$B$19,IF('設定'!$B$7-$O39&lt;='設定'!$B$14,'設定'!$B$20,'設定'!$B$21))))))</f>
        <v/>
      </c>
      <c r="V39" s="56" t="n"/>
      <c r="W39" s="32">
        <f>IF($C39="","",IFERROR(MATCH($C39,'得意先'!$B$5:$B$104,0),"なし"))</f>
        <v/>
      </c>
      <c r="X39" s="33">
        <f>IF($A39="","",IF(ISNUMBER($E39),$E39,IF(ISNUMBER($B39),$B39,"")))</f>
        <v/>
      </c>
      <c r="Y39" s="34">
        <f>IF($T39="","",$O39+ROW()/1000000)</f>
        <v/>
      </c>
      <c r="Z39" s="35">
        <f>IF(OR($A39="",$C39="",$C39&lt;&gt;'売掛帳'!$B$3,NOT(ISNUMBER($X39))),"",IF(AND($X39&gt;='売掛帳'!$Q$3,$X39&lt;='売掛帳'!$Q$4),$X39+ROW()/10000000,""))</f>
        <v/>
      </c>
    </row>
    <row r="40" ht="18" customHeight="1">
      <c r="A40" s="18" t="n"/>
      <c r="B40" s="26" t="n"/>
      <c r="C40" s="18" t="n"/>
      <c r="D40" s="20">
        <f>IF($W40="","",IF($W40="なし","※得意先にないコード",INDEX('得意先'!$C$5:$C$104,$W40)&amp;""))</f>
        <v/>
      </c>
      <c r="E40" s="26" t="n"/>
      <c r="F40" s="19" t="n"/>
      <c r="G40" s="27" t="n"/>
      <c r="H40" s="27" t="n"/>
      <c r="I40" s="27" t="n"/>
      <c r="J40" s="28">
        <f>IF($A40="","",IF('設定'!$B$10="四捨五入",ROUND(IF('設定'!$B$9="税込",N($G40)*10/110,N($G40)*10/100),0),IF('設定'!$B$10="切り上げ",ROUNDUP(IF('設定'!$B$9="税込",N($G40)*10/110,N($G40)*10/100),0),ROUNDDOWN(IF('設定'!$B$9="税込",N($G40)*10/110,N($G40)*10/100),0))))</f>
        <v/>
      </c>
      <c r="K40" s="28">
        <f>IF($A40="","",IF('設定'!$B$10="四捨五入",ROUND(IF('設定'!$B$9="税込",N($H40)*8/108,N($H40)*8/100),0),IF('設定'!$B$10="切り上げ",ROUNDUP(IF('設定'!$B$9="税込",N($H40)*8/108,N($H40)*8/100),0),ROUNDDOWN(IF('設定'!$B$9="税込",N($H40)*8/108,N($H40)*8/100),0))))</f>
        <v/>
      </c>
      <c r="L40" s="28">
        <f>IF($A40="","",N($G40)+N($H40)+N($I40)+IF('設定'!$B$9="税込",0,$J40+$K40))</f>
        <v/>
      </c>
      <c r="M40" s="29">
        <f>IF(OR($A40="",NOT(ISNUMBER($W40)),NOT(ISNUMBER($X40))),"",IF(OR(INDEX('得意先'!$D$5:$D$104,$W40)="",INDEX('得意先'!$E$5:$E$104,$W40)="",INDEX('得意先'!$F$5:$F$104,$W40)=""),"",IF(INDEX('得意先'!$F$5:$F$104,$W40)="末",DATE(YEAR($X40),(MONTH($X40)+IF(INDEX('得意先'!$D$5:$D$104,$W40)="末",0,IF(DAY($X40)&lt;=INDEX('得意先'!$D$5:$D$104,$W40),0,1))+N(INDEX('得意先'!$E$5:$E$104,$W40)))+1,0),DATE(YEAR($X40),(MONTH($X40)+IF(INDEX('得意先'!$D$5:$D$104,$W40)="末",0,IF(DAY($X40)&lt;=INDEX('得意先'!$D$5:$D$104,$W40),0,1))+N(INDEX('得意先'!$E$5:$E$104,$W40))),MIN(INDEX('得意先'!$F$5:$F$104,$W40),DAY(DATE(YEAR($X40),(MONTH($X40)+IF(INDEX('得意先'!$D$5:$D$104,$W40)="末",0,IF(DAY($X40)&lt;=INDEX('得意先'!$D$5:$D$104,$W40),0,1))+N(INDEX('得意先'!$E$5:$E$104,$W40)))+1,0)))))))</f>
        <v/>
      </c>
      <c r="N40" s="26" t="n"/>
      <c r="O40" s="29">
        <f>IF($A40="","",IF(ISNUMBER($N40),$N40,$M40))</f>
        <v/>
      </c>
      <c r="P40" s="28">
        <f>IF($A40="","",SUMIF('入金消込'!$F$5:$F$1004,$A40,'入金消込'!$G$5:$G$1004))</f>
        <v/>
      </c>
      <c r="Q40" s="28">
        <f>IF($A40="","",SUMIF('入金消込'!$F$5:$F$1004,$A40,'入金消込'!$H$5:$H$1004)+SUMIF('入金消込'!$F$5:$F$1004,$A40,'入金消込'!$I$5:$I$1004))</f>
        <v/>
      </c>
      <c r="R40" s="28">
        <f>IF($A40="","",$L40-$P40-$Q40)</f>
        <v/>
      </c>
      <c r="S40" s="30">
        <f>IF($A40="","",IF($R40=0,IF($L40=0,"請求額0","回収済"),IF($L40&lt;0,IF($R40&lt;0,"差し引き待ち","差し引きすぎ"),IF($R40&lt;0,"入金が多い",IF($P40+$Q40=0,"未入金","一部入金")))))</f>
        <v/>
      </c>
      <c r="T40" s="31">
        <f>IF(OR($A40="",N($R40)&lt;=0,NOT(ISNUMBER($O40))),"",IF($O40&lt;'設定'!$B$7,'設定'!$B$7-$O40,""))</f>
        <v/>
      </c>
      <c r="U40" s="30">
        <f>IF(OR($A40="",N($R40)&lt;=0),"",IF(NOT(ISNUMBER($O40)),'設定'!$B$22,IF($O40&gt;='設定'!$B$7,'設定'!$B$17,IF('設定'!$B$7-$O40&lt;='設定'!$B$12,'設定'!$B$18,IF('設定'!$B$7-$O40&lt;='設定'!$B$13,'設定'!$B$19,IF('設定'!$B$7-$O40&lt;='設定'!$B$14,'設定'!$B$20,'設定'!$B$21))))))</f>
        <v/>
      </c>
      <c r="V40" s="56" t="n"/>
      <c r="W40" s="32">
        <f>IF($C40="","",IFERROR(MATCH($C40,'得意先'!$B$5:$B$104,0),"なし"))</f>
        <v/>
      </c>
      <c r="X40" s="33">
        <f>IF($A40="","",IF(ISNUMBER($E40),$E40,IF(ISNUMBER($B40),$B40,"")))</f>
        <v/>
      </c>
      <c r="Y40" s="34">
        <f>IF($T40="","",$O40+ROW()/1000000)</f>
        <v/>
      </c>
      <c r="Z40" s="35">
        <f>IF(OR($A40="",$C40="",$C40&lt;&gt;'売掛帳'!$B$3,NOT(ISNUMBER($X40))),"",IF(AND($X40&gt;='売掛帳'!$Q$3,$X40&lt;='売掛帳'!$Q$4),$X40+ROW()/10000000,""))</f>
        <v/>
      </c>
    </row>
    <row r="41" ht="18" customHeight="1">
      <c r="A41" s="18" t="n"/>
      <c r="B41" s="26" t="n"/>
      <c r="C41" s="18" t="n"/>
      <c r="D41" s="20">
        <f>IF($W41="","",IF($W41="なし","※得意先にないコード",INDEX('得意先'!$C$5:$C$104,$W41)&amp;""))</f>
        <v/>
      </c>
      <c r="E41" s="26" t="n"/>
      <c r="F41" s="19" t="n"/>
      <c r="G41" s="27" t="n"/>
      <c r="H41" s="27" t="n"/>
      <c r="I41" s="27" t="n"/>
      <c r="J41" s="28">
        <f>IF($A41="","",IF('設定'!$B$10="四捨五入",ROUND(IF('設定'!$B$9="税込",N($G41)*10/110,N($G41)*10/100),0),IF('設定'!$B$10="切り上げ",ROUNDUP(IF('設定'!$B$9="税込",N($G41)*10/110,N($G41)*10/100),0),ROUNDDOWN(IF('設定'!$B$9="税込",N($G41)*10/110,N($G41)*10/100),0))))</f>
        <v/>
      </c>
      <c r="K41" s="28">
        <f>IF($A41="","",IF('設定'!$B$10="四捨五入",ROUND(IF('設定'!$B$9="税込",N($H41)*8/108,N($H41)*8/100),0),IF('設定'!$B$10="切り上げ",ROUNDUP(IF('設定'!$B$9="税込",N($H41)*8/108,N($H41)*8/100),0),ROUNDDOWN(IF('設定'!$B$9="税込",N($H41)*8/108,N($H41)*8/100),0))))</f>
        <v/>
      </c>
      <c r="L41" s="28">
        <f>IF($A41="","",N($G41)+N($H41)+N($I41)+IF('設定'!$B$9="税込",0,$J41+$K41))</f>
        <v/>
      </c>
      <c r="M41" s="29">
        <f>IF(OR($A41="",NOT(ISNUMBER($W41)),NOT(ISNUMBER($X41))),"",IF(OR(INDEX('得意先'!$D$5:$D$104,$W41)="",INDEX('得意先'!$E$5:$E$104,$W41)="",INDEX('得意先'!$F$5:$F$104,$W41)=""),"",IF(INDEX('得意先'!$F$5:$F$104,$W41)="末",DATE(YEAR($X41),(MONTH($X41)+IF(INDEX('得意先'!$D$5:$D$104,$W41)="末",0,IF(DAY($X41)&lt;=INDEX('得意先'!$D$5:$D$104,$W41),0,1))+N(INDEX('得意先'!$E$5:$E$104,$W41)))+1,0),DATE(YEAR($X41),(MONTH($X41)+IF(INDEX('得意先'!$D$5:$D$104,$W41)="末",0,IF(DAY($X41)&lt;=INDEX('得意先'!$D$5:$D$104,$W41),0,1))+N(INDEX('得意先'!$E$5:$E$104,$W41))),MIN(INDEX('得意先'!$F$5:$F$104,$W41),DAY(DATE(YEAR($X41),(MONTH($X41)+IF(INDEX('得意先'!$D$5:$D$104,$W41)="末",0,IF(DAY($X41)&lt;=INDEX('得意先'!$D$5:$D$104,$W41),0,1))+N(INDEX('得意先'!$E$5:$E$104,$W41)))+1,0)))))))</f>
        <v/>
      </c>
      <c r="N41" s="26" t="n"/>
      <c r="O41" s="29">
        <f>IF($A41="","",IF(ISNUMBER($N41),$N41,$M41))</f>
        <v/>
      </c>
      <c r="P41" s="28">
        <f>IF($A41="","",SUMIF('入金消込'!$F$5:$F$1004,$A41,'入金消込'!$G$5:$G$1004))</f>
        <v/>
      </c>
      <c r="Q41" s="28">
        <f>IF($A41="","",SUMIF('入金消込'!$F$5:$F$1004,$A41,'入金消込'!$H$5:$H$1004)+SUMIF('入金消込'!$F$5:$F$1004,$A41,'入金消込'!$I$5:$I$1004))</f>
        <v/>
      </c>
      <c r="R41" s="28">
        <f>IF($A41="","",$L41-$P41-$Q41)</f>
        <v/>
      </c>
      <c r="S41" s="30">
        <f>IF($A41="","",IF($R41=0,IF($L41=0,"請求額0","回収済"),IF($L41&lt;0,IF($R41&lt;0,"差し引き待ち","差し引きすぎ"),IF($R41&lt;0,"入金が多い",IF($P41+$Q41=0,"未入金","一部入金")))))</f>
        <v/>
      </c>
      <c r="T41" s="31">
        <f>IF(OR($A41="",N($R41)&lt;=0,NOT(ISNUMBER($O41))),"",IF($O41&lt;'設定'!$B$7,'設定'!$B$7-$O41,""))</f>
        <v/>
      </c>
      <c r="U41" s="30">
        <f>IF(OR($A41="",N($R41)&lt;=0),"",IF(NOT(ISNUMBER($O41)),'設定'!$B$22,IF($O41&gt;='設定'!$B$7,'設定'!$B$17,IF('設定'!$B$7-$O41&lt;='設定'!$B$12,'設定'!$B$18,IF('設定'!$B$7-$O41&lt;='設定'!$B$13,'設定'!$B$19,IF('設定'!$B$7-$O41&lt;='設定'!$B$14,'設定'!$B$20,'設定'!$B$21))))))</f>
        <v/>
      </c>
      <c r="V41" s="56" t="n"/>
      <c r="W41" s="32">
        <f>IF($C41="","",IFERROR(MATCH($C41,'得意先'!$B$5:$B$104,0),"なし"))</f>
        <v/>
      </c>
      <c r="X41" s="33">
        <f>IF($A41="","",IF(ISNUMBER($E41),$E41,IF(ISNUMBER($B41),$B41,"")))</f>
        <v/>
      </c>
      <c r="Y41" s="34">
        <f>IF($T41="","",$O41+ROW()/1000000)</f>
        <v/>
      </c>
      <c r="Z41" s="35">
        <f>IF(OR($A41="",$C41="",$C41&lt;&gt;'売掛帳'!$B$3,NOT(ISNUMBER($X41))),"",IF(AND($X41&gt;='売掛帳'!$Q$3,$X41&lt;='売掛帳'!$Q$4),$X41+ROW()/10000000,""))</f>
        <v/>
      </c>
    </row>
    <row r="42" ht="18" customHeight="1">
      <c r="A42" s="18" t="n"/>
      <c r="B42" s="26" t="n"/>
      <c r="C42" s="18" t="n"/>
      <c r="D42" s="20">
        <f>IF($W42="","",IF($W42="なし","※得意先にないコード",INDEX('得意先'!$C$5:$C$104,$W42)&amp;""))</f>
        <v/>
      </c>
      <c r="E42" s="26" t="n"/>
      <c r="F42" s="19" t="n"/>
      <c r="G42" s="27" t="n"/>
      <c r="H42" s="27" t="n"/>
      <c r="I42" s="27" t="n"/>
      <c r="J42" s="28">
        <f>IF($A42="","",IF('設定'!$B$10="四捨五入",ROUND(IF('設定'!$B$9="税込",N($G42)*10/110,N($G42)*10/100),0),IF('設定'!$B$10="切り上げ",ROUNDUP(IF('設定'!$B$9="税込",N($G42)*10/110,N($G42)*10/100),0),ROUNDDOWN(IF('設定'!$B$9="税込",N($G42)*10/110,N($G42)*10/100),0))))</f>
        <v/>
      </c>
      <c r="K42" s="28">
        <f>IF($A42="","",IF('設定'!$B$10="四捨五入",ROUND(IF('設定'!$B$9="税込",N($H42)*8/108,N($H42)*8/100),0),IF('設定'!$B$10="切り上げ",ROUNDUP(IF('設定'!$B$9="税込",N($H42)*8/108,N($H42)*8/100),0),ROUNDDOWN(IF('設定'!$B$9="税込",N($H42)*8/108,N($H42)*8/100),0))))</f>
        <v/>
      </c>
      <c r="L42" s="28">
        <f>IF($A42="","",N($G42)+N($H42)+N($I42)+IF('設定'!$B$9="税込",0,$J42+$K42))</f>
        <v/>
      </c>
      <c r="M42" s="29">
        <f>IF(OR($A42="",NOT(ISNUMBER($W42)),NOT(ISNUMBER($X42))),"",IF(OR(INDEX('得意先'!$D$5:$D$104,$W42)="",INDEX('得意先'!$E$5:$E$104,$W42)="",INDEX('得意先'!$F$5:$F$104,$W42)=""),"",IF(INDEX('得意先'!$F$5:$F$104,$W42)="末",DATE(YEAR($X42),(MONTH($X42)+IF(INDEX('得意先'!$D$5:$D$104,$W42)="末",0,IF(DAY($X42)&lt;=INDEX('得意先'!$D$5:$D$104,$W42),0,1))+N(INDEX('得意先'!$E$5:$E$104,$W42)))+1,0),DATE(YEAR($X42),(MONTH($X42)+IF(INDEX('得意先'!$D$5:$D$104,$W42)="末",0,IF(DAY($X42)&lt;=INDEX('得意先'!$D$5:$D$104,$W42),0,1))+N(INDEX('得意先'!$E$5:$E$104,$W42))),MIN(INDEX('得意先'!$F$5:$F$104,$W42),DAY(DATE(YEAR($X42),(MONTH($X42)+IF(INDEX('得意先'!$D$5:$D$104,$W42)="末",0,IF(DAY($X42)&lt;=INDEX('得意先'!$D$5:$D$104,$W42),0,1))+N(INDEX('得意先'!$E$5:$E$104,$W42)))+1,0)))))))</f>
        <v/>
      </c>
      <c r="N42" s="26" t="n"/>
      <c r="O42" s="29">
        <f>IF($A42="","",IF(ISNUMBER($N42),$N42,$M42))</f>
        <v/>
      </c>
      <c r="P42" s="28">
        <f>IF($A42="","",SUMIF('入金消込'!$F$5:$F$1004,$A42,'入金消込'!$G$5:$G$1004))</f>
        <v/>
      </c>
      <c r="Q42" s="28">
        <f>IF($A42="","",SUMIF('入金消込'!$F$5:$F$1004,$A42,'入金消込'!$H$5:$H$1004)+SUMIF('入金消込'!$F$5:$F$1004,$A42,'入金消込'!$I$5:$I$1004))</f>
        <v/>
      </c>
      <c r="R42" s="28">
        <f>IF($A42="","",$L42-$P42-$Q42)</f>
        <v/>
      </c>
      <c r="S42" s="30">
        <f>IF($A42="","",IF($R42=0,IF($L42=0,"請求額0","回収済"),IF($L42&lt;0,IF($R42&lt;0,"差し引き待ち","差し引きすぎ"),IF($R42&lt;0,"入金が多い",IF($P42+$Q42=0,"未入金","一部入金")))))</f>
        <v/>
      </c>
      <c r="T42" s="31">
        <f>IF(OR($A42="",N($R42)&lt;=0,NOT(ISNUMBER($O42))),"",IF($O42&lt;'設定'!$B$7,'設定'!$B$7-$O42,""))</f>
        <v/>
      </c>
      <c r="U42" s="30">
        <f>IF(OR($A42="",N($R42)&lt;=0),"",IF(NOT(ISNUMBER($O42)),'設定'!$B$22,IF($O42&gt;='設定'!$B$7,'設定'!$B$17,IF('設定'!$B$7-$O42&lt;='設定'!$B$12,'設定'!$B$18,IF('設定'!$B$7-$O42&lt;='設定'!$B$13,'設定'!$B$19,IF('設定'!$B$7-$O42&lt;='設定'!$B$14,'設定'!$B$20,'設定'!$B$21))))))</f>
        <v/>
      </c>
      <c r="V42" s="56" t="n"/>
      <c r="W42" s="32">
        <f>IF($C42="","",IFERROR(MATCH($C42,'得意先'!$B$5:$B$104,0),"なし"))</f>
        <v/>
      </c>
      <c r="X42" s="33">
        <f>IF($A42="","",IF(ISNUMBER($E42),$E42,IF(ISNUMBER($B42),$B42,"")))</f>
        <v/>
      </c>
      <c r="Y42" s="34">
        <f>IF($T42="","",$O42+ROW()/1000000)</f>
        <v/>
      </c>
      <c r="Z42" s="35">
        <f>IF(OR($A42="",$C42="",$C42&lt;&gt;'売掛帳'!$B$3,NOT(ISNUMBER($X42))),"",IF(AND($X42&gt;='売掛帳'!$Q$3,$X42&lt;='売掛帳'!$Q$4),$X42+ROW()/10000000,""))</f>
        <v/>
      </c>
    </row>
    <row r="43" ht="18" customHeight="1">
      <c r="A43" s="18" t="n"/>
      <c r="B43" s="26" t="n"/>
      <c r="C43" s="18" t="n"/>
      <c r="D43" s="20">
        <f>IF($W43="","",IF($W43="なし","※得意先にないコード",INDEX('得意先'!$C$5:$C$104,$W43)&amp;""))</f>
        <v/>
      </c>
      <c r="E43" s="26" t="n"/>
      <c r="F43" s="19" t="n"/>
      <c r="G43" s="27" t="n"/>
      <c r="H43" s="27" t="n"/>
      <c r="I43" s="27" t="n"/>
      <c r="J43" s="28">
        <f>IF($A43="","",IF('設定'!$B$10="四捨五入",ROUND(IF('設定'!$B$9="税込",N($G43)*10/110,N($G43)*10/100),0),IF('設定'!$B$10="切り上げ",ROUNDUP(IF('設定'!$B$9="税込",N($G43)*10/110,N($G43)*10/100),0),ROUNDDOWN(IF('設定'!$B$9="税込",N($G43)*10/110,N($G43)*10/100),0))))</f>
        <v/>
      </c>
      <c r="K43" s="28">
        <f>IF($A43="","",IF('設定'!$B$10="四捨五入",ROUND(IF('設定'!$B$9="税込",N($H43)*8/108,N($H43)*8/100),0),IF('設定'!$B$10="切り上げ",ROUNDUP(IF('設定'!$B$9="税込",N($H43)*8/108,N($H43)*8/100),0),ROUNDDOWN(IF('設定'!$B$9="税込",N($H43)*8/108,N($H43)*8/100),0))))</f>
        <v/>
      </c>
      <c r="L43" s="28">
        <f>IF($A43="","",N($G43)+N($H43)+N($I43)+IF('設定'!$B$9="税込",0,$J43+$K43))</f>
        <v/>
      </c>
      <c r="M43" s="29">
        <f>IF(OR($A43="",NOT(ISNUMBER($W43)),NOT(ISNUMBER($X43))),"",IF(OR(INDEX('得意先'!$D$5:$D$104,$W43)="",INDEX('得意先'!$E$5:$E$104,$W43)="",INDEX('得意先'!$F$5:$F$104,$W43)=""),"",IF(INDEX('得意先'!$F$5:$F$104,$W43)="末",DATE(YEAR($X43),(MONTH($X43)+IF(INDEX('得意先'!$D$5:$D$104,$W43)="末",0,IF(DAY($X43)&lt;=INDEX('得意先'!$D$5:$D$104,$W43),0,1))+N(INDEX('得意先'!$E$5:$E$104,$W43)))+1,0),DATE(YEAR($X43),(MONTH($X43)+IF(INDEX('得意先'!$D$5:$D$104,$W43)="末",0,IF(DAY($X43)&lt;=INDEX('得意先'!$D$5:$D$104,$W43),0,1))+N(INDEX('得意先'!$E$5:$E$104,$W43))),MIN(INDEX('得意先'!$F$5:$F$104,$W43),DAY(DATE(YEAR($X43),(MONTH($X43)+IF(INDEX('得意先'!$D$5:$D$104,$W43)="末",0,IF(DAY($X43)&lt;=INDEX('得意先'!$D$5:$D$104,$W43),0,1))+N(INDEX('得意先'!$E$5:$E$104,$W43)))+1,0)))))))</f>
        <v/>
      </c>
      <c r="N43" s="26" t="n"/>
      <c r="O43" s="29">
        <f>IF($A43="","",IF(ISNUMBER($N43),$N43,$M43))</f>
        <v/>
      </c>
      <c r="P43" s="28">
        <f>IF($A43="","",SUMIF('入金消込'!$F$5:$F$1004,$A43,'入金消込'!$G$5:$G$1004))</f>
        <v/>
      </c>
      <c r="Q43" s="28">
        <f>IF($A43="","",SUMIF('入金消込'!$F$5:$F$1004,$A43,'入金消込'!$H$5:$H$1004)+SUMIF('入金消込'!$F$5:$F$1004,$A43,'入金消込'!$I$5:$I$1004))</f>
        <v/>
      </c>
      <c r="R43" s="28">
        <f>IF($A43="","",$L43-$P43-$Q43)</f>
        <v/>
      </c>
      <c r="S43" s="30">
        <f>IF($A43="","",IF($R43=0,IF($L43=0,"請求額0","回収済"),IF($L43&lt;0,IF($R43&lt;0,"差し引き待ち","差し引きすぎ"),IF($R43&lt;0,"入金が多い",IF($P43+$Q43=0,"未入金","一部入金")))))</f>
        <v/>
      </c>
      <c r="T43" s="31">
        <f>IF(OR($A43="",N($R43)&lt;=0,NOT(ISNUMBER($O43))),"",IF($O43&lt;'設定'!$B$7,'設定'!$B$7-$O43,""))</f>
        <v/>
      </c>
      <c r="U43" s="30">
        <f>IF(OR($A43="",N($R43)&lt;=0),"",IF(NOT(ISNUMBER($O43)),'設定'!$B$22,IF($O43&gt;='設定'!$B$7,'設定'!$B$17,IF('設定'!$B$7-$O43&lt;='設定'!$B$12,'設定'!$B$18,IF('設定'!$B$7-$O43&lt;='設定'!$B$13,'設定'!$B$19,IF('設定'!$B$7-$O43&lt;='設定'!$B$14,'設定'!$B$20,'設定'!$B$21))))))</f>
        <v/>
      </c>
      <c r="V43" s="56" t="n"/>
      <c r="W43" s="32">
        <f>IF($C43="","",IFERROR(MATCH($C43,'得意先'!$B$5:$B$104,0),"なし"))</f>
        <v/>
      </c>
      <c r="X43" s="33">
        <f>IF($A43="","",IF(ISNUMBER($E43),$E43,IF(ISNUMBER($B43),$B43,"")))</f>
        <v/>
      </c>
      <c r="Y43" s="34">
        <f>IF($T43="","",$O43+ROW()/1000000)</f>
        <v/>
      </c>
      <c r="Z43" s="35">
        <f>IF(OR($A43="",$C43="",$C43&lt;&gt;'売掛帳'!$B$3,NOT(ISNUMBER($X43))),"",IF(AND($X43&gt;='売掛帳'!$Q$3,$X43&lt;='売掛帳'!$Q$4),$X43+ROW()/10000000,""))</f>
        <v/>
      </c>
    </row>
    <row r="44" ht="18" customHeight="1">
      <c r="A44" s="18" t="n"/>
      <c r="B44" s="26" t="n"/>
      <c r="C44" s="18" t="n"/>
      <c r="D44" s="20">
        <f>IF($W44="","",IF($W44="なし","※得意先にないコード",INDEX('得意先'!$C$5:$C$104,$W44)&amp;""))</f>
        <v/>
      </c>
      <c r="E44" s="26" t="n"/>
      <c r="F44" s="19" t="n"/>
      <c r="G44" s="27" t="n"/>
      <c r="H44" s="27" t="n"/>
      <c r="I44" s="27" t="n"/>
      <c r="J44" s="28">
        <f>IF($A44="","",IF('設定'!$B$10="四捨五入",ROUND(IF('設定'!$B$9="税込",N($G44)*10/110,N($G44)*10/100),0),IF('設定'!$B$10="切り上げ",ROUNDUP(IF('設定'!$B$9="税込",N($G44)*10/110,N($G44)*10/100),0),ROUNDDOWN(IF('設定'!$B$9="税込",N($G44)*10/110,N($G44)*10/100),0))))</f>
        <v/>
      </c>
      <c r="K44" s="28">
        <f>IF($A44="","",IF('設定'!$B$10="四捨五入",ROUND(IF('設定'!$B$9="税込",N($H44)*8/108,N($H44)*8/100),0),IF('設定'!$B$10="切り上げ",ROUNDUP(IF('設定'!$B$9="税込",N($H44)*8/108,N($H44)*8/100),0),ROUNDDOWN(IF('設定'!$B$9="税込",N($H44)*8/108,N($H44)*8/100),0))))</f>
        <v/>
      </c>
      <c r="L44" s="28">
        <f>IF($A44="","",N($G44)+N($H44)+N($I44)+IF('設定'!$B$9="税込",0,$J44+$K44))</f>
        <v/>
      </c>
      <c r="M44" s="29">
        <f>IF(OR($A44="",NOT(ISNUMBER($W44)),NOT(ISNUMBER($X44))),"",IF(OR(INDEX('得意先'!$D$5:$D$104,$W44)="",INDEX('得意先'!$E$5:$E$104,$W44)="",INDEX('得意先'!$F$5:$F$104,$W44)=""),"",IF(INDEX('得意先'!$F$5:$F$104,$W44)="末",DATE(YEAR($X44),(MONTH($X44)+IF(INDEX('得意先'!$D$5:$D$104,$W44)="末",0,IF(DAY($X44)&lt;=INDEX('得意先'!$D$5:$D$104,$W44),0,1))+N(INDEX('得意先'!$E$5:$E$104,$W44)))+1,0),DATE(YEAR($X44),(MONTH($X44)+IF(INDEX('得意先'!$D$5:$D$104,$W44)="末",0,IF(DAY($X44)&lt;=INDEX('得意先'!$D$5:$D$104,$W44),0,1))+N(INDEX('得意先'!$E$5:$E$104,$W44))),MIN(INDEX('得意先'!$F$5:$F$104,$W44),DAY(DATE(YEAR($X44),(MONTH($X44)+IF(INDEX('得意先'!$D$5:$D$104,$W44)="末",0,IF(DAY($X44)&lt;=INDEX('得意先'!$D$5:$D$104,$W44),0,1))+N(INDEX('得意先'!$E$5:$E$104,$W44)))+1,0)))))))</f>
        <v/>
      </c>
      <c r="N44" s="26" t="n"/>
      <c r="O44" s="29">
        <f>IF($A44="","",IF(ISNUMBER($N44),$N44,$M44))</f>
        <v/>
      </c>
      <c r="P44" s="28">
        <f>IF($A44="","",SUMIF('入金消込'!$F$5:$F$1004,$A44,'入金消込'!$G$5:$G$1004))</f>
        <v/>
      </c>
      <c r="Q44" s="28">
        <f>IF($A44="","",SUMIF('入金消込'!$F$5:$F$1004,$A44,'入金消込'!$H$5:$H$1004)+SUMIF('入金消込'!$F$5:$F$1004,$A44,'入金消込'!$I$5:$I$1004))</f>
        <v/>
      </c>
      <c r="R44" s="28">
        <f>IF($A44="","",$L44-$P44-$Q44)</f>
        <v/>
      </c>
      <c r="S44" s="30">
        <f>IF($A44="","",IF($R44=0,IF($L44=0,"請求額0","回収済"),IF($L44&lt;0,IF($R44&lt;0,"差し引き待ち","差し引きすぎ"),IF($R44&lt;0,"入金が多い",IF($P44+$Q44=0,"未入金","一部入金")))))</f>
        <v/>
      </c>
      <c r="T44" s="31">
        <f>IF(OR($A44="",N($R44)&lt;=0,NOT(ISNUMBER($O44))),"",IF($O44&lt;'設定'!$B$7,'設定'!$B$7-$O44,""))</f>
        <v/>
      </c>
      <c r="U44" s="30">
        <f>IF(OR($A44="",N($R44)&lt;=0),"",IF(NOT(ISNUMBER($O44)),'設定'!$B$22,IF($O44&gt;='設定'!$B$7,'設定'!$B$17,IF('設定'!$B$7-$O44&lt;='設定'!$B$12,'設定'!$B$18,IF('設定'!$B$7-$O44&lt;='設定'!$B$13,'設定'!$B$19,IF('設定'!$B$7-$O44&lt;='設定'!$B$14,'設定'!$B$20,'設定'!$B$21))))))</f>
        <v/>
      </c>
      <c r="V44" s="56" t="n"/>
      <c r="W44" s="32">
        <f>IF($C44="","",IFERROR(MATCH($C44,'得意先'!$B$5:$B$104,0),"なし"))</f>
        <v/>
      </c>
      <c r="X44" s="33">
        <f>IF($A44="","",IF(ISNUMBER($E44),$E44,IF(ISNUMBER($B44),$B44,"")))</f>
        <v/>
      </c>
      <c r="Y44" s="34">
        <f>IF($T44="","",$O44+ROW()/1000000)</f>
        <v/>
      </c>
      <c r="Z44" s="35">
        <f>IF(OR($A44="",$C44="",$C44&lt;&gt;'売掛帳'!$B$3,NOT(ISNUMBER($X44))),"",IF(AND($X44&gt;='売掛帳'!$Q$3,$X44&lt;='売掛帳'!$Q$4),$X44+ROW()/10000000,""))</f>
        <v/>
      </c>
    </row>
    <row r="45" ht="18" customHeight="1">
      <c r="A45" s="18" t="n"/>
      <c r="B45" s="26" t="n"/>
      <c r="C45" s="18" t="n"/>
      <c r="D45" s="20">
        <f>IF($W45="","",IF($W45="なし","※得意先にないコード",INDEX('得意先'!$C$5:$C$104,$W45)&amp;""))</f>
        <v/>
      </c>
      <c r="E45" s="26" t="n"/>
      <c r="F45" s="19" t="n"/>
      <c r="G45" s="27" t="n"/>
      <c r="H45" s="27" t="n"/>
      <c r="I45" s="27" t="n"/>
      <c r="J45" s="28">
        <f>IF($A45="","",IF('設定'!$B$10="四捨五入",ROUND(IF('設定'!$B$9="税込",N($G45)*10/110,N($G45)*10/100),0),IF('設定'!$B$10="切り上げ",ROUNDUP(IF('設定'!$B$9="税込",N($G45)*10/110,N($G45)*10/100),0),ROUNDDOWN(IF('設定'!$B$9="税込",N($G45)*10/110,N($G45)*10/100),0))))</f>
        <v/>
      </c>
      <c r="K45" s="28">
        <f>IF($A45="","",IF('設定'!$B$10="四捨五入",ROUND(IF('設定'!$B$9="税込",N($H45)*8/108,N($H45)*8/100),0),IF('設定'!$B$10="切り上げ",ROUNDUP(IF('設定'!$B$9="税込",N($H45)*8/108,N($H45)*8/100),0),ROUNDDOWN(IF('設定'!$B$9="税込",N($H45)*8/108,N($H45)*8/100),0))))</f>
        <v/>
      </c>
      <c r="L45" s="28">
        <f>IF($A45="","",N($G45)+N($H45)+N($I45)+IF('設定'!$B$9="税込",0,$J45+$K45))</f>
        <v/>
      </c>
      <c r="M45" s="29">
        <f>IF(OR($A45="",NOT(ISNUMBER($W45)),NOT(ISNUMBER($X45))),"",IF(OR(INDEX('得意先'!$D$5:$D$104,$W45)="",INDEX('得意先'!$E$5:$E$104,$W45)="",INDEX('得意先'!$F$5:$F$104,$W45)=""),"",IF(INDEX('得意先'!$F$5:$F$104,$W45)="末",DATE(YEAR($X45),(MONTH($X45)+IF(INDEX('得意先'!$D$5:$D$104,$W45)="末",0,IF(DAY($X45)&lt;=INDEX('得意先'!$D$5:$D$104,$W45),0,1))+N(INDEX('得意先'!$E$5:$E$104,$W45)))+1,0),DATE(YEAR($X45),(MONTH($X45)+IF(INDEX('得意先'!$D$5:$D$104,$W45)="末",0,IF(DAY($X45)&lt;=INDEX('得意先'!$D$5:$D$104,$W45),0,1))+N(INDEX('得意先'!$E$5:$E$104,$W45))),MIN(INDEX('得意先'!$F$5:$F$104,$W45),DAY(DATE(YEAR($X45),(MONTH($X45)+IF(INDEX('得意先'!$D$5:$D$104,$W45)="末",0,IF(DAY($X45)&lt;=INDEX('得意先'!$D$5:$D$104,$W45),0,1))+N(INDEX('得意先'!$E$5:$E$104,$W45)))+1,0)))))))</f>
        <v/>
      </c>
      <c r="N45" s="26" t="n"/>
      <c r="O45" s="29">
        <f>IF($A45="","",IF(ISNUMBER($N45),$N45,$M45))</f>
        <v/>
      </c>
      <c r="P45" s="28">
        <f>IF($A45="","",SUMIF('入金消込'!$F$5:$F$1004,$A45,'入金消込'!$G$5:$G$1004))</f>
        <v/>
      </c>
      <c r="Q45" s="28">
        <f>IF($A45="","",SUMIF('入金消込'!$F$5:$F$1004,$A45,'入金消込'!$H$5:$H$1004)+SUMIF('入金消込'!$F$5:$F$1004,$A45,'入金消込'!$I$5:$I$1004))</f>
        <v/>
      </c>
      <c r="R45" s="28">
        <f>IF($A45="","",$L45-$P45-$Q45)</f>
        <v/>
      </c>
      <c r="S45" s="30">
        <f>IF($A45="","",IF($R45=0,IF($L45=0,"請求額0","回収済"),IF($L45&lt;0,IF($R45&lt;0,"差し引き待ち","差し引きすぎ"),IF($R45&lt;0,"入金が多い",IF($P45+$Q45=0,"未入金","一部入金")))))</f>
        <v/>
      </c>
      <c r="T45" s="31">
        <f>IF(OR($A45="",N($R45)&lt;=0,NOT(ISNUMBER($O45))),"",IF($O45&lt;'設定'!$B$7,'設定'!$B$7-$O45,""))</f>
        <v/>
      </c>
      <c r="U45" s="30">
        <f>IF(OR($A45="",N($R45)&lt;=0),"",IF(NOT(ISNUMBER($O45)),'設定'!$B$22,IF($O45&gt;='設定'!$B$7,'設定'!$B$17,IF('設定'!$B$7-$O45&lt;='設定'!$B$12,'設定'!$B$18,IF('設定'!$B$7-$O45&lt;='設定'!$B$13,'設定'!$B$19,IF('設定'!$B$7-$O45&lt;='設定'!$B$14,'設定'!$B$20,'設定'!$B$21))))))</f>
        <v/>
      </c>
      <c r="V45" s="56" t="n"/>
      <c r="W45" s="32">
        <f>IF($C45="","",IFERROR(MATCH($C45,'得意先'!$B$5:$B$104,0),"なし"))</f>
        <v/>
      </c>
      <c r="X45" s="33">
        <f>IF($A45="","",IF(ISNUMBER($E45),$E45,IF(ISNUMBER($B45),$B45,"")))</f>
        <v/>
      </c>
      <c r="Y45" s="34">
        <f>IF($T45="","",$O45+ROW()/1000000)</f>
        <v/>
      </c>
      <c r="Z45" s="35">
        <f>IF(OR($A45="",$C45="",$C45&lt;&gt;'売掛帳'!$B$3,NOT(ISNUMBER($X45))),"",IF(AND($X45&gt;='売掛帳'!$Q$3,$X45&lt;='売掛帳'!$Q$4),$X45+ROW()/10000000,""))</f>
        <v/>
      </c>
    </row>
    <row r="46" ht="18" customHeight="1">
      <c r="A46" s="18" t="n"/>
      <c r="B46" s="26" t="n"/>
      <c r="C46" s="18" t="n"/>
      <c r="D46" s="20">
        <f>IF($W46="","",IF($W46="なし","※得意先にないコード",INDEX('得意先'!$C$5:$C$104,$W46)&amp;""))</f>
        <v/>
      </c>
      <c r="E46" s="26" t="n"/>
      <c r="F46" s="19" t="n"/>
      <c r="G46" s="27" t="n"/>
      <c r="H46" s="27" t="n"/>
      <c r="I46" s="27" t="n"/>
      <c r="J46" s="28">
        <f>IF($A46="","",IF('設定'!$B$10="四捨五入",ROUND(IF('設定'!$B$9="税込",N($G46)*10/110,N($G46)*10/100),0),IF('設定'!$B$10="切り上げ",ROUNDUP(IF('設定'!$B$9="税込",N($G46)*10/110,N($G46)*10/100),0),ROUNDDOWN(IF('設定'!$B$9="税込",N($G46)*10/110,N($G46)*10/100),0))))</f>
        <v/>
      </c>
      <c r="K46" s="28">
        <f>IF($A46="","",IF('設定'!$B$10="四捨五入",ROUND(IF('設定'!$B$9="税込",N($H46)*8/108,N($H46)*8/100),0),IF('設定'!$B$10="切り上げ",ROUNDUP(IF('設定'!$B$9="税込",N($H46)*8/108,N($H46)*8/100),0),ROUNDDOWN(IF('設定'!$B$9="税込",N($H46)*8/108,N($H46)*8/100),0))))</f>
        <v/>
      </c>
      <c r="L46" s="28">
        <f>IF($A46="","",N($G46)+N($H46)+N($I46)+IF('設定'!$B$9="税込",0,$J46+$K46))</f>
        <v/>
      </c>
      <c r="M46" s="29">
        <f>IF(OR($A46="",NOT(ISNUMBER($W46)),NOT(ISNUMBER($X46))),"",IF(OR(INDEX('得意先'!$D$5:$D$104,$W46)="",INDEX('得意先'!$E$5:$E$104,$W46)="",INDEX('得意先'!$F$5:$F$104,$W46)=""),"",IF(INDEX('得意先'!$F$5:$F$104,$W46)="末",DATE(YEAR($X46),(MONTH($X46)+IF(INDEX('得意先'!$D$5:$D$104,$W46)="末",0,IF(DAY($X46)&lt;=INDEX('得意先'!$D$5:$D$104,$W46),0,1))+N(INDEX('得意先'!$E$5:$E$104,$W46)))+1,0),DATE(YEAR($X46),(MONTH($X46)+IF(INDEX('得意先'!$D$5:$D$104,$W46)="末",0,IF(DAY($X46)&lt;=INDEX('得意先'!$D$5:$D$104,$W46),0,1))+N(INDEX('得意先'!$E$5:$E$104,$W46))),MIN(INDEX('得意先'!$F$5:$F$104,$W46),DAY(DATE(YEAR($X46),(MONTH($X46)+IF(INDEX('得意先'!$D$5:$D$104,$W46)="末",0,IF(DAY($X46)&lt;=INDEX('得意先'!$D$5:$D$104,$W46),0,1))+N(INDEX('得意先'!$E$5:$E$104,$W46)))+1,0)))))))</f>
        <v/>
      </c>
      <c r="N46" s="26" t="n"/>
      <c r="O46" s="29">
        <f>IF($A46="","",IF(ISNUMBER($N46),$N46,$M46))</f>
        <v/>
      </c>
      <c r="P46" s="28">
        <f>IF($A46="","",SUMIF('入金消込'!$F$5:$F$1004,$A46,'入金消込'!$G$5:$G$1004))</f>
        <v/>
      </c>
      <c r="Q46" s="28">
        <f>IF($A46="","",SUMIF('入金消込'!$F$5:$F$1004,$A46,'入金消込'!$H$5:$H$1004)+SUMIF('入金消込'!$F$5:$F$1004,$A46,'入金消込'!$I$5:$I$1004))</f>
        <v/>
      </c>
      <c r="R46" s="28">
        <f>IF($A46="","",$L46-$P46-$Q46)</f>
        <v/>
      </c>
      <c r="S46" s="30">
        <f>IF($A46="","",IF($R46=0,IF($L46=0,"請求額0","回収済"),IF($L46&lt;0,IF($R46&lt;0,"差し引き待ち","差し引きすぎ"),IF($R46&lt;0,"入金が多い",IF($P46+$Q46=0,"未入金","一部入金")))))</f>
        <v/>
      </c>
      <c r="T46" s="31">
        <f>IF(OR($A46="",N($R46)&lt;=0,NOT(ISNUMBER($O46))),"",IF($O46&lt;'設定'!$B$7,'設定'!$B$7-$O46,""))</f>
        <v/>
      </c>
      <c r="U46" s="30">
        <f>IF(OR($A46="",N($R46)&lt;=0),"",IF(NOT(ISNUMBER($O46)),'設定'!$B$22,IF($O46&gt;='設定'!$B$7,'設定'!$B$17,IF('設定'!$B$7-$O46&lt;='設定'!$B$12,'設定'!$B$18,IF('設定'!$B$7-$O46&lt;='設定'!$B$13,'設定'!$B$19,IF('設定'!$B$7-$O46&lt;='設定'!$B$14,'設定'!$B$20,'設定'!$B$21))))))</f>
        <v/>
      </c>
      <c r="V46" s="56" t="n"/>
      <c r="W46" s="32">
        <f>IF($C46="","",IFERROR(MATCH($C46,'得意先'!$B$5:$B$104,0),"なし"))</f>
        <v/>
      </c>
      <c r="X46" s="33">
        <f>IF($A46="","",IF(ISNUMBER($E46),$E46,IF(ISNUMBER($B46),$B46,"")))</f>
        <v/>
      </c>
      <c r="Y46" s="34">
        <f>IF($T46="","",$O46+ROW()/1000000)</f>
        <v/>
      </c>
      <c r="Z46" s="35">
        <f>IF(OR($A46="",$C46="",$C46&lt;&gt;'売掛帳'!$B$3,NOT(ISNUMBER($X46))),"",IF(AND($X46&gt;='売掛帳'!$Q$3,$X46&lt;='売掛帳'!$Q$4),$X46+ROW()/10000000,""))</f>
        <v/>
      </c>
    </row>
    <row r="47" ht="18" customHeight="1">
      <c r="A47" s="18" t="n"/>
      <c r="B47" s="26" t="n"/>
      <c r="C47" s="18" t="n"/>
      <c r="D47" s="20">
        <f>IF($W47="","",IF($W47="なし","※得意先にないコード",INDEX('得意先'!$C$5:$C$104,$W47)&amp;""))</f>
        <v/>
      </c>
      <c r="E47" s="26" t="n"/>
      <c r="F47" s="19" t="n"/>
      <c r="G47" s="27" t="n"/>
      <c r="H47" s="27" t="n"/>
      <c r="I47" s="27" t="n"/>
      <c r="J47" s="28">
        <f>IF($A47="","",IF('設定'!$B$10="四捨五入",ROUND(IF('設定'!$B$9="税込",N($G47)*10/110,N($G47)*10/100),0),IF('設定'!$B$10="切り上げ",ROUNDUP(IF('設定'!$B$9="税込",N($G47)*10/110,N($G47)*10/100),0),ROUNDDOWN(IF('設定'!$B$9="税込",N($G47)*10/110,N($G47)*10/100),0))))</f>
        <v/>
      </c>
      <c r="K47" s="28">
        <f>IF($A47="","",IF('設定'!$B$10="四捨五入",ROUND(IF('設定'!$B$9="税込",N($H47)*8/108,N($H47)*8/100),0),IF('設定'!$B$10="切り上げ",ROUNDUP(IF('設定'!$B$9="税込",N($H47)*8/108,N($H47)*8/100),0),ROUNDDOWN(IF('設定'!$B$9="税込",N($H47)*8/108,N($H47)*8/100),0))))</f>
        <v/>
      </c>
      <c r="L47" s="28">
        <f>IF($A47="","",N($G47)+N($H47)+N($I47)+IF('設定'!$B$9="税込",0,$J47+$K47))</f>
        <v/>
      </c>
      <c r="M47" s="29">
        <f>IF(OR($A47="",NOT(ISNUMBER($W47)),NOT(ISNUMBER($X47))),"",IF(OR(INDEX('得意先'!$D$5:$D$104,$W47)="",INDEX('得意先'!$E$5:$E$104,$W47)="",INDEX('得意先'!$F$5:$F$104,$W47)=""),"",IF(INDEX('得意先'!$F$5:$F$104,$W47)="末",DATE(YEAR($X47),(MONTH($X47)+IF(INDEX('得意先'!$D$5:$D$104,$W47)="末",0,IF(DAY($X47)&lt;=INDEX('得意先'!$D$5:$D$104,$W47),0,1))+N(INDEX('得意先'!$E$5:$E$104,$W47)))+1,0),DATE(YEAR($X47),(MONTH($X47)+IF(INDEX('得意先'!$D$5:$D$104,$W47)="末",0,IF(DAY($X47)&lt;=INDEX('得意先'!$D$5:$D$104,$W47),0,1))+N(INDEX('得意先'!$E$5:$E$104,$W47))),MIN(INDEX('得意先'!$F$5:$F$104,$W47),DAY(DATE(YEAR($X47),(MONTH($X47)+IF(INDEX('得意先'!$D$5:$D$104,$W47)="末",0,IF(DAY($X47)&lt;=INDEX('得意先'!$D$5:$D$104,$W47),0,1))+N(INDEX('得意先'!$E$5:$E$104,$W47)))+1,0)))))))</f>
        <v/>
      </c>
      <c r="N47" s="26" t="n"/>
      <c r="O47" s="29">
        <f>IF($A47="","",IF(ISNUMBER($N47),$N47,$M47))</f>
        <v/>
      </c>
      <c r="P47" s="28">
        <f>IF($A47="","",SUMIF('入金消込'!$F$5:$F$1004,$A47,'入金消込'!$G$5:$G$1004))</f>
        <v/>
      </c>
      <c r="Q47" s="28">
        <f>IF($A47="","",SUMIF('入金消込'!$F$5:$F$1004,$A47,'入金消込'!$H$5:$H$1004)+SUMIF('入金消込'!$F$5:$F$1004,$A47,'入金消込'!$I$5:$I$1004))</f>
        <v/>
      </c>
      <c r="R47" s="28">
        <f>IF($A47="","",$L47-$P47-$Q47)</f>
        <v/>
      </c>
      <c r="S47" s="30">
        <f>IF($A47="","",IF($R47=0,IF($L47=0,"請求額0","回収済"),IF($L47&lt;0,IF($R47&lt;0,"差し引き待ち","差し引きすぎ"),IF($R47&lt;0,"入金が多い",IF($P47+$Q47=0,"未入金","一部入金")))))</f>
        <v/>
      </c>
      <c r="T47" s="31">
        <f>IF(OR($A47="",N($R47)&lt;=0,NOT(ISNUMBER($O47))),"",IF($O47&lt;'設定'!$B$7,'設定'!$B$7-$O47,""))</f>
        <v/>
      </c>
      <c r="U47" s="30">
        <f>IF(OR($A47="",N($R47)&lt;=0),"",IF(NOT(ISNUMBER($O47)),'設定'!$B$22,IF($O47&gt;='設定'!$B$7,'設定'!$B$17,IF('設定'!$B$7-$O47&lt;='設定'!$B$12,'設定'!$B$18,IF('設定'!$B$7-$O47&lt;='設定'!$B$13,'設定'!$B$19,IF('設定'!$B$7-$O47&lt;='設定'!$B$14,'設定'!$B$20,'設定'!$B$21))))))</f>
        <v/>
      </c>
      <c r="V47" s="56" t="n"/>
      <c r="W47" s="32">
        <f>IF($C47="","",IFERROR(MATCH($C47,'得意先'!$B$5:$B$104,0),"なし"))</f>
        <v/>
      </c>
      <c r="X47" s="33">
        <f>IF($A47="","",IF(ISNUMBER($E47),$E47,IF(ISNUMBER($B47),$B47,"")))</f>
        <v/>
      </c>
      <c r="Y47" s="34">
        <f>IF($T47="","",$O47+ROW()/1000000)</f>
        <v/>
      </c>
      <c r="Z47" s="35">
        <f>IF(OR($A47="",$C47="",$C47&lt;&gt;'売掛帳'!$B$3,NOT(ISNUMBER($X47))),"",IF(AND($X47&gt;='売掛帳'!$Q$3,$X47&lt;='売掛帳'!$Q$4),$X47+ROW()/10000000,""))</f>
        <v/>
      </c>
    </row>
    <row r="48" ht="18" customHeight="1">
      <c r="A48" s="18" t="n"/>
      <c r="B48" s="26" t="n"/>
      <c r="C48" s="18" t="n"/>
      <c r="D48" s="20">
        <f>IF($W48="","",IF($W48="なし","※得意先にないコード",INDEX('得意先'!$C$5:$C$104,$W48)&amp;""))</f>
        <v/>
      </c>
      <c r="E48" s="26" t="n"/>
      <c r="F48" s="19" t="n"/>
      <c r="G48" s="27" t="n"/>
      <c r="H48" s="27" t="n"/>
      <c r="I48" s="27" t="n"/>
      <c r="J48" s="28">
        <f>IF($A48="","",IF('設定'!$B$10="四捨五入",ROUND(IF('設定'!$B$9="税込",N($G48)*10/110,N($G48)*10/100),0),IF('設定'!$B$10="切り上げ",ROUNDUP(IF('設定'!$B$9="税込",N($G48)*10/110,N($G48)*10/100),0),ROUNDDOWN(IF('設定'!$B$9="税込",N($G48)*10/110,N($G48)*10/100),0))))</f>
        <v/>
      </c>
      <c r="K48" s="28">
        <f>IF($A48="","",IF('設定'!$B$10="四捨五入",ROUND(IF('設定'!$B$9="税込",N($H48)*8/108,N($H48)*8/100),0),IF('設定'!$B$10="切り上げ",ROUNDUP(IF('設定'!$B$9="税込",N($H48)*8/108,N($H48)*8/100),0),ROUNDDOWN(IF('設定'!$B$9="税込",N($H48)*8/108,N($H48)*8/100),0))))</f>
        <v/>
      </c>
      <c r="L48" s="28">
        <f>IF($A48="","",N($G48)+N($H48)+N($I48)+IF('設定'!$B$9="税込",0,$J48+$K48))</f>
        <v/>
      </c>
      <c r="M48" s="29">
        <f>IF(OR($A48="",NOT(ISNUMBER($W48)),NOT(ISNUMBER($X48))),"",IF(OR(INDEX('得意先'!$D$5:$D$104,$W48)="",INDEX('得意先'!$E$5:$E$104,$W48)="",INDEX('得意先'!$F$5:$F$104,$W48)=""),"",IF(INDEX('得意先'!$F$5:$F$104,$W48)="末",DATE(YEAR($X48),(MONTH($X48)+IF(INDEX('得意先'!$D$5:$D$104,$W48)="末",0,IF(DAY($X48)&lt;=INDEX('得意先'!$D$5:$D$104,$W48),0,1))+N(INDEX('得意先'!$E$5:$E$104,$W48)))+1,0),DATE(YEAR($X48),(MONTH($X48)+IF(INDEX('得意先'!$D$5:$D$104,$W48)="末",0,IF(DAY($X48)&lt;=INDEX('得意先'!$D$5:$D$104,$W48),0,1))+N(INDEX('得意先'!$E$5:$E$104,$W48))),MIN(INDEX('得意先'!$F$5:$F$104,$W48),DAY(DATE(YEAR($X48),(MONTH($X48)+IF(INDEX('得意先'!$D$5:$D$104,$W48)="末",0,IF(DAY($X48)&lt;=INDEX('得意先'!$D$5:$D$104,$W48),0,1))+N(INDEX('得意先'!$E$5:$E$104,$W48)))+1,0)))))))</f>
        <v/>
      </c>
      <c r="N48" s="26" t="n"/>
      <c r="O48" s="29">
        <f>IF($A48="","",IF(ISNUMBER($N48),$N48,$M48))</f>
        <v/>
      </c>
      <c r="P48" s="28">
        <f>IF($A48="","",SUMIF('入金消込'!$F$5:$F$1004,$A48,'入金消込'!$G$5:$G$1004))</f>
        <v/>
      </c>
      <c r="Q48" s="28">
        <f>IF($A48="","",SUMIF('入金消込'!$F$5:$F$1004,$A48,'入金消込'!$H$5:$H$1004)+SUMIF('入金消込'!$F$5:$F$1004,$A48,'入金消込'!$I$5:$I$1004))</f>
        <v/>
      </c>
      <c r="R48" s="28">
        <f>IF($A48="","",$L48-$P48-$Q48)</f>
        <v/>
      </c>
      <c r="S48" s="30">
        <f>IF($A48="","",IF($R48=0,IF($L48=0,"請求額0","回収済"),IF($L48&lt;0,IF($R48&lt;0,"差し引き待ち","差し引きすぎ"),IF($R48&lt;0,"入金が多い",IF($P48+$Q48=0,"未入金","一部入金")))))</f>
        <v/>
      </c>
      <c r="T48" s="31">
        <f>IF(OR($A48="",N($R48)&lt;=0,NOT(ISNUMBER($O48))),"",IF($O48&lt;'設定'!$B$7,'設定'!$B$7-$O48,""))</f>
        <v/>
      </c>
      <c r="U48" s="30">
        <f>IF(OR($A48="",N($R48)&lt;=0),"",IF(NOT(ISNUMBER($O48)),'設定'!$B$22,IF($O48&gt;='設定'!$B$7,'設定'!$B$17,IF('設定'!$B$7-$O48&lt;='設定'!$B$12,'設定'!$B$18,IF('設定'!$B$7-$O48&lt;='設定'!$B$13,'設定'!$B$19,IF('設定'!$B$7-$O48&lt;='設定'!$B$14,'設定'!$B$20,'設定'!$B$21))))))</f>
        <v/>
      </c>
      <c r="V48" s="56" t="n"/>
      <c r="W48" s="32">
        <f>IF($C48="","",IFERROR(MATCH($C48,'得意先'!$B$5:$B$104,0),"なし"))</f>
        <v/>
      </c>
      <c r="X48" s="33">
        <f>IF($A48="","",IF(ISNUMBER($E48),$E48,IF(ISNUMBER($B48),$B48,"")))</f>
        <v/>
      </c>
      <c r="Y48" s="34">
        <f>IF($T48="","",$O48+ROW()/1000000)</f>
        <v/>
      </c>
      <c r="Z48" s="35">
        <f>IF(OR($A48="",$C48="",$C48&lt;&gt;'売掛帳'!$B$3,NOT(ISNUMBER($X48))),"",IF(AND($X48&gt;='売掛帳'!$Q$3,$X48&lt;='売掛帳'!$Q$4),$X48+ROW()/10000000,""))</f>
        <v/>
      </c>
    </row>
    <row r="49" ht="18" customHeight="1">
      <c r="A49" s="18" t="n"/>
      <c r="B49" s="26" t="n"/>
      <c r="C49" s="18" t="n"/>
      <c r="D49" s="20">
        <f>IF($W49="","",IF($W49="なし","※得意先にないコード",INDEX('得意先'!$C$5:$C$104,$W49)&amp;""))</f>
        <v/>
      </c>
      <c r="E49" s="26" t="n"/>
      <c r="F49" s="19" t="n"/>
      <c r="G49" s="27" t="n"/>
      <c r="H49" s="27" t="n"/>
      <c r="I49" s="27" t="n"/>
      <c r="J49" s="28">
        <f>IF($A49="","",IF('設定'!$B$10="四捨五入",ROUND(IF('設定'!$B$9="税込",N($G49)*10/110,N($G49)*10/100),0),IF('設定'!$B$10="切り上げ",ROUNDUP(IF('設定'!$B$9="税込",N($G49)*10/110,N($G49)*10/100),0),ROUNDDOWN(IF('設定'!$B$9="税込",N($G49)*10/110,N($G49)*10/100),0))))</f>
        <v/>
      </c>
      <c r="K49" s="28">
        <f>IF($A49="","",IF('設定'!$B$10="四捨五入",ROUND(IF('設定'!$B$9="税込",N($H49)*8/108,N($H49)*8/100),0),IF('設定'!$B$10="切り上げ",ROUNDUP(IF('設定'!$B$9="税込",N($H49)*8/108,N($H49)*8/100),0),ROUNDDOWN(IF('設定'!$B$9="税込",N($H49)*8/108,N($H49)*8/100),0))))</f>
        <v/>
      </c>
      <c r="L49" s="28">
        <f>IF($A49="","",N($G49)+N($H49)+N($I49)+IF('設定'!$B$9="税込",0,$J49+$K49))</f>
        <v/>
      </c>
      <c r="M49" s="29">
        <f>IF(OR($A49="",NOT(ISNUMBER($W49)),NOT(ISNUMBER($X49))),"",IF(OR(INDEX('得意先'!$D$5:$D$104,$W49)="",INDEX('得意先'!$E$5:$E$104,$W49)="",INDEX('得意先'!$F$5:$F$104,$W49)=""),"",IF(INDEX('得意先'!$F$5:$F$104,$W49)="末",DATE(YEAR($X49),(MONTH($X49)+IF(INDEX('得意先'!$D$5:$D$104,$W49)="末",0,IF(DAY($X49)&lt;=INDEX('得意先'!$D$5:$D$104,$W49),0,1))+N(INDEX('得意先'!$E$5:$E$104,$W49)))+1,0),DATE(YEAR($X49),(MONTH($X49)+IF(INDEX('得意先'!$D$5:$D$104,$W49)="末",0,IF(DAY($X49)&lt;=INDEX('得意先'!$D$5:$D$104,$W49),0,1))+N(INDEX('得意先'!$E$5:$E$104,$W49))),MIN(INDEX('得意先'!$F$5:$F$104,$W49),DAY(DATE(YEAR($X49),(MONTH($X49)+IF(INDEX('得意先'!$D$5:$D$104,$W49)="末",0,IF(DAY($X49)&lt;=INDEX('得意先'!$D$5:$D$104,$W49),0,1))+N(INDEX('得意先'!$E$5:$E$104,$W49)))+1,0)))))))</f>
        <v/>
      </c>
      <c r="N49" s="26" t="n"/>
      <c r="O49" s="29">
        <f>IF($A49="","",IF(ISNUMBER($N49),$N49,$M49))</f>
        <v/>
      </c>
      <c r="P49" s="28">
        <f>IF($A49="","",SUMIF('入金消込'!$F$5:$F$1004,$A49,'入金消込'!$G$5:$G$1004))</f>
        <v/>
      </c>
      <c r="Q49" s="28">
        <f>IF($A49="","",SUMIF('入金消込'!$F$5:$F$1004,$A49,'入金消込'!$H$5:$H$1004)+SUMIF('入金消込'!$F$5:$F$1004,$A49,'入金消込'!$I$5:$I$1004))</f>
        <v/>
      </c>
      <c r="R49" s="28">
        <f>IF($A49="","",$L49-$P49-$Q49)</f>
        <v/>
      </c>
      <c r="S49" s="30">
        <f>IF($A49="","",IF($R49=0,IF($L49=0,"請求額0","回収済"),IF($L49&lt;0,IF($R49&lt;0,"差し引き待ち","差し引きすぎ"),IF($R49&lt;0,"入金が多い",IF($P49+$Q49=0,"未入金","一部入金")))))</f>
        <v/>
      </c>
      <c r="T49" s="31">
        <f>IF(OR($A49="",N($R49)&lt;=0,NOT(ISNUMBER($O49))),"",IF($O49&lt;'設定'!$B$7,'設定'!$B$7-$O49,""))</f>
        <v/>
      </c>
      <c r="U49" s="30">
        <f>IF(OR($A49="",N($R49)&lt;=0),"",IF(NOT(ISNUMBER($O49)),'設定'!$B$22,IF($O49&gt;='設定'!$B$7,'設定'!$B$17,IF('設定'!$B$7-$O49&lt;='設定'!$B$12,'設定'!$B$18,IF('設定'!$B$7-$O49&lt;='設定'!$B$13,'設定'!$B$19,IF('設定'!$B$7-$O49&lt;='設定'!$B$14,'設定'!$B$20,'設定'!$B$21))))))</f>
        <v/>
      </c>
      <c r="V49" s="56" t="n"/>
      <c r="W49" s="32">
        <f>IF($C49="","",IFERROR(MATCH($C49,'得意先'!$B$5:$B$104,0),"なし"))</f>
        <v/>
      </c>
      <c r="X49" s="33">
        <f>IF($A49="","",IF(ISNUMBER($E49),$E49,IF(ISNUMBER($B49),$B49,"")))</f>
        <v/>
      </c>
      <c r="Y49" s="34">
        <f>IF($T49="","",$O49+ROW()/1000000)</f>
        <v/>
      </c>
      <c r="Z49" s="35">
        <f>IF(OR($A49="",$C49="",$C49&lt;&gt;'売掛帳'!$B$3,NOT(ISNUMBER($X49))),"",IF(AND($X49&gt;='売掛帳'!$Q$3,$X49&lt;='売掛帳'!$Q$4),$X49+ROW()/10000000,""))</f>
        <v/>
      </c>
    </row>
    <row r="50" ht="18" customHeight="1">
      <c r="A50" s="18" t="n"/>
      <c r="B50" s="26" t="n"/>
      <c r="C50" s="18" t="n"/>
      <c r="D50" s="20">
        <f>IF($W50="","",IF($W50="なし","※得意先にないコード",INDEX('得意先'!$C$5:$C$104,$W50)&amp;""))</f>
        <v/>
      </c>
      <c r="E50" s="26" t="n"/>
      <c r="F50" s="19" t="n"/>
      <c r="G50" s="27" t="n"/>
      <c r="H50" s="27" t="n"/>
      <c r="I50" s="27" t="n"/>
      <c r="J50" s="28">
        <f>IF($A50="","",IF('設定'!$B$10="四捨五入",ROUND(IF('設定'!$B$9="税込",N($G50)*10/110,N($G50)*10/100),0),IF('設定'!$B$10="切り上げ",ROUNDUP(IF('設定'!$B$9="税込",N($G50)*10/110,N($G50)*10/100),0),ROUNDDOWN(IF('設定'!$B$9="税込",N($G50)*10/110,N($G50)*10/100),0))))</f>
        <v/>
      </c>
      <c r="K50" s="28">
        <f>IF($A50="","",IF('設定'!$B$10="四捨五入",ROUND(IF('設定'!$B$9="税込",N($H50)*8/108,N($H50)*8/100),0),IF('設定'!$B$10="切り上げ",ROUNDUP(IF('設定'!$B$9="税込",N($H50)*8/108,N($H50)*8/100),0),ROUNDDOWN(IF('設定'!$B$9="税込",N($H50)*8/108,N($H50)*8/100),0))))</f>
        <v/>
      </c>
      <c r="L50" s="28">
        <f>IF($A50="","",N($G50)+N($H50)+N($I50)+IF('設定'!$B$9="税込",0,$J50+$K50))</f>
        <v/>
      </c>
      <c r="M50" s="29">
        <f>IF(OR($A50="",NOT(ISNUMBER($W50)),NOT(ISNUMBER($X50))),"",IF(OR(INDEX('得意先'!$D$5:$D$104,$W50)="",INDEX('得意先'!$E$5:$E$104,$W50)="",INDEX('得意先'!$F$5:$F$104,$W50)=""),"",IF(INDEX('得意先'!$F$5:$F$104,$W50)="末",DATE(YEAR($X50),(MONTH($X50)+IF(INDEX('得意先'!$D$5:$D$104,$W50)="末",0,IF(DAY($X50)&lt;=INDEX('得意先'!$D$5:$D$104,$W50),0,1))+N(INDEX('得意先'!$E$5:$E$104,$W50)))+1,0),DATE(YEAR($X50),(MONTH($X50)+IF(INDEX('得意先'!$D$5:$D$104,$W50)="末",0,IF(DAY($X50)&lt;=INDEX('得意先'!$D$5:$D$104,$W50),0,1))+N(INDEX('得意先'!$E$5:$E$104,$W50))),MIN(INDEX('得意先'!$F$5:$F$104,$W50),DAY(DATE(YEAR($X50),(MONTH($X50)+IF(INDEX('得意先'!$D$5:$D$104,$W50)="末",0,IF(DAY($X50)&lt;=INDEX('得意先'!$D$5:$D$104,$W50),0,1))+N(INDEX('得意先'!$E$5:$E$104,$W50)))+1,0)))))))</f>
        <v/>
      </c>
      <c r="N50" s="26" t="n"/>
      <c r="O50" s="29">
        <f>IF($A50="","",IF(ISNUMBER($N50),$N50,$M50))</f>
        <v/>
      </c>
      <c r="P50" s="28">
        <f>IF($A50="","",SUMIF('入金消込'!$F$5:$F$1004,$A50,'入金消込'!$G$5:$G$1004))</f>
        <v/>
      </c>
      <c r="Q50" s="28">
        <f>IF($A50="","",SUMIF('入金消込'!$F$5:$F$1004,$A50,'入金消込'!$H$5:$H$1004)+SUMIF('入金消込'!$F$5:$F$1004,$A50,'入金消込'!$I$5:$I$1004))</f>
        <v/>
      </c>
      <c r="R50" s="28">
        <f>IF($A50="","",$L50-$P50-$Q50)</f>
        <v/>
      </c>
      <c r="S50" s="30">
        <f>IF($A50="","",IF($R50=0,IF($L50=0,"請求額0","回収済"),IF($L50&lt;0,IF($R50&lt;0,"差し引き待ち","差し引きすぎ"),IF($R50&lt;0,"入金が多い",IF($P50+$Q50=0,"未入金","一部入金")))))</f>
        <v/>
      </c>
      <c r="T50" s="31">
        <f>IF(OR($A50="",N($R50)&lt;=0,NOT(ISNUMBER($O50))),"",IF($O50&lt;'設定'!$B$7,'設定'!$B$7-$O50,""))</f>
        <v/>
      </c>
      <c r="U50" s="30">
        <f>IF(OR($A50="",N($R50)&lt;=0),"",IF(NOT(ISNUMBER($O50)),'設定'!$B$22,IF($O50&gt;='設定'!$B$7,'設定'!$B$17,IF('設定'!$B$7-$O50&lt;='設定'!$B$12,'設定'!$B$18,IF('設定'!$B$7-$O50&lt;='設定'!$B$13,'設定'!$B$19,IF('設定'!$B$7-$O50&lt;='設定'!$B$14,'設定'!$B$20,'設定'!$B$21))))))</f>
        <v/>
      </c>
      <c r="V50" s="56" t="n"/>
      <c r="W50" s="32">
        <f>IF($C50="","",IFERROR(MATCH($C50,'得意先'!$B$5:$B$104,0),"なし"))</f>
        <v/>
      </c>
      <c r="X50" s="33">
        <f>IF($A50="","",IF(ISNUMBER($E50),$E50,IF(ISNUMBER($B50),$B50,"")))</f>
        <v/>
      </c>
      <c r="Y50" s="34">
        <f>IF($T50="","",$O50+ROW()/1000000)</f>
        <v/>
      </c>
      <c r="Z50" s="35">
        <f>IF(OR($A50="",$C50="",$C50&lt;&gt;'売掛帳'!$B$3,NOT(ISNUMBER($X50))),"",IF(AND($X50&gt;='売掛帳'!$Q$3,$X50&lt;='売掛帳'!$Q$4),$X50+ROW()/10000000,""))</f>
        <v/>
      </c>
    </row>
    <row r="51" ht="18" customHeight="1">
      <c r="A51" s="18" t="n"/>
      <c r="B51" s="26" t="n"/>
      <c r="C51" s="18" t="n"/>
      <c r="D51" s="20">
        <f>IF($W51="","",IF($W51="なし","※得意先にないコード",INDEX('得意先'!$C$5:$C$104,$W51)&amp;""))</f>
        <v/>
      </c>
      <c r="E51" s="26" t="n"/>
      <c r="F51" s="19" t="n"/>
      <c r="G51" s="27" t="n"/>
      <c r="H51" s="27" t="n"/>
      <c r="I51" s="27" t="n"/>
      <c r="J51" s="28">
        <f>IF($A51="","",IF('設定'!$B$10="四捨五入",ROUND(IF('設定'!$B$9="税込",N($G51)*10/110,N($G51)*10/100),0),IF('設定'!$B$10="切り上げ",ROUNDUP(IF('設定'!$B$9="税込",N($G51)*10/110,N($G51)*10/100),0),ROUNDDOWN(IF('設定'!$B$9="税込",N($G51)*10/110,N($G51)*10/100),0))))</f>
        <v/>
      </c>
      <c r="K51" s="28">
        <f>IF($A51="","",IF('設定'!$B$10="四捨五入",ROUND(IF('設定'!$B$9="税込",N($H51)*8/108,N($H51)*8/100),0),IF('設定'!$B$10="切り上げ",ROUNDUP(IF('設定'!$B$9="税込",N($H51)*8/108,N($H51)*8/100),0),ROUNDDOWN(IF('設定'!$B$9="税込",N($H51)*8/108,N($H51)*8/100),0))))</f>
        <v/>
      </c>
      <c r="L51" s="28">
        <f>IF($A51="","",N($G51)+N($H51)+N($I51)+IF('設定'!$B$9="税込",0,$J51+$K51))</f>
        <v/>
      </c>
      <c r="M51" s="29">
        <f>IF(OR($A51="",NOT(ISNUMBER($W51)),NOT(ISNUMBER($X51))),"",IF(OR(INDEX('得意先'!$D$5:$D$104,$W51)="",INDEX('得意先'!$E$5:$E$104,$W51)="",INDEX('得意先'!$F$5:$F$104,$W51)=""),"",IF(INDEX('得意先'!$F$5:$F$104,$W51)="末",DATE(YEAR($X51),(MONTH($X51)+IF(INDEX('得意先'!$D$5:$D$104,$W51)="末",0,IF(DAY($X51)&lt;=INDEX('得意先'!$D$5:$D$104,$W51),0,1))+N(INDEX('得意先'!$E$5:$E$104,$W51)))+1,0),DATE(YEAR($X51),(MONTH($X51)+IF(INDEX('得意先'!$D$5:$D$104,$W51)="末",0,IF(DAY($X51)&lt;=INDEX('得意先'!$D$5:$D$104,$W51),0,1))+N(INDEX('得意先'!$E$5:$E$104,$W51))),MIN(INDEX('得意先'!$F$5:$F$104,$W51),DAY(DATE(YEAR($X51),(MONTH($X51)+IF(INDEX('得意先'!$D$5:$D$104,$W51)="末",0,IF(DAY($X51)&lt;=INDEX('得意先'!$D$5:$D$104,$W51),0,1))+N(INDEX('得意先'!$E$5:$E$104,$W51)))+1,0)))))))</f>
        <v/>
      </c>
      <c r="N51" s="26" t="n"/>
      <c r="O51" s="29">
        <f>IF($A51="","",IF(ISNUMBER($N51),$N51,$M51))</f>
        <v/>
      </c>
      <c r="P51" s="28">
        <f>IF($A51="","",SUMIF('入金消込'!$F$5:$F$1004,$A51,'入金消込'!$G$5:$G$1004))</f>
        <v/>
      </c>
      <c r="Q51" s="28">
        <f>IF($A51="","",SUMIF('入金消込'!$F$5:$F$1004,$A51,'入金消込'!$H$5:$H$1004)+SUMIF('入金消込'!$F$5:$F$1004,$A51,'入金消込'!$I$5:$I$1004))</f>
        <v/>
      </c>
      <c r="R51" s="28">
        <f>IF($A51="","",$L51-$P51-$Q51)</f>
        <v/>
      </c>
      <c r="S51" s="30">
        <f>IF($A51="","",IF($R51=0,IF($L51=0,"請求額0","回収済"),IF($L51&lt;0,IF($R51&lt;0,"差し引き待ち","差し引きすぎ"),IF($R51&lt;0,"入金が多い",IF($P51+$Q51=0,"未入金","一部入金")))))</f>
        <v/>
      </c>
      <c r="T51" s="31">
        <f>IF(OR($A51="",N($R51)&lt;=0,NOT(ISNUMBER($O51))),"",IF($O51&lt;'設定'!$B$7,'設定'!$B$7-$O51,""))</f>
        <v/>
      </c>
      <c r="U51" s="30">
        <f>IF(OR($A51="",N($R51)&lt;=0),"",IF(NOT(ISNUMBER($O51)),'設定'!$B$22,IF($O51&gt;='設定'!$B$7,'設定'!$B$17,IF('設定'!$B$7-$O51&lt;='設定'!$B$12,'設定'!$B$18,IF('設定'!$B$7-$O51&lt;='設定'!$B$13,'設定'!$B$19,IF('設定'!$B$7-$O51&lt;='設定'!$B$14,'設定'!$B$20,'設定'!$B$21))))))</f>
        <v/>
      </c>
      <c r="V51" s="56" t="n"/>
      <c r="W51" s="32">
        <f>IF($C51="","",IFERROR(MATCH($C51,'得意先'!$B$5:$B$104,0),"なし"))</f>
        <v/>
      </c>
      <c r="X51" s="33">
        <f>IF($A51="","",IF(ISNUMBER($E51),$E51,IF(ISNUMBER($B51),$B51,"")))</f>
        <v/>
      </c>
      <c r="Y51" s="34">
        <f>IF($T51="","",$O51+ROW()/1000000)</f>
        <v/>
      </c>
      <c r="Z51" s="35">
        <f>IF(OR($A51="",$C51="",$C51&lt;&gt;'売掛帳'!$B$3,NOT(ISNUMBER($X51))),"",IF(AND($X51&gt;='売掛帳'!$Q$3,$X51&lt;='売掛帳'!$Q$4),$X51+ROW()/10000000,""))</f>
        <v/>
      </c>
    </row>
    <row r="52" ht="18" customHeight="1">
      <c r="A52" s="18" t="n"/>
      <c r="B52" s="26" t="n"/>
      <c r="C52" s="18" t="n"/>
      <c r="D52" s="20">
        <f>IF($W52="","",IF($W52="なし","※得意先にないコード",INDEX('得意先'!$C$5:$C$104,$W52)&amp;""))</f>
        <v/>
      </c>
      <c r="E52" s="26" t="n"/>
      <c r="F52" s="19" t="n"/>
      <c r="G52" s="27" t="n"/>
      <c r="H52" s="27" t="n"/>
      <c r="I52" s="27" t="n"/>
      <c r="J52" s="28">
        <f>IF($A52="","",IF('設定'!$B$10="四捨五入",ROUND(IF('設定'!$B$9="税込",N($G52)*10/110,N($G52)*10/100),0),IF('設定'!$B$10="切り上げ",ROUNDUP(IF('設定'!$B$9="税込",N($G52)*10/110,N($G52)*10/100),0),ROUNDDOWN(IF('設定'!$B$9="税込",N($G52)*10/110,N($G52)*10/100),0))))</f>
        <v/>
      </c>
      <c r="K52" s="28">
        <f>IF($A52="","",IF('設定'!$B$10="四捨五入",ROUND(IF('設定'!$B$9="税込",N($H52)*8/108,N($H52)*8/100),0),IF('設定'!$B$10="切り上げ",ROUNDUP(IF('設定'!$B$9="税込",N($H52)*8/108,N($H52)*8/100),0),ROUNDDOWN(IF('設定'!$B$9="税込",N($H52)*8/108,N($H52)*8/100),0))))</f>
        <v/>
      </c>
      <c r="L52" s="28">
        <f>IF($A52="","",N($G52)+N($H52)+N($I52)+IF('設定'!$B$9="税込",0,$J52+$K52))</f>
        <v/>
      </c>
      <c r="M52" s="29">
        <f>IF(OR($A52="",NOT(ISNUMBER($W52)),NOT(ISNUMBER($X52))),"",IF(OR(INDEX('得意先'!$D$5:$D$104,$W52)="",INDEX('得意先'!$E$5:$E$104,$W52)="",INDEX('得意先'!$F$5:$F$104,$W52)=""),"",IF(INDEX('得意先'!$F$5:$F$104,$W52)="末",DATE(YEAR($X52),(MONTH($X52)+IF(INDEX('得意先'!$D$5:$D$104,$W52)="末",0,IF(DAY($X52)&lt;=INDEX('得意先'!$D$5:$D$104,$W52),0,1))+N(INDEX('得意先'!$E$5:$E$104,$W52)))+1,0),DATE(YEAR($X52),(MONTH($X52)+IF(INDEX('得意先'!$D$5:$D$104,$W52)="末",0,IF(DAY($X52)&lt;=INDEX('得意先'!$D$5:$D$104,$W52),0,1))+N(INDEX('得意先'!$E$5:$E$104,$W52))),MIN(INDEX('得意先'!$F$5:$F$104,$W52),DAY(DATE(YEAR($X52),(MONTH($X52)+IF(INDEX('得意先'!$D$5:$D$104,$W52)="末",0,IF(DAY($X52)&lt;=INDEX('得意先'!$D$5:$D$104,$W52),0,1))+N(INDEX('得意先'!$E$5:$E$104,$W52)))+1,0)))))))</f>
        <v/>
      </c>
      <c r="N52" s="26" t="n"/>
      <c r="O52" s="29">
        <f>IF($A52="","",IF(ISNUMBER($N52),$N52,$M52))</f>
        <v/>
      </c>
      <c r="P52" s="28">
        <f>IF($A52="","",SUMIF('入金消込'!$F$5:$F$1004,$A52,'入金消込'!$G$5:$G$1004))</f>
        <v/>
      </c>
      <c r="Q52" s="28">
        <f>IF($A52="","",SUMIF('入金消込'!$F$5:$F$1004,$A52,'入金消込'!$H$5:$H$1004)+SUMIF('入金消込'!$F$5:$F$1004,$A52,'入金消込'!$I$5:$I$1004))</f>
        <v/>
      </c>
      <c r="R52" s="28">
        <f>IF($A52="","",$L52-$P52-$Q52)</f>
        <v/>
      </c>
      <c r="S52" s="30">
        <f>IF($A52="","",IF($R52=0,IF($L52=0,"請求額0","回収済"),IF($L52&lt;0,IF($R52&lt;0,"差し引き待ち","差し引きすぎ"),IF($R52&lt;0,"入金が多い",IF($P52+$Q52=0,"未入金","一部入金")))))</f>
        <v/>
      </c>
      <c r="T52" s="31">
        <f>IF(OR($A52="",N($R52)&lt;=0,NOT(ISNUMBER($O52))),"",IF($O52&lt;'設定'!$B$7,'設定'!$B$7-$O52,""))</f>
        <v/>
      </c>
      <c r="U52" s="30">
        <f>IF(OR($A52="",N($R52)&lt;=0),"",IF(NOT(ISNUMBER($O52)),'設定'!$B$22,IF($O52&gt;='設定'!$B$7,'設定'!$B$17,IF('設定'!$B$7-$O52&lt;='設定'!$B$12,'設定'!$B$18,IF('設定'!$B$7-$O52&lt;='設定'!$B$13,'設定'!$B$19,IF('設定'!$B$7-$O52&lt;='設定'!$B$14,'設定'!$B$20,'設定'!$B$21))))))</f>
        <v/>
      </c>
      <c r="V52" s="56" t="n"/>
      <c r="W52" s="32">
        <f>IF($C52="","",IFERROR(MATCH($C52,'得意先'!$B$5:$B$104,0),"なし"))</f>
        <v/>
      </c>
      <c r="X52" s="33">
        <f>IF($A52="","",IF(ISNUMBER($E52),$E52,IF(ISNUMBER($B52),$B52,"")))</f>
        <v/>
      </c>
      <c r="Y52" s="34">
        <f>IF($T52="","",$O52+ROW()/1000000)</f>
        <v/>
      </c>
      <c r="Z52" s="35">
        <f>IF(OR($A52="",$C52="",$C52&lt;&gt;'売掛帳'!$B$3,NOT(ISNUMBER($X52))),"",IF(AND($X52&gt;='売掛帳'!$Q$3,$X52&lt;='売掛帳'!$Q$4),$X52+ROW()/10000000,""))</f>
        <v/>
      </c>
    </row>
    <row r="53" ht="18" customHeight="1">
      <c r="A53" s="18" t="n"/>
      <c r="B53" s="26" t="n"/>
      <c r="C53" s="18" t="n"/>
      <c r="D53" s="20">
        <f>IF($W53="","",IF($W53="なし","※得意先にないコード",INDEX('得意先'!$C$5:$C$104,$W53)&amp;""))</f>
        <v/>
      </c>
      <c r="E53" s="26" t="n"/>
      <c r="F53" s="19" t="n"/>
      <c r="G53" s="27" t="n"/>
      <c r="H53" s="27" t="n"/>
      <c r="I53" s="27" t="n"/>
      <c r="J53" s="28">
        <f>IF($A53="","",IF('設定'!$B$10="四捨五入",ROUND(IF('設定'!$B$9="税込",N($G53)*10/110,N($G53)*10/100),0),IF('設定'!$B$10="切り上げ",ROUNDUP(IF('設定'!$B$9="税込",N($G53)*10/110,N($G53)*10/100),0),ROUNDDOWN(IF('設定'!$B$9="税込",N($G53)*10/110,N($G53)*10/100),0))))</f>
        <v/>
      </c>
      <c r="K53" s="28">
        <f>IF($A53="","",IF('設定'!$B$10="四捨五入",ROUND(IF('設定'!$B$9="税込",N($H53)*8/108,N($H53)*8/100),0),IF('設定'!$B$10="切り上げ",ROUNDUP(IF('設定'!$B$9="税込",N($H53)*8/108,N($H53)*8/100),0),ROUNDDOWN(IF('設定'!$B$9="税込",N($H53)*8/108,N($H53)*8/100),0))))</f>
        <v/>
      </c>
      <c r="L53" s="28">
        <f>IF($A53="","",N($G53)+N($H53)+N($I53)+IF('設定'!$B$9="税込",0,$J53+$K53))</f>
        <v/>
      </c>
      <c r="M53" s="29">
        <f>IF(OR($A53="",NOT(ISNUMBER($W53)),NOT(ISNUMBER($X53))),"",IF(OR(INDEX('得意先'!$D$5:$D$104,$W53)="",INDEX('得意先'!$E$5:$E$104,$W53)="",INDEX('得意先'!$F$5:$F$104,$W53)=""),"",IF(INDEX('得意先'!$F$5:$F$104,$W53)="末",DATE(YEAR($X53),(MONTH($X53)+IF(INDEX('得意先'!$D$5:$D$104,$W53)="末",0,IF(DAY($X53)&lt;=INDEX('得意先'!$D$5:$D$104,$W53),0,1))+N(INDEX('得意先'!$E$5:$E$104,$W53)))+1,0),DATE(YEAR($X53),(MONTH($X53)+IF(INDEX('得意先'!$D$5:$D$104,$W53)="末",0,IF(DAY($X53)&lt;=INDEX('得意先'!$D$5:$D$104,$W53),0,1))+N(INDEX('得意先'!$E$5:$E$104,$W53))),MIN(INDEX('得意先'!$F$5:$F$104,$W53),DAY(DATE(YEAR($X53),(MONTH($X53)+IF(INDEX('得意先'!$D$5:$D$104,$W53)="末",0,IF(DAY($X53)&lt;=INDEX('得意先'!$D$5:$D$104,$W53),0,1))+N(INDEX('得意先'!$E$5:$E$104,$W53)))+1,0)))))))</f>
        <v/>
      </c>
      <c r="N53" s="26" t="n"/>
      <c r="O53" s="29">
        <f>IF($A53="","",IF(ISNUMBER($N53),$N53,$M53))</f>
        <v/>
      </c>
      <c r="P53" s="28">
        <f>IF($A53="","",SUMIF('入金消込'!$F$5:$F$1004,$A53,'入金消込'!$G$5:$G$1004))</f>
        <v/>
      </c>
      <c r="Q53" s="28">
        <f>IF($A53="","",SUMIF('入金消込'!$F$5:$F$1004,$A53,'入金消込'!$H$5:$H$1004)+SUMIF('入金消込'!$F$5:$F$1004,$A53,'入金消込'!$I$5:$I$1004))</f>
        <v/>
      </c>
      <c r="R53" s="28">
        <f>IF($A53="","",$L53-$P53-$Q53)</f>
        <v/>
      </c>
      <c r="S53" s="30">
        <f>IF($A53="","",IF($R53=0,IF($L53=0,"請求額0","回収済"),IF($L53&lt;0,IF($R53&lt;0,"差し引き待ち","差し引きすぎ"),IF($R53&lt;0,"入金が多い",IF($P53+$Q53=0,"未入金","一部入金")))))</f>
        <v/>
      </c>
      <c r="T53" s="31">
        <f>IF(OR($A53="",N($R53)&lt;=0,NOT(ISNUMBER($O53))),"",IF($O53&lt;'設定'!$B$7,'設定'!$B$7-$O53,""))</f>
        <v/>
      </c>
      <c r="U53" s="30">
        <f>IF(OR($A53="",N($R53)&lt;=0),"",IF(NOT(ISNUMBER($O53)),'設定'!$B$22,IF($O53&gt;='設定'!$B$7,'設定'!$B$17,IF('設定'!$B$7-$O53&lt;='設定'!$B$12,'設定'!$B$18,IF('設定'!$B$7-$O53&lt;='設定'!$B$13,'設定'!$B$19,IF('設定'!$B$7-$O53&lt;='設定'!$B$14,'設定'!$B$20,'設定'!$B$21))))))</f>
        <v/>
      </c>
      <c r="V53" s="56" t="n"/>
      <c r="W53" s="32">
        <f>IF($C53="","",IFERROR(MATCH($C53,'得意先'!$B$5:$B$104,0),"なし"))</f>
        <v/>
      </c>
      <c r="X53" s="33">
        <f>IF($A53="","",IF(ISNUMBER($E53),$E53,IF(ISNUMBER($B53),$B53,"")))</f>
        <v/>
      </c>
      <c r="Y53" s="34">
        <f>IF($T53="","",$O53+ROW()/1000000)</f>
        <v/>
      </c>
      <c r="Z53" s="35">
        <f>IF(OR($A53="",$C53="",$C53&lt;&gt;'売掛帳'!$B$3,NOT(ISNUMBER($X53))),"",IF(AND($X53&gt;='売掛帳'!$Q$3,$X53&lt;='売掛帳'!$Q$4),$X53+ROW()/10000000,""))</f>
        <v/>
      </c>
    </row>
    <row r="54" ht="18" customHeight="1">
      <c r="A54" s="18" t="n"/>
      <c r="B54" s="26" t="n"/>
      <c r="C54" s="18" t="n"/>
      <c r="D54" s="20">
        <f>IF($W54="","",IF($W54="なし","※得意先にないコード",INDEX('得意先'!$C$5:$C$104,$W54)&amp;""))</f>
        <v/>
      </c>
      <c r="E54" s="26" t="n"/>
      <c r="F54" s="19" t="n"/>
      <c r="G54" s="27" t="n"/>
      <c r="H54" s="27" t="n"/>
      <c r="I54" s="27" t="n"/>
      <c r="J54" s="28">
        <f>IF($A54="","",IF('設定'!$B$10="四捨五入",ROUND(IF('設定'!$B$9="税込",N($G54)*10/110,N($G54)*10/100),0),IF('設定'!$B$10="切り上げ",ROUNDUP(IF('設定'!$B$9="税込",N($G54)*10/110,N($G54)*10/100),0),ROUNDDOWN(IF('設定'!$B$9="税込",N($G54)*10/110,N($G54)*10/100),0))))</f>
        <v/>
      </c>
      <c r="K54" s="28">
        <f>IF($A54="","",IF('設定'!$B$10="四捨五入",ROUND(IF('設定'!$B$9="税込",N($H54)*8/108,N($H54)*8/100),0),IF('設定'!$B$10="切り上げ",ROUNDUP(IF('設定'!$B$9="税込",N($H54)*8/108,N($H54)*8/100),0),ROUNDDOWN(IF('設定'!$B$9="税込",N($H54)*8/108,N($H54)*8/100),0))))</f>
        <v/>
      </c>
      <c r="L54" s="28">
        <f>IF($A54="","",N($G54)+N($H54)+N($I54)+IF('設定'!$B$9="税込",0,$J54+$K54))</f>
        <v/>
      </c>
      <c r="M54" s="29">
        <f>IF(OR($A54="",NOT(ISNUMBER($W54)),NOT(ISNUMBER($X54))),"",IF(OR(INDEX('得意先'!$D$5:$D$104,$W54)="",INDEX('得意先'!$E$5:$E$104,$W54)="",INDEX('得意先'!$F$5:$F$104,$W54)=""),"",IF(INDEX('得意先'!$F$5:$F$104,$W54)="末",DATE(YEAR($X54),(MONTH($X54)+IF(INDEX('得意先'!$D$5:$D$104,$W54)="末",0,IF(DAY($X54)&lt;=INDEX('得意先'!$D$5:$D$104,$W54),0,1))+N(INDEX('得意先'!$E$5:$E$104,$W54)))+1,0),DATE(YEAR($X54),(MONTH($X54)+IF(INDEX('得意先'!$D$5:$D$104,$W54)="末",0,IF(DAY($X54)&lt;=INDEX('得意先'!$D$5:$D$104,$W54),0,1))+N(INDEX('得意先'!$E$5:$E$104,$W54))),MIN(INDEX('得意先'!$F$5:$F$104,$W54),DAY(DATE(YEAR($X54),(MONTH($X54)+IF(INDEX('得意先'!$D$5:$D$104,$W54)="末",0,IF(DAY($X54)&lt;=INDEX('得意先'!$D$5:$D$104,$W54),0,1))+N(INDEX('得意先'!$E$5:$E$104,$W54)))+1,0)))))))</f>
        <v/>
      </c>
      <c r="N54" s="26" t="n"/>
      <c r="O54" s="29">
        <f>IF($A54="","",IF(ISNUMBER($N54),$N54,$M54))</f>
        <v/>
      </c>
      <c r="P54" s="28">
        <f>IF($A54="","",SUMIF('入金消込'!$F$5:$F$1004,$A54,'入金消込'!$G$5:$G$1004))</f>
        <v/>
      </c>
      <c r="Q54" s="28">
        <f>IF($A54="","",SUMIF('入金消込'!$F$5:$F$1004,$A54,'入金消込'!$H$5:$H$1004)+SUMIF('入金消込'!$F$5:$F$1004,$A54,'入金消込'!$I$5:$I$1004))</f>
        <v/>
      </c>
      <c r="R54" s="28">
        <f>IF($A54="","",$L54-$P54-$Q54)</f>
        <v/>
      </c>
      <c r="S54" s="30">
        <f>IF($A54="","",IF($R54=0,IF($L54=0,"請求額0","回収済"),IF($L54&lt;0,IF($R54&lt;0,"差し引き待ち","差し引きすぎ"),IF($R54&lt;0,"入金が多い",IF($P54+$Q54=0,"未入金","一部入金")))))</f>
        <v/>
      </c>
      <c r="T54" s="31">
        <f>IF(OR($A54="",N($R54)&lt;=0,NOT(ISNUMBER($O54))),"",IF($O54&lt;'設定'!$B$7,'設定'!$B$7-$O54,""))</f>
        <v/>
      </c>
      <c r="U54" s="30">
        <f>IF(OR($A54="",N($R54)&lt;=0),"",IF(NOT(ISNUMBER($O54)),'設定'!$B$22,IF($O54&gt;='設定'!$B$7,'設定'!$B$17,IF('設定'!$B$7-$O54&lt;='設定'!$B$12,'設定'!$B$18,IF('設定'!$B$7-$O54&lt;='設定'!$B$13,'設定'!$B$19,IF('設定'!$B$7-$O54&lt;='設定'!$B$14,'設定'!$B$20,'設定'!$B$21))))))</f>
        <v/>
      </c>
      <c r="V54" s="56" t="n"/>
      <c r="W54" s="32">
        <f>IF($C54="","",IFERROR(MATCH($C54,'得意先'!$B$5:$B$104,0),"なし"))</f>
        <v/>
      </c>
      <c r="X54" s="33">
        <f>IF($A54="","",IF(ISNUMBER($E54),$E54,IF(ISNUMBER($B54),$B54,"")))</f>
        <v/>
      </c>
      <c r="Y54" s="34">
        <f>IF($T54="","",$O54+ROW()/1000000)</f>
        <v/>
      </c>
      <c r="Z54" s="35">
        <f>IF(OR($A54="",$C54="",$C54&lt;&gt;'売掛帳'!$B$3,NOT(ISNUMBER($X54))),"",IF(AND($X54&gt;='売掛帳'!$Q$3,$X54&lt;='売掛帳'!$Q$4),$X54+ROW()/10000000,""))</f>
        <v/>
      </c>
    </row>
    <row r="55" ht="18" customHeight="1">
      <c r="A55" s="18" t="n"/>
      <c r="B55" s="26" t="n"/>
      <c r="C55" s="18" t="n"/>
      <c r="D55" s="20">
        <f>IF($W55="","",IF($W55="なし","※得意先にないコード",INDEX('得意先'!$C$5:$C$104,$W55)&amp;""))</f>
        <v/>
      </c>
      <c r="E55" s="26" t="n"/>
      <c r="F55" s="19" t="n"/>
      <c r="G55" s="27" t="n"/>
      <c r="H55" s="27" t="n"/>
      <c r="I55" s="27" t="n"/>
      <c r="J55" s="28">
        <f>IF($A55="","",IF('設定'!$B$10="四捨五入",ROUND(IF('設定'!$B$9="税込",N($G55)*10/110,N($G55)*10/100),0),IF('設定'!$B$10="切り上げ",ROUNDUP(IF('設定'!$B$9="税込",N($G55)*10/110,N($G55)*10/100),0),ROUNDDOWN(IF('設定'!$B$9="税込",N($G55)*10/110,N($G55)*10/100),0))))</f>
        <v/>
      </c>
      <c r="K55" s="28">
        <f>IF($A55="","",IF('設定'!$B$10="四捨五入",ROUND(IF('設定'!$B$9="税込",N($H55)*8/108,N($H55)*8/100),0),IF('設定'!$B$10="切り上げ",ROUNDUP(IF('設定'!$B$9="税込",N($H55)*8/108,N($H55)*8/100),0),ROUNDDOWN(IF('設定'!$B$9="税込",N($H55)*8/108,N($H55)*8/100),0))))</f>
        <v/>
      </c>
      <c r="L55" s="28">
        <f>IF($A55="","",N($G55)+N($H55)+N($I55)+IF('設定'!$B$9="税込",0,$J55+$K55))</f>
        <v/>
      </c>
      <c r="M55" s="29">
        <f>IF(OR($A55="",NOT(ISNUMBER($W55)),NOT(ISNUMBER($X55))),"",IF(OR(INDEX('得意先'!$D$5:$D$104,$W55)="",INDEX('得意先'!$E$5:$E$104,$W55)="",INDEX('得意先'!$F$5:$F$104,$W55)=""),"",IF(INDEX('得意先'!$F$5:$F$104,$W55)="末",DATE(YEAR($X55),(MONTH($X55)+IF(INDEX('得意先'!$D$5:$D$104,$W55)="末",0,IF(DAY($X55)&lt;=INDEX('得意先'!$D$5:$D$104,$W55),0,1))+N(INDEX('得意先'!$E$5:$E$104,$W55)))+1,0),DATE(YEAR($X55),(MONTH($X55)+IF(INDEX('得意先'!$D$5:$D$104,$W55)="末",0,IF(DAY($X55)&lt;=INDEX('得意先'!$D$5:$D$104,$W55),0,1))+N(INDEX('得意先'!$E$5:$E$104,$W55))),MIN(INDEX('得意先'!$F$5:$F$104,$W55),DAY(DATE(YEAR($X55),(MONTH($X55)+IF(INDEX('得意先'!$D$5:$D$104,$W55)="末",0,IF(DAY($X55)&lt;=INDEX('得意先'!$D$5:$D$104,$W55),0,1))+N(INDEX('得意先'!$E$5:$E$104,$W55)))+1,0)))))))</f>
        <v/>
      </c>
      <c r="N55" s="26" t="n"/>
      <c r="O55" s="29">
        <f>IF($A55="","",IF(ISNUMBER($N55),$N55,$M55))</f>
        <v/>
      </c>
      <c r="P55" s="28">
        <f>IF($A55="","",SUMIF('入金消込'!$F$5:$F$1004,$A55,'入金消込'!$G$5:$G$1004))</f>
        <v/>
      </c>
      <c r="Q55" s="28">
        <f>IF($A55="","",SUMIF('入金消込'!$F$5:$F$1004,$A55,'入金消込'!$H$5:$H$1004)+SUMIF('入金消込'!$F$5:$F$1004,$A55,'入金消込'!$I$5:$I$1004))</f>
        <v/>
      </c>
      <c r="R55" s="28">
        <f>IF($A55="","",$L55-$P55-$Q55)</f>
        <v/>
      </c>
      <c r="S55" s="30">
        <f>IF($A55="","",IF($R55=0,IF($L55=0,"請求額0","回収済"),IF($L55&lt;0,IF($R55&lt;0,"差し引き待ち","差し引きすぎ"),IF($R55&lt;0,"入金が多い",IF($P55+$Q55=0,"未入金","一部入金")))))</f>
        <v/>
      </c>
      <c r="T55" s="31">
        <f>IF(OR($A55="",N($R55)&lt;=0,NOT(ISNUMBER($O55))),"",IF($O55&lt;'設定'!$B$7,'設定'!$B$7-$O55,""))</f>
        <v/>
      </c>
      <c r="U55" s="30">
        <f>IF(OR($A55="",N($R55)&lt;=0),"",IF(NOT(ISNUMBER($O55)),'設定'!$B$22,IF($O55&gt;='設定'!$B$7,'設定'!$B$17,IF('設定'!$B$7-$O55&lt;='設定'!$B$12,'設定'!$B$18,IF('設定'!$B$7-$O55&lt;='設定'!$B$13,'設定'!$B$19,IF('設定'!$B$7-$O55&lt;='設定'!$B$14,'設定'!$B$20,'設定'!$B$21))))))</f>
        <v/>
      </c>
      <c r="V55" s="56" t="n"/>
      <c r="W55" s="32">
        <f>IF($C55="","",IFERROR(MATCH($C55,'得意先'!$B$5:$B$104,0),"なし"))</f>
        <v/>
      </c>
      <c r="X55" s="33">
        <f>IF($A55="","",IF(ISNUMBER($E55),$E55,IF(ISNUMBER($B55),$B55,"")))</f>
        <v/>
      </c>
      <c r="Y55" s="34">
        <f>IF($T55="","",$O55+ROW()/1000000)</f>
        <v/>
      </c>
      <c r="Z55" s="35">
        <f>IF(OR($A55="",$C55="",$C55&lt;&gt;'売掛帳'!$B$3,NOT(ISNUMBER($X55))),"",IF(AND($X55&gt;='売掛帳'!$Q$3,$X55&lt;='売掛帳'!$Q$4),$X55+ROW()/10000000,""))</f>
        <v/>
      </c>
    </row>
    <row r="56" ht="18" customHeight="1">
      <c r="A56" s="18" t="n"/>
      <c r="B56" s="26" t="n"/>
      <c r="C56" s="18" t="n"/>
      <c r="D56" s="20">
        <f>IF($W56="","",IF($W56="なし","※得意先にないコード",INDEX('得意先'!$C$5:$C$104,$W56)&amp;""))</f>
        <v/>
      </c>
      <c r="E56" s="26" t="n"/>
      <c r="F56" s="19" t="n"/>
      <c r="G56" s="27" t="n"/>
      <c r="H56" s="27" t="n"/>
      <c r="I56" s="27" t="n"/>
      <c r="J56" s="28">
        <f>IF($A56="","",IF('設定'!$B$10="四捨五入",ROUND(IF('設定'!$B$9="税込",N($G56)*10/110,N($G56)*10/100),0),IF('設定'!$B$10="切り上げ",ROUNDUP(IF('設定'!$B$9="税込",N($G56)*10/110,N($G56)*10/100),0),ROUNDDOWN(IF('設定'!$B$9="税込",N($G56)*10/110,N($G56)*10/100),0))))</f>
        <v/>
      </c>
      <c r="K56" s="28">
        <f>IF($A56="","",IF('設定'!$B$10="四捨五入",ROUND(IF('設定'!$B$9="税込",N($H56)*8/108,N($H56)*8/100),0),IF('設定'!$B$10="切り上げ",ROUNDUP(IF('設定'!$B$9="税込",N($H56)*8/108,N($H56)*8/100),0),ROUNDDOWN(IF('設定'!$B$9="税込",N($H56)*8/108,N($H56)*8/100),0))))</f>
        <v/>
      </c>
      <c r="L56" s="28">
        <f>IF($A56="","",N($G56)+N($H56)+N($I56)+IF('設定'!$B$9="税込",0,$J56+$K56))</f>
        <v/>
      </c>
      <c r="M56" s="29">
        <f>IF(OR($A56="",NOT(ISNUMBER($W56)),NOT(ISNUMBER($X56))),"",IF(OR(INDEX('得意先'!$D$5:$D$104,$W56)="",INDEX('得意先'!$E$5:$E$104,$W56)="",INDEX('得意先'!$F$5:$F$104,$W56)=""),"",IF(INDEX('得意先'!$F$5:$F$104,$W56)="末",DATE(YEAR($X56),(MONTH($X56)+IF(INDEX('得意先'!$D$5:$D$104,$W56)="末",0,IF(DAY($X56)&lt;=INDEX('得意先'!$D$5:$D$104,$W56),0,1))+N(INDEX('得意先'!$E$5:$E$104,$W56)))+1,0),DATE(YEAR($X56),(MONTH($X56)+IF(INDEX('得意先'!$D$5:$D$104,$W56)="末",0,IF(DAY($X56)&lt;=INDEX('得意先'!$D$5:$D$104,$W56),0,1))+N(INDEX('得意先'!$E$5:$E$104,$W56))),MIN(INDEX('得意先'!$F$5:$F$104,$W56),DAY(DATE(YEAR($X56),(MONTH($X56)+IF(INDEX('得意先'!$D$5:$D$104,$W56)="末",0,IF(DAY($X56)&lt;=INDEX('得意先'!$D$5:$D$104,$W56),0,1))+N(INDEX('得意先'!$E$5:$E$104,$W56)))+1,0)))))))</f>
        <v/>
      </c>
      <c r="N56" s="26" t="n"/>
      <c r="O56" s="29">
        <f>IF($A56="","",IF(ISNUMBER($N56),$N56,$M56))</f>
        <v/>
      </c>
      <c r="P56" s="28">
        <f>IF($A56="","",SUMIF('入金消込'!$F$5:$F$1004,$A56,'入金消込'!$G$5:$G$1004))</f>
        <v/>
      </c>
      <c r="Q56" s="28">
        <f>IF($A56="","",SUMIF('入金消込'!$F$5:$F$1004,$A56,'入金消込'!$H$5:$H$1004)+SUMIF('入金消込'!$F$5:$F$1004,$A56,'入金消込'!$I$5:$I$1004))</f>
        <v/>
      </c>
      <c r="R56" s="28">
        <f>IF($A56="","",$L56-$P56-$Q56)</f>
        <v/>
      </c>
      <c r="S56" s="30">
        <f>IF($A56="","",IF($R56=0,IF($L56=0,"請求額0","回収済"),IF($L56&lt;0,IF($R56&lt;0,"差し引き待ち","差し引きすぎ"),IF($R56&lt;0,"入金が多い",IF($P56+$Q56=0,"未入金","一部入金")))))</f>
        <v/>
      </c>
      <c r="T56" s="31">
        <f>IF(OR($A56="",N($R56)&lt;=0,NOT(ISNUMBER($O56))),"",IF($O56&lt;'設定'!$B$7,'設定'!$B$7-$O56,""))</f>
        <v/>
      </c>
      <c r="U56" s="30">
        <f>IF(OR($A56="",N($R56)&lt;=0),"",IF(NOT(ISNUMBER($O56)),'設定'!$B$22,IF($O56&gt;='設定'!$B$7,'設定'!$B$17,IF('設定'!$B$7-$O56&lt;='設定'!$B$12,'設定'!$B$18,IF('設定'!$B$7-$O56&lt;='設定'!$B$13,'設定'!$B$19,IF('設定'!$B$7-$O56&lt;='設定'!$B$14,'設定'!$B$20,'設定'!$B$21))))))</f>
        <v/>
      </c>
      <c r="V56" s="56" t="n"/>
      <c r="W56" s="32">
        <f>IF($C56="","",IFERROR(MATCH($C56,'得意先'!$B$5:$B$104,0),"なし"))</f>
        <v/>
      </c>
      <c r="X56" s="33">
        <f>IF($A56="","",IF(ISNUMBER($E56),$E56,IF(ISNUMBER($B56),$B56,"")))</f>
        <v/>
      </c>
      <c r="Y56" s="34">
        <f>IF($T56="","",$O56+ROW()/1000000)</f>
        <v/>
      </c>
      <c r="Z56" s="35">
        <f>IF(OR($A56="",$C56="",$C56&lt;&gt;'売掛帳'!$B$3,NOT(ISNUMBER($X56))),"",IF(AND($X56&gt;='売掛帳'!$Q$3,$X56&lt;='売掛帳'!$Q$4),$X56+ROW()/10000000,""))</f>
        <v/>
      </c>
    </row>
    <row r="57" ht="18" customHeight="1">
      <c r="A57" s="18" t="n"/>
      <c r="B57" s="26" t="n"/>
      <c r="C57" s="18" t="n"/>
      <c r="D57" s="20">
        <f>IF($W57="","",IF($W57="なし","※得意先にないコード",INDEX('得意先'!$C$5:$C$104,$W57)&amp;""))</f>
        <v/>
      </c>
      <c r="E57" s="26" t="n"/>
      <c r="F57" s="19" t="n"/>
      <c r="G57" s="27" t="n"/>
      <c r="H57" s="27" t="n"/>
      <c r="I57" s="27" t="n"/>
      <c r="J57" s="28">
        <f>IF($A57="","",IF('設定'!$B$10="四捨五入",ROUND(IF('設定'!$B$9="税込",N($G57)*10/110,N($G57)*10/100),0),IF('設定'!$B$10="切り上げ",ROUNDUP(IF('設定'!$B$9="税込",N($G57)*10/110,N($G57)*10/100),0),ROUNDDOWN(IF('設定'!$B$9="税込",N($G57)*10/110,N($G57)*10/100),0))))</f>
        <v/>
      </c>
      <c r="K57" s="28">
        <f>IF($A57="","",IF('設定'!$B$10="四捨五入",ROUND(IF('設定'!$B$9="税込",N($H57)*8/108,N($H57)*8/100),0),IF('設定'!$B$10="切り上げ",ROUNDUP(IF('設定'!$B$9="税込",N($H57)*8/108,N($H57)*8/100),0),ROUNDDOWN(IF('設定'!$B$9="税込",N($H57)*8/108,N($H57)*8/100),0))))</f>
        <v/>
      </c>
      <c r="L57" s="28">
        <f>IF($A57="","",N($G57)+N($H57)+N($I57)+IF('設定'!$B$9="税込",0,$J57+$K57))</f>
        <v/>
      </c>
      <c r="M57" s="29">
        <f>IF(OR($A57="",NOT(ISNUMBER($W57)),NOT(ISNUMBER($X57))),"",IF(OR(INDEX('得意先'!$D$5:$D$104,$W57)="",INDEX('得意先'!$E$5:$E$104,$W57)="",INDEX('得意先'!$F$5:$F$104,$W57)=""),"",IF(INDEX('得意先'!$F$5:$F$104,$W57)="末",DATE(YEAR($X57),(MONTH($X57)+IF(INDEX('得意先'!$D$5:$D$104,$W57)="末",0,IF(DAY($X57)&lt;=INDEX('得意先'!$D$5:$D$104,$W57),0,1))+N(INDEX('得意先'!$E$5:$E$104,$W57)))+1,0),DATE(YEAR($X57),(MONTH($X57)+IF(INDEX('得意先'!$D$5:$D$104,$W57)="末",0,IF(DAY($X57)&lt;=INDEX('得意先'!$D$5:$D$104,$W57),0,1))+N(INDEX('得意先'!$E$5:$E$104,$W57))),MIN(INDEX('得意先'!$F$5:$F$104,$W57),DAY(DATE(YEAR($X57),(MONTH($X57)+IF(INDEX('得意先'!$D$5:$D$104,$W57)="末",0,IF(DAY($X57)&lt;=INDEX('得意先'!$D$5:$D$104,$W57),0,1))+N(INDEX('得意先'!$E$5:$E$104,$W57)))+1,0)))))))</f>
        <v/>
      </c>
      <c r="N57" s="26" t="n"/>
      <c r="O57" s="29">
        <f>IF($A57="","",IF(ISNUMBER($N57),$N57,$M57))</f>
        <v/>
      </c>
      <c r="P57" s="28">
        <f>IF($A57="","",SUMIF('入金消込'!$F$5:$F$1004,$A57,'入金消込'!$G$5:$G$1004))</f>
        <v/>
      </c>
      <c r="Q57" s="28">
        <f>IF($A57="","",SUMIF('入金消込'!$F$5:$F$1004,$A57,'入金消込'!$H$5:$H$1004)+SUMIF('入金消込'!$F$5:$F$1004,$A57,'入金消込'!$I$5:$I$1004))</f>
        <v/>
      </c>
      <c r="R57" s="28">
        <f>IF($A57="","",$L57-$P57-$Q57)</f>
        <v/>
      </c>
      <c r="S57" s="30">
        <f>IF($A57="","",IF($R57=0,IF($L57=0,"請求額0","回収済"),IF($L57&lt;0,IF($R57&lt;0,"差し引き待ち","差し引きすぎ"),IF($R57&lt;0,"入金が多い",IF($P57+$Q57=0,"未入金","一部入金")))))</f>
        <v/>
      </c>
      <c r="T57" s="31">
        <f>IF(OR($A57="",N($R57)&lt;=0,NOT(ISNUMBER($O57))),"",IF($O57&lt;'設定'!$B$7,'設定'!$B$7-$O57,""))</f>
        <v/>
      </c>
      <c r="U57" s="30">
        <f>IF(OR($A57="",N($R57)&lt;=0),"",IF(NOT(ISNUMBER($O57)),'設定'!$B$22,IF($O57&gt;='設定'!$B$7,'設定'!$B$17,IF('設定'!$B$7-$O57&lt;='設定'!$B$12,'設定'!$B$18,IF('設定'!$B$7-$O57&lt;='設定'!$B$13,'設定'!$B$19,IF('設定'!$B$7-$O57&lt;='設定'!$B$14,'設定'!$B$20,'設定'!$B$21))))))</f>
        <v/>
      </c>
      <c r="V57" s="56" t="n"/>
      <c r="W57" s="32">
        <f>IF($C57="","",IFERROR(MATCH($C57,'得意先'!$B$5:$B$104,0),"なし"))</f>
        <v/>
      </c>
      <c r="X57" s="33">
        <f>IF($A57="","",IF(ISNUMBER($E57),$E57,IF(ISNUMBER($B57),$B57,"")))</f>
        <v/>
      </c>
      <c r="Y57" s="34">
        <f>IF($T57="","",$O57+ROW()/1000000)</f>
        <v/>
      </c>
      <c r="Z57" s="35">
        <f>IF(OR($A57="",$C57="",$C57&lt;&gt;'売掛帳'!$B$3,NOT(ISNUMBER($X57))),"",IF(AND($X57&gt;='売掛帳'!$Q$3,$X57&lt;='売掛帳'!$Q$4),$X57+ROW()/10000000,""))</f>
        <v/>
      </c>
    </row>
    <row r="58" ht="18" customHeight="1">
      <c r="A58" s="18" t="n"/>
      <c r="B58" s="26" t="n"/>
      <c r="C58" s="18" t="n"/>
      <c r="D58" s="20">
        <f>IF($W58="","",IF($W58="なし","※得意先にないコード",INDEX('得意先'!$C$5:$C$104,$W58)&amp;""))</f>
        <v/>
      </c>
      <c r="E58" s="26" t="n"/>
      <c r="F58" s="19" t="n"/>
      <c r="G58" s="27" t="n"/>
      <c r="H58" s="27" t="n"/>
      <c r="I58" s="27" t="n"/>
      <c r="J58" s="28">
        <f>IF($A58="","",IF('設定'!$B$10="四捨五入",ROUND(IF('設定'!$B$9="税込",N($G58)*10/110,N($G58)*10/100),0),IF('設定'!$B$10="切り上げ",ROUNDUP(IF('設定'!$B$9="税込",N($G58)*10/110,N($G58)*10/100),0),ROUNDDOWN(IF('設定'!$B$9="税込",N($G58)*10/110,N($G58)*10/100),0))))</f>
        <v/>
      </c>
      <c r="K58" s="28">
        <f>IF($A58="","",IF('設定'!$B$10="四捨五入",ROUND(IF('設定'!$B$9="税込",N($H58)*8/108,N($H58)*8/100),0),IF('設定'!$B$10="切り上げ",ROUNDUP(IF('設定'!$B$9="税込",N($H58)*8/108,N($H58)*8/100),0),ROUNDDOWN(IF('設定'!$B$9="税込",N($H58)*8/108,N($H58)*8/100),0))))</f>
        <v/>
      </c>
      <c r="L58" s="28">
        <f>IF($A58="","",N($G58)+N($H58)+N($I58)+IF('設定'!$B$9="税込",0,$J58+$K58))</f>
        <v/>
      </c>
      <c r="M58" s="29">
        <f>IF(OR($A58="",NOT(ISNUMBER($W58)),NOT(ISNUMBER($X58))),"",IF(OR(INDEX('得意先'!$D$5:$D$104,$W58)="",INDEX('得意先'!$E$5:$E$104,$W58)="",INDEX('得意先'!$F$5:$F$104,$W58)=""),"",IF(INDEX('得意先'!$F$5:$F$104,$W58)="末",DATE(YEAR($X58),(MONTH($X58)+IF(INDEX('得意先'!$D$5:$D$104,$W58)="末",0,IF(DAY($X58)&lt;=INDEX('得意先'!$D$5:$D$104,$W58),0,1))+N(INDEX('得意先'!$E$5:$E$104,$W58)))+1,0),DATE(YEAR($X58),(MONTH($X58)+IF(INDEX('得意先'!$D$5:$D$104,$W58)="末",0,IF(DAY($X58)&lt;=INDEX('得意先'!$D$5:$D$104,$W58),0,1))+N(INDEX('得意先'!$E$5:$E$104,$W58))),MIN(INDEX('得意先'!$F$5:$F$104,$W58),DAY(DATE(YEAR($X58),(MONTH($X58)+IF(INDEX('得意先'!$D$5:$D$104,$W58)="末",0,IF(DAY($X58)&lt;=INDEX('得意先'!$D$5:$D$104,$W58),0,1))+N(INDEX('得意先'!$E$5:$E$104,$W58)))+1,0)))))))</f>
        <v/>
      </c>
      <c r="N58" s="26" t="n"/>
      <c r="O58" s="29">
        <f>IF($A58="","",IF(ISNUMBER($N58),$N58,$M58))</f>
        <v/>
      </c>
      <c r="P58" s="28">
        <f>IF($A58="","",SUMIF('入金消込'!$F$5:$F$1004,$A58,'入金消込'!$G$5:$G$1004))</f>
        <v/>
      </c>
      <c r="Q58" s="28">
        <f>IF($A58="","",SUMIF('入金消込'!$F$5:$F$1004,$A58,'入金消込'!$H$5:$H$1004)+SUMIF('入金消込'!$F$5:$F$1004,$A58,'入金消込'!$I$5:$I$1004))</f>
        <v/>
      </c>
      <c r="R58" s="28">
        <f>IF($A58="","",$L58-$P58-$Q58)</f>
        <v/>
      </c>
      <c r="S58" s="30">
        <f>IF($A58="","",IF($R58=0,IF($L58=0,"請求額0","回収済"),IF($L58&lt;0,IF($R58&lt;0,"差し引き待ち","差し引きすぎ"),IF($R58&lt;0,"入金が多い",IF($P58+$Q58=0,"未入金","一部入金")))))</f>
        <v/>
      </c>
      <c r="T58" s="31">
        <f>IF(OR($A58="",N($R58)&lt;=0,NOT(ISNUMBER($O58))),"",IF($O58&lt;'設定'!$B$7,'設定'!$B$7-$O58,""))</f>
        <v/>
      </c>
      <c r="U58" s="30">
        <f>IF(OR($A58="",N($R58)&lt;=0),"",IF(NOT(ISNUMBER($O58)),'設定'!$B$22,IF($O58&gt;='設定'!$B$7,'設定'!$B$17,IF('設定'!$B$7-$O58&lt;='設定'!$B$12,'設定'!$B$18,IF('設定'!$B$7-$O58&lt;='設定'!$B$13,'設定'!$B$19,IF('設定'!$B$7-$O58&lt;='設定'!$B$14,'設定'!$B$20,'設定'!$B$21))))))</f>
        <v/>
      </c>
      <c r="V58" s="56" t="n"/>
      <c r="W58" s="32">
        <f>IF($C58="","",IFERROR(MATCH($C58,'得意先'!$B$5:$B$104,0),"なし"))</f>
        <v/>
      </c>
      <c r="X58" s="33">
        <f>IF($A58="","",IF(ISNUMBER($E58),$E58,IF(ISNUMBER($B58),$B58,"")))</f>
        <v/>
      </c>
      <c r="Y58" s="34">
        <f>IF($T58="","",$O58+ROW()/1000000)</f>
        <v/>
      </c>
      <c r="Z58" s="35">
        <f>IF(OR($A58="",$C58="",$C58&lt;&gt;'売掛帳'!$B$3,NOT(ISNUMBER($X58))),"",IF(AND($X58&gt;='売掛帳'!$Q$3,$X58&lt;='売掛帳'!$Q$4),$X58+ROW()/10000000,""))</f>
        <v/>
      </c>
    </row>
    <row r="59" ht="18" customHeight="1">
      <c r="A59" s="18" t="n"/>
      <c r="B59" s="26" t="n"/>
      <c r="C59" s="18" t="n"/>
      <c r="D59" s="20">
        <f>IF($W59="","",IF($W59="なし","※得意先にないコード",INDEX('得意先'!$C$5:$C$104,$W59)&amp;""))</f>
        <v/>
      </c>
      <c r="E59" s="26" t="n"/>
      <c r="F59" s="19" t="n"/>
      <c r="G59" s="27" t="n"/>
      <c r="H59" s="27" t="n"/>
      <c r="I59" s="27" t="n"/>
      <c r="J59" s="28">
        <f>IF($A59="","",IF('設定'!$B$10="四捨五入",ROUND(IF('設定'!$B$9="税込",N($G59)*10/110,N($G59)*10/100),0),IF('設定'!$B$10="切り上げ",ROUNDUP(IF('設定'!$B$9="税込",N($G59)*10/110,N($G59)*10/100),0),ROUNDDOWN(IF('設定'!$B$9="税込",N($G59)*10/110,N($G59)*10/100),0))))</f>
        <v/>
      </c>
      <c r="K59" s="28">
        <f>IF($A59="","",IF('設定'!$B$10="四捨五入",ROUND(IF('設定'!$B$9="税込",N($H59)*8/108,N($H59)*8/100),0),IF('設定'!$B$10="切り上げ",ROUNDUP(IF('設定'!$B$9="税込",N($H59)*8/108,N($H59)*8/100),0),ROUNDDOWN(IF('設定'!$B$9="税込",N($H59)*8/108,N($H59)*8/100),0))))</f>
        <v/>
      </c>
      <c r="L59" s="28">
        <f>IF($A59="","",N($G59)+N($H59)+N($I59)+IF('設定'!$B$9="税込",0,$J59+$K59))</f>
        <v/>
      </c>
      <c r="M59" s="29">
        <f>IF(OR($A59="",NOT(ISNUMBER($W59)),NOT(ISNUMBER($X59))),"",IF(OR(INDEX('得意先'!$D$5:$D$104,$W59)="",INDEX('得意先'!$E$5:$E$104,$W59)="",INDEX('得意先'!$F$5:$F$104,$W59)=""),"",IF(INDEX('得意先'!$F$5:$F$104,$W59)="末",DATE(YEAR($X59),(MONTH($X59)+IF(INDEX('得意先'!$D$5:$D$104,$W59)="末",0,IF(DAY($X59)&lt;=INDEX('得意先'!$D$5:$D$104,$W59),0,1))+N(INDEX('得意先'!$E$5:$E$104,$W59)))+1,0),DATE(YEAR($X59),(MONTH($X59)+IF(INDEX('得意先'!$D$5:$D$104,$W59)="末",0,IF(DAY($X59)&lt;=INDEX('得意先'!$D$5:$D$104,$W59),0,1))+N(INDEX('得意先'!$E$5:$E$104,$W59))),MIN(INDEX('得意先'!$F$5:$F$104,$W59),DAY(DATE(YEAR($X59),(MONTH($X59)+IF(INDEX('得意先'!$D$5:$D$104,$W59)="末",0,IF(DAY($X59)&lt;=INDEX('得意先'!$D$5:$D$104,$W59),0,1))+N(INDEX('得意先'!$E$5:$E$104,$W59)))+1,0)))))))</f>
        <v/>
      </c>
      <c r="N59" s="26" t="n"/>
      <c r="O59" s="29">
        <f>IF($A59="","",IF(ISNUMBER($N59),$N59,$M59))</f>
        <v/>
      </c>
      <c r="P59" s="28">
        <f>IF($A59="","",SUMIF('入金消込'!$F$5:$F$1004,$A59,'入金消込'!$G$5:$G$1004))</f>
        <v/>
      </c>
      <c r="Q59" s="28">
        <f>IF($A59="","",SUMIF('入金消込'!$F$5:$F$1004,$A59,'入金消込'!$H$5:$H$1004)+SUMIF('入金消込'!$F$5:$F$1004,$A59,'入金消込'!$I$5:$I$1004))</f>
        <v/>
      </c>
      <c r="R59" s="28">
        <f>IF($A59="","",$L59-$P59-$Q59)</f>
        <v/>
      </c>
      <c r="S59" s="30">
        <f>IF($A59="","",IF($R59=0,IF($L59=0,"請求額0","回収済"),IF($L59&lt;0,IF($R59&lt;0,"差し引き待ち","差し引きすぎ"),IF($R59&lt;0,"入金が多い",IF($P59+$Q59=0,"未入金","一部入金")))))</f>
        <v/>
      </c>
      <c r="T59" s="31">
        <f>IF(OR($A59="",N($R59)&lt;=0,NOT(ISNUMBER($O59))),"",IF($O59&lt;'設定'!$B$7,'設定'!$B$7-$O59,""))</f>
        <v/>
      </c>
      <c r="U59" s="30">
        <f>IF(OR($A59="",N($R59)&lt;=0),"",IF(NOT(ISNUMBER($O59)),'設定'!$B$22,IF($O59&gt;='設定'!$B$7,'設定'!$B$17,IF('設定'!$B$7-$O59&lt;='設定'!$B$12,'設定'!$B$18,IF('設定'!$B$7-$O59&lt;='設定'!$B$13,'設定'!$B$19,IF('設定'!$B$7-$O59&lt;='設定'!$B$14,'設定'!$B$20,'設定'!$B$21))))))</f>
        <v/>
      </c>
      <c r="V59" s="56" t="n"/>
      <c r="W59" s="32">
        <f>IF($C59="","",IFERROR(MATCH($C59,'得意先'!$B$5:$B$104,0),"なし"))</f>
        <v/>
      </c>
      <c r="X59" s="33">
        <f>IF($A59="","",IF(ISNUMBER($E59),$E59,IF(ISNUMBER($B59),$B59,"")))</f>
        <v/>
      </c>
      <c r="Y59" s="34">
        <f>IF($T59="","",$O59+ROW()/1000000)</f>
        <v/>
      </c>
      <c r="Z59" s="35">
        <f>IF(OR($A59="",$C59="",$C59&lt;&gt;'売掛帳'!$B$3,NOT(ISNUMBER($X59))),"",IF(AND($X59&gt;='売掛帳'!$Q$3,$X59&lt;='売掛帳'!$Q$4),$X59+ROW()/10000000,""))</f>
        <v/>
      </c>
    </row>
    <row r="60" ht="18" customHeight="1">
      <c r="A60" s="18" t="n"/>
      <c r="B60" s="26" t="n"/>
      <c r="C60" s="18" t="n"/>
      <c r="D60" s="20">
        <f>IF($W60="","",IF($W60="なし","※得意先にないコード",INDEX('得意先'!$C$5:$C$104,$W60)&amp;""))</f>
        <v/>
      </c>
      <c r="E60" s="26" t="n"/>
      <c r="F60" s="19" t="n"/>
      <c r="G60" s="27" t="n"/>
      <c r="H60" s="27" t="n"/>
      <c r="I60" s="27" t="n"/>
      <c r="J60" s="28">
        <f>IF($A60="","",IF('設定'!$B$10="四捨五入",ROUND(IF('設定'!$B$9="税込",N($G60)*10/110,N($G60)*10/100),0),IF('設定'!$B$10="切り上げ",ROUNDUP(IF('設定'!$B$9="税込",N($G60)*10/110,N($G60)*10/100),0),ROUNDDOWN(IF('設定'!$B$9="税込",N($G60)*10/110,N($G60)*10/100),0))))</f>
        <v/>
      </c>
      <c r="K60" s="28">
        <f>IF($A60="","",IF('設定'!$B$10="四捨五入",ROUND(IF('設定'!$B$9="税込",N($H60)*8/108,N($H60)*8/100),0),IF('設定'!$B$10="切り上げ",ROUNDUP(IF('設定'!$B$9="税込",N($H60)*8/108,N($H60)*8/100),0),ROUNDDOWN(IF('設定'!$B$9="税込",N($H60)*8/108,N($H60)*8/100),0))))</f>
        <v/>
      </c>
      <c r="L60" s="28">
        <f>IF($A60="","",N($G60)+N($H60)+N($I60)+IF('設定'!$B$9="税込",0,$J60+$K60))</f>
        <v/>
      </c>
      <c r="M60" s="29">
        <f>IF(OR($A60="",NOT(ISNUMBER($W60)),NOT(ISNUMBER($X60))),"",IF(OR(INDEX('得意先'!$D$5:$D$104,$W60)="",INDEX('得意先'!$E$5:$E$104,$W60)="",INDEX('得意先'!$F$5:$F$104,$W60)=""),"",IF(INDEX('得意先'!$F$5:$F$104,$W60)="末",DATE(YEAR($X60),(MONTH($X60)+IF(INDEX('得意先'!$D$5:$D$104,$W60)="末",0,IF(DAY($X60)&lt;=INDEX('得意先'!$D$5:$D$104,$W60),0,1))+N(INDEX('得意先'!$E$5:$E$104,$W60)))+1,0),DATE(YEAR($X60),(MONTH($X60)+IF(INDEX('得意先'!$D$5:$D$104,$W60)="末",0,IF(DAY($X60)&lt;=INDEX('得意先'!$D$5:$D$104,$W60),0,1))+N(INDEX('得意先'!$E$5:$E$104,$W60))),MIN(INDEX('得意先'!$F$5:$F$104,$W60),DAY(DATE(YEAR($X60),(MONTH($X60)+IF(INDEX('得意先'!$D$5:$D$104,$W60)="末",0,IF(DAY($X60)&lt;=INDEX('得意先'!$D$5:$D$104,$W60),0,1))+N(INDEX('得意先'!$E$5:$E$104,$W60)))+1,0)))))))</f>
        <v/>
      </c>
      <c r="N60" s="26" t="n"/>
      <c r="O60" s="29">
        <f>IF($A60="","",IF(ISNUMBER($N60),$N60,$M60))</f>
        <v/>
      </c>
      <c r="P60" s="28">
        <f>IF($A60="","",SUMIF('入金消込'!$F$5:$F$1004,$A60,'入金消込'!$G$5:$G$1004))</f>
        <v/>
      </c>
      <c r="Q60" s="28">
        <f>IF($A60="","",SUMIF('入金消込'!$F$5:$F$1004,$A60,'入金消込'!$H$5:$H$1004)+SUMIF('入金消込'!$F$5:$F$1004,$A60,'入金消込'!$I$5:$I$1004))</f>
        <v/>
      </c>
      <c r="R60" s="28">
        <f>IF($A60="","",$L60-$P60-$Q60)</f>
        <v/>
      </c>
      <c r="S60" s="30">
        <f>IF($A60="","",IF($R60=0,IF($L60=0,"請求額0","回収済"),IF($L60&lt;0,IF($R60&lt;0,"差し引き待ち","差し引きすぎ"),IF($R60&lt;0,"入金が多い",IF($P60+$Q60=0,"未入金","一部入金")))))</f>
        <v/>
      </c>
      <c r="T60" s="31">
        <f>IF(OR($A60="",N($R60)&lt;=0,NOT(ISNUMBER($O60))),"",IF($O60&lt;'設定'!$B$7,'設定'!$B$7-$O60,""))</f>
        <v/>
      </c>
      <c r="U60" s="30">
        <f>IF(OR($A60="",N($R60)&lt;=0),"",IF(NOT(ISNUMBER($O60)),'設定'!$B$22,IF($O60&gt;='設定'!$B$7,'設定'!$B$17,IF('設定'!$B$7-$O60&lt;='設定'!$B$12,'設定'!$B$18,IF('設定'!$B$7-$O60&lt;='設定'!$B$13,'設定'!$B$19,IF('設定'!$B$7-$O60&lt;='設定'!$B$14,'設定'!$B$20,'設定'!$B$21))))))</f>
        <v/>
      </c>
      <c r="V60" s="56" t="n"/>
      <c r="W60" s="32">
        <f>IF($C60="","",IFERROR(MATCH($C60,'得意先'!$B$5:$B$104,0),"なし"))</f>
        <v/>
      </c>
      <c r="X60" s="33">
        <f>IF($A60="","",IF(ISNUMBER($E60),$E60,IF(ISNUMBER($B60),$B60,"")))</f>
        <v/>
      </c>
      <c r="Y60" s="34">
        <f>IF($T60="","",$O60+ROW()/1000000)</f>
        <v/>
      </c>
      <c r="Z60" s="35">
        <f>IF(OR($A60="",$C60="",$C60&lt;&gt;'売掛帳'!$B$3,NOT(ISNUMBER($X60))),"",IF(AND($X60&gt;='売掛帳'!$Q$3,$X60&lt;='売掛帳'!$Q$4),$X60+ROW()/10000000,""))</f>
        <v/>
      </c>
    </row>
    <row r="61" ht="18" customHeight="1">
      <c r="A61" s="18" t="n"/>
      <c r="B61" s="26" t="n"/>
      <c r="C61" s="18" t="n"/>
      <c r="D61" s="20">
        <f>IF($W61="","",IF($W61="なし","※得意先にないコード",INDEX('得意先'!$C$5:$C$104,$W61)&amp;""))</f>
        <v/>
      </c>
      <c r="E61" s="26" t="n"/>
      <c r="F61" s="19" t="n"/>
      <c r="G61" s="27" t="n"/>
      <c r="H61" s="27" t="n"/>
      <c r="I61" s="27" t="n"/>
      <c r="J61" s="28">
        <f>IF($A61="","",IF('設定'!$B$10="四捨五入",ROUND(IF('設定'!$B$9="税込",N($G61)*10/110,N($G61)*10/100),0),IF('設定'!$B$10="切り上げ",ROUNDUP(IF('設定'!$B$9="税込",N($G61)*10/110,N($G61)*10/100),0),ROUNDDOWN(IF('設定'!$B$9="税込",N($G61)*10/110,N($G61)*10/100),0))))</f>
        <v/>
      </c>
      <c r="K61" s="28">
        <f>IF($A61="","",IF('設定'!$B$10="四捨五入",ROUND(IF('設定'!$B$9="税込",N($H61)*8/108,N($H61)*8/100),0),IF('設定'!$B$10="切り上げ",ROUNDUP(IF('設定'!$B$9="税込",N($H61)*8/108,N($H61)*8/100),0),ROUNDDOWN(IF('設定'!$B$9="税込",N($H61)*8/108,N($H61)*8/100),0))))</f>
        <v/>
      </c>
      <c r="L61" s="28">
        <f>IF($A61="","",N($G61)+N($H61)+N($I61)+IF('設定'!$B$9="税込",0,$J61+$K61))</f>
        <v/>
      </c>
      <c r="M61" s="29">
        <f>IF(OR($A61="",NOT(ISNUMBER($W61)),NOT(ISNUMBER($X61))),"",IF(OR(INDEX('得意先'!$D$5:$D$104,$W61)="",INDEX('得意先'!$E$5:$E$104,$W61)="",INDEX('得意先'!$F$5:$F$104,$W61)=""),"",IF(INDEX('得意先'!$F$5:$F$104,$W61)="末",DATE(YEAR($X61),(MONTH($X61)+IF(INDEX('得意先'!$D$5:$D$104,$W61)="末",0,IF(DAY($X61)&lt;=INDEX('得意先'!$D$5:$D$104,$W61),0,1))+N(INDEX('得意先'!$E$5:$E$104,$W61)))+1,0),DATE(YEAR($X61),(MONTH($X61)+IF(INDEX('得意先'!$D$5:$D$104,$W61)="末",0,IF(DAY($X61)&lt;=INDEX('得意先'!$D$5:$D$104,$W61),0,1))+N(INDEX('得意先'!$E$5:$E$104,$W61))),MIN(INDEX('得意先'!$F$5:$F$104,$W61),DAY(DATE(YEAR($X61),(MONTH($X61)+IF(INDEX('得意先'!$D$5:$D$104,$W61)="末",0,IF(DAY($X61)&lt;=INDEX('得意先'!$D$5:$D$104,$W61),0,1))+N(INDEX('得意先'!$E$5:$E$104,$W61)))+1,0)))))))</f>
        <v/>
      </c>
      <c r="N61" s="26" t="n"/>
      <c r="O61" s="29">
        <f>IF($A61="","",IF(ISNUMBER($N61),$N61,$M61))</f>
        <v/>
      </c>
      <c r="P61" s="28">
        <f>IF($A61="","",SUMIF('入金消込'!$F$5:$F$1004,$A61,'入金消込'!$G$5:$G$1004))</f>
        <v/>
      </c>
      <c r="Q61" s="28">
        <f>IF($A61="","",SUMIF('入金消込'!$F$5:$F$1004,$A61,'入金消込'!$H$5:$H$1004)+SUMIF('入金消込'!$F$5:$F$1004,$A61,'入金消込'!$I$5:$I$1004))</f>
        <v/>
      </c>
      <c r="R61" s="28">
        <f>IF($A61="","",$L61-$P61-$Q61)</f>
        <v/>
      </c>
      <c r="S61" s="30">
        <f>IF($A61="","",IF($R61=0,IF($L61=0,"請求額0","回収済"),IF($L61&lt;0,IF($R61&lt;0,"差し引き待ち","差し引きすぎ"),IF($R61&lt;0,"入金が多い",IF($P61+$Q61=0,"未入金","一部入金")))))</f>
        <v/>
      </c>
      <c r="T61" s="31">
        <f>IF(OR($A61="",N($R61)&lt;=0,NOT(ISNUMBER($O61))),"",IF($O61&lt;'設定'!$B$7,'設定'!$B$7-$O61,""))</f>
        <v/>
      </c>
      <c r="U61" s="30">
        <f>IF(OR($A61="",N($R61)&lt;=0),"",IF(NOT(ISNUMBER($O61)),'設定'!$B$22,IF($O61&gt;='設定'!$B$7,'設定'!$B$17,IF('設定'!$B$7-$O61&lt;='設定'!$B$12,'設定'!$B$18,IF('設定'!$B$7-$O61&lt;='設定'!$B$13,'設定'!$B$19,IF('設定'!$B$7-$O61&lt;='設定'!$B$14,'設定'!$B$20,'設定'!$B$21))))))</f>
        <v/>
      </c>
      <c r="V61" s="56" t="n"/>
      <c r="W61" s="32">
        <f>IF($C61="","",IFERROR(MATCH($C61,'得意先'!$B$5:$B$104,0),"なし"))</f>
        <v/>
      </c>
      <c r="X61" s="33">
        <f>IF($A61="","",IF(ISNUMBER($E61),$E61,IF(ISNUMBER($B61),$B61,"")))</f>
        <v/>
      </c>
      <c r="Y61" s="34">
        <f>IF($T61="","",$O61+ROW()/1000000)</f>
        <v/>
      </c>
      <c r="Z61" s="35">
        <f>IF(OR($A61="",$C61="",$C61&lt;&gt;'売掛帳'!$B$3,NOT(ISNUMBER($X61))),"",IF(AND($X61&gt;='売掛帳'!$Q$3,$X61&lt;='売掛帳'!$Q$4),$X61+ROW()/10000000,""))</f>
        <v/>
      </c>
    </row>
    <row r="62" ht="18" customHeight="1">
      <c r="A62" s="18" t="n"/>
      <c r="B62" s="26" t="n"/>
      <c r="C62" s="18" t="n"/>
      <c r="D62" s="20">
        <f>IF($W62="","",IF($W62="なし","※得意先にないコード",INDEX('得意先'!$C$5:$C$104,$W62)&amp;""))</f>
        <v/>
      </c>
      <c r="E62" s="26" t="n"/>
      <c r="F62" s="19" t="n"/>
      <c r="G62" s="27" t="n"/>
      <c r="H62" s="27" t="n"/>
      <c r="I62" s="27" t="n"/>
      <c r="J62" s="28">
        <f>IF($A62="","",IF('設定'!$B$10="四捨五入",ROUND(IF('設定'!$B$9="税込",N($G62)*10/110,N($G62)*10/100),0),IF('設定'!$B$10="切り上げ",ROUNDUP(IF('設定'!$B$9="税込",N($G62)*10/110,N($G62)*10/100),0),ROUNDDOWN(IF('設定'!$B$9="税込",N($G62)*10/110,N($G62)*10/100),0))))</f>
        <v/>
      </c>
      <c r="K62" s="28">
        <f>IF($A62="","",IF('設定'!$B$10="四捨五入",ROUND(IF('設定'!$B$9="税込",N($H62)*8/108,N($H62)*8/100),0),IF('設定'!$B$10="切り上げ",ROUNDUP(IF('設定'!$B$9="税込",N($H62)*8/108,N($H62)*8/100),0),ROUNDDOWN(IF('設定'!$B$9="税込",N($H62)*8/108,N($H62)*8/100),0))))</f>
        <v/>
      </c>
      <c r="L62" s="28">
        <f>IF($A62="","",N($G62)+N($H62)+N($I62)+IF('設定'!$B$9="税込",0,$J62+$K62))</f>
        <v/>
      </c>
      <c r="M62" s="29">
        <f>IF(OR($A62="",NOT(ISNUMBER($W62)),NOT(ISNUMBER($X62))),"",IF(OR(INDEX('得意先'!$D$5:$D$104,$W62)="",INDEX('得意先'!$E$5:$E$104,$W62)="",INDEX('得意先'!$F$5:$F$104,$W62)=""),"",IF(INDEX('得意先'!$F$5:$F$104,$W62)="末",DATE(YEAR($X62),(MONTH($X62)+IF(INDEX('得意先'!$D$5:$D$104,$W62)="末",0,IF(DAY($X62)&lt;=INDEX('得意先'!$D$5:$D$104,$W62),0,1))+N(INDEX('得意先'!$E$5:$E$104,$W62)))+1,0),DATE(YEAR($X62),(MONTH($X62)+IF(INDEX('得意先'!$D$5:$D$104,$W62)="末",0,IF(DAY($X62)&lt;=INDEX('得意先'!$D$5:$D$104,$W62),0,1))+N(INDEX('得意先'!$E$5:$E$104,$W62))),MIN(INDEX('得意先'!$F$5:$F$104,$W62),DAY(DATE(YEAR($X62),(MONTH($X62)+IF(INDEX('得意先'!$D$5:$D$104,$W62)="末",0,IF(DAY($X62)&lt;=INDEX('得意先'!$D$5:$D$104,$W62),0,1))+N(INDEX('得意先'!$E$5:$E$104,$W62)))+1,0)))))))</f>
        <v/>
      </c>
      <c r="N62" s="26" t="n"/>
      <c r="O62" s="29">
        <f>IF($A62="","",IF(ISNUMBER($N62),$N62,$M62))</f>
        <v/>
      </c>
      <c r="P62" s="28">
        <f>IF($A62="","",SUMIF('入金消込'!$F$5:$F$1004,$A62,'入金消込'!$G$5:$G$1004))</f>
        <v/>
      </c>
      <c r="Q62" s="28">
        <f>IF($A62="","",SUMIF('入金消込'!$F$5:$F$1004,$A62,'入金消込'!$H$5:$H$1004)+SUMIF('入金消込'!$F$5:$F$1004,$A62,'入金消込'!$I$5:$I$1004))</f>
        <v/>
      </c>
      <c r="R62" s="28">
        <f>IF($A62="","",$L62-$P62-$Q62)</f>
        <v/>
      </c>
      <c r="S62" s="30">
        <f>IF($A62="","",IF($R62=0,IF($L62=0,"請求額0","回収済"),IF($L62&lt;0,IF($R62&lt;0,"差し引き待ち","差し引きすぎ"),IF($R62&lt;0,"入金が多い",IF($P62+$Q62=0,"未入金","一部入金")))))</f>
        <v/>
      </c>
      <c r="T62" s="31">
        <f>IF(OR($A62="",N($R62)&lt;=0,NOT(ISNUMBER($O62))),"",IF($O62&lt;'設定'!$B$7,'設定'!$B$7-$O62,""))</f>
        <v/>
      </c>
      <c r="U62" s="30">
        <f>IF(OR($A62="",N($R62)&lt;=0),"",IF(NOT(ISNUMBER($O62)),'設定'!$B$22,IF($O62&gt;='設定'!$B$7,'設定'!$B$17,IF('設定'!$B$7-$O62&lt;='設定'!$B$12,'設定'!$B$18,IF('設定'!$B$7-$O62&lt;='設定'!$B$13,'設定'!$B$19,IF('設定'!$B$7-$O62&lt;='設定'!$B$14,'設定'!$B$20,'設定'!$B$21))))))</f>
        <v/>
      </c>
      <c r="V62" s="56" t="n"/>
      <c r="W62" s="32">
        <f>IF($C62="","",IFERROR(MATCH($C62,'得意先'!$B$5:$B$104,0),"なし"))</f>
        <v/>
      </c>
      <c r="X62" s="33">
        <f>IF($A62="","",IF(ISNUMBER($E62),$E62,IF(ISNUMBER($B62),$B62,"")))</f>
        <v/>
      </c>
      <c r="Y62" s="34">
        <f>IF($T62="","",$O62+ROW()/1000000)</f>
        <v/>
      </c>
      <c r="Z62" s="35">
        <f>IF(OR($A62="",$C62="",$C62&lt;&gt;'売掛帳'!$B$3,NOT(ISNUMBER($X62))),"",IF(AND($X62&gt;='売掛帳'!$Q$3,$X62&lt;='売掛帳'!$Q$4),$X62+ROW()/10000000,""))</f>
        <v/>
      </c>
    </row>
    <row r="63" ht="18" customHeight="1">
      <c r="A63" s="18" t="n"/>
      <c r="B63" s="26" t="n"/>
      <c r="C63" s="18" t="n"/>
      <c r="D63" s="20">
        <f>IF($W63="","",IF($W63="なし","※得意先にないコード",INDEX('得意先'!$C$5:$C$104,$W63)&amp;""))</f>
        <v/>
      </c>
      <c r="E63" s="26" t="n"/>
      <c r="F63" s="19" t="n"/>
      <c r="G63" s="27" t="n"/>
      <c r="H63" s="27" t="n"/>
      <c r="I63" s="27" t="n"/>
      <c r="J63" s="28">
        <f>IF($A63="","",IF('設定'!$B$10="四捨五入",ROUND(IF('設定'!$B$9="税込",N($G63)*10/110,N($G63)*10/100),0),IF('設定'!$B$10="切り上げ",ROUNDUP(IF('設定'!$B$9="税込",N($G63)*10/110,N($G63)*10/100),0),ROUNDDOWN(IF('設定'!$B$9="税込",N($G63)*10/110,N($G63)*10/100),0))))</f>
        <v/>
      </c>
      <c r="K63" s="28">
        <f>IF($A63="","",IF('設定'!$B$10="四捨五入",ROUND(IF('設定'!$B$9="税込",N($H63)*8/108,N($H63)*8/100),0),IF('設定'!$B$10="切り上げ",ROUNDUP(IF('設定'!$B$9="税込",N($H63)*8/108,N($H63)*8/100),0),ROUNDDOWN(IF('設定'!$B$9="税込",N($H63)*8/108,N($H63)*8/100),0))))</f>
        <v/>
      </c>
      <c r="L63" s="28">
        <f>IF($A63="","",N($G63)+N($H63)+N($I63)+IF('設定'!$B$9="税込",0,$J63+$K63))</f>
        <v/>
      </c>
      <c r="M63" s="29">
        <f>IF(OR($A63="",NOT(ISNUMBER($W63)),NOT(ISNUMBER($X63))),"",IF(OR(INDEX('得意先'!$D$5:$D$104,$W63)="",INDEX('得意先'!$E$5:$E$104,$W63)="",INDEX('得意先'!$F$5:$F$104,$W63)=""),"",IF(INDEX('得意先'!$F$5:$F$104,$W63)="末",DATE(YEAR($X63),(MONTH($X63)+IF(INDEX('得意先'!$D$5:$D$104,$W63)="末",0,IF(DAY($X63)&lt;=INDEX('得意先'!$D$5:$D$104,$W63),0,1))+N(INDEX('得意先'!$E$5:$E$104,$W63)))+1,0),DATE(YEAR($X63),(MONTH($X63)+IF(INDEX('得意先'!$D$5:$D$104,$W63)="末",0,IF(DAY($X63)&lt;=INDEX('得意先'!$D$5:$D$104,$W63),0,1))+N(INDEX('得意先'!$E$5:$E$104,$W63))),MIN(INDEX('得意先'!$F$5:$F$104,$W63),DAY(DATE(YEAR($X63),(MONTH($X63)+IF(INDEX('得意先'!$D$5:$D$104,$W63)="末",0,IF(DAY($X63)&lt;=INDEX('得意先'!$D$5:$D$104,$W63),0,1))+N(INDEX('得意先'!$E$5:$E$104,$W63)))+1,0)))))))</f>
        <v/>
      </c>
      <c r="N63" s="26" t="n"/>
      <c r="O63" s="29">
        <f>IF($A63="","",IF(ISNUMBER($N63),$N63,$M63))</f>
        <v/>
      </c>
      <c r="P63" s="28">
        <f>IF($A63="","",SUMIF('入金消込'!$F$5:$F$1004,$A63,'入金消込'!$G$5:$G$1004))</f>
        <v/>
      </c>
      <c r="Q63" s="28">
        <f>IF($A63="","",SUMIF('入金消込'!$F$5:$F$1004,$A63,'入金消込'!$H$5:$H$1004)+SUMIF('入金消込'!$F$5:$F$1004,$A63,'入金消込'!$I$5:$I$1004))</f>
        <v/>
      </c>
      <c r="R63" s="28">
        <f>IF($A63="","",$L63-$P63-$Q63)</f>
        <v/>
      </c>
      <c r="S63" s="30">
        <f>IF($A63="","",IF($R63=0,IF($L63=0,"請求額0","回収済"),IF($L63&lt;0,IF($R63&lt;0,"差し引き待ち","差し引きすぎ"),IF($R63&lt;0,"入金が多い",IF($P63+$Q63=0,"未入金","一部入金")))))</f>
        <v/>
      </c>
      <c r="T63" s="31">
        <f>IF(OR($A63="",N($R63)&lt;=0,NOT(ISNUMBER($O63))),"",IF($O63&lt;'設定'!$B$7,'設定'!$B$7-$O63,""))</f>
        <v/>
      </c>
      <c r="U63" s="30">
        <f>IF(OR($A63="",N($R63)&lt;=0),"",IF(NOT(ISNUMBER($O63)),'設定'!$B$22,IF($O63&gt;='設定'!$B$7,'設定'!$B$17,IF('設定'!$B$7-$O63&lt;='設定'!$B$12,'設定'!$B$18,IF('設定'!$B$7-$O63&lt;='設定'!$B$13,'設定'!$B$19,IF('設定'!$B$7-$O63&lt;='設定'!$B$14,'設定'!$B$20,'設定'!$B$21))))))</f>
        <v/>
      </c>
      <c r="V63" s="56" t="n"/>
      <c r="W63" s="32">
        <f>IF($C63="","",IFERROR(MATCH($C63,'得意先'!$B$5:$B$104,0),"なし"))</f>
        <v/>
      </c>
      <c r="X63" s="33">
        <f>IF($A63="","",IF(ISNUMBER($E63),$E63,IF(ISNUMBER($B63),$B63,"")))</f>
        <v/>
      </c>
      <c r="Y63" s="34">
        <f>IF($T63="","",$O63+ROW()/1000000)</f>
        <v/>
      </c>
      <c r="Z63" s="35">
        <f>IF(OR($A63="",$C63="",$C63&lt;&gt;'売掛帳'!$B$3,NOT(ISNUMBER($X63))),"",IF(AND($X63&gt;='売掛帳'!$Q$3,$X63&lt;='売掛帳'!$Q$4),$X63+ROW()/10000000,""))</f>
        <v/>
      </c>
    </row>
    <row r="64" ht="18" customHeight="1">
      <c r="A64" s="18" t="n"/>
      <c r="B64" s="26" t="n"/>
      <c r="C64" s="18" t="n"/>
      <c r="D64" s="20">
        <f>IF($W64="","",IF($W64="なし","※得意先にないコード",INDEX('得意先'!$C$5:$C$104,$W64)&amp;""))</f>
        <v/>
      </c>
      <c r="E64" s="26" t="n"/>
      <c r="F64" s="19" t="n"/>
      <c r="G64" s="27" t="n"/>
      <c r="H64" s="27" t="n"/>
      <c r="I64" s="27" t="n"/>
      <c r="J64" s="28">
        <f>IF($A64="","",IF('設定'!$B$10="四捨五入",ROUND(IF('設定'!$B$9="税込",N($G64)*10/110,N($G64)*10/100),0),IF('設定'!$B$10="切り上げ",ROUNDUP(IF('設定'!$B$9="税込",N($G64)*10/110,N($G64)*10/100),0),ROUNDDOWN(IF('設定'!$B$9="税込",N($G64)*10/110,N($G64)*10/100),0))))</f>
        <v/>
      </c>
      <c r="K64" s="28">
        <f>IF($A64="","",IF('設定'!$B$10="四捨五入",ROUND(IF('設定'!$B$9="税込",N($H64)*8/108,N($H64)*8/100),0),IF('設定'!$B$10="切り上げ",ROUNDUP(IF('設定'!$B$9="税込",N($H64)*8/108,N($H64)*8/100),0),ROUNDDOWN(IF('設定'!$B$9="税込",N($H64)*8/108,N($H64)*8/100),0))))</f>
        <v/>
      </c>
      <c r="L64" s="28">
        <f>IF($A64="","",N($G64)+N($H64)+N($I64)+IF('設定'!$B$9="税込",0,$J64+$K64))</f>
        <v/>
      </c>
      <c r="M64" s="29">
        <f>IF(OR($A64="",NOT(ISNUMBER($W64)),NOT(ISNUMBER($X64))),"",IF(OR(INDEX('得意先'!$D$5:$D$104,$W64)="",INDEX('得意先'!$E$5:$E$104,$W64)="",INDEX('得意先'!$F$5:$F$104,$W64)=""),"",IF(INDEX('得意先'!$F$5:$F$104,$W64)="末",DATE(YEAR($X64),(MONTH($X64)+IF(INDEX('得意先'!$D$5:$D$104,$W64)="末",0,IF(DAY($X64)&lt;=INDEX('得意先'!$D$5:$D$104,$W64),0,1))+N(INDEX('得意先'!$E$5:$E$104,$W64)))+1,0),DATE(YEAR($X64),(MONTH($X64)+IF(INDEX('得意先'!$D$5:$D$104,$W64)="末",0,IF(DAY($X64)&lt;=INDEX('得意先'!$D$5:$D$104,$W64),0,1))+N(INDEX('得意先'!$E$5:$E$104,$W64))),MIN(INDEX('得意先'!$F$5:$F$104,$W64),DAY(DATE(YEAR($X64),(MONTH($X64)+IF(INDEX('得意先'!$D$5:$D$104,$W64)="末",0,IF(DAY($X64)&lt;=INDEX('得意先'!$D$5:$D$104,$W64),0,1))+N(INDEX('得意先'!$E$5:$E$104,$W64)))+1,0)))))))</f>
        <v/>
      </c>
      <c r="N64" s="26" t="n"/>
      <c r="O64" s="29">
        <f>IF($A64="","",IF(ISNUMBER($N64),$N64,$M64))</f>
        <v/>
      </c>
      <c r="P64" s="28">
        <f>IF($A64="","",SUMIF('入金消込'!$F$5:$F$1004,$A64,'入金消込'!$G$5:$G$1004))</f>
        <v/>
      </c>
      <c r="Q64" s="28">
        <f>IF($A64="","",SUMIF('入金消込'!$F$5:$F$1004,$A64,'入金消込'!$H$5:$H$1004)+SUMIF('入金消込'!$F$5:$F$1004,$A64,'入金消込'!$I$5:$I$1004))</f>
        <v/>
      </c>
      <c r="R64" s="28">
        <f>IF($A64="","",$L64-$P64-$Q64)</f>
        <v/>
      </c>
      <c r="S64" s="30">
        <f>IF($A64="","",IF($R64=0,IF($L64=0,"請求額0","回収済"),IF($L64&lt;0,IF($R64&lt;0,"差し引き待ち","差し引きすぎ"),IF($R64&lt;0,"入金が多い",IF($P64+$Q64=0,"未入金","一部入金")))))</f>
        <v/>
      </c>
      <c r="T64" s="31">
        <f>IF(OR($A64="",N($R64)&lt;=0,NOT(ISNUMBER($O64))),"",IF($O64&lt;'設定'!$B$7,'設定'!$B$7-$O64,""))</f>
        <v/>
      </c>
      <c r="U64" s="30">
        <f>IF(OR($A64="",N($R64)&lt;=0),"",IF(NOT(ISNUMBER($O64)),'設定'!$B$22,IF($O64&gt;='設定'!$B$7,'設定'!$B$17,IF('設定'!$B$7-$O64&lt;='設定'!$B$12,'設定'!$B$18,IF('設定'!$B$7-$O64&lt;='設定'!$B$13,'設定'!$B$19,IF('設定'!$B$7-$O64&lt;='設定'!$B$14,'設定'!$B$20,'設定'!$B$21))))))</f>
        <v/>
      </c>
      <c r="V64" s="56" t="n"/>
      <c r="W64" s="32">
        <f>IF($C64="","",IFERROR(MATCH($C64,'得意先'!$B$5:$B$104,0),"なし"))</f>
        <v/>
      </c>
      <c r="X64" s="33">
        <f>IF($A64="","",IF(ISNUMBER($E64),$E64,IF(ISNUMBER($B64),$B64,"")))</f>
        <v/>
      </c>
      <c r="Y64" s="34">
        <f>IF($T64="","",$O64+ROW()/1000000)</f>
        <v/>
      </c>
      <c r="Z64" s="35">
        <f>IF(OR($A64="",$C64="",$C64&lt;&gt;'売掛帳'!$B$3,NOT(ISNUMBER($X64))),"",IF(AND($X64&gt;='売掛帳'!$Q$3,$X64&lt;='売掛帳'!$Q$4),$X64+ROW()/10000000,""))</f>
        <v/>
      </c>
    </row>
    <row r="65" ht="18" customHeight="1">
      <c r="A65" s="18" t="n"/>
      <c r="B65" s="26" t="n"/>
      <c r="C65" s="18" t="n"/>
      <c r="D65" s="20">
        <f>IF($W65="","",IF($W65="なし","※得意先にないコード",INDEX('得意先'!$C$5:$C$104,$W65)&amp;""))</f>
        <v/>
      </c>
      <c r="E65" s="26" t="n"/>
      <c r="F65" s="19" t="n"/>
      <c r="G65" s="27" t="n"/>
      <c r="H65" s="27" t="n"/>
      <c r="I65" s="27" t="n"/>
      <c r="J65" s="28">
        <f>IF($A65="","",IF('設定'!$B$10="四捨五入",ROUND(IF('設定'!$B$9="税込",N($G65)*10/110,N($G65)*10/100),0),IF('設定'!$B$10="切り上げ",ROUNDUP(IF('設定'!$B$9="税込",N($G65)*10/110,N($G65)*10/100),0),ROUNDDOWN(IF('設定'!$B$9="税込",N($G65)*10/110,N($G65)*10/100),0))))</f>
        <v/>
      </c>
      <c r="K65" s="28">
        <f>IF($A65="","",IF('設定'!$B$10="四捨五入",ROUND(IF('設定'!$B$9="税込",N($H65)*8/108,N($H65)*8/100),0),IF('設定'!$B$10="切り上げ",ROUNDUP(IF('設定'!$B$9="税込",N($H65)*8/108,N($H65)*8/100),0),ROUNDDOWN(IF('設定'!$B$9="税込",N($H65)*8/108,N($H65)*8/100),0))))</f>
        <v/>
      </c>
      <c r="L65" s="28">
        <f>IF($A65="","",N($G65)+N($H65)+N($I65)+IF('設定'!$B$9="税込",0,$J65+$K65))</f>
        <v/>
      </c>
      <c r="M65" s="29">
        <f>IF(OR($A65="",NOT(ISNUMBER($W65)),NOT(ISNUMBER($X65))),"",IF(OR(INDEX('得意先'!$D$5:$D$104,$W65)="",INDEX('得意先'!$E$5:$E$104,$W65)="",INDEX('得意先'!$F$5:$F$104,$W65)=""),"",IF(INDEX('得意先'!$F$5:$F$104,$W65)="末",DATE(YEAR($X65),(MONTH($X65)+IF(INDEX('得意先'!$D$5:$D$104,$W65)="末",0,IF(DAY($X65)&lt;=INDEX('得意先'!$D$5:$D$104,$W65),0,1))+N(INDEX('得意先'!$E$5:$E$104,$W65)))+1,0),DATE(YEAR($X65),(MONTH($X65)+IF(INDEX('得意先'!$D$5:$D$104,$W65)="末",0,IF(DAY($X65)&lt;=INDEX('得意先'!$D$5:$D$104,$W65),0,1))+N(INDEX('得意先'!$E$5:$E$104,$W65))),MIN(INDEX('得意先'!$F$5:$F$104,$W65),DAY(DATE(YEAR($X65),(MONTH($X65)+IF(INDEX('得意先'!$D$5:$D$104,$W65)="末",0,IF(DAY($X65)&lt;=INDEX('得意先'!$D$5:$D$104,$W65),0,1))+N(INDEX('得意先'!$E$5:$E$104,$W65)))+1,0)))))))</f>
        <v/>
      </c>
      <c r="N65" s="26" t="n"/>
      <c r="O65" s="29">
        <f>IF($A65="","",IF(ISNUMBER($N65),$N65,$M65))</f>
        <v/>
      </c>
      <c r="P65" s="28">
        <f>IF($A65="","",SUMIF('入金消込'!$F$5:$F$1004,$A65,'入金消込'!$G$5:$G$1004))</f>
        <v/>
      </c>
      <c r="Q65" s="28">
        <f>IF($A65="","",SUMIF('入金消込'!$F$5:$F$1004,$A65,'入金消込'!$H$5:$H$1004)+SUMIF('入金消込'!$F$5:$F$1004,$A65,'入金消込'!$I$5:$I$1004))</f>
        <v/>
      </c>
      <c r="R65" s="28">
        <f>IF($A65="","",$L65-$P65-$Q65)</f>
        <v/>
      </c>
      <c r="S65" s="30">
        <f>IF($A65="","",IF($R65=0,IF($L65=0,"請求額0","回収済"),IF($L65&lt;0,IF($R65&lt;0,"差し引き待ち","差し引きすぎ"),IF($R65&lt;0,"入金が多い",IF($P65+$Q65=0,"未入金","一部入金")))))</f>
        <v/>
      </c>
      <c r="T65" s="31">
        <f>IF(OR($A65="",N($R65)&lt;=0,NOT(ISNUMBER($O65))),"",IF($O65&lt;'設定'!$B$7,'設定'!$B$7-$O65,""))</f>
        <v/>
      </c>
      <c r="U65" s="30">
        <f>IF(OR($A65="",N($R65)&lt;=0),"",IF(NOT(ISNUMBER($O65)),'設定'!$B$22,IF($O65&gt;='設定'!$B$7,'設定'!$B$17,IF('設定'!$B$7-$O65&lt;='設定'!$B$12,'設定'!$B$18,IF('設定'!$B$7-$O65&lt;='設定'!$B$13,'設定'!$B$19,IF('設定'!$B$7-$O65&lt;='設定'!$B$14,'設定'!$B$20,'設定'!$B$21))))))</f>
        <v/>
      </c>
      <c r="V65" s="56" t="n"/>
      <c r="W65" s="32">
        <f>IF($C65="","",IFERROR(MATCH($C65,'得意先'!$B$5:$B$104,0),"なし"))</f>
        <v/>
      </c>
      <c r="X65" s="33">
        <f>IF($A65="","",IF(ISNUMBER($E65),$E65,IF(ISNUMBER($B65),$B65,"")))</f>
        <v/>
      </c>
      <c r="Y65" s="34">
        <f>IF($T65="","",$O65+ROW()/1000000)</f>
        <v/>
      </c>
      <c r="Z65" s="35">
        <f>IF(OR($A65="",$C65="",$C65&lt;&gt;'売掛帳'!$B$3,NOT(ISNUMBER($X65))),"",IF(AND($X65&gt;='売掛帳'!$Q$3,$X65&lt;='売掛帳'!$Q$4),$X65+ROW()/10000000,""))</f>
        <v/>
      </c>
    </row>
    <row r="66" ht="18" customHeight="1">
      <c r="A66" s="18" t="n"/>
      <c r="B66" s="26" t="n"/>
      <c r="C66" s="18" t="n"/>
      <c r="D66" s="20">
        <f>IF($W66="","",IF($W66="なし","※得意先にないコード",INDEX('得意先'!$C$5:$C$104,$W66)&amp;""))</f>
        <v/>
      </c>
      <c r="E66" s="26" t="n"/>
      <c r="F66" s="19" t="n"/>
      <c r="G66" s="27" t="n"/>
      <c r="H66" s="27" t="n"/>
      <c r="I66" s="27" t="n"/>
      <c r="J66" s="28">
        <f>IF($A66="","",IF('設定'!$B$10="四捨五入",ROUND(IF('設定'!$B$9="税込",N($G66)*10/110,N($G66)*10/100),0),IF('設定'!$B$10="切り上げ",ROUNDUP(IF('設定'!$B$9="税込",N($G66)*10/110,N($G66)*10/100),0),ROUNDDOWN(IF('設定'!$B$9="税込",N($G66)*10/110,N($G66)*10/100),0))))</f>
        <v/>
      </c>
      <c r="K66" s="28">
        <f>IF($A66="","",IF('設定'!$B$10="四捨五入",ROUND(IF('設定'!$B$9="税込",N($H66)*8/108,N($H66)*8/100),0),IF('設定'!$B$10="切り上げ",ROUNDUP(IF('設定'!$B$9="税込",N($H66)*8/108,N($H66)*8/100),0),ROUNDDOWN(IF('設定'!$B$9="税込",N($H66)*8/108,N($H66)*8/100),0))))</f>
        <v/>
      </c>
      <c r="L66" s="28">
        <f>IF($A66="","",N($G66)+N($H66)+N($I66)+IF('設定'!$B$9="税込",0,$J66+$K66))</f>
        <v/>
      </c>
      <c r="M66" s="29">
        <f>IF(OR($A66="",NOT(ISNUMBER($W66)),NOT(ISNUMBER($X66))),"",IF(OR(INDEX('得意先'!$D$5:$D$104,$W66)="",INDEX('得意先'!$E$5:$E$104,$W66)="",INDEX('得意先'!$F$5:$F$104,$W66)=""),"",IF(INDEX('得意先'!$F$5:$F$104,$W66)="末",DATE(YEAR($X66),(MONTH($X66)+IF(INDEX('得意先'!$D$5:$D$104,$W66)="末",0,IF(DAY($X66)&lt;=INDEX('得意先'!$D$5:$D$104,$W66),0,1))+N(INDEX('得意先'!$E$5:$E$104,$W66)))+1,0),DATE(YEAR($X66),(MONTH($X66)+IF(INDEX('得意先'!$D$5:$D$104,$W66)="末",0,IF(DAY($X66)&lt;=INDEX('得意先'!$D$5:$D$104,$W66),0,1))+N(INDEX('得意先'!$E$5:$E$104,$W66))),MIN(INDEX('得意先'!$F$5:$F$104,$W66),DAY(DATE(YEAR($X66),(MONTH($X66)+IF(INDEX('得意先'!$D$5:$D$104,$W66)="末",0,IF(DAY($X66)&lt;=INDEX('得意先'!$D$5:$D$104,$W66),0,1))+N(INDEX('得意先'!$E$5:$E$104,$W66)))+1,0)))))))</f>
        <v/>
      </c>
      <c r="N66" s="26" t="n"/>
      <c r="O66" s="29">
        <f>IF($A66="","",IF(ISNUMBER($N66),$N66,$M66))</f>
        <v/>
      </c>
      <c r="P66" s="28">
        <f>IF($A66="","",SUMIF('入金消込'!$F$5:$F$1004,$A66,'入金消込'!$G$5:$G$1004))</f>
        <v/>
      </c>
      <c r="Q66" s="28">
        <f>IF($A66="","",SUMIF('入金消込'!$F$5:$F$1004,$A66,'入金消込'!$H$5:$H$1004)+SUMIF('入金消込'!$F$5:$F$1004,$A66,'入金消込'!$I$5:$I$1004))</f>
        <v/>
      </c>
      <c r="R66" s="28">
        <f>IF($A66="","",$L66-$P66-$Q66)</f>
        <v/>
      </c>
      <c r="S66" s="30">
        <f>IF($A66="","",IF($R66=0,IF($L66=0,"請求額0","回収済"),IF($L66&lt;0,IF($R66&lt;0,"差し引き待ち","差し引きすぎ"),IF($R66&lt;0,"入金が多い",IF($P66+$Q66=0,"未入金","一部入金")))))</f>
        <v/>
      </c>
      <c r="T66" s="31">
        <f>IF(OR($A66="",N($R66)&lt;=0,NOT(ISNUMBER($O66))),"",IF($O66&lt;'設定'!$B$7,'設定'!$B$7-$O66,""))</f>
        <v/>
      </c>
      <c r="U66" s="30">
        <f>IF(OR($A66="",N($R66)&lt;=0),"",IF(NOT(ISNUMBER($O66)),'設定'!$B$22,IF($O66&gt;='設定'!$B$7,'設定'!$B$17,IF('設定'!$B$7-$O66&lt;='設定'!$B$12,'設定'!$B$18,IF('設定'!$B$7-$O66&lt;='設定'!$B$13,'設定'!$B$19,IF('設定'!$B$7-$O66&lt;='設定'!$B$14,'設定'!$B$20,'設定'!$B$21))))))</f>
        <v/>
      </c>
      <c r="V66" s="56" t="n"/>
      <c r="W66" s="32">
        <f>IF($C66="","",IFERROR(MATCH($C66,'得意先'!$B$5:$B$104,0),"なし"))</f>
        <v/>
      </c>
      <c r="X66" s="33">
        <f>IF($A66="","",IF(ISNUMBER($E66),$E66,IF(ISNUMBER($B66),$B66,"")))</f>
        <v/>
      </c>
      <c r="Y66" s="34">
        <f>IF($T66="","",$O66+ROW()/1000000)</f>
        <v/>
      </c>
      <c r="Z66" s="35">
        <f>IF(OR($A66="",$C66="",$C66&lt;&gt;'売掛帳'!$B$3,NOT(ISNUMBER($X66))),"",IF(AND($X66&gt;='売掛帳'!$Q$3,$X66&lt;='売掛帳'!$Q$4),$X66+ROW()/10000000,""))</f>
        <v/>
      </c>
    </row>
    <row r="67" ht="18" customHeight="1">
      <c r="A67" s="18" t="n"/>
      <c r="B67" s="26" t="n"/>
      <c r="C67" s="18" t="n"/>
      <c r="D67" s="20">
        <f>IF($W67="","",IF($W67="なし","※得意先にないコード",INDEX('得意先'!$C$5:$C$104,$W67)&amp;""))</f>
        <v/>
      </c>
      <c r="E67" s="26" t="n"/>
      <c r="F67" s="19" t="n"/>
      <c r="G67" s="27" t="n"/>
      <c r="H67" s="27" t="n"/>
      <c r="I67" s="27" t="n"/>
      <c r="J67" s="28">
        <f>IF($A67="","",IF('設定'!$B$10="四捨五入",ROUND(IF('設定'!$B$9="税込",N($G67)*10/110,N($G67)*10/100),0),IF('設定'!$B$10="切り上げ",ROUNDUP(IF('設定'!$B$9="税込",N($G67)*10/110,N($G67)*10/100),0),ROUNDDOWN(IF('設定'!$B$9="税込",N($G67)*10/110,N($G67)*10/100),0))))</f>
        <v/>
      </c>
      <c r="K67" s="28">
        <f>IF($A67="","",IF('設定'!$B$10="四捨五入",ROUND(IF('設定'!$B$9="税込",N($H67)*8/108,N($H67)*8/100),0),IF('設定'!$B$10="切り上げ",ROUNDUP(IF('設定'!$B$9="税込",N($H67)*8/108,N($H67)*8/100),0),ROUNDDOWN(IF('設定'!$B$9="税込",N($H67)*8/108,N($H67)*8/100),0))))</f>
        <v/>
      </c>
      <c r="L67" s="28">
        <f>IF($A67="","",N($G67)+N($H67)+N($I67)+IF('設定'!$B$9="税込",0,$J67+$K67))</f>
        <v/>
      </c>
      <c r="M67" s="29">
        <f>IF(OR($A67="",NOT(ISNUMBER($W67)),NOT(ISNUMBER($X67))),"",IF(OR(INDEX('得意先'!$D$5:$D$104,$W67)="",INDEX('得意先'!$E$5:$E$104,$W67)="",INDEX('得意先'!$F$5:$F$104,$W67)=""),"",IF(INDEX('得意先'!$F$5:$F$104,$W67)="末",DATE(YEAR($X67),(MONTH($X67)+IF(INDEX('得意先'!$D$5:$D$104,$W67)="末",0,IF(DAY($X67)&lt;=INDEX('得意先'!$D$5:$D$104,$W67),0,1))+N(INDEX('得意先'!$E$5:$E$104,$W67)))+1,0),DATE(YEAR($X67),(MONTH($X67)+IF(INDEX('得意先'!$D$5:$D$104,$W67)="末",0,IF(DAY($X67)&lt;=INDEX('得意先'!$D$5:$D$104,$W67),0,1))+N(INDEX('得意先'!$E$5:$E$104,$W67))),MIN(INDEX('得意先'!$F$5:$F$104,$W67),DAY(DATE(YEAR($X67),(MONTH($X67)+IF(INDEX('得意先'!$D$5:$D$104,$W67)="末",0,IF(DAY($X67)&lt;=INDEX('得意先'!$D$5:$D$104,$W67),0,1))+N(INDEX('得意先'!$E$5:$E$104,$W67)))+1,0)))))))</f>
        <v/>
      </c>
      <c r="N67" s="26" t="n"/>
      <c r="O67" s="29">
        <f>IF($A67="","",IF(ISNUMBER($N67),$N67,$M67))</f>
        <v/>
      </c>
      <c r="P67" s="28">
        <f>IF($A67="","",SUMIF('入金消込'!$F$5:$F$1004,$A67,'入金消込'!$G$5:$G$1004))</f>
        <v/>
      </c>
      <c r="Q67" s="28">
        <f>IF($A67="","",SUMIF('入金消込'!$F$5:$F$1004,$A67,'入金消込'!$H$5:$H$1004)+SUMIF('入金消込'!$F$5:$F$1004,$A67,'入金消込'!$I$5:$I$1004))</f>
        <v/>
      </c>
      <c r="R67" s="28">
        <f>IF($A67="","",$L67-$P67-$Q67)</f>
        <v/>
      </c>
      <c r="S67" s="30">
        <f>IF($A67="","",IF($R67=0,IF($L67=0,"請求額0","回収済"),IF($L67&lt;0,IF($R67&lt;0,"差し引き待ち","差し引きすぎ"),IF($R67&lt;0,"入金が多い",IF($P67+$Q67=0,"未入金","一部入金")))))</f>
        <v/>
      </c>
      <c r="T67" s="31">
        <f>IF(OR($A67="",N($R67)&lt;=0,NOT(ISNUMBER($O67))),"",IF($O67&lt;'設定'!$B$7,'設定'!$B$7-$O67,""))</f>
        <v/>
      </c>
      <c r="U67" s="30">
        <f>IF(OR($A67="",N($R67)&lt;=0),"",IF(NOT(ISNUMBER($O67)),'設定'!$B$22,IF($O67&gt;='設定'!$B$7,'設定'!$B$17,IF('設定'!$B$7-$O67&lt;='設定'!$B$12,'設定'!$B$18,IF('設定'!$B$7-$O67&lt;='設定'!$B$13,'設定'!$B$19,IF('設定'!$B$7-$O67&lt;='設定'!$B$14,'設定'!$B$20,'設定'!$B$21))))))</f>
        <v/>
      </c>
      <c r="V67" s="56" t="n"/>
      <c r="W67" s="32">
        <f>IF($C67="","",IFERROR(MATCH($C67,'得意先'!$B$5:$B$104,0),"なし"))</f>
        <v/>
      </c>
      <c r="X67" s="33">
        <f>IF($A67="","",IF(ISNUMBER($E67),$E67,IF(ISNUMBER($B67),$B67,"")))</f>
        <v/>
      </c>
      <c r="Y67" s="34">
        <f>IF($T67="","",$O67+ROW()/1000000)</f>
        <v/>
      </c>
      <c r="Z67" s="35">
        <f>IF(OR($A67="",$C67="",$C67&lt;&gt;'売掛帳'!$B$3,NOT(ISNUMBER($X67))),"",IF(AND($X67&gt;='売掛帳'!$Q$3,$X67&lt;='売掛帳'!$Q$4),$X67+ROW()/10000000,""))</f>
        <v/>
      </c>
    </row>
    <row r="68" ht="18" customHeight="1">
      <c r="A68" s="18" t="n"/>
      <c r="B68" s="26" t="n"/>
      <c r="C68" s="18" t="n"/>
      <c r="D68" s="20">
        <f>IF($W68="","",IF($W68="なし","※得意先にないコード",INDEX('得意先'!$C$5:$C$104,$W68)&amp;""))</f>
        <v/>
      </c>
      <c r="E68" s="26" t="n"/>
      <c r="F68" s="19" t="n"/>
      <c r="G68" s="27" t="n"/>
      <c r="H68" s="27" t="n"/>
      <c r="I68" s="27" t="n"/>
      <c r="J68" s="28">
        <f>IF($A68="","",IF('設定'!$B$10="四捨五入",ROUND(IF('設定'!$B$9="税込",N($G68)*10/110,N($G68)*10/100),0),IF('設定'!$B$10="切り上げ",ROUNDUP(IF('設定'!$B$9="税込",N($G68)*10/110,N($G68)*10/100),0),ROUNDDOWN(IF('設定'!$B$9="税込",N($G68)*10/110,N($G68)*10/100),0))))</f>
        <v/>
      </c>
      <c r="K68" s="28">
        <f>IF($A68="","",IF('設定'!$B$10="四捨五入",ROUND(IF('設定'!$B$9="税込",N($H68)*8/108,N($H68)*8/100),0),IF('設定'!$B$10="切り上げ",ROUNDUP(IF('設定'!$B$9="税込",N($H68)*8/108,N($H68)*8/100),0),ROUNDDOWN(IF('設定'!$B$9="税込",N($H68)*8/108,N($H68)*8/100),0))))</f>
        <v/>
      </c>
      <c r="L68" s="28">
        <f>IF($A68="","",N($G68)+N($H68)+N($I68)+IF('設定'!$B$9="税込",0,$J68+$K68))</f>
        <v/>
      </c>
      <c r="M68" s="29">
        <f>IF(OR($A68="",NOT(ISNUMBER($W68)),NOT(ISNUMBER($X68))),"",IF(OR(INDEX('得意先'!$D$5:$D$104,$W68)="",INDEX('得意先'!$E$5:$E$104,$W68)="",INDEX('得意先'!$F$5:$F$104,$W68)=""),"",IF(INDEX('得意先'!$F$5:$F$104,$W68)="末",DATE(YEAR($X68),(MONTH($X68)+IF(INDEX('得意先'!$D$5:$D$104,$W68)="末",0,IF(DAY($X68)&lt;=INDEX('得意先'!$D$5:$D$104,$W68),0,1))+N(INDEX('得意先'!$E$5:$E$104,$W68)))+1,0),DATE(YEAR($X68),(MONTH($X68)+IF(INDEX('得意先'!$D$5:$D$104,$W68)="末",0,IF(DAY($X68)&lt;=INDEX('得意先'!$D$5:$D$104,$W68),0,1))+N(INDEX('得意先'!$E$5:$E$104,$W68))),MIN(INDEX('得意先'!$F$5:$F$104,$W68),DAY(DATE(YEAR($X68),(MONTH($X68)+IF(INDEX('得意先'!$D$5:$D$104,$W68)="末",0,IF(DAY($X68)&lt;=INDEX('得意先'!$D$5:$D$104,$W68),0,1))+N(INDEX('得意先'!$E$5:$E$104,$W68)))+1,0)))))))</f>
        <v/>
      </c>
      <c r="N68" s="26" t="n"/>
      <c r="O68" s="29">
        <f>IF($A68="","",IF(ISNUMBER($N68),$N68,$M68))</f>
        <v/>
      </c>
      <c r="P68" s="28">
        <f>IF($A68="","",SUMIF('入金消込'!$F$5:$F$1004,$A68,'入金消込'!$G$5:$G$1004))</f>
        <v/>
      </c>
      <c r="Q68" s="28">
        <f>IF($A68="","",SUMIF('入金消込'!$F$5:$F$1004,$A68,'入金消込'!$H$5:$H$1004)+SUMIF('入金消込'!$F$5:$F$1004,$A68,'入金消込'!$I$5:$I$1004))</f>
        <v/>
      </c>
      <c r="R68" s="28">
        <f>IF($A68="","",$L68-$P68-$Q68)</f>
        <v/>
      </c>
      <c r="S68" s="30">
        <f>IF($A68="","",IF($R68=0,IF($L68=0,"請求額0","回収済"),IF($L68&lt;0,IF($R68&lt;0,"差し引き待ち","差し引きすぎ"),IF($R68&lt;0,"入金が多い",IF($P68+$Q68=0,"未入金","一部入金")))))</f>
        <v/>
      </c>
      <c r="T68" s="31">
        <f>IF(OR($A68="",N($R68)&lt;=0,NOT(ISNUMBER($O68))),"",IF($O68&lt;'設定'!$B$7,'設定'!$B$7-$O68,""))</f>
        <v/>
      </c>
      <c r="U68" s="30">
        <f>IF(OR($A68="",N($R68)&lt;=0),"",IF(NOT(ISNUMBER($O68)),'設定'!$B$22,IF($O68&gt;='設定'!$B$7,'設定'!$B$17,IF('設定'!$B$7-$O68&lt;='設定'!$B$12,'設定'!$B$18,IF('設定'!$B$7-$O68&lt;='設定'!$B$13,'設定'!$B$19,IF('設定'!$B$7-$O68&lt;='設定'!$B$14,'設定'!$B$20,'設定'!$B$21))))))</f>
        <v/>
      </c>
      <c r="V68" s="56" t="n"/>
      <c r="W68" s="32">
        <f>IF($C68="","",IFERROR(MATCH($C68,'得意先'!$B$5:$B$104,0),"なし"))</f>
        <v/>
      </c>
      <c r="X68" s="33">
        <f>IF($A68="","",IF(ISNUMBER($E68),$E68,IF(ISNUMBER($B68),$B68,"")))</f>
        <v/>
      </c>
      <c r="Y68" s="34">
        <f>IF($T68="","",$O68+ROW()/1000000)</f>
        <v/>
      </c>
      <c r="Z68" s="35">
        <f>IF(OR($A68="",$C68="",$C68&lt;&gt;'売掛帳'!$B$3,NOT(ISNUMBER($X68))),"",IF(AND($X68&gt;='売掛帳'!$Q$3,$X68&lt;='売掛帳'!$Q$4),$X68+ROW()/10000000,""))</f>
        <v/>
      </c>
    </row>
    <row r="69" ht="18" customHeight="1">
      <c r="A69" s="18" t="n"/>
      <c r="B69" s="26" t="n"/>
      <c r="C69" s="18" t="n"/>
      <c r="D69" s="20">
        <f>IF($W69="","",IF($W69="なし","※得意先にないコード",INDEX('得意先'!$C$5:$C$104,$W69)&amp;""))</f>
        <v/>
      </c>
      <c r="E69" s="26" t="n"/>
      <c r="F69" s="19" t="n"/>
      <c r="G69" s="27" t="n"/>
      <c r="H69" s="27" t="n"/>
      <c r="I69" s="27" t="n"/>
      <c r="J69" s="28">
        <f>IF($A69="","",IF('設定'!$B$10="四捨五入",ROUND(IF('設定'!$B$9="税込",N($G69)*10/110,N($G69)*10/100),0),IF('設定'!$B$10="切り上げ",ROUNDUP(IF('設定'!$B$9="税込",N($G69)*10/110,N($G69)*10/100),0),ROUNDDOWN(IF('設定'!$B$9="税込",N($G69)*10/110,N($G69)*10/100),0))))</f>
        <v/>
      </c>
      <c r="K69" s="28">
        <f>IF($A69="","",IF('設定'!$B$10="四捨五入",ROUND(IF('設定'!$B$9="税込",N($H69)*8/108,N($H69)*8/100),0),IF('設定'!$B$10="切り上げ",ROUNDUP(IF('設定'!$B$9="税込",N($H69)*8/108,N($H69)*8/100),0),ROUNDDOWN(IF('設定'!$B$9="税込",N($H69)*8/108,N($H69)*8/100),0))))</f>
        <v/>
      </c>
      <c r="L69" s="28">
        <f>IF($A69="","",N($G69)+N($H69)+N($I69)+IF('設定'!$B$9="税込",0,$J69+$K69))</f>
        <v/>
      </c>
      <c r="M69" s="29">
        <f>IF(OR($A69="",NOT(ISNUMBER($W69)),NOT(ISNUMBER($X69))),"",IF(OR(INDEX('得意先'!$D$5:$D$104,$W69)="",INDEX('得意先'!$E$5:$E$104,$W69)="",INDEX('得意先'!$F$5:$F$104,$W69)=""),"",IF(INDEX('得意先'!$F$5:$F$104,$W69)="末",DATE(YEAR($X69),(MONTH($X69)+IF(INDEX('得意先'!$D$5:$D$104,$W69)="末",0,IF(DAY($X69)&lt;=INDEX('得意先'!$D$5:$D$104,$W69),0,1))+N(INDEX('得意先'!$E$5:$E$104,$W69)))+1,0),DATE(YEAR($X69),(MONTH($X69)+IF(INDEX('得意先'!$D$5:$D$104,$W69)="末",0,IF(DAY($X69)&lt;=INDEX('得意先'!$D$5:$D$104,$W69),0,1))+N(INDEX('得意先'!$E$5:$E$104,$W69))),MIN(INDEX('得意先'!$F$5:$F$104,$W69),DAY(DATE(YEAR($X69),(MONTH($X69)+IF(INDEX('得意先'!$D$5:$D$104,$W69)="末",0,IF(DAY($X69)&lt;=INDEX('得意先'!$D$5:$D$104,$W69),0,1))+N(INDEX('得意先'!$E$5:$E$104,$W69)))+1,0)))))))</f>
        <v/>
      </c>
      <c r="N69" s="26" t="n"/>
      <c r="O69" s="29">
        <f>IF($A69="","",IF(ISNUMBER($N69),$N69,$M69))</f>
        <v/>
      </c>
      <c r="P69" s="28">
        <f>IF($A69="","",SUMIF('入金消込'!$F$5:$F$1004,$A69,'入金消込'!$G$5:$G$1004))</f>
        <v/>
      </c>
      <c r="Q69" s="28">
        <f>IF($A69="","",SUMIF('入金消込'!$F$5:$F$1004,$A69,'入金消込'!$H$5:$H$1004)+SUMIF('入金消込'!$F$5:$F$1004,$A69,'入金消込'!$I$5:$I$1004))</f>
        <v/>
      </c>
      <c r="R69" s="28">
        <f>IF($A69="","",$L69-$P69-$Q69)</f>
        <v/>
      </c>
      <c r="S69" s="30">
        <f>IF($A69="","",IF($R69=0,IF($L69=0,"請求額0","回収済"),IF($L69&lt;0,IF($R69&lt;0,"差し引き待ち","差し引きすぎ"),IF($R69&lt;0,"入金が多い",IF($P69+$Q69=0,"未入金","一部入金")))))</f>
        <v/>
      </c>
      <c r="T69" s="31">
        <f>IF(OR($A69="",N($R69)&lt;=0,NOT(ISNUMBER($O69))),"",IF($O69&lt;'設定'!$B$7,'設定'!$B$7-$O69,""))</f>
        <v/>
      </c>
      <c r="U69" s="30">
        <f>IF(OR($A69="",N($R69)&lt;=0),"",IF(NOT(ISNUMBER($O69)),'設定'!$B$22,IF($O69&gt;='設定'!$B$7,'設定'!$B$17,IF('設定'!$B$7-$O69&lt;='設定'!$B$12,'設定'!$B$18,IF('設定'!$B$7-$O69&lt;='設定'!$B$13,'設定'!$B$19,IF('設定'!$B$7-$O69&lt;='設定'!$B$14,'設定'!$B$20,'設定'!$B$21))))))</f>
        <v/>
      </c>
      <c r="V69" s="56" t="n"/>
      <c r="W69" s="32">
        <f>IF($C69="","",IFERROR(MATCH($C69,'得意先'!$B$5:$B$104,0),"なし"))</f>
        <v/>
      </c>
      <c r="X69" s="33">
        <f>IF($A69="","",IF(ISNUMBER($E69),$E69,IF(ISNUMBER($B69),$B69,"")))</f>
        <v/>
      </c>
      <c r="Y69" s="34">
        <f>IF($T69="","",$O69+ROW()/1000000)</f>
        <v/>
      </c>
      <c r="Z69" s="35">
        <f>IF(OR($A69="",$C69="",$C69&lt;&gt;'売掛帳'!$B$3,NOT(ISNUMBER($X69))),"",IF(AND($X69&gt;='売掛帳'!$Q$3,$X69&lt;='売掛帳'!$Q$4),$X69+ROW()/10000000,""))</f>
        <v/>
      </c>
    </row>
    <row r="70" ht="18" customHeight="1">
      <c r="A70" s="18" t="n"/>
      <c r="B70" s="26" t="n"/>
      <c r="C70" s="18" t="n"/>
      <c r="D70" s="20">
        <f>IF($W70="","",IF($W70="なし","※得意先にないコード",INDEX('得意先'!$C$5:$C$104,$W70)&amp;""))</f>
        <v/>
      </c>
      <c r="E70" s="26" t="n"/>
      <c r="F70" s="19" t="n"/>
      <c r="G70" s="27" t="n"/>
      <c r="H70" s="27" t="n"/>
      <c r="I70" s="27" t="n"/>
      <c r="J70" s="28">
        <f>IF($A70="","",IF('設定'!$B$10="四捨五入",ROUND(IF('設定'!$B$9="税込",N($G70)*10/110,N($G70)*10/100),0),IF('設定'!$B$10="切り上げ",ROUNDUP(IF('設定'!$B$9="税込",N($G70)*10/110,N($G70)*10/100),0),ROUNDDOWN(IF('設定'!$B$9="税込",N($G70)*10/110,N($G70)*10/100),0))))</f>
        <v/>
      </c>
      <c r="K70" s="28">
        <f>IF($A70="","",IF('設定'!$B$10="四捨五入",ROUND(IF('設定'!$B$9="税込",N($H70)*8/108,N($H70)*8/100),0),IF('設定'!$B$10="切り上げ",ROUNDUP(IF('設定'!$B$9="税込",N($H70)*8/108,N($H70)*8/100),0),ROUNDDOWN(IF('設定'!$B$9="税込",N($H70)*8/108,N($H70)*8/100),0))))</f>
        <v/>
      </c>
      <c r="L70" s="28">
        <f>IF($A70="","",N($G70)+N($H70)+N($I70)+IF('設定'!$B$9="税込",0,$J70+$K70))</f>
        <v/>
      </c>
      <c r="M70" s="29">
        <f>IF(OR($A70="",NOT(ISNUMBER($W70)),NOT(ISNUMBER($X70))),"",IF(OR(INDEX('得意先'!$D$5:$D$104,$W70)="",INDEX('得意先'!$E$5:$E$104,$W70)="",INDEX('得意先'!$F$5:$F$104,$W70)=""),"",IF(INDEX('得意先'!$F$5:$F$104,$W70)="末",DATE(YEAR($X70),(MONTH($X70)+IF(INDEX('得意先'!$D$5:$D$104,$W70)="末",0,IF(DAY($X70)&lt;=INDEX('得意先'!$D$5:$D$104,$W70),0,1))+N(INDEX('得意先'!$E$5:$E$104,$W70)))+1,0),DATE(YEAR($X70),(MONTH($X70)+IF(INDEX('得意先'!$D$5:$D$104,$W70)="末",0,IF(DAY($X70)&lt;=INDEX('得意先'!$D$5:$D$104,$W70),0,1))+N(INDEX('得意先'!$E$5:$E$104,$W70))),MIN(INDEX('得意先'!$F$5:$F$104,$W70),DAY(DATE(YEAR($X70),(MONTH($X70)+IF(INDEX('得意先'!$D$5:$D$104,$W70)="末",0,IF(DAY($X70)&lt;=INDEX('得意先'!$D$5:$D$104,$W70),0,1))+N(INDEX('得意先'!$E$5:$E$104,$W70)))+1,0)))))))</f>
        <v/>
      </c>
      <c r="N70" s="26" t="n"/>
      <c r="O70" s="29">
        <f>IF($A70="","",IF(ISNUMBER($N70),$N70,$M70))</f>
        <v/>
      </c>
      <c r="P70" s="28">
        <f>IF($A70="","",SUMIF('入金消込'!$F$5:$F$1004,$A70,'入金消込'!$G$5:$G$1004))</f>
        <v/>
      </c>
      <c r="Q70" s="28">
        <f>IF($A70="","",SUMIF('入金消込'!$F$5:$F$1004,$A70,'入金消込'!$H$5:$H$1004)+SUMIF('入金消込'!$F$5:$F$1004,$A70,'入金消込'!$I$5:$I$1004))</f>
        <v/>
      </c>
      <c r="R70" s="28">
        <f>IF($A70="","",$L70-$P70-$Q70)</f>
        <v/>
      </c>
      <c r="S70" s="30">
        <f>IF($A70="","",IF($R70=0,IF($L70=0,"請求額0","回収済"),IF($L70&lt;0,IF($R70&lt;0,"差し引き待ち","差し引きすぎ"),IF($R70&lt;0,"入金が多い",IF($P70+$Q70=0,"未入金","一部入金")))))</f>
        <v/>
      </c>
      <c r="T70" s="31">
        <f>IF(OR($A70="",N($R70)&lt;=0,NOT(ISNUMBER($O70))),"",IF($O70&lt;'設定'!$B$7,'設定'!$B$7-$O70,""))</f>
        <v/>
      </c>
      <c r="U70" s="30">
        <f>IF(OR($A70="",N($R70)&lt;=0),"",IF(NOT(ISNUMBER($O70)),'設定'!$B$22,IF($O70&gt;='設定'!$B$7,'設定'!$B$17,IF('設定'!$B$7-$O70&lt;='設定'!$B$12,'設定'!$B$18,IF('設定'!$B$7-$O70&lt;='設定'!$B$13,'設定'!$B$19,IF('設定'!$B$7-$O70&lt;='設定'!$B$14,'設定'!$B$20,'設定'!$B$21))))))</f>
        <v/>
      </c>
      <c r="V70" s="56" t="n"/>
      <c r="W70" s="32">
        <f>IF($C70="","",IFERROR(MATCH($C70,'得意先'!$B$5:$B$104,0),"なし"))</f>
        <v/>
      </c>
      <c r="X70" s="33">
        <f>IF($A70="","",IF(ISNUMBER($E70),$E70,IF(ISNUMBER($B70),$B70,"")))</f>
        <v/>
      </c>
      <c r="Y70" s="34">
        <f>IF($T70="","",$O70+ROW()/1000000)</f>
        <v/>
      </c>
      <c r="Z70" s="35">
        <f>IF(OR($A70="",$C70="",$C70&lt;&gt;'売掛帳'!$B$3,NOT(ISNUMBER($X70))),"",IF(AND($X70&gt;='売掛帳'!$Q$3,$X70&lt;='売掛帳'!$Q$4),$X70+ROW()/10000000,""))</f>
        <v/>
      </c>
    </row>
    <row r="71" ht="18" customHeight="1">
      <c r="A71" s="18" t="n"/>
      <c r="B71" s="26" t="n"/>
      <c r="C71" s="18" t="n"/>
      <c r="D71" s="20">
        <f>IF($W71="","",IF($W71="なし","※得意先にないコード",INDEX('得意先'!$C$5:$C$104,$W71)&amp;""))</f>
        <v/>
      </c>
      <c r="E71" s="26" t="n"/>
      <c r="F71" s="19" t="n"/>
      <c r="G71" s="27" t="n"/>
      <c r="H71" s="27" t="n"/>
      <c r="I71" s="27" t="n"/>
      <c r="J71" s="28">
        <f>IF($A71="","",IF('設定'!$B$10="四捨五入",ROUND(IF('設定'!$B$9="税込",N($G71)*10/110,N($G71)*10/100),0),IF('設定'!$B$10="切り上げ",ROUNDUP(IF('設定'!$B$9="税込",N($G71)*10/110,N($G71)*10/100),0),ROUNDDOWN(IF('設定'!$B$9="税込",N($G71)*10/110,N($G71)*10/100),0))))</f>
        <v/>
      </c>
      <c r="K71" s="28">
        <f>IF($A71="","",IF('設定'!$B$10="四捨五入",ROUND(IF('設定'!$B$9="税込",N($H71)*8/108,N($H71)*8/100),0),IF('設定'!$B$10="切り上げ",ROUNDUP(IF('設定'!$B$9="税込",N($H71)*8/108,N($H71)*8/100),0),ROUNDDOWN(IF('設定'!$B$9="税込",N($H71)*8/108,N($H71)*8/100),0))))</f>
        <v/>
      </c>
      <c r="L71" s="28">
        <f>IF($A71="","",N($G71)+N($H71)+N($I71)+IF('設定'!$B$9="税込",0,$J71+$K71))</f>
        <v/>
      </c>
      <c r="M71" s="29">
        <f>IF(OR($A71="",NOT(ISNUMBER($W71)),NOT(ISNUMBER($X71))),"",IF(OR(INDEX('得意先'!$D$5:$D$104,$W71)="",INDEX('得意先'!$E$5:$E$104,$W71)="",INDEX('得意先'!$F$5:$F$104,$W71)=""),"",IF(INDEX('得意先'!$F$5:$F$104,$W71)="末",DATE(YEAR($X71),(MONTH($X71)+IF(INDEX('得意先'!$D$5:$D$104,$W71)="末",0,IF(DAY($X71)&lt;=INDEX('得意先'!$D$5:$D$104,$W71),0,1))+N(INDEX('得意先'!$E$5:$E$104,$W71)))+1,0),DATE(YEAR($X71),(MONTH($X71)+IF(INDEX('得意先'!$D$5:$D$104,$W71)="末",0,IF(DAY($X71)&lt;=INDEX('得意先'!$D$5:$D$104,$W71),0,1))+N(INDEX('得意先'!$E$5:$E$104,$W71))),MIN(INDEX('得意先'!$F$5:$F$104,$W71),DAY(DATE(YEAR($X71),(MONTH($X71)+IF(INDEX('得意先'!$D$5:$D$104,$W71)="末",0,IF(DAY($X71)&lt;=INDEX('得意先'!$D$5:$D$104,$W71),0,1))+N(INDEX('得意先'!$E$5:$E$104,$W71)))+1,0)))))))</f>
        <v/>
      </c>
      <c r="N71" s="26" t="n"/>
      <c r="O71" s="29">
        <f>IF($A71="","",IF(ISNUMBER($N71),$N71,$M71))</f>
        <v/>
      </c>
      <c r="P71" s="28">
        <f>IF($A71="","",SUMIF('入金消込'!$F$5:$F$1004,$A71,'入金消込'!$G$5:$G$1004))</f>
        <v/>
      </c>
      <c r="Q71" s="28">
        <f>IF($A71="","",SUMIF('入金消込'!$F$5:$F$1004,$A71,'入金消込'!$H$5:$H$1004)+SUMIF('入金消込'!$F$5:$F$1004,$A71,'入金消込'!$I$5:$I$1004))</f>
        <v/>
      </c>
      <c r="R71" s="28">
        <f>IF($A71="","",$L71-$P71-$Q71)</f>
        <v/>
      </c>
      <c r="S71" s="30">
        <f>IF($A71="","",IF($R71=0,IF($L71=0,"請求額0","回収済"),IF($L71&lt;0,IF($R71&lt;0,"差し引き待ち","差し引きすぎ"),IF($R71&lt;0,"入金が多い",IF($P71+$Q71=0,"未入金","一部入金")))))</f>
        <v/>
      </c>
      <c r="T71" s="31">
        <f>IF(OR($A71="",N($R71)&lt;=0,NOT(ISNUMBER($O71))),"",IF($O71&lt;'設定'!$B$7,'設定'!$B$7-$O71,""))</f>
        <v/>
      </c>
      <c r="U71" s="30">
        <f>IF(OR($A71="",N($R71)&lt;=0),"",IF(NOT(ISNUMBER($O71)),'設定'!$B$22,IF($O71&gt;='設定'!$B$7,'設定'!$B$17,IF('設定'!$B$7-$O71&lt;='設定'!$B$12,'設定'!$B$18,IF('設定'!$B$7-$O71&lt;='設定'!$B$13,'設定'!$B$19,IF('設定'!$B$7-$O71&lt;='設定'!$B$14,'設定'!$B$20,'設定'!$B$21))))))</f>
        <v/>
      </c>
      <c r="V71" s="56" t="n"/>
      <c r="W71" s="32">
        <f>IF($C71="","",IFERROR(MATCH($C71,'得意先'!$B$5:$B$104,0),"なし"))</f>
        <v/>
      </c>
      <c r="X71" s="33">
        <f>IF($A71="","",IF(ISNUMBER($E71),$E71,IF(ISNUMBER($B71),$B71,"")))</f>
        <v/>
      </c>
      <c r="Y71" s="34">
        <f>IF($T71="","",$O71+ROW()/1000000)</f>
        <v/>
      </c>
      <c r="Z71" s="35">
        <f>IF(OR($A71="",$C71="",$C71&lt;&gt;'売掛帳'!$B$3,NOT(ISNUMBER($X71))),"",IF(AND($X71&gt;='売掛帳'!$Q$3,$X71&lt;='売掛帳'!$Q$4),$X71+ROW()/10000000,""))</f>
        <v/>
      </c>
    </row>
    <row r="72" ht="18" customHeight="1">
      <c r="A72" s="18" t="n"/>
      <c r="B72" s="26" t="n"/>
      <c r="C72" s="18" t="n"/>
      <c r="D72" s="20">
        <f>IF($W72="","",IF($W72="なし","※得意先にないコード",INDEX('得意先'!$C$5:$C$104,$W72)&amp;""))</f>
        <v/>
      </c>
      <c r="E72" s="26" t="n"/>
      <c r="F72" s="19" t="n"/>
      <c r="G72" s="27" t="n"/>
      <c r="H72" s="27" t="n"/>
      <c r="I72" s="27" t="n"/>
      <c r="J72" s="28">
        <f>IF($A72="","",IF('設定'!$B$10="四捨五入",ROUND(IF('設定'!$B$9="税込",N($G72)*10/110,N($G72)*10/100),0),IF('設定'!$B$10="切り上げ",ROUNDUP(IF('設定'!$B$9="税込",N($G72)*10/110,N($G72)*10/100),0),ROUNDDOWN(IF('設定'!$B$9="税込",N($G72)*10/110,N($G72)*10/100),0))))</f>
        <v/>
      </c>
      <c r="K72" s="28">
        <f>IF($A72="","",IF('設定'!$B$10="四捨五入",ROUND(IF('設定'!$B$9="税込",N($H72)*8/108,N($H72)*8/100),0),IF('設定'!$B$10="切り上げ",ROUNDUP(IF('設定'!$B$9="税込",N($H72)*8/108,N($H72)*8/100),0),ROUNDDOWN(IF('設定'!$B$9="税込",N($H72)*8/108,N($H72)*8/100),0))))</f>
        <v/>
      </c>
      <c r="L72" s="28">
        <f>IF($A72="","",N($G72)+N($H72)+N($I72)+IF('設定'!$B$9="税込",0,$J72+$K72))</f>
        <v/>
      </c>
      <c r="M72" s="29">
        <f>IF(OR($A72="",NOT(ISNUMBER($W72)),NOT(ISNUMBER($X72))),"",IF(OR(INDEX('得意先'!$D$5:$D$104,$W72)="",INDEX('得意先'!$E$5:$E$104,$W72)="",INDEX('得意先'!$F$5:$F$104,$W72)=""),"",IF(INDEX('得意先'!$F$5:$F$104,$W72)="末",DATE(YEAR($X72),(MONTH($X72)+IF(INDEX('得意先'!$D$5:$D$104,$W72)="末",0,IF(DAY($X72)&lt;=INDEX('得意先'!$D$5:$D$104,$W72),0,1))+N(INDEX('得意先'!$E$5:$E$104,$W72)))+1,0),DATE(YEAR($X72),(MONTH($X72)+IF(INDEX('得意先'!$D$5:$D$104,$W72)="末",0,IF(DAY($X72)&lt;=INDEX('得意先'!$D$5:$D$104,$W72),0,1))+N(INDEX('得意先'!$E$5:$E$104,$W72))),MIN(INDEX('得意先'!$F$5:$F$104,$W72),DAY(DATE(YEAR($X72),(MONTH($X72)+IF(INDEX('得意先'!$D$5:$D$104,$W72)="末",0,IF(DAY($X72)&lt;=INDEX('得意先'!$D$5:$D$104,$W72),0,1))+N(INDEX('得意先'!$E$5:$E$104,$W72)))+1,0)))))))</f>
        <v/>
      </c>
      <c r="N72" s="26" t="n"/>
      <c r="O72" s="29">
        <f>IF($A72="","",IF(ISNUMBER($N72),$N72,$M72))</f>
        <v/>
      </c>
      <c r="P72" s="28">
        <f>IF($A72="","",SUMIF('入金消込'!$F$5:$F$1004,$A72,'入金消込'!$G$5:$G$1004))</f>
        <v/>
      </c>
      <c r="Q72" s="28">
        <f>IF($A72="","",SUMIF('入金消込'!$F$5:$F$1004,$A72,'入金消込'!$H$5:$H$1004)+SUMIF('入金消込'!$F$5:$F$1004,$A72,'入金消込'!$I$5:$I$1004))</f>
        <v/>
      </c>
      <c r="R72" s="28">
        <f>IF($A72="","",$L72-$P72-$Q72)</f>
        <v/>
      </c>
      <c r="S72" s="30">
        <f>IF($A72="","",IF($R72=0,IF($L72=0,"請求額0","回収済"),IF($L72&lt;0,IF($R72&lt;0,"差し引き待ち","差し引きすぎ"),IF($R72&lt;0,"入金が多い",IF($P72+$Q72=0,"未入金","一部入金")))))</f>
        <v/>
      </c>
      <c r="T72" s="31">
        <f>IF(OR($A72="",N($R72)&lt;=0,NOT(ISNUMBER($O72))),"",IF($O72&lt;'設定'!$B$7,'設定'!$B$7-$O72,""))</f>
        <v/>
      </c>
      <c r="U72" s="30">
        <f>IF(OR($A72="",N($R72)&lt;=0),"",IF(NOT(ISNUMBER($O72)),'設定'!$B$22,IF($O72&gt;='設定'!$B$7,'設定'!$B$17,IF('設定'!$B$7-$O72&lt;='設定'!$B$12,'設定'!$B$18,IF('設定'!$B$7-$O72&lt;='設定'!$B$13,'設定'!$B$19,IF('設定'!$B$7-$O72&lt;='設定'!$B$14,'設定'!$B$20,'設定'!$B$21))))))</f>
        <v/>
      </c>
      <c r="V72" s="56" t="n"/>
      <c r="W72" s="32">
        <f>IF($C72="","",IFERROR(MATCH($C72,'得意先'!$B$5:$B$104,0),"なし"))</f>
        <v/>
      </c>
      <c r="X72" s="33">
        <f>IF($A72="","",IF(ISNUMBER($E72),$E72,IF(ISNUMBER($B72),$B72,"")))</f>
        <v/>
      </c>
      <c r="Y72" s="34">
        <f>IF($T72="","",$O72+ROW()/1000000)</f>
        <v/>
      </c>
      <c r="Z72" s="35">
        <f>IF(OR($A72="",$C72="",$C72&lt;&gt;'売掛帳'!$B$3,NOT(ISNUMBER($X72))),"",IF(AND($X72&gt;='売掛帳'!$Q$3,$X72&lt;='売掛帳'!$Q$4),$X72+ROW()/10000000,""))</f>
        <v/>
      </c>
    </row>
    <row r="73" ht="18" customHeight="1">
      <c r="A73" s="18" t="n"/>
      <c r="B73" s="26" t="n"/>
      <c r="C73" s="18" t="n"/>
      <c r="D73" s="20">
        <f>IF($W73="","",IF($W73="なし","※得意先にないコード",INDEX('得意先'!$C$5:$C$104,$W73)&amp;""))</f>
        <v/>
      </c>
      <c r="E73" s="26" t="n"/>
      <c r="F73" s="19" t="n"/>
      <c r="G73" s="27" t="n"/>
      <c r="H73" s="27" t="n"/>
      <c r="I73" s="27" t="n"/>
      <c r="J73" s="28">
        <f>IF($A73="","",IF('設定'!$B$10="四捨五入",ROUND(IF('設定'!$B$9="税込",N($G73)*10/110,N($G73)*10/100),0),IF('設定'!$B$10="切り上げ",ROUNDUP(IF('設定'!$B$9="税込",N($G73)*10/110,N($G73)*10/100),0),ROUNDDOWN(IF('設定'!$B$9="税込",N($G73)*10/110,N($G73)*10/100),0))))</f>
        <v/>
      </c>
      <c r="K73" s="28">
        <f>IF($A73="","",IF('設定'!$B$10="四捨五入",ROUND(IF('設定'!$B$9="税込",N($H73)*8/108,N($H73)*8/100),0),IF('設定'!$B$10="切り上げ",ROUNDUP(IF('設定'!$B$9="税込",N($H73)*8/108,N($H73)*8/100),0),ROUNDDOWN(IF('設定'!$B$9="税込",N($H73)*8/108,N($H73)*8/100),0))))</f>
        <v/>
      </c>
      <c r="L73" s="28">
        <f>IF($A73="","",N($G73)+N($H73)+N($I73)+IF('設定'!$B$9="税込",0,$J73+$K73))</f>
        <v/>
      </c>
      <c r="M73" s="29">
        <f>IF(OR($A73="",NOT(ISNUMBER($W73)),NOT(ISNUMBER($X73))),"",IF(OR(INDEX('得意先'!$D$5:$D$104,$W73)="",INDEX('得意先'!$E$5:$E$104,$W73)="",INDEX('得意先'!$F$5:$F$104,$W73)=""),"",IF(INDEX('得意先'!$F$5:$F$104,$W73)="末",DATE(YEAR($X73),(MONTH($X73)+IF(INDEX('得意先'!$D$5:$D$104,$W73)="末",0,IF(DAY($X73)&lt;=INDEX('得意先'!$D$5:$D$104,$W73),0,1))+N(INDEX('得意先'!$E$5:$E$104,$W73)))+1,0),DATE(YEAR($X73),(MONTH($X73)+IF(INDEX('得意先'!$D$5:$D$104,$W73)="末",0,IF(DAY($X73)&lt;=INDEX('得意先'!$D$5:$D$104,$W73),0,1))+N(INDEX('得意先'!$E$5:$E$104,$W73))),MIN(INDEX('得意先'!$F$5:$F$104,$W73),DAY(DATE(YEAR($X73),(MONTH($X73)+IF(INDEX('得意先'!$D$5:$D$104,$W73)="末",0,IF(DAY($X73)&lt;=INDEX('得意先'!$D$5:$D$104,$W73),0,1))+N(INDEX('得意先'!$E$5:$E$104,$W73)))+1,0)))))))</f>
        <v/>
      </c>
      <c r="N73" s="26" t="n"/>
      <c r="O73" s="29">
        <f>IF($A73="","",IF(ISNUMBER($N73),$N73,$M73))</f>
        <v/>
      </c>
      <c r="P73" s="28">
        <f>IF($A73="","",SUMIF('入金消込'!$F$5:$F$1004,$A73,'入金消込'!$G$5:$G$1004))</f>
        <v/>
      </c>
      <c r="Q73" s="28">
        <f>IF($A73="","",SUMIF('入金消込'!$F$5:$F$1004,$A73,'入金消込'!$H$5:$H$1004)+SUMIF('入金消込'!$F$5:$F$1004,$A73,'入金消込'!$I$5:$I$1004))</f>
        <v/>
      </c>
      <c r="R73" s="28">
        <f>IF($A73="","",$L73-$P73-$Q73)</f>
        <v/>
      </c>
      <c r="S73" s="30">
        <f>IF($A73="","",IF($R73=0,IF($L73=0,"請求額0","回収済"),IF($L73&lt;0,IF($R73&lt;0,"差し引き待ち","差し引きすぎ"),IF($R73&lt;0,"入金が多い",IF($P73+$Q73=0,"未入金","一部入金")))))</f>
        <v/>
      </c>
      <c r="T73" s="31">
        <f>IF(OR($A73="",N($R73)&lt;=0,NOT(ISNUMBER($O73))),"",IF($O73&lt;'設定'!$B$7,'設定'!$B$7-$O73,""))</f>
        <v/>
      </c>
      <c r="U73" s="30">
        <f>IF(OR($A73="",N($R73)&lt;=0),"",IF(NOT(ISNUMBER($O73)),'設定'!$B$22,IF($O73&gt;='設定'!$B$7,'設定'!$B$17,IF('設定'!$B$7-$O73&lt;='設定'!$B$12,'設定'!$B$18,IF('設定'!$B$7-$O73&lt;='設定'!$B$13,'設定'!$B$19,IF('設定'!$B$7-$O73&lt;='設定'!$B$14,'設定'!$B$20,'設定'!$B$21))))))</f>
        <v/>
      </c>
      <c r="V73" s="56" t="n"/>
      <c r="W73" s="32">
        <f>IF($C73="","",IFERROR(MATCH($C73,'得意先'!$B$5:$B$104,0),"なし"))</f>
        <v/>
      </c>
      <c r="X73" s="33">
        <f>IF($A73="","",IF(ISNUMBER($E73),$E73,IF(ISNUMBER($B73),$B73,"")))</f>
        <v/>
      </c>
      <c r="Y73" s="34">
        <f>IF($T73="","",$O73+ROW()/1000000)</f>
        <v/>
      </c>
      <c r="Z73" s="35">
        <f>IF(OR($A73="",$C73="",$C73&lt;&gt;'売掛帳'!$B$3,NOT(ISNUMBER($X73))),"",IF(AND($X73&gt;='売掛帳'!$Q$3,$X73&lt;='売掛帳'!$Q$4),$X73+ROW()/10000000,""))</f>
        <v/>
      </c>
    </row>
    <row r="74" ht="18" customHeight="1">
      <c r="A74" s="18" t="n"/>
      <c r="B74" s="26" t="n"/>
      <c r="C74" s="18" t="n"/>
      <c r="D74" s="20">
        <f>IF($W74="","",IF($W74="なし","※得意先にないコード",INDEX('得意先'!$C$5:$C$104,$W74)&amp;""))</f>
        <v/>
      </c>
      <c r="E74" s="26" t="n"/>
      <c r="F74" s="19" t="n"/>
      <c r="G74" s="27" t="n"/>
      <c r="H74" s="27" t="n"/>
      <c r="I74" s="27" t="n"/>
      <c r="J74" s="28">
        <f>IF($A74="","",IF('設定'!$B$10="四捨五入",ROUND(IF('設定'!$B$9="税込",N($G74)*10/110,N($G74)*10/100),0),IF('設定'!$B$10="切り上げ",ROUNDUP(IF('設定'!$B$9="税込",N($G74)*10/110,N($G74)*10/100),0),ROUNDDOWN(IF('設定'!$B$9="税込",N($G74)*10/110,N($G74)*10/100),0))))</f>
        <v/>
      </c>
      <c r="K74" s="28">
        <f>IF($A74="","",IF('設定'!$B$10="四捨五入",ROUND(IF('設定'!$B$9="税込",N($H74)*8/108,N($H74)*8/100),0),IF('設定'!$B$10="切り上げ",ROUNDUP(IF('設定'!$B$9="税込",N($H74)*8/108,N($H74)*8/100),0),ROUNDDOWN(IF('設定'!$B$9="税込",N($H74)*8/108,N($H74)*8/100),0))))</f>
        <v/>
      </c>
      <c r="L74" s="28">
        <f>IF($A74="","",N($G74)+N($H74)+N($I74)+IF('設定'!$B$9="税込",0,$J74+$K74))</f>
        <v/>
      </c>
      <c r="M74" s="29">
        <f>IF(OR($A74="",NOT(ISNUMBER($W74)),NOT(ISNUMBER($X74))),"",IF(OR(INDEX('得意先'!$D$5:$D$104,$W74)="",INDEX('得意先'!$E$5:$E$104,$W74)="",INDEX('得意先'!$F$5:$F$104,$W74)=""),"",IF(INDEX('得意先'!$F$5:$F$104,$W74)="末",DATE(YEAR($X74),(MONTH($X74)+IF(INDEX('得意先'!$D$5:$D$104,$W74)="末",0,IF(DAY($X74)&lt;=INDEX('得意先'!$D$5:$D$104,$W74),0,1))+N(INDEX('得意先'!$E$5:$E$104,$W74)))+1,0),DATE(YEAR($X74),(MONTH($X74)+IF(INDEX('得意先'!$D$5:$D$104,$W74)="末",0,IF(DAY($X74)&lt;=INDEX('得意先'!$D$5:$D$104,$W74),0,1))+N(INDEX('得意先'!$E$5:$E$104,$W74))),MIN(INDEX('得意先'!$F$5:$F$104,$W74),DAY(DATE(YEAR($X74),(MONTH($X74)+IF(INDEX('得意先'!$D$5:$D$104,$W74)="末",0,IF(DAY($X74)&lt;=INDEX('得意先'!$D$5:$D$104,$W74),0,1))+N(INDEX('得意先'!$E$5:$E$104,$W74)))+1,0)))))))</f>
        <v/>
      </c>
      <c r="N74" s="26" t="n"/>
      <c r="O74" s="29">
        <f>IF($A74="","",IF(ISNUMBER($N74),$N74,$M74))</f>
        <v/>
      </c>
      <c r="P74" s="28">
        <f>IF($A74="","",SUMIF('入金消込'!$F$5:$F$1004,$A74,'入金消込'!$G$5:$G$1004))</f>
        <v/>
      </c>
      <c r="Q74" s="28">
        <f>IF($A74="","",SUMIF('入金消込'!$F$5:$F$1004,$A74,'入金消込'!$H$5:$H$1004)+SUMIF('入金消込'!$F$5:$F$1004,$A74,'入金消込'!$I$5:$I$1004))</f>
        <v/>
      </c>
      <c r="R74" s="28">
        <f>IF($A74="","",$L74-$P74-$Q74)</f>
        <v/>
      </c>
      <c r="S74" s="30">
        <f>IF($A74="","",IF($R74=0,IF($L74=0,"請求額0","回収済"),IF($L74&lt;0,IF($R74&lt;0,"差し引き待ち","差し引きすぎ"),IF($R74&lt;0,"入金が多い",IF($P74+$Q74=0,"未入金","一部入金")))))</f>
        <v/>
      </c>
      <c r="T74" s="31">
        <f>IF(OR($A74="",N($R74)&lt;=0,NOT(ISNUMBER($O74))),"",IF($O74&lt;'設定'!$B$7,'設定'!$B$7-$O74,""))</f>
        <v/>
      </c>
      <c r="U74" s="30">
        <f>IF(OR($A74="",N($R74)&lt;=0),"",IF(NOT(ISNUMBER($O74)),'設定'!$B$22,IF($O74&gt;='設定'!$B$7,'設定'!$B$17,IF('設定'!$B$7-$O74&lt;='設定'!$B$12,'設定'!$B$18,IF('設定'!$B$7-$O74&lt;='設定'!$B$13,'設定'!$B$19,IF('設定'!$B$7-$O74&lt;='設定'!$B$14,'設定'!$B$20,'設定'!$B$21))))))</f>
        <v/>
      </c>
      <c r="V74" s="56" t="n"/>
      <c r="W74" s="32">
        <f>IF($C74="","",IFERROR(MATCH($C74,'得意先'!$B$5:$B$104,0),"なし"))</f>
        <v/>
      </c>
      <c r="X74" s="33">
        <f>IF($A74="","",IF(ISNUMBER($E74),$E74,IF(ISNUMBER($B74),$B74,"")))</f>
        <v/>
      </c>
      <c r="Y74" s="34">
        <f>IF($T74="","",$O74+ROW()/1000000)</f>
        <v/>
      </c>
      <c r="Z74" s="35">
        <f>IF(OR($A74="",$C74="",$C74&lt;&gt;'売掛帳'!$B$3,NOT(ISNUMBER($X74))),"",IF(AND($X74&gt;='売掛帳'!$Q$3,$X74&lt;='売掛帳'!$Q$4),$X74+ROW()/10000000,""))</f>
        <v/>
      </c>
    </row>
    <row r="75" ht="18" customHeight="1">
      <c r="A75" s="18" t="n"/>
      <c r="B75" s="26" t="n"/>
      <c r="C75" s="18" t="n"/>
      <c r="D75" s="20">
        <f>IF($W75="","",IF($W75="なし","※得意先にないコード",INDEX('得意先'!$C$5:$C$104,$W75)&amp;""))</f>
        <v/>
      </c>
      <c r="E75" s="26" t="n"/>
      <c r="F75" s="19" t="n"/>
      <c r="G75" s="27" t="n"/>
      <c r="H75" s="27" t="n"/>
      <c r="I75" s="27" t="n"/>
      <c r="J75" s="28">
        <f>IF($A75="","",IF('設定'!$B$10="四捨五入",ROUND(IF('設定'!$B$9="税込",N($G75)*10/110,N($G75)*10/100),0),IF('設定'!$B$10="切り上げ",ROUNDUP(IF('設定'!$B$9="税込",N($G75)*10/110,N($G75)*10/100),0),ROUNDDOWN(IF('設定'!$B$9="税込",N($G75)*10/110,N($G75)*10/100),0))))</f>
        <v/>
      </c>
      <c r="K75" s="28">
        <f>IF($A75="","",IF('設定'!$B$10="四捨五入",ROUND(IF('設定'!$B$9="税込",N($H75)*8/108,N($H75)*8/100),0),IF('設定'!$B$10="切り上げ",ROUNDUP(IF('設定'!$B$9="税込",N($H75)*8/108,N($H75)*8/100),0),ROUNDDOWN(IF('設定'!$B$9="税込",N($H75)*8/108,N($H75)*8/100),0))))</f>
        <v/>
      </c>
      <c r="L75" s="28">
        <f>IF($A75="","",N($G75)+N($H75)+N($I75)+IF('設定'!$B$9="税込",0,$J75+$K75))</f>
        <v/>
      </c>
      <c r="M75" s="29">
        <f>IF(OR($A75="",NOT(ISNUMBER($W75)),NOT(ISNUMBER($X75))),"",IF(OR(INDEX('得意先'!$D$5:$D$104,$W75)="",INDEX('得意先'!$E$5:$E$104,$W75)="",INDEX('得意先'!$F$5:$F$104,$W75)=""),"",IF(INDEX('得意先'!$F$5:$F$104,$W75)="末",DATE(YEAR($X75),(MONTH($X75)+IF(INDEX('得意先'!$D$5:$D$104,$W75)="末",0,IF(DAY($X75)&lt;=INDEX('得意先'!$D$5:$D$104,$W75),0,1))+N(INDEX('得意先'!$E$5:$E$104,$W75)))+1,0),DATE(YEAR($X75),(MONTH($X75)+IF(INDEX('得意先'!$D$5:$D$104,$W75)="末",0,IF(DAY($X75)&lt;=INDEX('得意先'!$D$5:$D$104,$W75),0,1))+N(INDEX('得意先'!$E$5:$E$104,$W75))),MIN(INDEX('得意先'!$F$5:$F$104,$W75),DAY(DATE(YEAR($X75),(MONTH($X75)+IF(INDEX('得意先'!$D$5:$D$104,$W75)="末",0,IF(DAY($X75)&lt;=INDEX('得意先'!$D$5:$D$104,$W75),0,1))+N(INDEX('得意先'!$E$5:$E$104,$W75)))+1,0)))))))</f>
        <v/>
      </c>
      <c r="N75" s="26" t="n"/>
      <c r="O75" s="29">
        <f>IF($A75="","",IF(ISNUMBER($N75),$N75,$M75))</f>
        <v/>
      </c>
      <c r="P75" s="28">
        <f>IF($A75="","",SUMIF('入金消込'!$F$5:$F$1004,$A75,'入金消込'!$G$5:$G$1004))</f>
        <v/>
      </c>
      <c r="Q75" s="28">
        <f>IF($A75="","",SUMIF('入金消込'!$F$5:$F$1004,$A75,'入金消込'!$H$5:$H$1004)+SUMIF('入金消込'!$F$5:$F$1004,$A75,'入金消込'!$I$5:$I$1004))</f>
        <v/>
      </c>
      <c r="R75" s="28">
        <f>IF($A75="","",$L75-$P75-$Q75)</f>
        <v/>
      </c>
      <c r="S75" s="30">
        <f>IF($A75="","",IF($R75=0,IF($L75=0,"請求額0","回収済"),IF($L75&lt;0,IF($R75&lt;0,"差し引き待ち","差し引きすぎ"),IF($R75&lt;0,"入金が多い",IF($P75+$Q75=0,"未入金","一部入金")))))</f>
        <v/>
      </c>
      <c r="T75" s="31">
        <f>IF(OR($A75="",N($R75)&lt;=0,NOT(ISNUMBER($O75))),"",IF($O75&lt;'設定'!$B$7,'設定'!$B$7-$O75,""))</f>
        <v/>
      </c>
      <c r="U75" s="30">
        <f>IF(OR($A75="",N($R75)&lt;=0),"",IF(NOT(ISNUMBER($O75)),'設定'!$B$22,IF($O75&gt;='設定'!$B$7,'設定'!$B$17,IF('設定'!$B$7-$O75&lt;='設定'!$B$12,'設定'!$B$18,IF('設定'!$B$7-$O75&lt;='設定'!$B$13,'設定'!$B$19,IF('設定'!$B$7-$O75&lt;='設定'!$B$14,'設定'!$B$20,'設定'!$B$21))))))</f>
        <v/>
      </c>
      <c r="V75" s="56" t="n"/>
      <c r="W75" s="32">
        <f>IF($C75="","",IFERROR(MATCH($C75,'得意先'!$B$5:$B$104,0),"なし"))</f>
        <v/>
      </c>
      <c r="X75" s="33">
        <f>IF($A75="","",IF(ISNUMBER($E75),$E75,IF(ISNUMBER($B75),$B75,"")))</f>
        <v/>
      </c>
      <c r="Y75" s="34">
        <f>IF($T75="","",$O75+ROW()/1000000)</f>
        <v/>
      </c>
      <c r="Z75" s="35">
        <f>IF(OR($A75="",$C75="",$C75&lt;&gt;'売掛帳'!$B$3,NOT(ISNUMBER($X75))),"",IF(AND($X75&gt;='売掛帳'!$Q$3,$X75&lt;='売掛帳'!$Q$4),$X75+ROW()/10000000,""))</f>
        <v/>
      </c>
    </row>
    <row r="76" ht="18" customHeight="1">
      <c r="A76" s="18" t="n"/>
      <c r="B76" s="26" t="n"/>
      <c r="C76" s="18" t="n"/>
      <c r="D76" s="20">
        <f>IF($W76="","",IF($W76="なし","※得意先にないコード",INDEX('得意先'!$C$5:$C$104,$W76)&amp;""))</f>
        <v/>
      </c>
      <c r="E76" s="26" t="n"/>
      <c r="F76" s="19" t="n"/>
      <c r="G76" s="27" t="n"/>
      <c r="H76" s="27" t="n"/>
      <c r="I76" s="27" t="n"/>
      <c r="J76" s="28">
        <f>IF($A76="","",IF('設定'!$B$10="四捨五入",ROUND(IF('設定'!$B$9="税込",N($G76)*10/110,N($G76)*10/100),0),IF('設定'!$B$10="切り上げ",ROUNDUP(IF('設定'!$B$9="税込",N($G76)*10/110,N($G76)*10/100),0),ROUNDDOWN(IF('設定'!$B$9="税込",N($G76)*10/110,N($G76)*10/100),0))))</f>
        <v/>
      </c>
      <c r="K76" s="28">
        <f>IF($A76="","",IF('設定'!$B$10="四捨五入",ROUND(IF('設定'!$B$9="税込",N($H76)*8/108,N($H76)*8/100),0),IF('設定'!$B$10="切り上げ",ROUNDUP(IF('設定'!$B$9="税込",N($H76)*8/108,N($H76)*8/100),0),ROUNDDOWN(IF('設定'!$B$9="税込",N($H76)*8/108,N($H76)*8/100),0))))</f>
        <v/>
      </c>
      <c r="L76" s="28">
        <f>IF($A76="","",N($G76)+N($H76)+N($I76)+IF('設定'!$B$9="税込",0,$J76+$K76))</f>
        <v/>
      </c>
      <c r="M76" s="29">
        <f>IF(OR($A76="",NOT(ISNUMBER($W76)),NOT(ISNUMBER($X76))),"",IF(OR(INDEX('得意先'!$D$5:$D$104,$W76)="",INDEX('得意先'!$E$5:$E$104,$W76)="",INDEX('得意先'!$F$5:$F$104,$W76)=""),"",IF(INDEX('得意先'!$F$5:$F$104,$W76)="末",DATE(YEAR($X76),(MONTH($X76)+IF(INDEX('得意先'!$D$5:$D$104,$W76)="末",0,IF(DAY($X76)&lt;=INDEX('得意先'!$D$5:$D$104,$W76),0,1))+N(INDEX('得意先'!$E$5:$E$104,$W76)))+1,0),DATE(YEAR($X76),(MONTH($X76)+IF(INDEX('得意先'!$D$5:$D$104,$W76)="末",0,IF(DAY($X76)&lt;=INDEX('得意先'!$D$5:$D$104,$W76),0,1))+N(INDEX('得意先'!$E$5:$E$104,$W76))),MIN(INDEX('得意先'!$F$5:$F$104,$W76),DAY(DATE(YEAR($X76),(MONTH($X76)+IF(INDEX('得意先'!$D$5:$D$104,$W76)="末",0,IF(DAY($X76)&lt;=INDEX('得意先'!$D$5:$D$104,$W76),0,1))+N(INDEX('得意先'!$E$5:$E$104,$W76)))+1,0)))))))</f>
        <v/>
      </c>
      <c r="N76" s="26" t="n"/>
      <c r="O76" s="29">
        <f>IF($A76="","",IF(ISNUMBER($N76),$N76,$M76))</f>
        <v/>
      </c>
      <c r="P76" s="28">
        <f>IF($A76="","",SUMIF('入金消込'!$F$5:$F$1004,$A76,'入金消込'!$G$5:$G$1004))</f>
        <v/>
      </c>
      <c r="Q76" s="28">
        <f>IF($A76="","",SUMIF('入金消込'!$F$5:$F$1004,$A76,'入金消込'!$H$5:$H$1004)+SUMIF('入金消込'!$F$5:$F$1004,$A76,'入金消込'!$I$5:$I$1004))</f>
        <v/>
      </c>
      <c r="R76" s="28">
        <f>IF($A76="","",$L76-$P76-$Q76)</f>
        <v/>
      </c>
      <c r="S76" s="30">
        <f>IF($A76="","",IF($R76=0,IF($L76=0,"請求額0","回収済"),IF($L76&lt;0,IF($R76&lt;0,"差し引き待ち","差し引きすぎ"),IF($R76&lt;0,"入金が多い",IF($P76+$Q76=0,"未入金","一部入金")))))</f>
        <v/>
      </c>
      <c r="T76" s="31">
        <f>IF(OR($A76="",N($R76)&lt;=0,NOT(ISNUMBER($O76))),"",IF($O76&lt;'設定'!$B$7,'設定'!$B$7-$O76,""))</f>
        <v/>
      </c>
      <c r="U76" s="30">
        <f>IF(OR($A76="",N($R76)&lt;=0),"",IF(NOT(ISNUMBER($O76)),'設定'!$B$22,IF($O76&gt;='設定'!$B$7,'設定'!$B$17,IF('設定'!$B$7-$O76&lt;='設定'!$B$12,'設定'!$B$18,IF('設定'!$B$7-$O76&lt;='設定'!$B$13,'設定'!$B$19,IF('設定'!$B$7-$O76&lt;='設定'!$B$14,'設定'!$B$20,'設定'!$B$21))))))</f>
        <v/>
      </c>
      <c r="V76" s="56" t="n"/>
      <c r="W76" s="32">
        <f>IF($C76="","",IFERROR(MATCH($C76,'得意先'!$B$5:$B$104,0),"なし"))</f>
        <v/>
      </c>
      <c r="X76" s="33">
        <f>IF($A76="","",IF(ISNUMBER($E76),$E76,IF(ISNUMBER($B76),$B76,"")))</f>
        <v/>
      </c>
      <c r="Y76" s="34">
        <f>IF($T76="","",$O76+ROW()/1000000)</f>
        <v/>
      </c>
      <c r="Z76" s="35">
        <f>IF(OR($A76="",$C76="",$C76&lt;&gt;'売掛帳'!$B$3,NOT(ISNUMBER($X76))),"",IF(AND($X76&gt;='売掛帳'!$Q$3,$X76&lt;='売掛帳'!$Q$4),$X76+ROW()/10000000,""))</f>
        <v/>
      </c>
    </row>
    <row r="77" ht="18" customHeight="1">
      <c r="A77" s="18" t="n"/>
      <c r="B77" s="26" t="n"/>
      <c r="C77" s="18" t="n"/>
      <c r="D77" s="20">
        <f>IF($W77="","",IF($W77="なし","※得意先にないコード",INDEX('得意先'!$C$5:$C$104,$W77)&amp;""))</f>
        <v/>
      </c>
      <c r="E77" s="26" t="n"/>
      <c r="F77" s="19" t="n"/>
      <c r="G77" s="27" t="n"/>
      <c r="H77" s="27" t="n"/>
      <c r="I77" s="27" t="n"/>
      <c r="J77" s="28">
        <f>IF($A77="","",IF('設定'!$B$10="四捨五入",ROUND(IF('設定'!$B$9="税込",N($G77)*10/110,N($G77)*10/100),0),IF('設定'!$B$10="切り上げ",ROUNDUP(IF('設定'!$B$9="税込",N($G77)*10/110,N($G77)*10/100),0),ROUNDDOWN(IF('設定'!$B$9="税込",N($G77)*10/110,N($G77)*10/100),0))))</f>
        <v/>
      </c>
      <c r="K77" s="28">
        <f>IF($A77="","",IF('設定'!$B$10="四捨五入",ROUND(IF('設定'!$B$9="税込",N($H77)*8/108,N($H77)*8/100),0),IF('設定'!$B$10="切り上げ",ROUNDUP(IF('設定'!$B$9="税込",N($H77)*8/108,N($H77)*8/100),0),ROUNDDOWN(IF('設定'!$B$9="税込",N($H77)*8/108,N($H77)*8/100),0))))</f>
        <v/>
      </c>
      <c r="L77" s="28">
        <f>IF($A77="","",N($G77)+N($H77)+N($I77)+IF('設定'!$B$9="税込",0,$J77+$K77))</f>
        <v/>
      </c>
      <c r="M77" s="29">
        <f>IF(OR($A77="",NOT(ISNUMBER($W77)),NOT(ISNUMBER($X77))),"",IF(OR(INDEX('得意先'!$D$5:$D$104,$W77)="",INDEX('得意先'!$E$5:$E$104,$W77)="",INDEX('得意先'!$F$5:$F$104,$W77)=""),"",IF(INDEX('得意先'!$F$5:$F$104,$W77)="末",DATE(YEAR($X77),(MONTH($X77)+IF(INDEX('得意先'!$D$5:$D$104,$W77)="末",0,IF(DAY($X77)&lt;=INDEX('得意先'!$D$5:$D$104,$W77),0,1))+N(INDEX('得意先'!$E$5:$E$104,$W77)))+1,0),DATE(YEAR($X77),(MONTH($X77)+IF(INDEX('得意先'!$D$5:$D$104,$W77)="末",0,IF(DAY($X77)&lt;=INDEX('得意先'!$D$5:$D$104,$W77),0,1))+N(INDEX('得意先'!$E$5:$E$104,$W77))),MIN(INDEX('得意先'!$F$5:$F$104,$W77),DAY(DATE(YEAR($X77),(MONTH($X77)+IF(INDEX('得意先'!$D$5:$D$104,$W77)="末",0,IF(DAY($X77)&lt;=INDEX('得意先'!$D$5:$D$104,$W77),0,1))+N(INDEX('得意先'!$E$5:$E$104,$W77)))+1,0)))))))</f>
        <v/>
      </c>
      <c r="N77" s="26" t="n"/>
      <c r="O77" s="29">
        <f>IF($A77="","",IF(ISNUMBER($N77),$N77,$M77))</f>
        <v/>
      </c>
      <c r="P77" s="28">
        <f>IF($A77="","",SUMIF('入金消込'!$F$5:$F$1004,$A77,'入金消込'!$G$5:$G$1004))</f>
        <v/>
      </c>
      <c r="Q77" s="28">
        <f>IF($A77="","",SUMIF('入金消込'!$F$5:$F$1004,$A77,'入金消込'!$H$5:$H$1004)+SUMIF('入金消込'!$F$5:$F$1004,$A77,'入金消込'!$I$5:$I$1004))</f>
        <v/>
      </c>
      <c r="R77" s="28">
        <f>IF($A77="","",$L77-$P77-$Q77)</f>
        <v/>
      </c>
      <c r="S77" s="30">
        <f>IF($A77="","",IF($R77=0,IF($L77=0,"請求額0","回収済"),IF($L77&lt;0,IF($R77&lt;0,"差し引き待ち","差し引きすぎ"),IF($R77&lt;0,"入金が多い",IF($P77+$Q77=0,"未入金","一部入金")))))</f>
        <v/>
      </c>
      <c r="T77" s="31">
        <f>IF(OR($A77="",N($R77)&lt;=0,NOT(ISNUMBER($O77))),"",IF($O77&lt;'設定'!$B$7,'設定'!$B$7-$O77,""))</f>
        <v/>
      </c>
      <c r="U77" s="30">
        <f>IF(OR($A77="",N($R77)&lt;=0),"",IF(NOT(ISNUMBER($O77)),'設定'!$B$22,IF($O77&gt;='設定'!$B$7,'設定'!$B$17,IF('設定'!$B$7-$O77&lt;='設定'!$B$12,'設定'!$B$18,IF('設定'!$B$7-$O77&lt;='設定'!$B$13,'設定'!$B$19,IF('設定'!$B$7-$O77&lt;='設定'!$B$14,'設定'!$B$20,'設定'!$B$21))))))</f>
        <v/>
      </c>
      <c r="V77" s="56" t="n"/>
      <c r="W77" s="32">
        <f>IF($C77="","",IFERROR(MATCH($C77,'得意先'!$B$5:$B$104,0),"なし"))</f>
        <v/>
      </c>
      <c r="X77" s="33">
        <f>IF($A77="","",IF(ISNUMBER($E77),$E77,IF(ISNUMBER($B77),$B77,"")))</f>
        <v/>
      </c>
      <c r="Y77" s="34">
        <f>IF($T77="","",$O77+ROW()/1000000)</f>
        <v/>
      </c>
      <c r="Z77" s="35">
        <f>IF(OR($A77="",$C77="",$C77&lt;&gt;'売掛帳'!$B$3,NOT(ISNUMBER($X77))),"",IF(AND($X77&gt;='売掛帳'!$Q$3,$X77&lt;='売掛帳'!$Q$4),$X77+ROW()/10000000,""))</f>
        <v/>
      </c>
    </row>
    <row r="78" ht="18" customHeight="1">
      <c r="A78" s="18" t="n"/>
      <c r="B78" s="26" t="n"/>
      <c r="C78" s="18" t="n"/>
      <c r="D78" s="20">
        <f>IF($W78="","",IF($W78="なし","※得意先にないコード",INDEX('得意先'!$C$5:$C$104,$W78)&amp;""))</f>
        <v/>
      </c>
      <c r="E78" s="26" t="n"/>
      <c r="F78" s="19" t="n"/>
      <c r="G78" s="27" t="n"/>
      <c r="H78" s="27" t="n"/>
      <c r="I78" s="27" t="n"/>
      <c r="J78" s="28">
        <f>IF($A78="","",IF('設定'!$B$10="四捨五入",ROUND(IF('設定'!$B$9="税込",N($G78)*10/110,N($G78)*10/100),0),IF('設定'!$B$10="切り上げ",ROUNDUP(IF('設定'!$B$9="税込",N($G78)*10/110,N($G78)*10/100),0),ROUNDDOWN(IF('設定'!$B$9="税込",N($G78)*10/110,N($G78)*10/100),0))))</f>
        <v/>
      </c>
      <c r="K78" s="28">
        <f>IF($A78="","",IF('設定'!$B$10="四捨五入",ROUND(IF('設定'!$B$9="税込",N($H78)*8/108,N($H78)*8/100),0),IF('設定'!$B$10="切り上げ",ROUNDUP(IF('設定'!$B$9="税込",N($H78)*8/108,N($H78)*8/100),0),ROUNDDOWN(IF('設定'!$B$9="税込",N($H78)*8/108,N($H78)*8/100),0))))</f>
        <v/>
      </c>
      <c r="L78" s="28">
        <f>IF($A78="","",N($G78)+N($H78)+N($I78)+IF('設定'!$B$9="税込",0,$J78+$K78))</f>
        <v/>
      </c>
      <c r="M78" s="29">
        <f>IF(OR($A78="",NOT(ISNUMBER($W78)),NOT(ISNUMBER($X78))),"",IF(OR(INDEX('得意先'!$D$5:$D$104,$W78)="",INDEX('得意先'!$E$5:$E$104,$W78)="",INDEX('得意先'!$F$5:$F$104,$W78)=""),"",IF(INDEX('得意先'!$F$5:$F$104,$W78)="末",DATE(YEAR($X78),(MONTH($X78)+IF(INDEX('得意先'!$D$5:$D$104,$W78)="末",0,IF(DAY($X78)&lt;=INDEX('得意先'!$D$5:$D$104,$W78),0,1))+N(INDEX('得意先'!$E$5:$E$104,$W78)))+1,0),DATE(YEAR($X78),(MONTH($X78)+IF(INDEX('得意先'!$D$5:$D$104,$W78)="末",0,IF(DAY($X78)&lt;=INDEX('得意先'!$D$5:$D$104,$W78),0,1))+N(INDEX('得意先'!$E$5:$E$104,$W78))),MIN(INDEX('得意先'!$F$5:$F$104,$W78),DAY(DATE(YEAR($X78),(MONTH($X78)+IF(INDEX('得意先'!$D$5:$D$104,$W78)="末",0,IF(DAY($X78)&lt;=INDEX('得意先'!$D$5:$D$104,$W78),0,1))+N(INDEX('得意先'!$E$5:$E$104,$W78)))+1,0)))))))</f>
        <v/>
      </c>
      <c r="N78" s="26" t="n"/>
      <c r="O78" s="29">
        <f>IF($A78="","",IF(ISNUMBER($N78),$N78,$M78))</f>
        <v/>
      </c>
      <c r="P78" s="28">
        <f>IF($A78="","",SUMIF('入金消込'!$F$5:$F$1004,$A78,'入金消込'!$G$5:$G$1004))</f>
        <v/>
      </c>
      <c r="Q78" s="28">
        <f>IF($A78="","",SUMIF('入金消込'!$F$5:$F$1004,$A78,'入金消込'!$H$5:$H$1004)+SUMIF('入金消込'!$F$5:$F$1004,$A78,'入金消込'!$I$5:$I$1004))</f>
        <v/>
      </c>
      <c r="R78" s="28">
        <f>IF($A78="","",$L78-$P78-$Q78)</f>
        <v/>
      </c>
      <c r="S78" s="30">
        <f>IF($A78="","",IF($R78=0,IF($L78=0,"請求額0","回収済"),IF($L78&lt;0,IF($R78&lt;0,"差し引き待ち","差し引きすぎ"),IF($R78&lt;0,"入金が多い",IF($P78+$Q78=0,"未入金","一部入金")))))</f>
        <v/>
      </c>
      <c r="T78" s="31">
        <f>IF(OR($A78="",N($R78)&lt;=0,NOT(ISNUMBER($O78))),"",IF($O78&lt;'設定'!$B$7,'設定'!$B$7-$O78,""))</f>
        <v/>
      </c>
      <c r="U78" s="30">
        <f>IF(OR($A78="",N($R78)&lt;=0),"",IF(NOT(ISNUMBER($O78)),'設定'!$B$22,IF($O78&gt;='設定'!$B$7,'設定'!$B$17,IF('設定'!$B$7-$O78&lt;='設定'!$B$12,'設定'!$B$18,IF('設定'!$B$7-$O78&lt;='設定'!$B$13,'設定'!$B$19,IF('設定'!$B$7-$O78&lt;='設定'!$B$14,'設定'!$B$20,'設定'!$B$21))))))</f>
        <v/>
      </c>
      <c r="V78" s="56" t="n"/>
      <c r="W78" s="32">
        <f>IF($C78="","",IFERROR(MATCH($C78,'得意先'!$B$5:$B$104,0),"なし"))</f>
        <v/>
      </c>
      <c r="X78" s="33">
        <f>IF($A78="","",IF(ISNUMBER($E78),$E78,IF(ISNUMBER($B78),$B78,"")))</f>
        <v/>
      </c>
      <c r="Y78" s="34">
        <f>IF($T78="","",$O78+ROW()/1000000)</f>
        <v/>
      </c>
      <c r="Z78" s="35">
        <f>IF(OR($A78="",$C78="",$C78&lt;&gt;'売掛帳'!$B$3,NOT(ISNUMBER($X78))),"",IF(AND($X78&gt;='売掛帳'!$Q$3,$X78&lt;='売掛帳'!$Q$4),$X78+ROW()/10000000,""))</f>
        <v/>
      </c>
    </row>
    <row r="79" ht="18" customHeight="1">
      <c r="A79" s="18" t="n"/>
      <c r="B79" s="26" t="n"/>
      <c r="C79" s="18" t="n"/>
      <c r="D79" s="20">
        <f>IF($W79="","",IF($W79="なし","※得意先にないコード",INDEX('得意先'!$C$5:$C$104,$W79)&amp;""))</f>
        <v/>
      </c>
      <c r="E79" s="26" t="n"/>
      <c r="F79" s="19" t="n"/>
      <c r="G79" s="27" t="n"/>
      <c r="H79" s="27" t="n"/>
      <c r="I79" s="27" t="n"/>
      <c r="J79" s="28">
        <f>IF($A79="","",IF('設定'!$B$10="四捨五入",ROUND(IF('設定'!$B$9="税込",N($G79)*10/110,N($G79)*10/100),0),IF('設定'!$B$10="切り上げ",ROUNDUP(IF('設定'!$B$9="税込",N($G79)*10/110,N($G79)*10/100),0),ROUNDDOWN(IF('設定'!$B$9="税込",N($G79)*10/110,N($G79)*10/100),0))))</f>
        <v/>
      </c>
      <c r="K79" s="28">
        <f>IF($A79="","",IF('設定'!$B$10="四捨五入",ROUND(IF('設定'!$B$9="税込",N($H79)*8/108,N($H79)*8/100),0),IF('設定'!$B$10="切り上げ",ROUNDUP(IF('設定'!$B$9="税込",N($H79)*8/108,N($H79)*8/100),0),ROUNDDOWN(IF('設定'!$B$9="税込",N($H79)*8/108,N($H79)*8/100),0))))</f>
        <v/>
      </c>
      <c r="L79" s="28">
        <f>IF($A79="","",N($G79)+N($H79)+N($I79)+IF('設定'!$B$9="税込",0,$J79+$K79))</f>
        <v/>
      </c>
      <c r="M79" s="29">
        <f>IF(OR($A79="",NOT(ISNUMBER($W79)),NOT(ISNUMBER($X79))),"",IF(OR(INDEX('得意先'!$D$5:$D$104,$W79)="",INDEX('得意先'!$E$5:$E$104,$W79)="",INDEX('得意先'!$F$5:$F$104,$W79)=""),"",IF(INDEX('得意先'!$F$5:$F$104,$W79)="末",DATE(YEAR($X79),(MONTH($X79)+IF(INDEX('得意先'!$D$5:$D$104,$W79)="末",0,IF(DAY($X79)&lt;=INDEX('得意先'!$D$5:$D$104,$W79),0,1))+N(INDEX('得意先'!$E$5:$E$104,$W79)))+1,0),DATE(YEAR($X79),(MONTH($X79)+IF(INDEX('得意先'!$D$5:$D$104,$W79)="末",0,IF(DAY($X79)&lt;=INDEX('得意先'!$D$5:$D$104,$W79),0,1))+N(INDEX('得意先'!$E$5:$E$104,$W79))),MIN(INDEX('得意先'!$F$5:$F$104,$W79),DAY(DATE(YEAR($X79),(MONTH($X79)+IF(INDEX('得意先'!$D$5:$D$104,$W79)="末",0,IF(DAY($X79)&lt;=INDEX('得意先'!$D$5:$D$104,$W79),0,1))+N(INDEX('得意先'!$E$5:$E$104,$W79)))+1,0)))))))</f>
        <v/>
      </c>
      <c r="N79" s="26" t="n"/>
      <c r="O79" s="29">
        <f>IF($A79="","",IF(ISNUMBER($N79),$N79,$M79))</f>
        <v/>
      </c>
      <c r="P79" s="28">
        <f>IF($A79="","",SUMIF('入金消込'!$F$5:$F$1004,$A79,'入金消込'!$G$5:$G$1004))</f>
        <v/>
      </c>
      <c r="Q79" s="28">
        <f>IF($A79="","",SUMIF('入金消込'!$F$5:$F$1004,$A79,'入金消込'!$H$5:$H$1004)+SUMIF('入金消込'!$F$5:$F$1004,$A79,'入金消込'!$I$5:$I$1004))</f>
        <v/>
      </c>
      <c r="R79" s="28">
        <f>IF($A79="","",$L79-$P79-$Q79)</f>
        <v/>
      </c>
      <c r="S79" s="30">
        <f>IF($A79="","",IF($R79=0,IF($L79=0,"請求額0","回収済"),IF($L79&lt;0,IF($R79&lt;0,"差し引き待ち","差し引きすぎ"),IF($R79&lt;0,"入金が多い",IF($P79+$Q79=0,"未入金","一部入金")))))</f>
        <v/>
      </c>
      <c r="T79" s="31">
        <f>IF(OR($A79="",N($R79)&lt;=0,NOT(ISNUMBER($O79))),"",IF($O79&lt;'設定'!$B$7,'設定'!$B$7-$O79,""))</f>
        <v/>
      </c>
      <c r="U79" s="30">
        <f>IF(OR($A79="",N($R79)&lt;=0),"",IF(NOT(ISNUMBER($O79)),'設定'!$B$22,IF($O79&gt;='設定'!$B$7,'設定'!$B$17,IF('設定'!$B$7-$O79&lt;='設定'!$B$12,'設定'!$B$18,IF('設定'!$B$7-$O79&lt;='設定'!$B$13,'設定'!$B$19,IF('設定'!$B$7-$O79&lt;='設定'!$B$14,'設定'!$B$20,'設定'!$B$21))))))</f>
        <v/>
      </c>
      <c r="V79" s="56" t="n"/>
      <c r="W79" s="32">
        <f>IF($C79="","",IFERROR(MATCH($C79,'得意先'!$B$5:$B$104,0),"なし"))</f>
        <v/>
      </c>
      <c r="X79" s="33">
        <f>IF($A79="","",IF(ISNUMBER($E79),$E79,IF(ISNUMBER($B79),$B79,"")))</f>
        <v/>
      </c>
      <c r="Y79" s="34">
        <f>IF($T79="","",$O79+ROW()/1000000)</f>
        <v/>
      </c>
      <c r="Z79" s="35">
        <f>IF(OR($A79="",$C79="",$C79&lt;&gt;'売掛帳'!$B$3,NOT(ISNUMBER($X79))),"",IF(AND($X79&gt;='売掛帳'!$Q$3,$X79&lt;='売掛帳'!$Q$4),$X79+ROW()/10000000,""))</f>
        <v/>
      </c>
    </row>
    <row r="80" ht="18" customHeight="1">
      <c r="A80" s="18" t="n"/>
      <c r="B80" s="26" t="n"/>
      <c r="C80" s="18" t="n"/>
      <c r="D80" s="20">
        <f>IF($W80="","",IF($W80="なし","※得意先にないコード",INDEX('得意先'!$C$5:$C$104,$W80)&amp;""))</f>
        <v/>
      </c>
      <c r="E80" s="26" t="n"/>
      <c r="F80" s="19" t="n"/>
      <c r="G80" s="27" t="n"/>
      <c r="H80" s="27" t="n"/>
      <c r="I80" s="27" t="n"/>
      <c r="J80" s="28">
        <f>IF($A80="","",IF('設定'!$B$10="四捨五入",ROUND(IF('設定'!$B$9="税込",N($G80)*10/110,N($G80)*10/100),0),IF('設定'!$B$10="切り上げ",ROUNDUP(IF('設定'!$B$9="税込",N($G80)*10/110,N($G80)*10/100),0),ROUNDDOWN(IF('設定'!$B$9="税込",N($G80)*10/110,N($G80)*10/100),0))))</f>
        <v/>
      </c>
      <c r="K80" s="28">
        <f>IF($A80="","",IF('設定'!$B$10="四捨五入",ROUND(IF('設定'!$B$9="税込",N($H80)*8/108,N($H80)*8/100),0),IF('設定'!$B$10="切り上げ",ROUNDUP(IF('設定'!$B$9="税込",N($H80)*8/108,N($H80)*8/100),0),ROUNDDOWN(IF('設定'!$B$9="税込",N($H80)*8/108,N($H80)*8/100),0))))</f>
        <v/>
      </c>
      <c r="L80" s="28">
        <f>IF($A80="","",N($G80)+N($H80)+N($I80)+IF('設定'!$B$9="税込",0,$J80+$K80))</f>
        <v/>
      </c>
      <c r="M80" s="29">
        <f>IF(OR($A80="",NOT(ISNUMBER($W80)),NOT(ISNUMBER($X80))),"",IF(OR(INDEX('得意先'!$D$5:$D$104,$W80)="",INDEX('得意先'!$E$5:$E$104,$W80)="",INDEX('得意先'!$F$5:$F$104,$W80)=""),"",IF(INDEX('得意先'!$F$5:$F$104,$W80)="末",DATE(YEAR($X80),(MONTH($X80)+IF(INDEX('得意先'!$D$5:$D$104,$W80)="末",0,IF(DAY($X80)&lt;=INDEX('得意先'!$D$5:$D$104,$W80),0,1))+N(INDEX('得意先'!$E$5:$E$104,$W80)))+1,0),DATE(YEAR($X80),(MONTH($X80)+IF(INDEX('得意先'!$D$5:$D$104,$W80)="末",0,IF(DAY($X80)&lt;=INDEX('得意先'!$D$5:$D$104,$W80),0,1))+N(INDEX('得意先'!$E$5:$E$104,$W80))),MIN(INDEX('得意先'!$F$5:$F$104,$W80),DAY(DATE(YEAR($X80),(MONTH($X80)+IF(INDEX('得意先'!$D$5:$D$104,$W80)="末",0,IF(DAY($X80)&lt;=INDEX('得意先'!$D$5:$D$104,$W80),0,1))+N(INDEX('得意先'!$E$5:$E$104,$W80)))+1,0)))))))</f>
        <v/>
      </c>
      <c r="N80" s="26" t="n"/>
      <c r="O80" s="29">
        <f>IF($A80="","",IF(ISNUMBER($N80),$N80,$M80))</f>
        <v/>
      </c>
      <c r="P80" s="28">
        <f>IF($A80="","",SUMIF('入金消込'!$F$5:$F$1004,$A80,'入金消込'!$G$5:$G$1004))</f>
        <v/>
      </c>
      <c r="Q80" s="28">
        <f>IF($A80="","",SUMIF('入金消込'!$F$5:$F$1004,$A80,'入金消込'!$H$5:$H$1004)+SUMIF('入金消込'!$F$5:$F$1004,$A80,'入金消込'!$I$5:$I$1004))</f>
        <v/>
      </c>
      <c r="R80" s="28">
        <f>IF($A80="","",$L80-$P80-$Q80)</f>
        <v/>
      </c>
      <c r="S80" s="30">
        <f>IF($A80="","",IF($R80=0,IF($L80=0,"請求額0","回収済"),IF($L80&lt;0,IF($R80&lt;0,"差し引き待ち","差し引きすぎ"),IF($R80&lt;0,"入金が多い",IF($P80+$Q80=0,"未入金","一部入金")))))</f>
        <v/>
      </c>
      <c r="T80" s="31">
        <f>IF(OR($A80="",N($R80)&lt;=0,NOT(ISNUMBER($O80))),"",IF($O80&lt;'設定'!$B$7,'設定'!$B$7-$O80,""))</f>
        <v/>
      </c>
      <c r="U80" s="30">
        <f>IF(OR($A80="",N($R80)&lt;=0),"",IF(NOT(ISNUMBER($O80)),'設定'!$B$22,IF($O80&gt;='設定'!$B$7,'設定'!$B$17,IF('設定'!$B$7-$O80&lt;='設定'!$B$12,'設定'!$B$18,IF('設定'!$B$7-$O80&lt;='設定'!$B$13,'設定'!$B$19,IF('設定'!$B$7-$O80&lt;='設定'!$B$14,'設定'!$B$20,'設定'!$B$21))))))</f>
        <v/>
      </c>
      <c r="V80" s="56" t="n"/>
      <c r="W80" s="32">
        <f>IF($C80="","",IFERROR(MATCH($C80,'得意先'!$B$5:$B$104,0),"なし"))</f>
        <v/>
      </c>
      <c r="X80" s="33">
        <f>IF($A80="","",IF(ISNUMBER($E80),$E80,IF(ISNUMBER($B80),$B80,"")))</f>
        <v/>
      </c>
      <c r="Y80" s="34">
        <f>IF($T80="","",$O80+ROW()/1000000)</f>
        <v/>
      </c>
      <c r="Z80" s="35">
        <f>IF(OR($A80="",$C80="",$C80&lt;&gt;'売掛帳'!$B$3,NOT(ISNUMBER($X80))),"",IF(AND($X80&gt;='売掛帳'!$Q$3,$X80&lt;='売掛帳'!$Q$4),$X80+ROW()/10000000,""))</f>
        <v/>
      </c>
    </row>
    <row r="81" ht="18" customHeight="1">
      <c r="A81" s="18" t="n"/>
      <c r="B81" s="26" t="n"/>
      <c r="C81" s="18" t="n"/>
      <c r="D81" s="20">
        <f>IF($W81="","",IF($W81="なし","※得意先にないコード",INDEX('得意先'!$C$5:$C$104,$W81)&amp;""))</f>
        <v/>
      </c>
      <c r="E81" s="26" t="n"/>
      <c r="F81" s="19" t="n"/>
      <c r="G81" s="27" t="n"/>
      <c r="H81" s="27" t="n"/>
      <c r="I81" s="27" t="n"/>
      <c r="J81" s="28">
        <f>IF($A81="","",IF('設定'!$B$10="四捨五入",ROUND(IF('設定'!$B$9="税込",N($G81)*10/110,N($G81)*10/100),0),IF('設定'!$B$10="切り上げ",ROUNDUP(IF('設定'!$B$9="税込",N($G81)*10/110,N($G81)*10/100),0),ROUNDDOWN(IF('設定'!$B$9="税込",N($G81)*10/110,N($G81)*10/100),0))))</f>
        <v/>
      </c>
      <c r="K81" s="28">
        <f>IF($A81="","",IF('設定'!$B$10="四捨五入",ROUND(IF('設定'!$B$9="税込",N($H81)*8/108,N($H81)*8/100),0),IF('設定'!$B$10="切り上げ",ROUNDUP(IF('設定'!$B$9="税込",N($H81)*8/108,N($H81)*8/100),0),ROUNDDOWN(IF('設定'!$B$9="税込",N($H81)*8/108,N($H81)*8/100),0))))</f>
        <v/>
      </c>
      <c r="L81" s="28">
        <f>IF($A81="","",N($G81)+N($H81)+N($I81)+IF('設定'!$B$9="税込",0,$J81+$K81))</f>
        <v/>
      </c>
      <c r="M81" s="29">
        <f>IF(OR($A81="",NOT(ISNUMBER($W81)),NOT(ISNUMBER($X81))),"",IF(OR(INDEX('得意先'!$D$5:$D$104,$W81)="",INDEX('得意先'!$E$5:$E$104,$W81)="",INDEX('得意先'!$F$5:$F$104,$W81)=""),"",IF(INDEX('得意先'!$F$5:$F$104,$W81)="末",DATE(YEAR($X81),(MONTH($X81)+IF(INDEX('得意先'!$D$5:$D$104,$W81)="末",0,IF(DAY($X81)&lt;=INDEX('得意先'!$D$5:$D$104,$W81),0,1))+N(INDEX('得意先'!$E$5:$E$104,$W81)))+1,0),DATE(YEAR($X81),(MONTH($X81)+IF(INDEX('得意先'!$D$5:$D$104,$W81)="末",0,IF(DAY($X81)&lt;=INDEX('得意先'!$D$5:$D$104,$W81),0,1))+N(INDEX('得意先'!$E$5:$E$104,$W81))),MIN(INDEX('得意先'!$F$5:$F$104,$W81),DAY(DATE(YEAR($X81),(MONTH($X81)+IF(INDEX('得意先'!$D$5:$D$104,$W81)="末",0,IF(DAY($X81)&lt;=INDEX('得意先'!$D$5:$D$104,$W81),0,1))+N(INDEX('得意先'!$E$5:$E$104,$W81)))+1,0)))))))</f>
        <v/>
      </c>
      <c r="N81" s="26" t="n"/>
      <c r="O81" s="29">
        <f>IF($A81="","",IF(ISNUMBER($N81),$N81,$M81))</f>
        <v/>
      </c>
      <c r="P81" s="28">
        <f>IF($A81="","",SUMIF('入金消込'!$F$5:$F$1004,$A81,'入金消込'!$G$5:$G$1004))</f>
        <v/>
      </c>
      <c r="Q81" s="28">
        <f>IF($A81="","",SUMIF('入金消込'!$F$5:$F$1004,$A81,'入金消込'!$H$5:$H$1004)+SUMIF('入金消込'!$F$5:$F$1004,$A81,'入金消込'!$I$5:$I$1004))</f>
        <v/>
      </c>
      <c r="R81" s="28">
        <f>IF($A81="","",$L81-$P81-$Q81)</f>
        <v/>
      </c>
      <c r="S81" s="30">
        <f>IF($A81="","",IF($R81=0,IF($L81=0,"請求額0","回収済"),IF($L81&lt;0,IF($R81&lt;0,"差し引き待ち","差し引きすぎ"),IF($R81&lt;0,"入金が多い",IF($P81+$Q81=0,"未入金","一部入金")))))</f>
        <v/>
      </c>
      <c r="T81" s="31">
        <f>IF(OR($A81="",N($R81)&lt;=0,NOT(ISNUMBER($O81))),"",IF($O81&lt;'設定'!$B$7,'設定'!$B$7-$O81,""))</f>
        <v/>
      </c>
      <c r="U81" s="30">
        <f>IF(OR($A81="",N($R81)&lt;=0),"",IF(NOT(ISNUMBER($O81)),'設定'!$B$22,IF($O81&gt;='設定'!$B$7,'設定'!$B$17,IF('設定'!$B$7-$O81&lt;='設定'!$B$12,'設定'!$B$18,IF('設定'!$B$7-$O81&lt;='設定'!$B$13,'設定'!$B$19,IF('設定'!$B$7-$O81&lt;='設定'!$B$14,'設定'!$B$20,'設定'!$B$21))))))</f>
        <v/>
      </c>
      <c r="V81" s="56" t="n"/>
      <c r="W81" s="32">
        <f>IF($C81="","",IFERROR(MATCH($C81,'得意先'!$B$5:$B$104,0),"なし"))</f>
        <v/>
      </c>
      <c r="X81" s="33">
        <f>IF($A81="","",IF(ISNUMBER($E81),$E81,IF(ISNUMBER($B81),$B81,"")))</f>
        <v/>
      </c>
      <c r="Y81" s="34">
        <f>IF($T81="","",$O81+ROW()/1000000)</f>
        <v/>
      </c>
      <c r="Z81" s="35">
        <f>IF(OR($A81="",$C81="",$C81&lt;&gt;'売掛帳'!$B$3,NOT(ISNUMBER($X81))),"",IF(AND($X81&gt;='売掛帳'!$Q$3,$X81&lt;='売掛帳'!$Q$4),$X81+ROW()/10000000,""))</f>
        <v/>
      </c>
    </row>
    <row r="82" ht="18" customHeight="1">
      <c r="A82" s="18" t="n"/>
      <c r="B82" s="26" t="n"/>
      <c r="C82" s="18" t="n"/>
      <c r="D82" s="20">
        <f>IF($W82="","",IF($W82="なし","※得意先にないコード",INDEX('得意先'!$C$5:$C$104,$W82)&amp;""))</f>
        <v/>
      </c>
      <c r="E82" s="26" t="n"/>
      <c r="F82" s="19" t="n"/>
      <c r="G82" s="27" t="n"/>
      <c r="H82" s="27" t="n"/>
      <c r="I82" s="27" t="n"/>
      <c r="J82" s="28">
        <f>IF($A82="","",IF('設定'!$B$10="四捨五入",ROUND(IF('設定'!$B$9="税込",N($G82)*10/110,N($G82)*10/100),0),IF('設定'!$B$10="切り上げ",ROUNDUP(IF('設定'!$B$9="税込",N($G82)*10/110,N($G82)*10/100),0),ROUNDDOWN(IF('設定'!$B$9="税込",N($G82)*10/110,N($G82)*10/100),0))))</f>
        <v/>
      </c>
      <c r="K82" s="28">
        <f>IF($A82="","",IF('設定'!$B$10="四捨五入",ROUND(IF('設定'!$B$9="税込",N($H82)*8/108,N($H82)*8/100),0),IF('設定'!$B$10="切り上げ",ROUNDUP(IF('設定'!$B$9="税込",N($H82)*8/108,N($H82)*8/100),0),ROUNDDOWN(IF('設定'!$B$9="税込",N($H82)*8/108,N($H82)*8/100),0))))</f>
        <v/>
      </c>
      <c r="L82" s="28">
        <f>IF($A82="","",N($G82)+N($H82)+N($I82)+IF('設定'!$B$9="税込",0,$J82+$K82))</f>
        <v/>
      </c>
      <c r="M82" s="29">
        <f>IF(OR($A82="",NOT(ISNUMBER($W82)),NOT(ISNUMBER($X82))),"",IF(OR(INDEX('得意先'!$D$5:$D$104,$W82)="",INDEX('得意先'!$E$5:$E$104,$W82)="",INDEX('得意先'!$F$5:$F$104,$W82)=""),"",IF(INDEX('得意先'!$F$5:$F$104,$W82)="末",DATE(YEAR($X82),(MONTH($X82)+IF(INDEX('得意先'!$D$5:$D$104,$W82)="末",0,IF(DAY($X82)&lt;=INDEX('得意先'!$D$5:$D$104,$W82),0,1))+N(INDEX('得意先'!$E$5:$E$104,$W82)))+1,0),DATE(YEAR($X82),(MONTH($X82)+IF(INDEX('得意先'!$D$5:$D$104,$W82)="末",0,IF(DAY($X82)&lt;=INDEX('得意先'!$D$5:$D$104,$W82),0,1))+N(INDEX('得意先'!$E$5:$E$104,$W82))),MIN(INDEX('得意先'!$F$5:$F$104,$W82),DAY(DATE(YEAR($X82),(MONTH($X82)+IF(INDEX('得意先'!$D$5:$D$104,$W82)="末",0,IF(DAY($X82)&lt;=INDEX('得意先'!$D$5:$D$104,$W82),0,1))+N(INDEX('得意先'!$E$5:$E$104,$W82)))+1,0)))))))</f>
        <v/>
      </c>
      <c r="N82" s="26" t="n"/>
      <c r="O82" s="29">
        <f>IF($A82="","",IF(ISNUMBER($N82),$N82,$M82))</f>
        <v/>
      </c>
      <c r="P82" s="28">
        <f>IF($A82="","",SUMIF('入金消込'!$F$5:$F$1004,$A82,'入金消込'!$G$5:$G$1004))</f>
        <v/>
      </c>
      <c r="Q82" s="28">
        <f>IF($A82="","",SUMIF('入金消込'!$F$5:$F$1004,$A82,'入金消込'!$H$5:$H$1004)+SUMIF('入金消込'!$F$5:$F$1004,$A82,'入金消込'!$I$5:$I$1004))</f>
        <v/>
      </c>
      <c r="R82" s="28">
        <f>IF($A82="","",$L82-$P82-$Q82)</f>
        <v/>
      </c>
      <c r="S82" s="30">
        <f>IF($A82="","",IF($R82=0,IF($L82=0,"請求額0","回収済"),IF($L82&lt;0,IF($R82&lt;0,"差し引き待ち","差し引きすぎ"),IF($R82&lt;0,"入金が多い",IF($P82+$Q82=0,"未入金","一部入金")))))</f>
        <v/>
      </c>
      <c r="T82" s="31">
        <f>IF(OR($A82="",N($R82)&lt;=0,NOT(ISNUMBER($O82))),"",IF($O82&lt;'設定'!$B$7,'設定'!$B$7-$O82,""))</f>
        <v/>
      </c>
      <c r="U82" s="30">
        <f>IF(OR($A82="",N($R82)&lt;=0),"",IF(NOT(ISNUMBER($O82)),'設定'!$B$22,IF($O82&gt;='設定'!$B$7,'設定'!$B$17,IF('設定'!$B$7-$O82&lt;='設定'!$B$12,'設定'!$B$18,IF('設定'!$B$7-$O82&lt;='設定'!$B$13,'設定'!$B$19,IF('設定'!$B$7-$O82&lt;='設定'!$B$14,'設定'!$B$20,'設定'!$B$21))))))</f>
        <v/>
      </c>
      <c r="V82" s="56" t="n"/>
      <c r="W82" s="32">
        <f>IF($C82="","",IFERROR(MATCH($C82,'得意先'!$B$5:$B$104,0),"なし"))</f>
        <v/>
      </c>
      <c r="X82" s="33">
        <f>IF($A82="","",IF(ISNUMBER($E82),$E82,IF(ISNUMBER($B82),$B82,"")))</f>
        <v/>
      </c>
      <c r="Y82" s="34">
        <f>IF($T82="","",$O82+ROW()/1000000)</f>
        <v/>
      </c>
      <c r="Z82" s="35">
        <f>IF(OR($A82="",$C82="",$C82&lt;&gt;'売掛帳'!$B$3,NOT(ISNUMBER($X82))),"",IF(AND($X82&gt;='売掛帳'!$Q$3,$X82&lt;='売掛帳'!$Q$4),$X82+ROW()/10000000,""))</f>
        <v/>
      </c>
    </row>
    <row r="83" ht="18" customHeight="1">
      <c r="A83" s="18" t="n"/>
      <c r="B83" s="26" t="n"/>
      <c r="C83" s="18" t="n"/>
      <c r="D83" s="20">
        <f>IF($W83="","",IF($W83="なし","※得意先にないコード",INDEX('得意先'!$C$5:$C$104,$W83)&amp;""))</f>
        <v/>
      </c>
      <c r="E83" s="26" t="n"/>
      <c r="F83" s="19" t="n"/>
      <c r="G83" s="27" t="n"/>
      <c r="H83" s="27" t="n"/>
      <c r="I83" s="27" t="n"/>
      <c r="J83" s="28">
        <f>IF($A83="","",IF('設定'!$B$10="四捨五入",ROUND(IF('設定'!$B$9="税込",N($G83)*10/110,N($G83)*10/100),0),IF('設定'!$B$10="切り上げ",ROUNDUP(IF('設定'!$B$9="税込",N($G83)*10/110,N($G83)*10/100),0),ROUNDDOWN(IF('設定'!$B$9="税込",N($G83)*10/110,N($G83)*10/100),0))))</f>
        <v/>
      </c>
      <c r="K83" s="28">
        <f>IF($A83="","",IF('設定'!$B$10="四捨五入",ROUND(IF('設定'!$B$9="税込",N($H83)*8/108,N($H83)*8/100),0),IF('設定'!$B$10="切り上げ",ROUNDUP(IF('設定'!$B$9="税込",N($H83)*8/108,N($H83)*8/100),0),ROUNDDOWN(IF('設定'!$B$9="税込",N($H83)*8/108,N($H83)*8/100),0))))</f>
        <v/>
      </c>
      <c r="L83" s="28">
        <f>IF($A83="","",N($G83)+N($H83)+N($I83)+IF('設定'!$B$9="税込",0,$J83+$K83))</f>
        <v/>
      </c>
      <c r="M83" s="29">
        <f>IF(OR($A83="",NOT(ISNUMBER($W83)),NOT(ISNUMBER($X83))),"",IF(OR(INDEX('得意先'!$D$5:$D$104,$W83)="",INDEX('得意先'!$E$5:$E$104,$W83)="",INDEX('得意先'!$F$5:$F$104,$W83)=""),"",IF(INDEX('得意先'!$F$5:$F$104,$W83)="末",DATE(YEAR($X83),(MONTH($X83)+IF(INDEX('得意先'!$D$5:$D$104,$W83)="末",0,IF(DAY($X83)&lt;=INDEX('得意先'!$D$5:$D$104,$W83),0,1))+N(INDEX('得意先'!$E$5:$E$104,$W83)))+1,0),DATE(YEAR($X83),(MONTH($X83)+IF(INDEX('得意先'!$D$5:$D$104,$W83)="末",0,IF(DAY($X83)&lt;=INDEX('得意先'!$D$5:$D$104,$W83),0,1))+N(INDEX('得意先'!$E$5:$E$104,$W83))),MIN(INDEX('得意先'!$F$5:$F$104,$W83),DAY(DATE(YEAR($X83),(MONTH($X83)+IF(INDEX('得意先'!$D$5:$D$104,$W83)="末",0,IF(DAY($X83)&lt;=INDEX('得意先'!$D$5:$D$104,$W83),0,1))+N(INDEX('得意先'!$E$5:$E$104,$W83)))+1,0)))))))</f>
        <v/>
      </c>
      <c r="N83" s="26" t="n"/>
      <c r="O83" s="29">
        <f>IF($A83="","",IF(ISNUMBER($N83),$N83,$M83))</f>
        <v/>
      </c>
      <c r="P83" s="28">
        <f>IF($A83="","",SUMIF('入金消込'!$F$5:$F$1004,$A83,'入金消込'!$G$5:$G$1004))</f>
        <v/>
      </c>
      <c r="Q83" s="28">
        <f>IF($A83="","",SUMIF('入金消込'!$F$5:$F$1004,$A83,'入金消込'!$H$5:$H$1004)+SUMIF('入金消込'!$F$5:$F$1004,$A83,'入金消込'!$I$5:$I$1004))</f>
        <v/>
      </c>
      <c r="R83" s="28">
        <f>IF($A83="","",$L83-$P83-$Q83)</f>
        <v/>
      </c>
      <c r="S83" s="30">
        <f>IF($A83="","",IF($R83=0,IF($L83=0,"請求額0","回収済"),IF($L83&lt;0,IF($R83&lt;0,"差し引き待ち","差し引きすぎ"),IF($R83&lt;0,"入金が多い",IF($P83+$Q83=0,"未入金","一部入金")))))</f>
        <v/>
      </c>
      <c r="T83" s="31">
        <f>IF(OR($A83="",N($R83)&lt;=0,NOT(ISNUMBER($O83))),"",IF($O83&lt;'設定'!$B$7,'設定'!$B$7-$O83,""))</f>
        <v/>
      </c>
      <c r="U83" s="30">
        <f>IF(OR($A83="",N($R83)&lt;=0),"",IF(NOT(ISNUMBER($O83)),'設定'!$B$22,IF($O83&gt;='設定'!$B$7,'設定'!$B$17,IF('設定'!$B$7-$O83&lt;='設定'!$B$12,'設定'!$B$18,IF('設定'!$B$7-$O83&lt;='設定'!$B$13,'設定'!$B$19,IF('設定'!$B$7-$O83&lt;='設定'!$B$14,'設定'!$B$20,'設定'!$B$21))))))</f>
        <v/>
      </c>
      <c r="V83" s="56" t="n"/>
      <c r="W83" s="32">
        <f>IF($C83="","",IFERROR(MATCH($C83,'得意先'!$B$5:$B$104,0),"なし"))</f>
        <v/>
      </c>
      <c r="X83" s="33">
        <f>IF($A83="","",IF(ISNUMBER($E83),$E83,IF(ISNUMBER($B83),$B83,"")))</f>
        <v/>
      </c>
      <c r="Y83" s="34">
        <f>IF($T83="","",$O83+ROW()/1000000)</f>
        <v/>
      </c>
      <c r="Z83" s="35">
        <f>IF(OR($A83="",$C83="",$C83&lt;&gt;'売掛帳'!$B$3,NOT(ISNUMBER($X83))),"",IF(AND($X83&gt;='売掛帳'!$Q$3,$X83&lt;='売掛帳'!$Q$4),$X83+ROW()/10000000,""))</f>
        <v/>
      </c>
    </row>
    <row r="84" ht="18" customHeight="1">
      <c r="A84" s="18" t="n"/>
      <c r="B84" s="26" t="n"/>
      <c r="C84" s="18" t="n"/>
      <c r="D84" s="20">
        <f>IF($W84="","",IF($W84="なし","※得意先にないコード",INDEX('得意先'!$C$5:$C$104,$W84)&amp;""))</f>
        <v/>
      </c>
      <c r="E84" s="26" t="n"/>
      <c r="F84" s="19" t="n"/>
      <c r="G84" s="27" t="n"/>
      <c r="H84" s="27" t="n"/>
      <c r="I84" s="27" t="n"/>
      <c r="J84" s="28">
        <f>IF($A84="","",IF('設定'!$B$10="四捨五入",ROUND(IF('設定'!$B$9="税込",N($G84)*10/110,N($G84)*10/100),0),IF('設定'!$B$10="切り上げ",ROUNDUP(IF('設定'!$B$9="税込",N($G84)*10/110,N($G84)*10/100),0),ROUNDDOWN(IF('設定'!$B$9="税込",N($G84)*10/110,N($G84)*10/100),0))))</f>
        <v/>
      </c>
      <c r="K84" s="28">
        <f>IF($A84="","",IF('設定'!$B$10="四捨五入",ROUND(IF('設定'!$B$9="税込",N($H84)*8/108,N($H84)*8/100),0),IF('設定'!$B$10="切り上げ",ROUNDUP(IF('設定'!$B$9="税込",N($H84)*8/108,N($H84)*8/100),0),ROUNDDOWN(IF('設定'!$B$9="税込",N($H84)*8/108,N($H84)*8/100),0))))</f>
        <v/>
      </c>
      <c r="L84" s="28">
        <f>IF($A84="","",N($G84)+N($H84)+N($I84)+IF('設定'!$B$9="税込",0,$J84+$K84))</f>
        <v/>
      </c>
      <c r="M84" s="29">
        <f>IF(OR($A84="",NOT(ISNUMBER($W84)),NOT(ISNUMBER($X84))),"",IF(OR(INDEX('得意先'!$D$5:$D$104,$W84)="",INDEX('得意先'!$E$5:$E$104,$W84)="",INDEX('得意先'!$F$5:$F$104,$W84)=""),"",IF(INDEX('得意先'!$F$5:$F$104,$W84)="末",DATE(YEAR($X84),(MONTH($X84)+IF(INDEX('得意先'!$D$5:$D$104,$W84)="末",0,IF(DAY($X84)&lt;=INDEX('得意先'!$D$5:$D$104,$W84),0,1))+N(INDEX('得意先'!$E$5:$E$104,$W84)))+1,0),DATE(YEAR($X84),(MONTH($X84)+IF(INDEX('得意先'!$D$5:$D$104,$W84)="末",0,IF(DAY($X84)&lt;=INDEX('得意先'!$D$5:$D$104,$W84),0,1))+N(INDEX('得意先'!$E$5:$E$104,$W84))),MIN(INDEX('得意先'!$F$5:$F$104,$W84),DAY(DATE(YEAR($X84),(MONTH($X84)+IF(INDEX('得意先'!$D$5:$D$104,$W84)="末",0,IF(DAY($X84)&lt;=INDEX('得意先'!$D$5:$D$104,$W84),0,1))+N(INDEX('得意先'!$E$5:$E$104,$W84)))+1,0)))))))</f>
        <v/>
      </c>
      <c r="N84" s="26" t="n"/>
      <c r="O84" s="29">
        <f>IF($A84="","",IF(ISNUMBER($N84),$N84,$M84))</f>
        <v/>
      </c>
      <c r="P84" s="28">
        <f>IF($A84="","",SUMIF('入金消込'!$F$5:$F$1004,$A84,'入金消込'!$G$5:$G$1004))</f>
        <v/>
      </c>
      <c r="Q84" s="28">
        <f>IF($A84="","",SUMIF('入金消込'!$F$5:$F$1004,$A84,'入金消込'!$H$5:$H$1004)+SUMIF('入金消込'!$F$5:$F$1004,$A84,'入金消込'!$I$5:$I$1004))</f>
        <v/>
      </c>
      <c r="R84" s="28">
        <f>IF($A84="","",$L84-$P84-$Q84)</f>
        <v/>
      </c>
      <c r="S84" s="30">
        <f>IF($A84="","",IF($R84=0,IF($L84=0,"請求額0","回収済"),IF($L84&lt;0,IF($R84&lt;0,"差し引き待ち","差し引きすぎ"),IF($R84&lt;0,"入金が多い",IF($P84+$Q84=0,"未入金","一部入金")))))</f>
        <v/>
      </c>
      <c r="T84" s="31">
        <f>IF(OR($A84="",N($R84)&lt;=0,NOT(ISNUMBER($O84))),"",IF($O84&lt;'設定'!$B$7,'設定'!$B$7-$O84,""))</f>
        <v/>
      </c>
      <c r="U84" s="30">
        <f>IF(OR($A84="",N($R84)&lt;=0),"",IF(NOT(ISNUMBER($O84)),'設定'!$B$22,IF($O84&gt;='設定'!$B$7,'設定'!$B$17,IF('設定'!$B$7-$O84&lt;='設定'!$B$12,'設定'!$B$18,IF('設定'!$B$7-$O84&lt;='設定'!$B$13,'設定'!$B$19,IF('設定'!$B$7-$O84&lt;='設定'!$B$14,'設定'!$B$20,'設定'!$B$21))))))</f>
        <v/>
      </c>
      <c r="V84" s="56" t="n"/>
      <c r="W84" s="32">
        <f>IF($C84="","",IFERROR(MATCH($C84,'得意先'!$B$5:$B$104,0),"なし"))</f>
        <v/>
      </c>
      <c r="X84" s="33">
        <f>IF($A84="","",IF(ISNUMBER($E84),$E84,IF(ISNUMBER($B84),$B84,"")))</f>
        <v/>
      </c>
      <c r="Y84" s="34">
        <f>IF($T84="","",$O84+ROW()/1000000)</f>
        <v/>
      </c>
      <c r="Z84" s="35">
        <f>IF(OR($A84="",$C84="",$C84&lt;&gt;'売掛帳'!$B$3,NOT(ISNUMBER($X84))),"",IF(AND($X84&gt;='売掛帳'!$Q$3,$X84&lt;='売掛帳'!$Q$4),$X84+ROW()/10000000,""))</f>
        <v/>
      </c>
    </row>
    <row r="85" ht="18" customHeight="1">
      <c r="A85" s="18" t="n"/>
      <c r="B85" s="26" t="n"/>
      <c r="C85" s="18" t="n"/>
      <c r="D85" s="20">
        <f>IF($W85="","",IF($W85="なし","※得意先にないコード",INDEX('得意先'!$C$5:$C$104,$W85)&amp;""))</f>
        <v/>
      </c>
      <c r="E85" s="26" t="n"/>
      <c r="F85" s="19" t="n"/>
      <c r="G85" s="27" t="n"/>
      <c r="H85" s="27" t="n"/>
      <c r="I85" s="27" t="n"/>
      <c r="J85" s="28">
        <f>IF($A85="","",IF('設定'!$B$10="四捨五入",ROUND(IF('設定'!$B$9="税込",N($G85)*10/110,N($G85)*10/100),0),IF('設定'!$B$10="切り上げ",ROUNDUP(IF('設定'!$B$9="税込",N($G85)*10/110,N($G85)*10/100),0),ROUNDDOWN(IF('設定'!$B$9="税込",N($G85)*10/110,N($G85)*10/100),0))))</f>
        <v/>
      </c>
      <c r="K85" s="28">
        <f>IF($A85="","",IF('設定'!$B$10="四捨五入",ROUND(IF('設定'!$B$9="税込",N($H85)*8/108,N($H85)*8/100),0),IF('設定'!$B$10="切り上げ",ROUNDUP(IF('設定'!$B$9="税込",N($H85)*8/108,N($H85)*8/100),0),ROUNDDOWN(IF('設定'!$B$9="税込",N($H85)*8/108,N($H85)*8/100),0))))</f>
        <v/>
      </c>
      <c r="L85" s="28">
        <f>IF($A85="","",N($G85)+N($H85)+N($I85)+IF('設定'!$B$9="税込",0,$J85+$K85))</f>
        <v/>
      </c>
      <c r="M85" s="29">
        <f>IF(OR($A85="",NOT(ISNUMBER($W85)),NOT(ISNUMBER($X85))),"",IF(OR(INDEX('得意先'!$D$5:$D$104,$W85)="",INDEX('得意先'!$E$5:$E$104,$W85)="",INDEX('得意先'!$F$5:$F$104,$W85)=""),"",IF(INDEX('得意先'!$F$5:$F$104,$W85)="末",DATE(YEAR($X85),(MONTH($X85)+IF(INDEX('得意先'!$D$5:$D$104,$W85)="末",0,IF(DAY($X85)&lt;=INDEX('得意先'!$D$5:$D$104,$W85),0,1))+N(INDEX('得意先'!$E$5:$E$104,$W85)))+1,0),DATE(YEAR($X85),(MONTH($X85)+IF(INDEX('得意先'!$D$5:$D$104,$W85)="末",0,IF(DAY($X85)&lt;=INDEX('得意先'!$D$5:$D$104,$W85),0,1))+N(INDEX('得意先'!$E$5:$E$104,$W85))),MIN(INDEX('得意先'!$F$5:$F$104,$W85),DAY(DATE(YEAR($X85),(MONTH($X85)+IF(INDEX('得意先'!$D$5:$D$104,$W85)="末",0,IF(DAY($X85)&lt;=INDEX('得意先'!$D$5:$D$104,$W85),0,1))+N(INDEX('得意先'!$E$5:$E$104,$W85)))+1,0)))))))</f>
        <v/>
      </c>
      <c r="N85" s="26" t="n"/>
      <c r="O85" s="29">
        <f>IF($A85="","",IF(ISNUMBER($N85),$N85,$M85))</f>
        <v/>
      </c>
      <c r="P85" s="28">
        <f>IF($A85="","",SUMIF('入金消込'!$F$5:$F$1004,$A85,'入金消込'!$G$5:$G$1004))</f>
        <v/>
      </c>
      <c r="Q85" s="28">
        <f>IF($A85="","",SUMIF('入金消込'!$F$5:$F$1004,$A85,'入金消込'!$H$5:$H$1004)+SUMIF('入金消込'!$F$5:$F$1004,$A85,'入金消込'!$I$5:$I$1004))</f>
        <v/>
      </c>
      <c r="R85" s="28">
        <f>IF($A85="","",$L85-$P85-$Q85)</f>
        <v/>
      </c>
      <c r="S85" s="30">
        <f>IF($A85="","",IF($R85=0,IF($L85=0,"請求額0","回収済"),IF($L85&lt;0,IF($R85&lt;0,"差し引き待ち","差し引きすぎ"),IF($R85&lt;0,"入金が多い",IF($P85+$Q85=0,"未入金","一部入金")))))</f>
        <v/>
      </c>
      <c r="T85" s="31">
        <f>IF(OR($A85="",N($R85)&lt;=0,NOT(ISNUMBER($O85))),"",IF($O85&lt;'設定'!$B$7,'設定'!$B$7-$O85,""))</f>
        <v/>
      </c>
      <c r="U85" s="30">
        <f>IF(OR($A85="",N($R85)&lt;=0),"",IF(NOT(ISNUMBER($O85)),'設定'!$B$22,IF($O85&gt;='設定'!$B$7,'設定'!$B$17,IF('設定'!$B$7-$O85&lt;='設定'!$B$12,'設定'!$B$18,IF('設定'!$B$7-$O85&lt;='設定'!$B$13,'設定'!$B$19,IF('設定'!$B$7-$O85&lt;='設定'!$B$14,'設定'!$B$20,'設定'!$B$21))))))</f>
        <v/>
      </c>
      <c r="V85" s="56" t="n"/>
      <c r="W85" s="32">
        <f>IF($C85="","",IFERROR(MATCH($C85,'得意先'!$B$5:$B$104,0),"なし"))</f>
        <v/>
      </c>
      <c r="X85" s="33">
        <f>IF($A85="","",IF(ISNUMBER($E85),$E85,IF(ISNUMBER($B85),$B85,"")))</f>
        <v/>
      </c>
      <c r="Y85" s="34">
        <f>IF($T85="","",$O85+ROW()/1000000)</f>
        <v/>
      </c>
      <c r="Z85" s="35">
        <f>IF(OR($A85="",$C85="",$C85&lt;&gt;'売掛帳'!$B$3,NOT(ISNUMBER($X85))),"",IF(AND($X85&gt;='売掛帳'!$Q$3,$X85&lt;='売掛帳'!$Q$4),$X85+ROW()/10000000,""))</f>
        <v/>
      </c>
    </row>
    <row r="86" ht="18" customHeight="1">
      <c r="A86" s="18" t="n"/>
      <c r="B86" s="26" t="n"/>
      <c r="C86" s="18" t="n"/>
      <c r="D86" s="20">
        <f>IF($W86="","",IF($W86="なし","※得意先にないコード",INDEX('得意先'!$C$5:$C$104,$W86)&amp;""))</f>
        <v/>
      </c>
      <c r="E86" s="26" t="n"/>
      <c r="F86" s="19" t="n"/>
      <c r="G86" s="27" t="n"/>
      <c r="H86" s="27" t="n"/>
      <c r="I86" s="27" t="n"/>
      <c r="J86" s="28">
        <f>IF($A86="","",IF('設定'!$B$10="四捨五入",ROUND(IF('設定'!$B$9="税込",N($G86)*10/110,N($G86)*10/100),0),IF('設定'!$B$10="切り上げ",ROUNDUP(IF('設定'!$B$9="税込",N($G86)*10/110,N($G86)*10/100),0),ROUNDDOWN(IF('設定'!$B$9="税込",N($G86)*10/110,N($G86)*10/100),0))))</f>
        <v/>
      </c>
      <c r="K86" s="28">
        <f>IF($A86="","",IF('設定'!$B$10="四捨五入",ROUND(IF('設定'!$B$9="税込",N($H86)*8/108,N($H86)*8/100),0),IF('設定'!$B$10="切り上げ",ROUNDUP(IF('設定'!$B$9="税込",N($H86)*8/108,N($H86)*8/100),0),ROUNDDOWN(IF('設定'!$B$9="税込",N($H86)*8/108,N($H86)*8/100),0))))</f>
        <v/>
      </c>
      <c r="L86" s="28">
        <f>IF($A86="","",N($G86)+N($H86)+N($I86)+IF('設定'!$B$9="税込",0,$J86+$K86))</f>
        <v/>
      </c>
      <c r="M86" s="29">
        <f>IF(OR($A86="",NOT(ISNUMBER($W86)),NOT(ISNUMBER($X86))),"",IF(OR(INDEX('得意先'!$D$5:$D$104,$W86)="",INDEX('得意先'!$E$5:$E$104,$W86)="",INDEX('得意先'!$F$5:$F$104,$W86)=""),"",IF(INDEX('得意先'!$F$5:$F$104,$W86)="末",DATE(YEAR($X86),(MONTH($X86)+IF(INDEX('得意先'!$D$5:$D$104,$W86)="末",0,IF(DAY($X86)&lt;=INDEX('得意先'!$D$5:$D$104,$W86),0,1))+N(INDEX('得意先'!$E$5:$E$104,$W86)))+1,0),DATE(YEAR($X86),(MONTH($X86)+IF(INDEX('得意先'!$D$5:$D$104,$W86)="末",0,IF(DAY($X86)&lt;=INDEX('得意先'!$D$5:$D$104,$W86),0,1))+N(INDEX('得意先'!$E$5:$E$104,$W86))),MIN(INDEX('得意先'!$F$5:$F$104,$W86),DAY(DATE(YEAR($X86),(MONTH($X86)+IF(INDEX('得意先'!$D$5:$D$104,$W86)="末",0,IF(DAY($X86)&lt;=INDEX('得意先'!$D$5:$D$104,$W86),0,1))+N(INDEX('得意先'!$E$5:$E$104,$W86)))+1,0)))))))</f>
        <v/>
      </c>
      <c r="N86" s="26" t="n"/>
      <c r="O86" s="29">
        <f>IF($A86="","",IF(ISNUMBER($N86),$N86,$M86))</f>
        <v/>
      </c>
      <c r="P86" s="28">
        <f>IF($A86="","",SUMIF('入金消込'!$F$5:$F$1004,$A86,'入金消込'!$G$5:$G$1004))</f>
        <v/>
      </c>
      <c r="Q86" s="28">
        <f>IF($A86="","",SUMIF('入金消込'!$F$5:$F$1004,$A86,'入金消込'!$H$5:$H$1004)+SUMIF('入金消込'!$F$5:$F$1004,$A86,'入金消込'!$I$5:$I$1004))</f>
        <v/>
      </c>
      <c r="R86" s="28">
        <f>IF($A86="","",$L86-$P86-$Q86)</f>
        <v/>
      </c>
      <c r="S86" s="30">
        <f>IF($A86="","",IF($R86=0,IF($L86=0,"請求額0","回収済"),IF($L86&lt;0,IF($R86&lt;0,"差し引き待ち","差し引きすぎ"),IF($R86&lt;0,"入金が多い",IF($P86+$Q86=0,"未入金","一部入金")))))</f>
        <v/>
      </c>
      <c r="T86" s="31">
        <f>IF(OR($A86="",N($R86)&lt;=0,NOT(ISNUMBER($O86))),"",IF($O86&lt;'設定'!$B$7,'設定'!$B$7-$O86,""))</f>
        <v/>
      </c>
      <c r="U86" s="30">
        <f>IF(OR($A86="",N($R86)&lt;=0),"",IF(NOT(ISNUMBER($O86)),'設定'!$B$22,IF($O86&gt;='設定'!$B$7,'設定'!$B$17,IF('設定'!$B$7-$O86&lt;='設定'!$B$12,'設定'!$B$18,IF('設定'!$B$7-$O86&lt;='設定'!$B$13,'設定'!$B$19,IF('設定'!$B$7-$O86&lt;='設定'!$B$14,'設定'!$B$20,'設定'!$B$21))))))</f>
        <v/>
      </c>
      <c r="V86" s="56" t="n"/>
      <c r="W86" s="32">
        <f>IF($C86="","",IFERROR(MATCH($C86,'得意先'!$B$5:$B$104,0),"なし"))</f>
        <v/>
      </c>
      <c r="X86" s="33">
        <f>IF($A86="","",IF(ISNUMBER($E86),$E86,IF(ISNUMBER($B86),$B86,"")))</f>
        <v/>
      </c>
      <c r="Y86" s="34">
        <f>IF($T86="","",$O86+ROW()/1000000)</f>
        <v/>
      </c>
      <c r="Z86" s="35">
        <f>IF(OR($A86="",$C86="",$C86&lt;&gt;'売掛帳'!$B$3,NOT(ISNUMBER($X86))),"",IF(AND($X86&gt;='売掛帳'!$Q$3,$X86&lt;='売掛帳'!$Q$4),$X86+ROW()/10000000,""))</f>
        <v/>
      </c>
    </row>
    <row r="87" ht="18" customHeight="1">
      <c r="A87" s="18" t="n"/>
      <c r="B87" s="26" t="n"/>
      <c r="C87" s="18" t="n"/>
      <c r="D87" s="20">
        <f>IF($W87="","",IF($W87="なし","※得意先にないコード",INDEX('得意先'!$C$5:$C$104,$W87)&amp;""))</f>
        <v/>
      </c>
      <c r="E87" s="26" t="n"/>
      <c r="F87" s="19" t="n"/>
      <c r="G87" s="27" t="n"/>
      <c r="H87" s="27" t="n"/>
      <c r="I87" s="27" t="n"/>
      <c r="J87" s="28">
        <f>IF($A87="","",IF('設定'!$B$10="四捨五入",ROUND(IF('設定'!$B$9="税込",N($G87)*10/110,N($G87)*10/100),0),IF('設定'!$B$10="切り上げ",ROUNDUP(IF('設定'!$B$9="税込",N($G87)*10/110,N($G87)*10/100),0),ROUNDDOWN(IF('設定'!$B$9="税込",N($G87)*10/110,N($G87)*10/100),0))))</f>
        <v/>
      </c>
      <c r="K87" s="28">
        <f>IF($A87="","",IF('設定'!$B$10="四捨五入",ROUND(IF('設定'!$B$9="税込",N($H87)*8/108,N($H87)*8/100),0),IF('設定'!$B$10="切り上げ",ROUNDUP(IF('設定'!$B$9="税込",N($H87)*8/108,N($H87)*8/100),0),ROUNDDOWN(IF('設定'!$B$9="税込",N($H87)*8/108,N($H87)*8/100),0))))</f>
        <v/>
      </c>
      <c r="L87" s="28">
        <f>IF($A87="","",N($G87)+N($H87)+N($I87)+IF('設定'!$B$9="税込",0,$J87+$K87))</f>
        <v/>
      </c>
      <c r="M87" s="29">
        <f>IF(OR($A87="",NOT(ISNUMBER($W87)),NOT(ISNUMBER($X87))),"",IF(OR(INDEX('得意先'!$D$5:$D$104,$W87)="",INDEX('得意先'!$E$5:$E$104,$W87)="",INDEX('得意先'!$F$5:$F$104,$W87)=""),"",IF(INDEX('得意先'!$F$5:$F$104,$W87)="末",DATE(YEAR($X87),(MONTH($X87)+IF(INDEX('得意先'!$D$5:$D$104,$W87)="末",0,IF(DAY($X87)&lt;=INDEX('得意先'!$D$5:$D$104,$W87),0,1))+N(INDEX('得意先'!$E$5:$E$104,$W87)))+1,0),DATE(YEAR($X87),(MONTH($X87)+IF(INDEX('得意先'!$D$5:$D$104,$W87)="末",0,IF(DAY($X87)&lt;=INDEX('得意先'!$D$5:$D$104,$W87),0,1))+N(INDEX('得意先'!$E$5:$E$104,$W87))),MIN(INDEX('得意先'!$F$5:$F$104,$W87),DAY(DATE(YEAR($X87),(MONTH($X87)+IF(INDEX('得意先'!$D$5:$D$104,$W87)="末",0,IF(DAY($X87)&lt;=INDEX('得意先'!$D$5:$D$104,$W87),0,1))+N(INDEX('得意先'!$E$5:$E$104,$W87)))+1,0)))))))</f>
        <v/>
      </c>
      <c r="N87" s="26" t="n"/>
      <c r="O87" s="29">
        <f>IF($A87="","",IF(ISNUMBER($N87),$N87,$M87))</f>
        <v/>
      </c>
      <c r="P87" s="28">
        <f>IF($A87="","",SUMIF('入金消込'!$F$5:$F$1004,$A87,'入金消込'!$G$5:$G$1004))</f>
        <v/>
      </c>
      <c r="Q87" s="28">
        <f>IF($A87="","",SUMIF('入金消込'!$F$5:$F$1004,$A87,'入金消込'!$H$5:$H$1004)+SUMIF('入金消込'!$F$5:$F$1004,$A87,'入金消込'!$I$5:$I$1004))</f>
        <v/>
      </c>
      <c r="R87" s="28">
        <f>IF($A87="","",$L87-$P87-$Q87)</f>
        <v/>
      </c>
      <c r="S87" s="30">
        <f>IF($A87="","",IF($R87=0,IF($L87=0,"請求額0","回収済"),IF($L87&lt;0,IF($R87&lt;0,"差し引き待ち","差し引きすぎ"),IF($R87&lt;0,"入金が多い",IF($P87+$Q87=0,"未入金","一部入金")))))</f>
        <v/>
      </c>
      <c r="T87" s="31">
        <f>IF(OR($A87="",N($R87)&lt;=0,NOT(ISNUMBER($O87))),"",IF($O87&lt;'設定'!$B$7,'設定'!$B$7-$O87,""))</f>
        <v/>
      </c>
      <c r="U87" s="30">
        <f>IF(OR($A87="",N($R87)&lt;=0),"",IF(NOT(ISNUMBER($O87)),'設定'!$B$22,IF($O87&gt;='設定'!$B$7,'設定'!$B$17,IF('設定'!$B$7-$O87&lt;='設定'!$B$12,'設定'!$B$18,IF('設定'!$B$7-$O87&lt;='設定'!$B$13,'設定'!$B$19,IF('設定'!$B$7-$O87&lt;='設定'!$B$14,'設定'!$B$20,'設定'!$B$21))))))</f>
        <v/>
      </c>
      <c r="V87" s="56" t="n"/>
      <c r="W87" s="32">
        <f>IF($C87="","",IFERROR(MATCH($C87,'得意先'!$B$5:$B$104,0),"なし"))</f>
        <v/>
      </c>
      <c r="X87" s="33">
        <f>IF($A87="","",IF(ISNUMBER($E87),$E87,IF(ISNUMBER($B87),$B87,"")))</f>
        <v/>
      </c>
      <c r="Y87" s="34">
        <f>IF($T87="","",$O87+ROW()/1000000)</f>
        <v/>
      </c>
      <c r="Z87" s="35">
        <f>IF(OR($A87="",$C87="",$C87&lt;&gt;'売掛帳'!$B$3,NOT(ISNUMBER($X87))),"",IF(AND($X87&gt;='売掛帳'!$Q$3,$X87&lt;='売掛帳'!$Q$4),$X87+ROW()/10000000,""))</f>
        <v/>
      </c>
    </row>
    <row r="88" ht="18" customHeight="1">
      <c r="A88" s="18" t="n"/>
      <c r="B88" s="26" t="n"/>
      <c r="C88" s="18" t="n"/>
      <c r="D88" s="20">
        <f>IF($W88="","",IF($W88="なし","※得意先にないコード",INDEX('得意先'!$C$5:$C$104,$W88)&amp;""))</f>
        <v/>
      </c>
      <c r="E88" s="26" t="n"/>
      <c r="F88" s="19" t="n"/>
      <c r="G88" s="27" t="n"/>
      <c r="H88" s="27" t="n"/>
      <c r="I88" s="27" t="n"/>
      <c r="J88" s="28">
        <f>IF($A88="","",IF('設定'!$B$10="四捨五入",ROUND(IF('設定'!$B$9="税込",N($G88)*10/110,N($G88)*10/100),0),IF('設定'!$B$10="切り上げ",ROUNDUP(IF('設定'!$B$9="税込",N($G88)*10/110,N($G88)*10/100),0),ROUNDDOWN(IF('設定'!$B$9="税込",N($G88)*10/110,N($G88)*10/100),0))))</f>
        <v/>
      </c>
      <c r="K88" s="28">
        <f>IF($A88="","",IF('設定'!$B$10="四捨五入",ROUND(IF('設定'!$B$9="税込",N($H88)*8/108,N($H88)*8/100),0),IF('設定'!$B$10="切り上げ",ROUNDUP(IF('設定'!$B$9="税込",N($H88)*8/108,N($H88)*8/100),0),ROUNDDOWN(IF('設定'!$B$9="税込",N($H88)*8/108,N($H88)*8/100),0))))</f>
        <v/>
      </c>
      <c r="L88" s="28">
        <f>IF($A88="","",N($G88)+N($H88)+N($I88)+IF('設定'!$B$9="税込",0,$J88+$K88))</f>
        <v/>
      </c>
      <c r="M88" s="29">
        <f>IF(OR($A88="",NOT(ISNUMBER($W88)),NOT(ISNUMBER($X88))),"",IF(OR(INDEX('得意先'!$D$5:$D$104,$W88)="",INDEX('得意先'!$E$5:$E$104,$W88)="",INDEX('得意先'!$F$5:$F$104,$W88)=""),"",IF(INDEX('得意先'!$F$5:$F$104,$W88)="末",DATE(YEAR($X88),(MONTH($X88)+IF(INDEX('得意先'!$D$5:$D$104,$W88)="末",0,IF(DAY($X88)&lt;=INDEX('得意先'!$D$5:$D$104,$W88),0,1))+N(INDEX('得意先'!$E$5:$E$104,$W88)))+1,0),DATE(YEAR($X88),(MONTH($X88)+IF(INDEX('得意先'!$D$5:$D$104,$W88)="末",0,IF(DAY($X88)&lt;=INDEX('得意先'!$D$5:$D$104,$W88),0,1))+N(INDEX('得意先'!$E$5:$E$104,$W88))),MIN(INDEX('得意先'!$F$5:$F$104,$W88),DAY(DATE(YEAR($X88),(MONTH($X88)+IF(INDEX('得意先'!$D$5:$D$104,$W88)="末",0,IF(DAY($X88)&lt;=INDEX('得意先'!$D$5:$D$104,$W88),0,1))+N(INDEX('得意先'!$E$5:$E$104,$W88)))+1,0)))))))</f>
        <v/>
      </c>
      <c r="N88" s="26" t="n"/>
      <c r="O88" s="29">
        <f>IF($A88="","",IF(ISNUMBER($N88),$N88,$M88))</f>
        <v/>
      </c>
      <c r="P88" s="28">
        <f>IF($A88="","",SUMIF('入金消込'!$F$5:$F$1004,$A88,'入金消込'!$G$5:$G$1004))</f>
        <v/>
      </c>
      <c r="Q88" s="28">
        <f>IF($A88="","",SUMIF('入金消込'!$F$5:$F$1004,$A88,'入金消込'!$H$5:$H$1004)+SUMIF('入金消込'!$F$5:$F$1004,$A88,'入金消込'!$I$5:$I$1004))</f>
        <v/>
      </c>
      <c r="R88" s="28">
        <f>IF($A88="","",$L88-$P88-$Q88)</f>
        <v/>
      </c>
      <c r="S88" s="30">
        <f>IF($A88="","",IF($R88=0,IF($L88=0,"請求額0","回収済"),IF($L88&lt;0,IF($R88&lt;0,"差し引き待ち","差し引きすぎ"),IF($R88&lt;0,"入金が多い",IF($P88+$Q88=0,"未入金","一部入金")))))</f>
        <v/>
      </c>
      <c r="T88" s="31">
        <f>IF(OR($A88="",N($R88)&lt;=0,NOT(ISNUMBER($O88))),"",IF($O88&lt;'設定'!$B$7,'設定'!$B$7-$O88,""))</f>
        <v/>
      </c>
      <c r="U88" s="30">
        <f>IF(OR($A88="",N($R88)&lt;=0),"",IF(NOT(ISNUMBER($O88)),'設定'!$B$22,IF($O88&gt;='設定'!$B$7,'設定'!$B$17,IF('設定'!$B$7-$O88&lt;='設定'!$B$12,'設定'!$B$18,IF('設定'!$B$7-$O88&lt;='設定'!$B$13,'設定'!$B$19,IF('設定'!$B$7-$O88&lt;='設定'!$B$14,'設定'!$B$20,'設定'!$B$21))))))</f>
        <v/>
      </c>
      <c r="V88" s="56" t="n"/>
      <c r="W88" s="32">
        <f>IF($C88="","",IFERROR(MATCH($C88,'得意先'!$B$5:$B$104,0),"なし"))</f>
        <v/>
      </c>
      <c r="X88" s="33">
        <f>IF($A88="","",IF(ISNUMBER($E88),$E88,IF(ISNUMBER($B88),$B88,"")))</f>
        <v/>
      </c>
      <c r="Y88" s="34">
        <f>IF($T88="","",$O88+ROW()/1000000)</f>
        <v/>
      </c>
      <c r="Z88" s="35">
        <f>IF(OR($A88="",$C88="",$C88&lt;&gt;'売掛帳'!$B$3,NOT(ISNUMBER($X88))),"",IF(AND($X88&gt;='売掛帳'!$Q$3,$X88&lt;='売掛帳'!$Q$4),$X88+ROW()/10000000,""))</f>
        <v/>
      </c>
    </row>
    <row r="89" ht="18" customHeight="1">
      <c r="A89" s="18" t="n"/>
      <c r="B89" s="26" t="n"/>
      <c r="C89" s="18" t="n"/>
      <c r="D89" s="20">
        <f>IF($W89="","",IF($W89="なし","※得意先にないコード",INDEX('得意先'!$C$5:$C$104,$W89)&amp;""))</f>
        <v/>
      </c>
      <c r="E89" s="26" t="n"/>
      <c r="F89" s="19" t="n"/>
      <c r="G89" s="27" t="n"/>
      <c r="H89" s="27" t="n"/>
      <c r="I89" s="27" t="n"/>
      <c r="J89" s="28">
        <f>IF($A89="","",IF('設定'!$B$10="四捨五入",ROUND(IF('設定'!$B$9="税込",N($G89)*10/110,N($G89)*10/100),0),IF('設定'!$B$10="切り上げ",ROUNDUP(IF('設定'!$B$9="税込",N($G89)*10/110,N($G89)*10/100),0),ROUNDDOWN(IF('設定'!$B$9="税込",N($G89)*10/110,N($G89)*10/100),0))))</f>
        <v/>
      </c>
      <c r="K89" s="28">
        <f>IF($A89="","",IF('設定'!$B$10="四捨五入",ROUND(IF('設定'!$B$9="税込",N($H89)*8/108,N($H89)*8/100),0),IF('設定'!$B$10="切り上げ",ROUNDUP(IF('設定'!$B$9="税込",N($H89)*8/108,N($H89)*8/100),0),ROUNDDOWN(IF('設定'!$B$9="税込",N($H89)*8/108,N($H89)*8/100),0))))</f>
        <v/>
      </c>
      <c r="L89" s="28">
        <f>IF($A89="","",N($G89)+N($H89)+N($I89)+IF('設定'!$B$9="税込",0,$J89+$K89))</f>
        <v/>
      </c>
      <c r="M89" s="29">
        <f>IF(OR($A89="",NOT(ISNUMBER($W89)),NOT(ISNUMBER($X89))),"",IF(OR(INDEX('得意先'!$D$5:$D$104,$W89)="",INDEX('得意先'!$E$5:$E$104,$W89)="",INDEX('得意先'!$F$5:$F$104,$W89)=""),"",IF(INDEX('得意先'!$F$5:$F$104,$W89)="末",DATE(YEAR($X89),(MONTH($X89)+IF(INDEX('得意先'!$D$5:$D$104,$W89)="末",0,IF(DAY($X89)&lt;=INDEX('得意先'!$D$5:$D$104,$W89),0,1))+N(INDEX('得意先'!$E$5:$E$104,$W89)))+1,0),DATE(YEAR($X89),(MONTH($X89)+IF(INDEX('得意先'!$D$5:$D$104,$W89)="末",0,IF(DAY($X89)&lt;=INDEX('得意先'!$D$5:$D$104,$W89),0,1))+N(INDEX('得意先'!$E$5:$E$104,$W89))),MIN(INDEX('得意先'!$F$5:$F$104,$W89),DAY(DATE(YEAR($X89),(MONTH($X89)+IF(INDEX('得意先'!$D$5:$D$104,$W89)="末",0,IF(DAY($X89)&lt;=INDEX('得意先'!$D$5:$D$104,$W89),0,1))+N(INDEX('得意先'!$E$5:$E$104,$W89)))+1,0)))))))</f>
        <v/>
      </c>
      <c r="N89" s="26" t="n"/>
      <c r="O89" s="29">
        <f>IF($A89="","",IF(ISNUMBER($N89),$N89,$M89))</f>
        <v/>
      </c>
      <c r="P89" s="28">
        <f>IF($A89="","",SUMIF('入金消込'!$F$5:$F$1004,$A89,'入金消込'!$G$5:$G$1004))</f>
        <v/>
      </c>
      <c r="Q89" s="28">
        <f>IF($A89="","",SUMIF('入金消込'!$F$5:$F$1004,$A89,'入金消込'!$H$5:$H$1004)+SUMIF('入金消込'!$F$5:$F$1004,$A89,'入金消込'!$I$5:$I$1004))</f>
        <v/>
      </c>
      <c r="R89" s="28">
        <f>IF($A89="","",$L89-$P89-$Q89)</f>
        <v/>
      </c>
      <c r="S89" s="30">
        <f>IF($A89="","",IF($R89=0,IF($L89=0,"請求額0","回収済"),IF($L89&lt;0,IF($R89&lt;0,"差し引き待ち","差し引きすぎ"),IF($R89&lt;0,"入金が多い",IF($P89+$Q89=0,"未入金","一部入金")))))</f>
        <v/>
      </c>
      <c r="T89" s="31">
        <f>IF(OR($A89="",N($R89)&lt;=0,NOT(ISNUMBER($O89))),"",IF($O89&lt;'設定'!$B$7,'設定'!$B$7-$O89,""))</f>
        <v/>
      </c>
      <c r="U89" s="30">
        <f>IF(OR($A89="",N($R89)&lt;=0),"",IF(NOT(ISNUMBER($O89)),'設定'!$B$22,IF($O89&gt;='設定'!$B$7,'設定'!$B$17,IF('設定'!$B$7-$O89&lt;='設定'!$B$12,'設定'!$B$18,IF('設定'!$B$7-$O89&lt;='設定'!$B$13,'設定'!$B$19,IF('設定'!$B$7-$O89&lt;='設定'!$B$14,'設定'!$B$20,'設定'!$B$21))))))</f>
        <v/>
      </c>
      <c r="V89" s="56" t="n"/>
      <c r="W89" s="32">
        <f>IF($C89="","",IFERROR(MATCH($C89,'得意先'!$B$5:$B$104,0),"なし"))</f>
        <v/>
      </c>
      <c r="X89" s="33">
        <f>IF($A89="","",IF(ISNUMBER($E89),$E89,IF(ISNUMBER($B89),$B89,"")))</f>
        <v/>
      </c>
      <c r="Y89" s="34">
        <f>IF($T89="","",$O89+ROW()/1000000)</f>
        <v/>
      </c>
      <c r="Z89" s="35">
        <f>IF(OR($A89="",$C89="",$C89&lt;&gt;'売掛帳'!$B$3,NOT(ISNUMBER($X89))),"",IF(AND($X89&gt;='売掛帳'!$Q$3,$X89&lt;='売掛帳'!$Q$4),$X89+ROW()/10000000,""))</f>
        <v/>
      </c>
    </row>
    <row r="90" ht="18" customHeight="1">
      <c r="A90" s="18" t="n"/>
      <c r="B90" s="26" t="n"/>
      <c r="C90" s="18" t="n"/>
      <c r="D90" s="20">
        <f>IF($W90="","",IF($W90="なし","※得意先にないコード",INDEX('得意先'!$C$5:$C$104,$W90)&amp;""))</f>
        <v/>
      </c>
      <c r="E90" s="26" t="n"/>
      <c r="F90" s="19" t="n"/>
      <c r="G90" s="27" t="n"/>
      <c r="H90" s="27" t="n"/>
      <c r="I90" s="27" t="n"/>
      <c r="J90" s="28">
        <f>IF($A90="","",IF('設定'!$B$10="四捨五入",ROUND(IF('設定'!$B$9="税込",N($G90)*10/110,N($G90)*10/100),0),IF('設定'!$B$10="切り上げ",ROUNDUP(IF('設定'!$B$9="税込",N($G90)*10/110,N($G90)*10/100),0),ROUNDDOWN(IF('設定'!$B$9="税込",N($G90)*10/110,N($G90)*10/100),0))))</f>
        <v/>
      </c>
      <c r="K90" s="28">
        <f>IF($A90="","",IF('設定'!$B$10="四捨五入",ROUND(IF('設定'!$B$9="税込",N($H90)*8/108,N($H90)*8/100),0),IF('設定'!$B$10="切り上げ",ROUNDUP(IF('設定'!$B$9="税込",N($H90)*8/108,N($H90)*8/100),0),ROUNDDOWN(IF('設定'!$B$9="税込",N($H90)*8/108,N($H90)*8/100),0))))</f>
        <v/>
      </c>
      <c r="L90" s="28">
        <f>IF($A90="","",N($G90)+N($H90)+N($I90)+IF('設定'!$B$9="税込",0,$J90+$K90))</f>
        <v/>
      </c>
      <c r="M90" s="29">
        <f>IF(OR($A90="",NOT(ISNUMBER($W90)),NOT(ISNUMBER($X90))),"",IF(OR(INDEX('得意先'!$D$5:$D$104,$W90)="",INDEX('得意先'!$E$5:$E$104,$W90)="",INDEX('得意先'!$F$5:$F$104,$W90)=""),"",IF(INDEX('得意先'!$F$5:$F$104,$W90)="末",DATE(YEAR($X90),(MONTH($X90)+IF(INDEX('得意先'!$D$5:$D$104,$W90)="末",0,IF(DAY($X90)&lt;=INDEX('得意先'!$D$5:$D$104,$W90),0,1))+N(INDEX('得意先'!$E$5:$E$104,$W90)))+1,0),DATE(YEAR($X90),(MONTH($X90)+IF(INDEX('得意先'!$D$5:$D$104,$W90)="末",0,IF(DAY($X90)&lt;=INDEX('得意先'!$D$5:$D$104,$W90),0,1))+N(INDEX('得意先'!$E$5:$E$104,$W90))),MIN(INDEX('得意先'!$F$5:$F$104,$W90),DAY(DATE(YEAR($X90),(MONTH($X90)+IF(INDEX('得意先'!$D$5:$D$104,$W90)="末",0,IF(DAY($X90)&lt;=INDEX('得意先'!$D$5:$D$104,$W90),0,1))+N(INDEX('得意先'!$E$5:$E$104,$W90)))+1,0)))))))</f>
        <v/>
      </c>
      <c r="N90" s="26" t="n"/>
      <c r="O90" s="29">
        <f>IF($A90="","",IF(ISNUMBER($N90),$N90,$M90))</f>
        <v/>
      </c>
      <c r="P90" s="28">
        <f>IF($A90="","",SUMIF('入金消込'!$F$5:$F$1004,$A90,'入金消込'!$G$5:$G$1004))</f>
        <v/>
      </c>
      <c r="Q90" s="28">
        <f>IF($A90="","",SUMIF('入金消込'!$F$5:$F$1004,$A90,'入金消込'!$H$5:$H$1004)+SUMIF('入金消込'!$F$5:$F$1004,$A90,'入金消込'!$I$5:$I$1004))</f>
        <v/>
      </c>
      <c r="R90" s="28">
        <f>IF($A90="","",$L90-$P90-$Q90)</f>
        <v/>
      </c>
      <c r="S90" s="30">
        <f>IF($A90="","",IF($R90=0,IF($L90=0,"請求額0","回収済"),IF($L90&lt;0,IF($R90&lt;0,"差し引き待ち","差し引きすぎ"),IF($R90&lt;0,"入金が多い",IF($P90+$Q90=0,"未入金","一部入金")))))</f>
        <v/>
      </c>
      <c r="T90" s="31">
        <f>IF(OR($A90="",N($R90)&lt;=0,NOT(ISNUMBER($O90))),"",IF($O90&lt;'設定'!$B$7,'設定'!$B$7-$O90,""))</f>
        <v/>
      </c>
      <c r="U90" s="30">
        <f>IF(OR($A90="",N($R90)&lt;=0),"",IF(NOT(ISNUMBER($O90)),'設定'!$B$22,IF($O90&gt;='設定'!$B$7,'設定'!$B$17,IF('設定'!$B$7-$O90&lt;='設定'!$B$12,'設定'!$B$18,IF('設定'!$B$7-$O90&lt;='設定'!$B$13,'設定'!$B$19,IF('設定'!$B$7-$O90&lt;='設定'!$B$14,'設定'!$B$20,'設定'!$B$21))))))</f>
        <v/>
      </c>
      <c r="V90" s="56" t="n"/>
      <c r="W90" s="32">
        <f>IF($C90="","",IFERROR(MATCH($C90,'得意先'!$B$5:$B$104,0),"なし"))</f>
        <v/>
      </c>
      <c r="X90" s="33">
        <f>IF($A90="","",IF(ISNUMBER($E90),$E90,IF(ISNUMBER($B90),$B90,"")))</f>
        <v/>
      </c>
      <c r="Y90" s="34">
        <f>IF($T90="","",$O90+ROW()/1000000)</f>
        <v/>
      </c>
      <c r="Z90" s="35">
        <f>IF(OR($A90="",$C90="",$C90&lt;&gt;'売掛帳'!$B$3,NOT(ISNUMBER($X90))),"",IF(AND($X90&gt;='売掛帳'!$Q$3,$X90&lt;='売掛帳'!$Q$4),$X90+ROW()/10000000,""))</f>
        <v/>
      </c>
    </row>
    <row r="91" ht="18" customHeight="1">
      <c r="A91" s="18" t="n"/>
      <c r="B91" s="26" t="n"/>
      <c r="C91" s="18" t="n"/>
      <c r="D91" s="20">
        <f>IF($W91="","",IF($W91="なし","※得意先にないコード",INDEX('得意先'!$C$5:$C$104,$W91)&amp;""))</f>
        <v/>
      </c>
      <c r="E91" s="26" t="n"/>
      <c r="F91" s="19" t="n"/>
      <c r="G91" s="27" t="n"/>
      <c r="H91" s="27" t="n"/>
      <c r="I91" s="27" t="n"/>
      <c r="J91" s="28">
        <f>IF($A91="","",IF('設定'!$B$10="四捨五入",ROUND(IF('設定'!$B$9="税込",N($G91)*10/110,N($G91)*10/100),0),IF('設定'!$B$10="切り上げ",ROUNDUP(IF('設定'!$B$9="税込",N($G91)*10/110,N($G91)*10/100),0),ROUNDDOWN(IF('設定'!$B$9="税込",N($G91)*10/110,N($G91)*10/100),0))))</f>
        <v/>
      </c>
      <c r="K91" s="28">
        <f>IF($A91="","",IF('設定'!$B$10="四捨五入",ROUND(IF('設定'!$B$9="税込",N($H91)*8/108,N($H91)*8/100),0),IF('設定'!$B$10="切り上げ",ROUNDUP(IF('設定'!$B$9="税込",N($H91)*8/108,N($H91)*8/100),0),ROUNDDOWN(IF('設定'!$B$9="税込",N($H91)*8/108,N($H91)*8/100),0))))</f>
        <v/>
      </c>
      <c r="L91" s="28">
        <f>IF($A91="","",N($G91)+N($H91)+N($I91)+IF('設定'!$B$9="税込",0,$J91+$K91))</f>
        <v/>
      </c>
      <c r="M91" s="29">
        <f>IF(OR($A91="",NOT(ISNUMBER($W91)),NOT(ISNUMBER($X91))),"",IF(OR(INDEX('得意先'!$D$5:$D$104,$W91)="",INDEX('得意先'!$E$5:$E$104,$W91)="",INDEX('得意先'!$F$5:$F$104,$W91)=""),"",IF(INDEX('得意先'!$F$5:$F$104,$W91)="末",DATE(YEAR($X91),(MONTH($X91)+IF(INDEX('得意先'!$D$5:$D$104,$W91)="末",0,IF(DAY($X91)&lt;=INDEX('得意先'!$D$5:$D$104,$W91),0,1))+N(INDEX('得意先'!$E$5:$E$104,$W91)))+1,0),DATE(YEAR($X91),(MONTH($X91)+IF(INDEX('得意先'!$D$5:$D$104,$W91)="末",0,IF(DAY($X91)&lt;=INDEX('得意先'!$D$5:$D$104,$W91),0,1))+N(INDEX('得意先'!$E$5:$E$104,$W91))),MIN(INDEX('得意先'!$F$5:$F$104,$W91),DAY(DATE(YEAR($X91),(MONTH($X91)+IF(INDEX('得意先'!$D$5:$D$104,$W91)="末",0,IF(DAY($X91)&lt;=INDEX('得意先'!$D$5:$D$104,$W91),0,1))+N(INDEX('得意先'!$E$5:$E$104,$W91)))+1,0)))))))</f>
        <v/>
      </c>
      <c r="N91" s="26" t="n"/>
      <c r="O91" s="29">
        <f>IF($A91="","",IF(ISNUMBER($N91),$N91,$M91))</f>
        <v/>
      </c>
      <c r="P91" s="28">
        <f>IF($A91="","",SUMIF('入金消込'!$F$5:$F$1004,$A91,'入金消込'!$G$5:$G$1004))</f>
        <v/>
      </c>
      <c r="Q91" s="28">
        <f>IF($A91="","",SUMIF('入金消込'!$F$5:$F$1004,$A91,'入金消込'!$H$5:$H$1004)+SUMIF('入金消込'!$F$5:$F$1004,$A91,'入金消込'!$I$5:$I$1004))</f>
        <v/>
      </c>
      <c r="R91" s="28">
        <f>IF($A91="","",$L91-$P91-$Q91)</f>
        <v/>
      </c>
      <c r="S91" s="30">
        <f>IF($A91="","",IF($R91=0,IF($L91=0,"請求額0","回収済"),IF($L91&lt;0,IF($R91&lt;0,"差し引き待ち","差し引きすぎ"),IF($R91&lt;0,"入金が多い",IF($P91+$Q91=0,"未入金","一部入金")))))</f>
        <v/>
      </c>
      <c r="T91" s="31">
        <f>IF(OR($A91="",N($R91)&lt;=0,NOT(ISNUMBER($O91))),"",IF($O91&lt;'設定'!$B$7,'設定'!$B$7-$O91,""))</f>
        <v/>
      </c>
      <c r="U91" s="30">
        <f>IF(OR($A91="",N($R91)&lt;=0),"",IF(NOT(ISNUMBER($O91)),'設定'!$B$22,IF($O91&gt;='設定'!$B$7,'設定'!$B$17,IF('設定'!$B$7-$O91&lt;='設定'!$B$12,'設定'!$B$18,IF('設定'!$B$7-$O91&lt;='設定'!$B$13,'設定'!$B$19,IF('設定'!$B$7-$O91&lt;='設定'!$B$14,'設定'!$B$20,'設定'!$B$21))))))</f>
        <v/>
      </c>
      <c r="V91" s="56" t="n"/>
      <c r="W91" s="32">
        <f>IF($C91="","",IFERROR(MATCH($C91,'得意先'!$B$5:$B$104,0),"なし"))</f>
        <v/>
      </c>
      <c r="X91" s="33">
        <f>IF($A91="","",IF(ISNUMBER($E91),$E91,IF(ISNUMBER($B91),$B91,"")))</f>
        <v/>
      </c>
      <c r="Y91" s="34">
        <f>IF($T91="","",$O91+ROW()/1000000)</f>
        <v/>
      </c>
      <c r="Z91" s="35">
        <f>IF(OR($A91="",$C91="",$C91&lt;&gt;'売掛帳'!$B$3,NOT(ISNUMBER($X91))),"",IF(AND($X91&gt;='売掛帳'!$Q$3,$X91&lt;='売掛帳'!$Q$4),$X91+ROW()/10000000,""))</f>
        <v/>
      </c>
    </row>
    <row r="92" ht="18" customHeight="1">
      <c r="A92" s="18" t="n"/>
      <c r="B92" s="26" t="n"/>
      <c r="C92" s="18" t="n"/>
      <c r="D92" s="20">
        <f>IF($W92="","",IF($W92="なし","※得意先にないコード",INDEX('得意先'!$C$5:$C$104,$W92)&amp;""))</f>
        <v/>
      </c>
      <c r="E92" s="26" t="n"/>
      <c r="F92" s="19" t="n"/>
      <c r="G92" s="27" t="n"/>
      <c r="H92" s="27" t="n"/>
      <c r="I92" s="27" t="n"/>
      <c r="J92" s="28">
        <f>IF($A92="","",IF('設定'!$B$10="四捨五入",ROUND(IF('設定'!$B$9="税込",N($G92)*10/110,N($G92)*10/100),0),IF('設定'!$B$10="切り上げ",ROUNDUP(IF('設定'!$B$9="税込",N($G92)*10/110,N($G92)*10/100),0),ROUNDDOWN(IF('設定'!$B$9="税込",N($G92)*10/110,N($G92)*10/100),0))))</f>
        <v/>
      </c>
      <c r="K92" s="28">
        <f>IF($A92="","",IF('設定'!$B$10="四捨五入",ROUND(IF('設定'!$B$9="税込",N($H92)*8/108,N($H92)*8/100),0),IF('設定'!$B$10="切り上げ",ROUNDUP(IF('設定'!$B$9="税込",N($H92)*8/108,N($H92)*8/100),0),ROUNDDOWN(IF('設定'!$B$9="税込",N($H92)*8/108,N($H92)*8/100),0))))</f>
        <v/>
      </c>
      <c r="L92" s="28">
        <f>IF($A92="","",N($G92)+N($H92)+N($I92)+IF('設定'!$B$9="税込",0,$J92+$K92))</f>
        <v/>
      </c>
      <c r="M92" s="29">
        <f>IF(OR($A92="",NOT(ISNUMBER($W92)),NOT(ISNUMBER($X92))),"",IF(OR(INDEX('得意先'!$D$5:$D$104,$W92)="",INDEX('得意先'!$E$5:$E$104,$W92)="",INDEX('得意先'!$F$5:$F$104,$W92)=""),"",IF(INDEX('得意先'!$F$5:$F$104,$W92)="末",DATE(YEAR($X92),(MONTH($X92)+IF(INDEX('得意先'!$D$5:$D$104,$W92)="末",0,IF(DAY($X92)&lt;=INDEX('得意先'!$D$5:$D$104,$W92),0,1))+N(INDEX('得意先'!$E$5:$E$104,$W92)))+1,0),DATE(YEAR($X92),(MONTH($X92)+IF(INDEX('得意先'!$D$5:$D$104,$W92)="末",0,IF(DAY($X92)&lt;=INDEX('得意先'!$D$5:$D$104,$W92),0,1))+N(INDEX('得意先'!$E$5:$E$104,$W92))),MIN(INDEX('得意先'!$F$5:$F$104,$W92),DAY(DATE(YEAR($X92),(MONTH($X92)+IF(INDEX('得意先'!$D$5:$D$104,$W92)="末",0,IF(DAY($X92)&lt;=INDEX('得意先'!$D$5:$D$104,$W92),0,1))+N(INDEX('得意先'!$E$5:$E$104,$W92)))+1,0)))))))</f>
        <v/>
      </c>
      <c r="N92" s="26" t="n"/>
      <c r="O92" s="29">
        <f>IF($A92="","",IF(ISNUMBER($N92),$N92,$M92))</f>
        <v/>
      </c>
      <c r="P92" s="28">
        <f>IF($A92="","",SUMIF('入金消込'!$F$5:$F$1004,$A92,'入金消込'!$G$5:$G$1004))</f>
        <v/>
      </c>
      <c r="Q92" s="28">
        <f>IF($A92="","",SUMIF('入金消込'!$F$5:$F$1004,$A92,'入金消込'!$H$5:$H$1004)+SUMIF('入金消込'!$F$5:$F$1004,$A92,'入金消込'!$I$5:$I$1004))</f>
        <v/>
      </c>
      <c r="R92" s="28">
        <f>IF($A92="","",$L92-$P92-$Q92)</f>
        <v/>
      </c>
      <c r="S92" s="30">
        <f>IF($A92="","",IF($R92=0,IF($L92=0,"請求額0","回収済"),IF($L92&lt;0,IF($R92&lt;0,"差し引き待ち","差し引きすぎ"),IF($R92&lt;0,"入金が多い",IF($P92+$Q92=0,"未入金","一部入金")))))</f>
        <v/>
      </c>
      <c r="T92" s="31">
        <f>IF(OR($A92="",N($R92)&lt;=0,NOT(ISNUMBER($O92))),"",IF($O92&lt;'設定'!$B$7,'設定'!$B$7-$O92,""))</f>
        <v/>
      </c>
      <c r="U92" s="30">
        <f>IF(OR($A92="",N($R92)&lt;=0),"",IF(NOT(ISNUMBER($O92)),'設定'!$B$22,IF($O92&gt;='設定'!$B$7,'設定'!$B$17,IF('設定'!$B$7-$O92&lt;='設定'!$B$12,'設定'!$B$18,IF('設定'!$B$7-$O92&lt;='設定'!$B$13,'設定'!$B$19,IF('設定'!$B$7-$O92&lt;='設定'!$B$14,'設定'!$B$20,'設定'!$B$21))))))</f>
        <v/>
      </c>
      <c r="V92" s="56" t="n"/>
      <c r="W92" s="32">
        <f>IF($C92="","",IFERROR(MATCH($C92,'得意先'!$B$5:$B$104,0),"なし"))</f>
        <v/>
      </c>
      <c r="X92" s="33">
        <f>IF($A92="","",IF(ISNUMBER($E92),$E92,IF(ISNUMBER($B92),$B92,"")))</f>
        <v/>
      </c>
      <c r="Y92" s="34">
        <f>IF($T92="","",$O92+ROW()/1000000)</f>
        <v/>
      </c>
      <c r="Z92" s="35">
        <f>IF(OR($A92="",$C92="",$C92&lt;&gt;'売掛帳'!$B$3,NOT(ISNUMBER($X92))),"",IF(AND($X92&gt;='売掛帳'!$Q$3,$X92&lt;='売掛帳'!$Q$4),$X92+ROW()/10000000,""))</f>
        <v/>
      </c>
    </row>
    <row r="93" ht="18" customHeight="1">
      <c r="A93" s="18" t="n"/>
      <c r="B93" s="26" t="n"/>
      <c r="C93" s="18" t="n"/>
      <c r="D93" s="20">
        <f>IF($W93="","",IF($W93="なし","※得意先にないコード",INDEX('得意先'!$C$5:$C$104,$W93)&amp;""))</f>
        <v/>
      </c>
      <c r="E93" s="26" t="n"/>
      <c r="F93" s="19" t="n"/>
      <c r="G93" s="27" t="n"/>
      <c r="H93" s="27" t="n"/>
      <c r="I93" s="27" t="n"/>
      <c r="J93" s="28">
        <f>IF($A93="","",IF('設定'!$B$10="四捨五入",ROUND(IF('設定'!$B$9="税込",N($G93)*10/110,N($G93)*10/100),0),IF('設定'!$B$10="切り上げ",ROUNDUP(IF('設定'!$B$9="税込",N($G93)*10/110,N($G93)*10/100),0),ROUNDDOWN(IF('設定'!$B$9="税込",N($G93)*10/110,N($G93)*10/100),0))))</f>
        <v/>
      </c>
      <c r="K93" s="28">
        <f>IF($A93="","",IF('設定'!$B$10="四捨五入",ROUND(IF('設定'!$B$9="税込",N($H93)*8/108,N($H93)*8/100),0),IF('設定'!$B$10="切り上げ",ROUNDUP(IF('設定'!$B$9="税込",N($H93)*8/108,N($H93)*8/100),0),ROUNDDOWN(IF('設定'!$B$9="税込",N($H93)*8/108,N($H93)*8/100),0))))</f>
        <v/>
      </c>
      <c r="L93" s="28">
        <f>IF($A93="","",N($G93)+N($H93)+N($I93)+IF('設定'!$B$9="税込",0,$J93+$K93))</f>
        <v/>
      </c>
      <c r="M93" s="29">
        <f>IF(OR($A93="",NOT(ISNUMBER($W93)),NOT(ISNUMBER($X93))),"",IF(OR(INDEX('得意先'!$D$5:$D$104,$W93)="",INDEX('得意先'!$E$5:$E$104,$W93)="",INDEX('得意先'!$F$5:$F$104,$W93)=""),"",IF(INDEX('得意先'!$F$5:$F$104,$W93)="末",DATE(YEAR($X93),(MONTH($X93)+IF(INDEX('得意先'!$D$5:$D$104,$W93)="末",0,IF(DAY($X93)&lt;=INDEX('得意先'!$D$5:$D$104,$W93),0,1))+N(INDEX('得意先'!$E$5:$E$104,$W93)))+1,0),DATE(YEAR($X93),(MONTH($X93)+IF(INDEX('得意先'!$D$5:$D$104,$W93)="末",0,IF(DAY($X93)&lt;=INDEX('得意先'!$D$5:$D$104,$W93),0,1))+N(INDEX('得意先'!$E$5:$E$104,$W93))),MIN(INDEX('得意先'!$F$5:$F$104,$W93),DAY(DATE(YEAR($X93),(MONTH($X93)+IF(INDEX('得意先'!$D$5:$D$104,$W93)="末",0,IF(DAY($X93)&lt;=INDEX('得意先'!$D$5:$D$104,$W93),0,1))+N(INDEX('得意先'!$E$5:$E$104,$W93)))+1,0)))))))</f>
        <v/>
      </c>
      <c r="N93" s="26" t="n"/>
      <c r="O93" s="29">
        <f>IF($A93="","",IF(ISNUMBER($N93),$N93,$M93))</f>
        <v/>
      </c>
      <c r="P93" s="28">
        <f>IF($A93="","",SUMIF('入金消込'!$F$5:$F$1004,$A93,'入金消込'!$G$5:$G$1004))</f>
        <v/>
      </c>
      <c r="Q93" s="28">
        <f>IF($A93="","",SUMIF('入金消込'!$F$5:$F$1004,$A93,'入金消込'!$H$5:$H$1004)+SUMIF('入金消込'!$F$5:$F$1004,$A93,'入金消込'!$I$5:$I$1004))</f>
        <v/>
      </c>
      <c r="R93" s="28">
        <f>IF($A93="","",$L93-$P93-$Q93)</f>
        <v/>
      </c>
      <c r="S93" s="30">
        <f>IF($A93="","",IF($R93=0,IF($L93=0,"請求額0","回収済"),IF($L93&lt;0,IF($R93&lt;0,"差し引き待ち","差し引きすぎ"),IF($R93&lt;0,"入金が多い",IF($P93+$Q93=0,"未入金","一部入金")))))</f>
        <v/>
      </c>
      <c r="T93" s="31">
        <f>IF(OR($A93="",N($R93)&lt;=0,NOT(ISNUMBER($O93))),"",IF($O93&lt;'設定'!$B$7,'設定'!$B$7-$O93,""))</f>
        <v/>
      </c>
      <c r="U93" s="30">
        <f>IF(OR($A93="",N($R93)&lt;=0),"",IF(NOT(ISNUMBER($O93)),'設定'!$B$22,IF($O93&gt;='設定'!$B$7,'設定'!$B$17,IF('設定'!$B$7-$O93&lt;='設定'!$B$12,'設定'!$B$18,IF('設定'!$B$7-$O93&lt;='設定'!$B$13,'設定'!$B$19,IF('設定'!$B$7-$O93&lt;='設定'!$B$14,'設定'!$B$20,'設定'!$B$21))))))</f>
        <v/>
      </c>
      <c r="V93" s="56" t="n"/>
      <c r="W93" s="32">
        <f>IF($C93="","",IFERROR(MATCH($C93,'得意先'!$B$5:$B$104,0),"なし"))</f>
        <v/>
      </c>
      <c r="X93" s="33">
        <f>IF($A93="","",IF(ISNUMBER($E93),$E93,IF(ISNUMBER($B93),$B93,"")))</f>
        <v/>
      </c>
      <c r="Y93" s="34">
        <f>IF($T93="","",$O93+ROW()/1000000)</f>
        <v/>
      </c>
      <c r="Z93" s="35">
        <f>IF(OR($A93="",$C93="",$C93&lt;&gt;'売掛帳'!$B$3,NOT(ISNUMBER($X93))),"",IF(AND($X93&gt;='売掛帳'!$Q$3,$X93&lt;='売掛帳'!$Q$4),$X93+ROW()/10000000,""))</f>
        <v/>
      </c>
    </row>
    <row r="94" ht="18" customHeight="1">
      <c r="A94" s="18" t="n"/>
      <c r="B94" s="26" t="n"/>
      <c r="C94" s="18" t="n"/>
      <c r="D94" s="20">
        <f>IF($W94="","",IF($W94="なし","※得意先にないコード",INDEX('得意先'!$C$5:$C$104,$W94)&amp;""))</f>
        <v/>
      </c>
      <c r="E94" s="26" t="n"/>
      <c r="F94" s="19" t="n"/>
      <c r="G94" s="27" t="n"/>
      <c r="H94" s="27" t="n"/>
      <c r="I94" s="27" t="n"/>
      <c r="J94" s="28">
        <f>IF($A94="","",IF('設定'!$B$10="四捨五入",ROUND(IF('設定'!$B$9="税込",N($G94)*10/110,N($G94)*10/100),0),IF('設定'!$B$10="切り上げ",ROUNDUP(IF('設定'!$B$9="税込",N($G94)*10/110,N($G94)*10/100),0),ROUNDDOWN(IF('設定'!$B$9="税込",N($G94)*10/110,N($G94)*10/100),0))))</f>
        <v/>
      </c>
      <c r="K94" s="28">
        <f>IF($A94="","",IF('設定'!$B$10="四捨五入",ROUND(IF('設定'!$B$9="税込",N($H94)*8/108,N($H94)*8/100),0),IF('設定'!$B$10="切り上げ",ROUNDUP(IF('設定'!$B$9="税込",N($H94)*8/108,N($H94)*8/100),0),ROUNDDOWN(IF('設定'!$B$9="税込",N($H94)*8/108,N($H94)*8/100),0))))</f>
        <v/>
      </c>
      <c r="L94" s="28">
        <f>IF($A94="","",N($G94)+N($H94)+N($I94)+IF('設定'!$B$9="税込",0,$J94+$K94))</f>
        <v/>
      </c>
      <c r="M94" s="29">
        <f>IF(OR($A94="",NOT(ISNUMBER($W94)),NOT(ISNUMBER($X94))),"",IF(OR(INDEX('得意先'!$D$5:$D$104,$W94)="",INDEX('得意先'!$E$5:$E$104,$W94)="",INDEX('得意先'!$F$5:$F$104,$W94)=""),"",IF(INDEX('得意先'!$F$5:$F$104,$W94)="末",DATE(YEAR($X94),(MONTH($X94)+IF(INDEX('得意先'!$D$5:$D$104,$W94)="末",0,IF(DAY($X94)&lt;=INDEX('得意先'!$D$5:$D$104,$W94),0,1))+N(INDEX('得意先'!$E$5:$E$104,$W94)))+1,0),DATE(YEAR($X94),(MONTH($X94)+IF(INDEX('得意先'!$D$5:$D$104,$W94)="末",0,IF(DAY($X94)&lt;=INDEX('得意先'!$D$5:$D$104,$W94),0,1))+N(INDEX('得意先'!$E$5:$E$104,$W94))),MIN(INDEX('得意先'!$F$5:$F$104,$W94),DAY(DATE(YEAR($X94),(MONTH($X94)+IF(INDEX('得意先'!$D$5:$D$104,$W94)="末",0,IF(DAY($X94)&lt;=INDEX('得意先'!$D$5:$D$104,$W94),0,1))+N(INDEX('得意先'!$E$5:$E$104,$W94)))+1,0)))))))</f>
        <v/>
      </c>
      <c r="N94" s="26" t="n"/>
      <c r="O94" s="29">
        <f>IF($A94="","",IF(ISNUMBER($N94),$N94,$M94))</f>
        <v/>
      </c>
      <c r="P94" s="28">
        <f>IF($A94="","",SUMIF('入金消込'!$F$5:$F$1004,$A94,'入金消込'!$G$5:$G$1004))</f>
        <v/>
      </c>
      <c r="Q94" s="28">
        <f>IF($A94="","",SUMIF('入金消込'!$F$5:$F$1004,$A94,'入金消込'!$H$5:$H$1004)+SUMIF('入金消込'!$F$5:$F$1004,$A94,'入金消込'!$I$5:$I$1004))</f>
        <v/>
      </c>
      <c r="R94" s="28">
        <f>IF($A94="","",$L94-$P94-$Q94)</f>
        <v/>
      </c>
      <c r="S94" s="30">
        <f>IF($A94="","",IF($R94=0,IF($L94=0,"請求額0","回収済"),IF($L94&lt;0,IF($R94&lt;0,"差し引き待ち","差し引きすぎ"),IF($R94&lt;0,"入金が多い",IF($P94+$Q94=0,"未入金","一部入金")))))</f>
        <v/>
      </c>
      <c r="T94" s="31">
        <f>IF(OR($A94="",N($R94)&lt;=0,NOT(ISNUMBER($O94))),"",IF($O94&lt;'設定'!$B$7,'設定'!$B$7-$O94,""))</f>
        <v/>
      </c>
      <c r="U94" s="30">
        <f>IF(OR($A94="",N($R94)&lt;=0),"",IF(NOT(ISNUMBER($O94)),'設定'!$B$22,IF($O94&gt;='設定'!$B$7,'設定'!$B$17,IF('設定'!$B$7-$O94&lt;='設定'!$B$12,'設定'!$B$18,IF('設定'!$B$7-$O94&lt;='設定'!$B$13,'設定'!$B$19,IF('設定'!$B$7-$O94&lt;='設定'!$B$14,'設定'!$B$20,'設定'!$B$21))))))</f>
        <v/>
      </c>
      <c r="V94" s="56" t="n"/>
      <c r="W94" s="32">
        <f>IF($C94="","",IFERROR(MATCH($C94,'得意先'!$B$5:$B$104,0),"なし"))</f>
        <v/>
      </c>
      <c r="X94" s="33">
        <f>IF($A94="","",IF(ISNUMBER($E94),$E94,IF(ISNUMBER($B94),$B94,"")))</f>
        <v/>
      </c>
      <c r="Y94" s="34">
        <f>IF($T94="","",$O94+ROW()/1000000)</f>
        <v/>
      </c>
      <c r="Z94" s="35">
        <f>IF(OR($A94="",$C94="",$C94&lt;&gt;'売掛帳'!$B$3,NOT(ISNUMBER($X94))),"",IF(AND($X94&gt;='売掛帳'!$Q$3,$X94&lt;='売掛帳'!$Q$4),$X94+ROW()/10000000,""))</f>
        <v/>
      </c>
    </row>
    <row r="95" ht="18" customHeight="1">
      <c r="A95" s="18" t="n"/>
      <c r="B95" s="26" t="n"/>
      <c r="C95" s="18" t="n"/>
      <c r="D95" s="20">
        <f>IF($W95="","",IF($W95="なし","※得意先にないコード",INDEX('得意先'!$C$5:$C$104,$W95)&amp;""))</f>
        <v/>
      </c>
      <c r="E95" s="26" t="n"/>
      <c r="F95" s="19" t="n"/>
      <c r="G95" s="27" t="n"/>
      <c r="H95" s="27" t="n"/>
      <c r="I95" s="27" t="n"/>
      <c r="J95" s="28">
        <f>IF($A95="","",IF('設定'!$B$10="四捨五入",ROUND(IF('設定'!$B$9="税込",N($G95)*10/110,N($G95)*10/100),0),IF('設定'!$B$10="切り上げ",ROUNDUP(IF('設定'!$B$9="税込",N($G95)*10/110,N($G95)*10/100),0),ROUNDDOWN(IF('設定'!$B$9="税込",N($G95)*10/110,N($G95)*10/100),0))))</f>
        <v/>
      </c>
      <c r="K95" s="28">
        <f>IF($A95="","",IF('設定'!$B$10="四捨五入",ROUND(IF('設定'!$B$9="税込",N($H95)*8/108,N($H95)*8/100),0),IF('設定'!$B$10="切り上げ",ROUNDUP(IF('設定'!$B$9="税込",N($H95)*8/108,N($H95)*8/100),0),ROUNDDOWN(IF('設定'!$B$9="税込",N($H95)*8/108,N($H95)*8/100),0))))</f>
        <v/>
      </c>
      <c r="L95" s="28">
        <f>IF($A95="","",N($G95)+N($H95)+N($I95)+IF('設定'!$B$9="税込",0,$J95+$K95))</f>
        <v/>
      </c>
      <c r="M95" s="29">
        <f>IF(OR($A95="",NOT(ISNUMBER($W95)),NOT(ISNUMBER($X95))),"",IF(OR(INDEX('得意先'!$D$5:$D$104,$W95)="",INDEX('得意先'!$E$5:$E$104,$W95)="",INDEX('得意先'!$F$5:$F$104,$W95)=""),"",IF(INDEX('得意先'!$F$5:$F$104,$W95)="末",DATE(YEAR($X95),(MONTH($X95)+IF(INDEX('得意先'!$D$5:$D$104,$W95)="末",0,IF(DAY($X95)&lt;=INDEX('得意先'!$D$5:$D$104,$W95),0,1))+N(INDEX('得意先'!$E$5:$E$104,$W95)))+1,0),DATE(YEAR($X95),(MONTH($X95)+IF(INDEX('得意先'!$D$5:$D$104,$W95)="末",0,IF(DAY($X95)&lt;=INDEX('得意先'!$D$5:$D$104,$W95),0,1))+N(INDEX('得意先'!$E$5:$E$104,$W95))),MIN(INDEX('得意先'!$F$5:$F$104,$W95),DAY(DATE(YEAR($X95),(MONTH($X95)+IF(INDEX('得意先'!$D$5:$D$104,$W95)="末",0,IF(DAY($X95)&lt;=INDEX('得意先'!$D$5:$D$104,$W95),0,1))+N(INDEX('得意先'!$E$5:$E$104,$W95)))+1,0)))))))</f>
        <v/>
      </c>
      <c r="N95" s="26" t="n"/>
      <c r="O95" s="29">
        <f>IF($A95="","",IF(ISNUMBER($N95),$N95,$M95))</f>
        <v/>
      </c>
      <c r="P95" s="28">
        <f>IF($A95="","",SUMIF('入金消込'!$F$5:$F$1004,$A95,'入金消込'!$G$5:$G$1004))</f>
        <v/>
      </c>
      <c r="Q95" s="28">
        <f>IF($A95="","",SUMIF('入金消込'!$F$5:$F$1004,$A95,'入金消込'!$H$5:$H$1004)+SUMIF('入金消込'!$F$5:$F$1004,$A95,'入金消込'!$I$5:$I$1004))</f>
        <v/>
      </c>
      <c r="R95" s="28">
        <f>IF($A95="","",$L95-$P95-$Q95)</f>
        <v/>
      </c>
      <c r="S95" s="30">
        <f>IF($A95="","",IF($R95=0,IF($L95=0,"請求額0","回収済"),IF($L95&lt;0,IF($R95&lt;0,"差し引き待ち","差し引きすぎ"),IF($R95&lt;0,"入金が多い",IF($P95+$Q95=0,"未入金","一部入金")))))</f>
        <v/>
      </c>
      <c r="T95" s="31">
        <f>IF(OR($A95="",N($R95)&lt;=0,NOT(ISNUMBER($O95))),"",IF($O95&lt;'設定'!$B$7,'設定'!$B$7-$O95,""))</f>
        <v/>
      </c>
      <c r="U95" s="30">
        <f>IF(OR($A95="",N($R95)&lt;=0),"",IF(NOT(ISNUMBER($O95)),'設定'!$B$22,IF($O95&gt;='設定'!$B$7,'設定'!$B$17,IF('設定'!$B$7-$O95&lt;='設定'!$B$12,'設定'!$B$18,IF('設定'!$B$7-$O95&lt;='設定'!$B$13,'設定'!$B$19,IF('設定'!$B$7-$O95&lt;='設定'!$B$14,'設定'!$B$20,'設定'!$B$21))))))</f>
        <v/>
      </c>
      <c r="V95" s="56" t="n"/>
      <c r="W95" s="32">
        <f>IF($C95="","",IFERROR(MATCH($C95,'得意先'!$B$5:$B$104,0),"なし"))</f>
        <v/>
      </c>
      <c r="X95" s="33">
        <f>IF($A95="","",IF(ISNUMBER($E95),$E95,IF(ISNUMBER($B95),$B95,"")))</f>
        <v/>
      </c>
      <c r="Y95" s="34">
        <f>IF($T95="","",$O95+ROW()/1000000)</f>
        <v/>
      </c>
      <c r="Z95" s="35">
        <f>IF(OR($A95="",$C95="",$C95&lt;&gt;'売掛帳'!$B$3,NOT(ISNUMBER($X95))),"",IF(AND($X95&gt;='売掛帳'!$Q$3,$X95&lt;='売掛帳'!$Q$4),$X95+ROW()/10000000,""))</f>
        <v/>
      </c>
    </row>
    <row r="96" ht="18" customHeight="1">
      <c r="A96" s="18" t="n"/>
      <c r="B96" s="26" t="n"/>
      <c r="C96" s="18" t="n"/>
      <c r="D96" s="20">
        <f>IF($W96="","",IF($W96="なし","※得意先にないコード",INDEX('得意先'!$C$5:$C$104,$W96)&amp;""))</f>
        <v/>
      </c>
      <c r="E96" s="26" t="n"/>
      <c r="F96" s="19" t="n"/>
      <c r="G96" s="27" t="n"/>
      <c r="H96" s="27" t="n"/>
      <c r="I96" s="27" t="n"/>
      <c r="J96" s="28">
        <f>IF($A96="","",IF('設定'!$B$10="四捨五入",ROUND(IF('設定'!$B$9="税込",N($G96)*10/110,N($G96)*10/100),0),IF('設定'!$B$10="切り上げ",ROUNDUP(IF('設定'!$B$9="税込",N($G96)*10/110,N($G96)*10/100),0),ROUNDDOWN(IF('設定'!$B$9="税込",N($G96)*10/110,N($G96)*10/100),0))))</f>
        <v/>
      </c>
      <c r="K96" s="28">
        <f>IF($A96="","",IF('設定'!$B$10="四捨五入",ROUND(IF('設定'!$B$9="税込",N($H96)*8/108,N($H96)*8/100),0),IF('設定'!$B$10="切り上げ",ROUNDUP(IF('設定'!$B$9="税込",N($H96)*8/108,N($H96)*8/100),0),ROUNDDOWN(IF('設定'!$B$9="税込",N($H96)*8/108,N($H96)*8/100),0))))</f>
        <v/>
      </c>
      <c r="L96" s="28">
        <f>IF($A96="","",N($G96)+N($H96)+N($I96)+IF('設定'!$B$9="税込",0,$J96+$K96))</f>
        <v/>
      </c>
      <c r="M96" s="29">
        <f>IF(OR($A96="",NOT(ISNUMBER($W96)),NOT(ISNUMBER($X96))),"",IF(OR(INDEX('得意先'!$D$5:$D$104,$W96)="",INDEX('得意先'!$E$5:$E$104,$W96)="",INDEX('得意先'!$F$5:$F$104,$W96)=""),"",IF(INDEX('得意先'!$F$5:$F$104,$W96)="末",DATE(YEAR($X96),(MONTH($X96)+IF(INDEX('得意先'!$D$5:$D$104,$W96)="末",0,IF(DAY($X96)&lt;=INDEX('得意先'!$D$5:$D$104,$W96),0,1))+N(INDEX('得意先'!$E$5:$E$104,$W96)))+1,0),DATE(YEAR($X96),(MONTH($X96)+IF(INDEX('得意先'!$D$5:$D$104,$W96)="末",0,IF(DAY($X96)&lt;=INDEX('得意先'!$D$5:$D$104,$W96),0,1))+N(INDEX('得意先'!$E$5:$E$104,$W96))),MIN(INDEX('得意先'!$F$5:$F$104,$W96),DAY(DATE(YEAR($X96),(MONTH($X96)+IF(INDEX('得意先'!$D$5:$D$104,$W96)="末",0,IF(DAY($X96)&lt;=INDEX('得意先'!$D$5:$D$104,$W96),0,1))+N(INDEX('得意先'!$E$5:$E$104,$W96)))+1,0)))))))</f>
        <v/>
      </c>
      <c r="N96" s="26" t="n"/>
      <c r="O96" s="29">
        <f>IF($A96="","",IF(ISNUMBER($N96),$N96,$M96))</f>
        <v/>
      </c>
      <c r="P96" s="28">
        <f>IF($A96="","",SUMIF('入金消込'!$F$5:$F$1004,$A96,'入金消込'!$G$5:$G$1004))</f>
        <v/>
      </c>
      <c r="Q96" s="28">
        <f>IF($A96="","",SUMIF('入金消込'!$F$5:$F$1004,$A96,'入金消込'!$H$5:$H$1004)+SUMIF('入金消込'!$F$5:$F$1004,$A96,'入金消込'!$I$5:$I$1004))</f>
        <v/>
      </c>
      <c r="R96" s="28">
        <f>IF($A96="","",$L96-$P96-$Q96)</f>
        <v/>
      </c>
      <c r="S96" s="30">
        <f>IF($A96="","",IF($R96=0,IF($L96=0,"請求額0","回収済"),IF($L96&lt;0,IF($R96&lt;0,"差し引き待ち","差し引きすぎ"),IF($R96&lt;0,"入金が多い",IF($P96+$Q96=0,"未入金","一部入金")))))</f>
        <v/>
      </c>
      <c r="T96" s="31">
        <f>IF(OR($A96="",N($R96)&lt;=0,NOT(ISNUMBER($O96))),"",IF($O96&lt;'設定'!$B$7,'設定'!$B$7-$O96,""))</f>
        <v/>
      </c>
      <c r="U96" s="30">
        <f>IF(OR($A96="",N($R96)&lt;=0),"",IF(NOT(ISNUMBER($O96)),'設定'!$B$22,IF($O96&gt;='設定'!$B$7,'設定'!$B$17,IF('設定'!$B$7-$O96&lt;='設定'!$B$12,'設定'!$B$18,IF('設定'!$B$7-$O96&lt;='設定'!$B$13,'設定'!$B$19,IF('設定'!$B$7-$O96&lt;='設定'!$B$14,'設定'!$B$20,'設定'!$B$21))))))</f>
        <v/>
      </c>
      <c r="V96" s="56" t="n"/>
      <c r="W96" s="32">
        <f>IF($C96="","",IFERROR(MATCH($C96,'得意先'!$B$5:$B$104,0),"なし"))</f>
        <v/>
      </c>
      <c r="X96" s="33">
        <f>IF($A96="","",IF(ISNUMBER($E96),$E96,IF(ISNUMBER($B96),$B96,"")))</f>
        <v/>
      </c>
      <c r="Y96" s="34">
        <f>IF($T96="","",$O96+ROW()/1000000)</f>
        <v/>
      </c>
      <c r="Z96" s="35">
        <f>IF(OR($A96="",$C96="",$C96&lt;&gt;'売掛帳'!$B$3,NOT(ISNUMBER($X96))),"",IF(AND($X96&gt;='売掛帳'!$Q$3,$X96&lt;='売掛帳'!$Q$4),$X96+ROW()/10000000,""))</f>
        <v/>
      </c>
    </row>
    <row r="97" ht="18" customHeight="1">
      <c r="A97" s="18" t="n"/>
      <c r="B97" s="26" t="n"/>
      <c r="C97" s="18" t="n"/>
      <c r="D97" s="20">
        <f>IF($W97="","",IF($W97="なし","※得意先にないコード",INDEX('得意先'!$C$5:$C$104,$W97)&amp;""))</f>
        <v/>
      </c>
      <c r="E97" s="26" t="n"/>
      <c r="F97" s="19" t="n"/>
      <c r="G97" s="27" t="n"/>
      <c r="H97" s="27" t="n"/>
      <c r="I97" s="27" t="n"/>
      <c r="J97" s="28">
        <f>IF($A97="","",IF('設定'!$B$10="四捨五入",ROUND(IF('設定'!$B$9="税込",N($G97)*10/110,N($G97)*10/100),0),IF('設定'!$B$10="切り上げ",ROUNDUP(IF('設定'!$B$9="税込",N($G97)*10/110,N($G97)*10/100),0),ROUNDDOWN(IF('設定'!$B$9="税込",N($G97)*10/110,N($G97)*10/100),0))))</f>
        <v/>
      </c>
      <c r="K97" s="28">
        <f>IF($A97="","",IF('設定'!$B$10="四捨五入",ROUND(IF('設定'!$B$9="税込",N($H97)*8/108,N($H97)*8/100),0),IF('設定'!$B$10="切り上げ",ROUNDUP(IF('設定'!$B$9="税込",N($H97)*8/108,N($H97)*8/100),0),ROUNDDOWN(IF('設定'!$B$9="税込",N($H97)*8/108,N($H97)*8/100),0))))</f>
        <v/>
      </c>
      <c r="L97" s="28">
        <f>IF($A97="","",N($G97)+N($H97)+N($I97)+IF('設定'!$B$9="税込",0,$J97+$K97))</f>
        <v/>
      </c>
      <c r="M97" s="29">
        <f>IF(OR($A97="",NOT(ISNUMBER($W97)),NOT(ISNUMBER($X97))),"",IF(OR(INDEX('得意先'!$D$5:$D$104,$W97)="",INDEX('得意先'!$E$5:$E$104,$W97)="",INDEX('得意先'!$F$5:$F$104,$W97)=""),"",IF(INDEX('得意先'!$F$5:$F$104,$W97)="末",DATE(YEAR($X97),(MONTH($X97)+IF(INDEX('得意先'!$D$5:$D$104,$W97)="末",0,IF(DAY($X97)&lt;=INDEX('得意先'!$D$5:$D$104,$W97),0,1))+N(INDEX('得意先'!$E$5:$E$104,$W97)))+1,0),DATE(YEAR($X97),(MONTH($X97)+IF(INDEX('得意先'!$D$5:$D$104,$W97)="末",0,IF(DAY($X97)&lt;=INDEX('得意先'!$D$5:$D$104,$W97),0,1))+N(INDEX('得意先'!$E$5:$E$104,$W97))),MIN(INDEX('得意先'!$F$5:$F$104,$W97),DAY(DATE(YEAR($X97),(MONTH($X97)+IF(INDEX('得意先'!$D$5:$D$104,$W97)="末",0,IF(DAY($X97)&lt;=INDEX('得意先'!$D$5:$D$104,$W97),0,1))+N(INDEX('得意先'!$E$5:$E$104,$W97)))+1,0)))))))</f>
        <v/>
      </c>
      <c r="N97" s="26" t="n"/>
      <c r="O97" s="29">
        <f>IF($A97="","",IF(ISNUMBER($N97),$N97,$M97))</f>
        <v/>
      </c>
      <c r="P97" s="28">
        <f>IF($A97="","",SUMIF('入金消込'!$F$5:$F$1004,$A97,'入金消込'!$G$5:$G$1004))</f>
        <v/>
      </c>
      <c r="Q97" s="28">
        <f>IF($A97="","",SUMIF('入金消込'!$F$5:$F$1004,$A97,'入金消込'!$H$5:$H$1004)+SUMIF('入金消込'!$F$5:$F$1004,$A97,'入金消込'!$I$5:$I$1004))</f>
        <v/>
      </c>
      <c r="R97" s="28">
        <f>IF($A97="","",$L97-$P97-$Q97)</f>
        <v/>
      </c>
      <c r="S97" s="30">
        <f>IF($A97="","",IF($R97=0,IF($L97=0,"請求額0","回収済"),IF($L97&lt;0,IF($R97&lt;0,"差し引き待ち","差し引きすぎ"),IF($R97&lt;0,"入金が多い",IF($P97+$Q97=0,"未入金","一部入金")))))</f>
        <v/>
      </c>
      <c r="T97" s="31">
        <f>IF(OR($A97="",N($R97)&lt;=0,NOT(ISNUMBER($O97))),"",IF($O97&lt;'設定'!$B$7,'設定'!$B$7-$O97,""))</f>
        <v/>
      </c>
      <c r="U97" s="30">
        <f>IF(OR($A97="",N($R97)&lt;=0),"",IF(NOT(ISNUMBER($O97)),'設定'!$B$22,IF($O97&gt;='設定'!$B$7,'設定'!$B$17,IF('設定'!$B$7-$O97&lt;='設定'!$B$12,'設定'!$B$18,IF('設定'!$B$7-$O97&lt;='設定'!$B$13,'設定'!$B$19,IF('設定'!$B$7-$O97&lt;='設定'!$B$14,'設定'!$B$20,'設定'!$B$21))))))</f>
        <v/>
      </c>
      <c r="V97" s="56" t="n"/>
      <c r="W97" s="32">
        <f>IF($C97="","",IFERROR(MATCH($C97,'得意先'!$B$5:$B$104,0),"なし"))</f>
        <v/>
      </c>
      <c r="X97" s="33">
        <f>IF($A97="","",IF(ISNUMBER($E97),$E97,IF(ISNUMBER($B97),$B97,"")))</f>
        <v/>
      </c>
      <c r="Y97" s="34">
        <f>IF($T97="","",$O97+ROW()/1000000)</f>
        <v/>
      </c>
      <c r="Z97" s="35">
        <f>IF(OR($A97="",$C97="",$C97&lt;&gt;'売掛帳'!$B$3,NOT(ISNUMBER($X97))),"",IF(AND($X97&gt;='売掛帳'!$Q$3,$X97&lt;='売掛帳'!$Q$4),$X97+ROW()/10000000,""))</f>
        <v/>
      </c>
    </row>
    <row r="98" ht="18" customHeight="1">
      <c r="A98" s="18" t="n"/>
      <c r="B98" s="26" t="n"/>
      <c r="C98" s="18" t="n"/>
      <c r="D98" s="20">
        <f>IF($W98="","",IF($W98="なし","※得意先にないコード",INDEX('得意先'!$C$5:$C$104,$W98)&amp;""))</f>
        <v/>
      </c>
      <c r="E98" s="26" t="n"/>
      <c r="F98" s="19" t="n"/>
      <c r="G98" s="27" t="n"/>
      <c r="H98" s="27" t="n"/>
      <c r="I98" s="27" t="n"/>
      <c r="J98" s="28">
        <f>IF($A98="","",IF('設定'!$B$10="四捨五入",ROUND(IF('設定'!$B$9="税込",N($G98)*10/110,N($G98)*10/100),0),IF('設定'!$B$10="切り上げ",ROUNDUP(IF('設定'!$B$9="税込",N($G98)*10/110,N($G98)*10/100),0),ROUNDDOWN(IF('設定'!$B$9="税込",N($G98)*10/110,N($G98)*10/100),0))))</f>
        <v/>
      </c>
      <c r="K98" s="28">
        <f>IF($A98="","",IF('設定'!$B$10="四捨五入",ROUND(IF('設定'!$B$9="税込",N($H98)*8/108,N($H98)*8/100),0),IF('設定'!$B$10="切り上げ",ROUNDUP(IF('設定'!$B$9="税込",N($H98)*8/108,N($H98)*8/100),0),ROUNDDOWN(IF('設定'!$B$9="税込",N($H98)*8/108,N($H98)*8/100),0))))</f>
        <v/>
      </c>
      <c r="L98" s="28">
        <f>IF($A98="","",N($G98)+N($H98)+N($I98)+IF('設定'!$B$9="税込",0,$J98+$K98))</f>
        <v/>
      </c>
      <c r="M98" s="29">
        <f>IF(OR($A98="",NOT(ISNUMBER($W98)),NOT(ISNUMBER($X98))),"",IF(OR(INDEX('得意先'!$D$5:$D$104,$W98)="",INDEX('得意先'!$E$5:$E$104,$W98)="",INDEX('得意先'!$F$5:$F$104,$W98)=""),"",IF(INDEX('得意先'!$F$5:$F$104,$W98)="末",DATE(YEAR($X98),(MONTH($X98)+IF(INDEX('得意先'!$D$5:$D$104,$W98)="末",0,IF(DAY($X98)&lt;=INDEX('得意先'!$D$5:$D$104,$W98),0,1))+N(INDEX('得意先'!$E$5:$E$104,$W98)))+1,0),DATE(YEAR($X98),(MONTH($X98)+IF(INDEX('得意先'!$D$5:$D$104,$W98)="末",0,IF(DAY($X98)&lt;=INDEX('得意先'!$D$5:$D$104,$W98),0,1))+N(INDEX('得意先'!$E$5:$E$104,$W98))),MIN(INDEX('得意先'!$F$5:$F$104,$W98),DAY(DATE(YEAR($X98),(MONTH($X98)+IF(INDEX('得意先'!$D$5:$D$104,$W98)="末",0,IF(DAY($X98)&lt;=INDEX('得意先'!$D$5:$D$104,$W98),0,1))+N(INDEX('得意先'!$E$5:$E$104,$W98)))+1,0)))))))</f>
        <v/>
      </c>
      <c r="N98" s="26" t="n"/>
      <c r="O98" s="29">
        <f>IF($A98="","",IF(ISNUMBER($N98),$N98,$M98))</f>
        <v/>
      </c>
      <c r="P98" s="28">
        <f>IF($A98="","",SUMIF('入金消込'!$F$5:$F$1004,$A98,'入金消込'!$G$5:$G$1004))</f>
        <v/>
      </c>
      <c r="Q98" s="28">
        <f>IF($A98="","",SUMIF('入金消込'!$F$5:$F$1004,$A98,'入金消込'!$H$5:$H$1004)+SUMIF('入金消込'!$F$5:$F$1004,$A98,'入金消込'!$I$5:$I$1004))</f>
        <v/>
      </c>
      <c r="R98" s="28">
        <f>IF($A98="","",$L98-$P98-$Q98)</f>
        <v/>
      </c>
      <c r="S98" s="30">
        <f>IF($A98="","",IF($R98=0,IF($L98=0,"請求額0","回収済"),IF($L98&lt;0,IF($R98&lt;0,"差し引き待ち","差し引きすぎ"),IF($R98&lt;0,"入金が多い",IF($P98+$Q98=0,"未入金","一部入金")))))</f>
        <v/>
      </c>
      <c r="T98" s="31">
        <f>IF(OR($A98="",N($R98)&lt;=0,NOT(ISNUMBER($O98))),"",IF($O98&lt;'設定'!$B$7,'設定'!$B$7-$O98,""))</f>
        <v/>
      </c>
      <c r="U98" s="30">
        <f>IF(OR($A98="",N($R98)&lt;=0),"",IF(NOT(ISNUMBER($O98)),'設定'!$B$22,IF($O98&gt;='設定'!$B$7,'設定'!$B$17,IF('設定'!$B$7-$O98&lt;='設定'!$B$12,'設定'!$B$18,IF('設定'!$B$7-$O98&lt;='設定'!$B$13,'設定'!$B$19,IF('設定'!$B$7-$O98&lt;='設定'!$B$14,'設定'!$B$20,'設定'!$B$21))))))</f>
        <v/>
      </c>
      <c r="V98" s="56" t="n"/>
      <c r="W98" s="32">
        <f>IF($C98="","",IFERROR(MATCH($C98,'得意先'!$B$5:$B$104,0),"なし"))</f>
        <v/>
      </c>
      <c r="X98" s="33">
        <f>IF($A98="","",IF(ISNUMBER($E98),$E98,IF(ISNUMBER($B98),$B98,"")))</f>
        <v/>
      </c>
      <c r="Y98" s="34">
        <f>IF($T98="","",$O98+ROW()/1000000)</f>
        <v/>
      </c>
      <c r="Z98" s="35">
        <f>IF(OR($A98="",$C98="",$C98&lt;&gt;'売掛帳'!$B$3,NOT(ISNUMBER($X98))),"",IF(AND($X98&gt;='売掛帳'!$Q$3,$X98&lt;='売掛帳'!$Q$4),$X98+ROW()/10000000,""))</f>
        <v/>
      </c>
    </row>
    <row r="99" ht="18" customHeight="1">
      <c r="A99" s="18" t="n"/>
      <c r="B99" s="26" t="n"/>
      <c r="C99" s="18" t="n"/>
      <c r="D99" s="20">
        <f>IF($W99="","",IF($W99="なし","※得意先にないコード",INDEX('得意先'!$C$5:$C$104,$W99)&amp;""))</f>
        <v/>
      </c>
      <c r="E99" s="26" t="n"/>
      <c r="F99" s="19" t="n"/>
      <c r="G99" s="27" t="n"/>
      <c r="H99" s="27" t="n"/>
      <c r="I99" s="27" t="n"/>
      <c r="J99" s="28">
        <f>IF($A99="","",IF('設定'!$B$10="四捨五入",ROUND(IF('設定'!$B$9="税込",N($G99)*10/110,N($G99)*10/100),0),IF('設定'!$B$10="切り上げ",ROUNDUP(IF('設定'!$B$9="税込",N($G99)*10/110,N($G99)*10/100),0),ROUNDDOWN(IF('設定'!$B$9="税込",N($G99)*10/110,N($G99)*10/100),0))))</f>
        <v/>
      </c>
      <c r="K99" s="28">
        <f>IF($A99="","",IF('設定'!$B$10="四捨五入",ROUND(IF('設定'!$B$9="税込",N($H99)*8/108,N($H99)*8/100),0),IF('設定'!$B$10="切り上げ",ROUNDUP(IF('設定'!$B$9="税込",N($H99)*8/108,N($H99)*8/100),0),ROUNDDOWN(IF('設定'!$B$9="税込",N($H99)*8/108,N($H99)*8/100),0))))</f>
        <v/>
      </c>
      <c r="L99" s="28">
        <f>IF($A99="","",N($G99)+N($H99)+N($I99)+IF('設定'!$B$9="税込",0,$J99+$K99))</f>
        <v/>
      </c>
      <c r="M99" s="29">
        <f>IF(OR($A99="",NOT(ISNUMBER($W99)),NOT(ISNUMBER($X99))),"",IF(OR(INDEX('得意先'!$D$5:$D$104,$W99)="",INDEX('得意先'!$E$5:$E$104,$W99)="",INDEX('得意先'!$F$5:$F$104,$W99)=""),"",IF(INDEX('得意先'!$F$5:$F$104,$W99)="末",DATE(YEAR($X99),(MONTH($X99)+IF(INDEX('得意先'!$D$5:$D$104,$W99)="末",0,IF(DAY($X99)&lt;=INDEX('得意先'!$D$5:$D$104,$W99),0,1))+N(INDEX('得意先'!$E$5:$E$104,$W99)))+1,0),DATE(YEAR($X99),(MONTH($X99)+IF(INDEX('得意先'!$D$5:$D$104,$W99)="末",0,IF(DAY($X99)&lt;=INDEX('得意先'!$D$5:$D$104,$W99),0,1))+N(INDEX('得意先'!$E$5:$E$104,$W99))),MIN(INDEX('得意先'!$F$5:$F$104,$W99),DAY(DATE(YEAR($X99),(MONTH($X99)+IF(INDEX('得意先'!$D$5:$D$104,$W99)="末",0,IF(DAY($X99)&lt;=INDEX('得意先'!$D$5:$D$104,$W99),0,1))+N(INDEX('得意先'!$E$5:$E$104,$W99)))+1,0)))))))</f>
        <v/>
      </c>
      <c r="N99" s="26" t="n"/>
      <c r="O99" s="29">
        <f>IF($A99="","",IF(ISNUMBER($N99),$N99,$M99))</f>
        <v/>
      </c>
      <c r="P99" s="28">
        <f>IF($A99="","",SUMIF('入金消込'!$F$5:$F$1004,$A99,'入金消込'!$G$5:$G$1004))</f>
        <v/>
      </c>
      <c r="Q99" s="28">
        <f>IF($A99="","",SUMIF('入金消込'!$F$5:$F$1004,$A99,'入金消込'!$H$5:$H$1004)+SUMIF('入金消込'!$F$5:$F$1004,$A99,'入金消込'!$I$5:$I$1004))</f>
        <v/>
      </c>
      <c r="R99" s="28">
        <f>IF($A99="","",$L99-$P99-$Q99)</f>
        <v/>
      </c>
      <c r="S99" s="30">
        <f>IF($A99="","",IF($R99=0,IF($L99=0,"請求額0","回収済"),IF($L99&lt;0,IF($R99&lt;0,"差し引き待ち","差し引きすぎ"),IF($R99&lt;0,"入金が多い",IF($P99+$Q99=0,"未入金","一部入金")))))</f>
        <v/>
      </c>
      <c r="T99" s="31">
        <f>IF(OR($A99="",N($R99)&lt;=0,NOT(ISNUMBER($O99))),"",IF($O99&lt;'設定'!$B$7,'設定'!$B$7-$O99,""))</f>
        <v/>
      </c>
      <c r="U99" s="30">
        <f>IF(OR($A99="",N($R99)&lt;=0),"",IF(NOT(ISNUMBER($O99)),'設定'!$B$22,IF($O99&gt;='設定'!$B$7,'設定'!$B$17,IF('設定'!$B$7-$O99&lt;='設定'!$B$12,'設定'!$B$18,IF('設定'!$B$7-$O99&lt;='設定'!$B$13,'設定'!$B$19,IF('設定'!$B$7-$O99&lt;='設定'!$B$14,'設定'!$B$20,'設定'!$B$21))))))</f>
        <v/>
      </c>
      <c r="V99" s="56" t="n"/>
      <c r="W99" s="32">
        <f>IF($C99="","",IFERROR(MATCH($C99,'得意先'!$B$5:$B$104,0),"なし"))</f>
        <v/>
      </c>
      <c r="X99" s="33">
        <f>IF($A99="","",IF(ISNUMBER($E99),$E99,IF(ISNUMBER($B99),$B99,"")))</f>
        <v/>
      </c>
      <c r="Y99" s="34">
        <f>IF($T99="","",$O99+ROW()/1000000)</f>
        <v/>
      </c>
      <c r="Z99" s="35">
        <f>IF(OR($A99="",$C99="",$C99&lt;&gt;'売掛帳'!$B$3,NOT(ISNUMBER($X99))),"",IF(AND($X99&gt;='売掛帳'!$Q$3,$X99&lt;='売掛帳'!$Q$4),$X99+ROW()/10000000,""))</f>
        <v/>
      </c>
    </row>
    <row r="100" ht="18" customHeight="1">
      <c r="A100" s="18" t="n"/>
      <c r="B100" s="26" t="n"/>
      <c r="C100" s="18" t="n"/>
      <c r="D100" s="20">
        <f>IF($W100="","",IF($W100="なし","※得意先にないコード",INDEX('得意先'!$C$5:$C$104,$W100)&amp;""))</f>
        <v/>
      </c>
      <c r="E100" s="26" t="n"/>
      <c r="F100" s="19" t="n"/>
      <c r="G100" s="27" t="n"/>
      <c r="H100" s="27" t="n"/>
      <c r="I100" s="27" t="n"/>
      <c r="J100" s="28">
        <f>IF($A100="","",IF('設定'!$B$10="四捨五入",ROUND(IF('設定'!$B$9="税込",N($G100)*10/110,N($G100)*10/100),0),IF('設定'!$B$10="切り上げ",ROUNDUP(IF('設定'!$B$9="税込",N($G100)*10/110,N($G100)*10/100),0),ROUNDDOWN(IF('設定'!$B$9="税込",N($G100)*10/110,N($G100)*10/100),0))))</f>
        <v/>
      </c>
      <c r="K100" s="28">
        <f>IF($A100="","",IF('設定'!$B$10="四捨五入",ROUND(IF('設定'!$B$9="税込",N($H100)*8/108,N($H100)*8/100),0),IF('設定'!$B$10="切り上げ",ROUNDUP(IF('設定'!$B$9="税込",N($H100)*8/108,N($H100)*8/100),0),ROUNDDOWN(IF('設定'!$B$9="税込",N($H100)*8/108,N($H100)*8/100),0))))</f>
        <v/>
      </c>
      <c r="L100" s="28">
        <f>IF($A100="","",N($G100)+N($H100)+N($I100)+IF('設定'!$B$9="税込",0,$J100+$K100))</f>
        <v/>
      </c>
      <c r="M100" s="29">
        <f>IF(OR($A100="",NOT(ISNUMBER($W100)),NOT(ISNUMBER($X100))),"",IF(OR(INDEX('得意先'!$D$5:$D$104,$W100)="",INDEX('得意先'!$E$5:$E$104,$W100)="",INDEX('得意先'!$F$5:$F$104,$W100)=""),"",IF(INDEX('得意先'!$F$5:$F$104,$W100)="末",DATE(YEAR($X100),(MONTH($X100)+IF(INDEX('得意先'!$D$5:$D$104,$W100)="末",0,IF(DAY($X100)&lt;=INDEX('得意先'!$D$5:$D$104,$W100),0,1))+N(INDEX('得意先'!$E$5:$E$104,$W100)))+1,0),DATE(YEAR($X100),(MONTH($X100)+IF(INDEX('得意先'!$D$5:$D$104,$W100)="末",0,IF(DAY($X100)&lt;=INDEX('得意先'!$D$5:$D$104,$W100),0,1))+N(INDEX('得意先'!$E$5:$E$104,$W100))),MIN(INDEX('得意先'!$F$5:$F$104,$W100),DAY(DATE(YEAR($X100),(MONTH($X100)+IF(INDEX('得意先'!$D$5:$D$104,$W100)="末",0,IF(DAY($X100)&lt;=INDEX('得意先'!$D$5:$D$104,$W100),0,1))+N(INDEX('得意先'!$E$5:$E$104,$W100)))+1,0)))))))</f>
        <v/>
      </c>
      <c r="N100" s="26" t="n"/>
      <c r="O100" s="29">
        <f>IF($A100="","",IF(ISNUMBER($N100),$N100,$M100))</f>
        <v/>
      </c>
      <c r="P100" s="28">
        <f>IF($A100="","",SUMIF('入金消込'!$F$5:$F$1004,$A100,'入金消込'!$G$5:$G$1004))</f>
        <v/>
      </c>
      <c r="Q100" s="28">
        <f>IF($A100="","",SUMIF('入金消込'!$F$5:$F$1004,$A100,'入金消込'!$H$5:$H$1004)+SUMIF('入金消込'!$F$5:$F$1004,$A100,'入金消込'!$I$5:$I$1004))</f>
        <v/>
      </c>
      <c r="R100" s="28">
        <f>IF($A100="","",$L100-$P100-$Q100)</f>
        <v/>
      </c>
      <c r="S100" s="30">
        <f>IF($A100="","",IF($R100=0,IF($L100=0,"請求額0","回収済"),IF($L100&lt;0,IF($R100&lt;0,"差し引き待ち","差し引きすぎ"),IF($R100&lt;0,"入金が多い",IF($P100+$Q100=0,"未入金","一部入金")))))</f>
        <v/>
      </c>
      <c r="T100" s="31">
        <f>IF(OR($A100="",N($R100)&lt;=0,NOT(ISNUMBER($O100))),"",IF($O100&lt;'設定'!$B$7,'設定'!$B$7-$O100,""))</f>
        <v/>
      </c>
      <c r="U100" s="30">
        <f>IF(OR($A100="",N($R100)&lt;=0),"",IF(NOT(ISNUMBER($O100)),'設定'!$B$22,IF($O100&gt;='設定'!$B$7,'設定'!$B$17,IF('設定'!$B$7-$O100&lt;='設定'!$B$12,'設定'!$B$18,IF('設定'!$B$7-$O100&lt;='設定'!$B$13,'設定'!$B$19,IF('設定'!$B$7-$O100&lt;='設定'!$B$14,'設定'!$B$20,'設定'!$B$21))))))</f>
        <v/>
      </c>
      <c r="V100" s="56" t="n"/>
      <c r="W100" s="32">
        <f>IF($C100="","",IFERROR(MATCH($C100,'得意先'!$B$5:$B$104,0),"なし"))</f>
        <v/>
      </c>
      <c r="X100" s="33">
        <f>IF($A100="","",IF(ISNUMBER($E100),$E100,IF(ISNUMBER($B100),$B100,"")))</f>
        <v/>
      </c>
      <c r="Y100" s="34">
        <f>IF($T100="","",$O100+ROW()/1000000)</f>
        <v/>
      </c>
      <c r="Z100" s="35">
        <f>IF(OR($A100="",$C100="",$C100&lt;&gt;'売掛帳'!$B$3,NOT(ISNUMBER($X100))),"",IF(AND($X100&gt;='売掛帳'!$Q$3,$X100&lt;='売掛帳'!$Q$4),$X100+ROW()/10000000,""))</f>
        <v/>
      </c>
    </row>
    <row r="101" ht="18" customHeight="1">
      <c r="A101" s="18" t="n"/>
      <c r="B101" s="26" t="n"/>
      <c r="C101" s="18" t="n"/>
      <c r="D101" s="20">
        <f>IF($W101="","",IF($W101="なし","※得意先にないコード",INDEX('得意先'!$C$5:$C$104,$W101)&amp;""))</f>
        <v/>
      </c>
      <c r="E101" s="26" t="n"/>
      <c r="F101" s="19" t="n"/>
      <c r="G101" s="27" t="n"/>
      <c r="H101" s="27" t="n"/>
      <c r="I101" s="27" t="n"/>
      <c r="J101" s="28">
        <f>IF($A101="","",IF('設定'!$B$10="四捨五入",ROUND(IF('設定'!$B$9="税込",N($G101)*10/110,N($G101)*10/100),0),IF('設定'!$B$10="切り上げ",ROUNDUP(IF('設定'!$B$9="税込",N($G101)*10/110,N($G101)*10/100),0),ROUNDDOWN(IF('設定'!$B$9="税込",N($G101)*10/110,N($G101)*10/100),0))))</f>
        <v/>
      </c>
      <c r="K101" s="28">
        <f>IF($A101="","",IF('設定'!$B$10="四捨五入",ROUND(IF('設定'!$B$9="税込",N($H101)*8/108,N($H101)*8/100),0),IF('設定'!$B$10="切り上げ",ROUNDUP(IF('設定'!$B$9="税込",N($H101)*8/108,N($H101)*8/100),0),ROUNDDOWN(IF('設定'!$B$9="税込",N($H101)*8/108,N($H101)*8/100),0))))</f>
        <v/>
      </c>
      <c r="L101" s="28">
        <f>IF($A101="","",N($G101)+N($H101)+N($I101)+IF('設定'!$B$9="税込",0,$J101+$K101))</f>
        <v/>
      </c>
      <c r="M101" s="29">
        <f>IF(OR($A101="",NOT(ISNUMBER($W101)),NOT(ISNUMBER($X101))),"",IF(OR(INDEX('得意先'!$D$5:$D$104,$W101)="",INDEX('得意先'!$E$5:$E$104,$W101)="",INDEX('得意先'!$F$5:$F$104,$W101)=""),"",IF(INDEX('得意先'!$F$5:$F$104,$W101)="末",DATE(YEAR($X101),(MONTH($X101)+IF(INDEX('得意先'!$D$5:$D$104,$W101)="末",0,IF(DAY($X101)&lt;=INDEX('得意先'!$D$5:$D$104,$W101),0,1))+N(INDEX('得意先'!$E$5:$E$104,$W101)))+1,0),DATE(YEAR($X101),(MONTH($X101)+IF(INDEX('得意先'!$D$5:$D$104,$W101)="末",0,IF(DAY($X101)&lt;=INDEX('得意先'!$D$5:$D$104,$W101),0,1))+N(INDEX('得意先'!$E$5:$E$104,$W101))),MIN(INDEX('得意先'!$F$5:$F$104,$W101),DAY(DATE(YEAR($X101),(MONTH($X101)+IF(INDEX('得意先'!$D$5:$D$104,$W101)="末",0,IF(DAY($X101)&lt;=INDEX('得意先'!$D$5:$D$104,$W101),0,1))+N(INDEX('得意先'!$E$5:$E$104,$W101)))+1,0)))))))</f>
        <v/>
      </c>
      <c r="N101" s="26" t="n"/>
      <c r="O101" s="29">
        <f>IF($A101="","",IF(ISNUMBER($N101),$N101,$M101))</f>
        <v/>
      </c>
      <c r="P101" s="28">
        <f>IF($A101="","",SUMIF('入金消込'!$F$5:$F$1004,$A101,'入金消込'!$G$5:$G$1004))</f>
        <v/>
      </c>
      <c r="Q101" s="28">
        <f>IF($A101="","",SUMIF('入金消込'!$F$5:$F$1004,$A101,'入金消込'!$H$5:$H$1004)+SUMIF('入金消込'!$F$5:$F$1004,$A101,'入金消込'!$I$5:$I$1004))</f>
        <v/>
      </c>
      <c r="R101" s="28">
        <f>IF($A101="","",$L101-$P101-$Q101)</f>
        <v/>
      </c>
      <c r="S101" s="30">
        <f>IF($A101="","",IF($R101=0,IF($L101=0,"請求額0","回収済"),IF($L101&lt;0,IF($R101&lt;0,"差し引き待ち","差し引きすぎ"),IF($R101&lt;0,"入金が多い",IF($P101+$Q101=0,"未入金","一部入金")))))</f>
        <v/>
      </c>
      <c r="T101" s="31">
        <f>IF(OR($A101="",N($R101)&lt;=0,NOT(ISNUMBER($O101))),"",IF($O101&lt;'設定'!$B$7,'設定'!$B$7-$O101,""))</f>
        <v/>
      </c>
      <c r="U101" s="30">
        <f>IF(OR($A101="",N($R101)&lt;=0),"",IF(NOT(ISNUMBER($O101)),'設定'!$B$22,IF($O101&gt;='設定'!$B$7,'設定'!$B$17,IF('設定'!$B$7-$O101&lt;='設定'!$B$12,'設定'!$B$18,IF('設定'!$B$7-$O101&lt;='設定'!$B$13,'設定'!$B$19,IF('設定'!$B$7-$O101&lt;='設定'!$B$14,'設定'!$B$20,'設定'!$B$21))))))</f>
        <v/>
      </c>
      <c r="V101" s="56" t="n"/>
      <c r="W101" s="32">
        <f>IF($C101="","",IFERROR(MATCH($C101,'得意先'!$B$5:$B$104,0),"なし"))</f>
        <v/>
      </c>
      <c r="X101" s="33">
        <f>IF($A101="","",IF(ISNUMBER($E101),$E101,IF(ISNUMBER($B101),$B101,"")))</f>
        <v/>
      </c>
      <c r="Y101" s="34">
        <f>IF($T101="","",$O101+ROW()/1000000)</f>
        <v/>
      </c>
      <c r="Z101" s="35">
        <f>IF(OR($A101="",$C101="",$C101&lt;&gt;'売掛帳'!$B$3,NOT(ISNUMBER($X101))),"",IF(AND($X101&gt;='売掛帳'!$Q$3,$X101&lt;='売掛帳'!$Q$4),$X101+ROW()/10000000,""))</f>
        <v/>
      </c>
    </row>
    <row r="102" ht="18" customHeight="1">
      <c r="A102" s="18" t="n"/>
      <c r="B102" s="26" t="n"/>
      <c r="C102" s="18" t="n"/>
      <c r="D102" s="20">
        <f>IF($W102="","",IF($W102="なし","※得意先にないコード",INDEX('得意先'!$C$5:$C$104,$W102)&amp;""))</f>
        <v/>
      </c>
      <c r="E102" s="26" t="n"/>
      <c r="F102" s="19" t="n"/>
      <c r="G102" s="27" t="n"/>
      <c r="H102" s="27" t="n"/>
      <c r="I102" s="27" t="n"/>
      <c r="J102" s="28">
        <f>IF($A102="","",IF('設定'!$B$10="四捨五入",ROUND(IF('設定'!$B$9="税込",N($G102)*10/110,N($G102)*10/100),0),IF('設定'!$B$10="切り上げ",ROUNDUP(IF('設定'!$B$9="税込",N($G102)*10/110,N($G102)*10/100),0),ROUNDDOWN(IF('設定'!$B$9="税込",N($G102)*10/110,N($G102)*10/100),0))))</f>
        <v/>
      </c>
      <c r="K102" s="28">
        <f>IF($A102="","",IF('設定'!$B$10="四捨五入",ROUND(IF('設定'!$B$9="税込",N($H102)*8/108,N($H102)*8/100),0),IF('設定'!$B$10="切り上げ",ROUNDUP(IF('設定'!$B$9="税込",N($H102)*8/108,N($H102)*8/100),0),ROUNDDOWN(IF('設定'!$B$9="税込",N($H102)*8/108,N($H102)*8/100),0))))</f>
        <v/>
      </c>
      <c r="L102" s="28">
        <f>IF($A102="","",N($G102)+N($H102)+N($I102)+IF('設定'!$B$9="税込",0,$J102+$K102))</f>
        <v/>
      </c>
      <c r="M102" s="29">
        <f>IF(OR($A102="",NOT(ISNUMBER($W102)),NOT(ISNUMBER($X102))),"",IF(OR(INDEX('得意先'!$D$5:$D$104,$W102)="",INDEX('得意先'!$E$5:$E$104,$W102)="",INDEX('得意先'!$F$5:$F$104,$W102)=""),"",IF(INDEX('得意先'!$F$5:$F$104,$W102)="末",DATE(YEAR($X102),(MONTH($X102)+IF(INDEX('得意先'!$D$5:$D$104,$W102)="末",0,IF(DAY($X102)&lt;=INDEX('得意先'!$D$5:$D$104,$W102),0,1))+N(INDEX('得意先'!$E$5:$E$104,$W102)))+1,0),DATE(YEAR($X102),(MONTH($X102)+IF(INDEX('得意先'!$D$5:$D$104,$W102)="末",0,IF(DAY($X102)&lt;=INDEX('得意先'!$D$5:$D$104,$W102),0,1))+N(INDEX('得意先'!$E$5:$E$104,$W102))),MIN(INDEX('得意先'!$F$5:$F$104,$W102),DAY(DATE(YEAR($X102),(MONTH($X102)+IF(INDEX('得意先'!$D$5:$D$104,$W102)="末",0,IF(DAY($X102)&lt;=INDEX('得意先'!$D$5:$D$104,$W102),0,1))+N(INDEX('得意先'!$E$5:$E$104,$W102)))+1,0)))))))</f>
        <v/>
      </c>
      <c r="N102" s="26" t="n"/>
      <c r="O102" s="29">
        <f>IF($A102="","",IF(ISNUMBER($N102),$N102,$M102))</f>
        <v/>
      </c>
      <c r="P102" s="28">
        <f>IF($A102="","",SUMIF('入金消込'!$F$5:$F$1004,$A102,'入金消込'!$G$5:$G$1004))</f>
        <v/>
      </c>
      <c r="Q102" s="28">
        <f>IF($A102="","",SUMIF('入金消込'!$F$5:$F$1004,$A102,'入金消込'!$H$5:$H$1004)+SUMIF('入金消込'!$F$5:$F$1004,$A102,'入金消込'!$I$5:$I$1004))</f>
        <v/>
      </c>
      <c r="R102" s="28">
        <f>IF($A102="","",$L102-$P102-$Q102)</f>
        <v/>
      </c>
      <c r="S102" s="30">
        <f>IF($A102="","",IF($R102=0,IF($L102=0,"請求額0","回収済"),IF($L102&lt;0,IF($R102&lt;0,"差し引き待ち","差し引きすぎ"),IF($R102&lt;0,"入金が多い",IF($P102+$Q102=0,"未入金","一部入金")))))</f>
        <v/>
      </c>
      <c r="T102" s="31">
        <f>IF(OR($A102="",N($R102)&lt;=0,NOT(ISNUMBER($O102))),"",IF($O102&lt;'設定'!$B$7,'設定'!$B$7-$O102,""))</f>
        <v/>
      </c>
      <c r="U102" s="30">
        <f>IF(OR($A102="",N($R102)&lt;=0),"",IF(NOT(ISNUMBER($O102)),'設定'!$B$22,IF($O102&gt;='設定'!$B$7,'設定'!$B$17,IF('設定'!$B$7-$O102&lt;='設定'!$B$12,'設定'!$B$18,IF('設定'!$B$7-$O102&lt;='設定'!$B$13,'設定'!$B$19,IF('設定'!$B$7-$O102&lt;='設定'!$B$14,'設定'!$B$20,'設定'!$B$21))))))</f>
        <v/>
      </c>
      <c r="V102" s="56" t="n"/>
      <c r="W102" s="32">
        <f>IF($C102="","",IFERROR(MATCH($C102,'得意先'!$B$5:$B$104,0),"なし"))</f>
        <v/>
      </c>
      <c r="X102" s="33">
        <f>IF($A102="","",IF(ISNUMBER($E102),$E102,IF(ISNUMBER($B102),$B102,"")))</f>
        <v/>
      </c>
      <c r="Y102" s="34">
        <f>IF($T102="","",$O102+ROW()/1000000)</f>
        <v/>
      </c>
      <c r="Z102" s="35">
        <f>IF(OR($A102="",$C102="",$C102&lt;&gt;'売掛帳'!$B$3,NOT(ISNUMBER($X102))),"",IF(AND($X102&gt;='売掛帳'!$Q$3,$X102&lt;='売掛帳'!$Q$4),$X102+ROW()/10000000,""))</f>
        <v/>
      </c>
    </row>
    <row r="103" ht="18" customHeight="1">
      <c r="A103" s="18" t="n"/>
      <c r="B103" s="26" t="n"/>
      <c r="C103" s="18" t="n"/>
      <c r="D103" s="20">
        <f>IF($W103="","",IF($W103="なし","※得意先にないコード",INDEX('得意先'!$C$5:$C$104,$W103)&amp;""))</f>
        <v/>
      </c>
      <c r="E103" s="26" t="n"/>
      <c r="F103" s="19" t="n"/>
      <c r="G103" s="27" t="n"/>
      <c r="H103" s="27" t="n"/>
      <c r="I103" s="27" t="n"/>
      <c r="J103" s="28">
        <f>IF($A103="","",IF('設定'!$B$10="四捨五入",ROUND(IF('設定'!$B$9="税込",N($G103)*10/110,N($G103)*10/100),0),IF('設定'!$B$10="切り上げ",ROUNDUP(IF('設定'!$B$9="税込",N($G103)*10/110,N($G103)*10/100),0),ROUNDDOWN(IF('設定'!$B$9="税込",N($G103)*10/110,N($G103)*10/100),0))))</f>
        <v/>
      </c>
      <c r="K103" s="28">
        <f>IF($A103="","",IF('設定'!$B$10="四捨五入",ROUND(IF('設定'!$B$9="税込",N($H103)*8/108,N($H103)*8/100),0),IF('設定'!$B$10="切り上げ",ROUNDUP(IF('設定'!$B$9="税込",N($H103)*8/108,N($H103)*8/100),0),ROUNDDOWN(IF('設定'!$B$9="税込",N($H103)*8/108,N($H103)*8/100),0))))</f>
        <v/>
      </c>
      <c r="L103" s="28">
        <f>IF($A103="","",N($G103)+N($H103)+N($I103)+IF('設定'!$B$9="税込",0,$J103+$K103))</f>
        <v/>
      </c>
      <c r="M103" s="29">
        <f>IF(OR($A103="",NOT(ISNUMBER($W103)),NOT(ISNUMBER($X103))),"",IF(OR(INDEX('得意先'!$D$5:$D$104,$W103)="",INDEX('得意先'!$E$5:$E$104,$W103)="",INDEX('得意先'!$F$5:$F$104,$W103)=""),"",IF(INDEX('得意先'!$F$5:$F$104,$W103)="末",DATE(YEAR($X103),(MONTH($X103)+IF(INDEX('得意先'!$D$5:$D$104,$W103)="末",0,IF(DAY($X103)&lt;=INDEX('得意先'!$D$5:$D$104,$W103),0,1))+N(INDEX('得意先'!$E$5:$E$104,$W103)))+1,0),DATE(YEAR($X103),(MONTH($X103)+IF(INDEX('得意先'!$D$5:$D$104,$W103)="末",0,IF(DAY($X103)&lt;=INDEX('得意先'!$D$5:$D$104,$W103),0,1))+N(INDEX('得意先'!$E$5:$E$104,$W103))),MIN(INDEX('得意先'!$F$5:$F$104,$W103),DAY(DATE(YEAR($X103),(MONTH($X103)+IF(INDEX('得意先'!$D$5:$D$104,$W103)="末",0,IF(DAY($X103)&lt;=INDEX('得意先'!$D$5:$D$104,$W103),0,1))+N(INDEX('得意先'!$E$5:$E$104,$W103)))+1,0)))))))</f>
        <v/>
      </c>
      <c r="N103" s="26" t="n"/>
      <c r="O103" s="29">
        <f>IF($A103="","",IF(ISNUMBER($N103),$N103,$M103))</f>
        <v/>
      </c>
      <c r="P103" s="28">
        <f>IF($A103="","",SUMIF('入金消込'!$F$5:$F$1004,$A103,'入金消込'!$G$5:$G$1004))</f>
        <v/>
      </c>
      <c r="Q103" s="28">
        <f>IF($A103="","",SUMIF('入金消込'!$F$5:$F$1004,$A103,'入金消込'!$H$5:$H$1004)+SUMIF('入金消込'!$F$5:$F$1004,$A103,'入金消込'!$I$5:$I$1004))</f>
        <v/>
      </c>
      <c r="R103" s="28">
        <f>IF($A103="","",$L103-$P103-$Q103)</f>
        <v/>
      </c>
      <c r="S103" s="30">
        <f>IF($A103="","",IF($R103=0,IF($L103=0,"請求額0","回収済"),IF($L103&lt;0,IF($R103&lt;0,"差し引き待ち","差し引きすぎ"),IF($R103&lt;0,"入金が多い",IF($P103+$Q103=0,"未入金","一部入金")))))</f>
        <v/>
      </c>
      <c r="T103" s="31">
        <f>IF(OR($A103="",N($R103)&lt;=0,NOT(ISNUMBER($O103))),"",IF($O103&lt;'設定'!$B$7,'設定'!$B$7-$O103,""))</f>
        <v/>
      </c>
      <c r="U103" s="30">
        <f>IF(OR($A103="",N($R103)&lt;=0),"",IF(NOT(ISNUMBER($O103)),'設定'!$B$22,IF($O103&gt;='設定'!$B$7,'設定'!$B$17,IF('設定'!$B$7-$O103&lt;='設定'!$B$12,'設定'!$B$18,IF('設定'!$B$7-$O103&lt;='設定'!$B$13,'設定'!$B$19,IF('設定'!$B$7-$O103&lt;='設定'!$B$14,'設定'!$B$20,'設定'!$B$21))))))</f>
        <v/>
      </c>
      <c r="V103" s="56" t="n"/>
      <c r="W103" s="32">
        <f>IF($C103="","",IFERROR(MATCH($C103,'得意先'!$B$5:$B$104,0),"なし"))</f>
        <v/>
      </c>
      <c r="X103" s="33">
        <f>IF($A103="","",IF(ISNUMBER($E103),$E103,IF(ISNUMBER($B103),$B103,"")))</f>
        <v/>
      </c>
      <c r="Y103" s="34">
        <f>IF($T103="","",$O103+ROW()/1000000)</f>
        <v/>
      </c>
      <c r="Z103" s="35">
        <f>IF(OR($A103="",$C103="",$C103&lt;&gt;'売掛帳'!$B$3,NOT(ISNUMBER($X103))),"",IF(AND($X103&gt;='売掛帳'!$Q$3,$X103&lt;='売掛帳'!$Q$4),$X103+ROW()/10000000,""))</f>
        <v/>
      </c>
    </row>
    <row r="104" ht="18" customHeight="1">
      <c r="A104" s="18" t="n"/>
      <c r="B104" s="26" t="n"/>
      <c r="C104" s="18" t="n"/>
      <c r="D104" s="20">
        <f>IF($W104="","",IF($W104="なし","※得意先にないコード",INDEX('得意先'!$C$5:$C$104,$W104)&amp;""))</f>
        <v/>
      </c>
      <c r="E104" s="26" t="n"/>
      <c r="F104" s="19" t="n"/>
      <c r="G104" s="27" t="n"/>
      <c r="H104" s="27" t="n"/>
      <c r="I104" s="27" t="n"/>
      <c r="J104" s="28">
        <f>IF($A104="","",IF('設定'!$B$10="四捨五入",ROUND(IF('設定'!$B$9="税込",N($G104)*10/110,N($G104)*10/100),0),IF('設定'!$B$10="切り上げ",ROUNDUP(IF('設定'!$B$9="税込",N($G104)*10/110,N($G104)*10/100),0),ROUNDDOWN(IF('設定'!$B$9="税込",N($G104)*10/110,N($G104)*10/100),0))))</f>
        <v/>
      </c>
      <c r="K104" s="28">
        <f>IF($A104="","",IF('設定'!$B$10="四捨五入",ROUND(IF('設定'!$B$9="税込",N($H104)*8/108,N($H104)*8/100),0),IF('設定'!$B$10="切り上げ",ROUNDUP(IF('設定'!$B$9="税込",N($H104)*8/108,N($H104)*8/100),0),ROUNDDOWN(IF('設定'!$B$9="税込",N($H104)*8/108,N($H104)*8/100),0))))</f>
        <v/>
      </c>
      <c r="L104" s="28">
        <f>IF($A104="","",N($G104)+N($H104)+N($I104)+IF('設定'!$B$9="税込",0,$J104+$K104))</f>
        <v/>
      </c>
      <c r="M104" s="29">
        <f>IF(OR($A104="",NOT(ISNUMBER($W104)),NOT(ISNUMBER($X104))),"",IF(OR(INDEX('得意先'!$D$5:$D$104,$W104)="",INDEX('得意先'!$E$5:$E$104,$W104)="",INDEX('得意先'!$F$5:$F$104,$W104)=""),"",IF(INDEX('得意先'!$F$5:$F$104,$W104)="末",DATE(YEAR($X104),(MONTH($X104)+IF(INDEX('得意先'!$D$5:$D$104,$W104)="末",0,IF(DAY($X104)&lt;=INDEX('得意先'!$D$5:$D$104,$W104),0,1))+N(INDEX('得意先'!$E$5:$E$104,$W104)))+1,0),DATE(YEAR($X104),(MONTH($X104)+IF(INDEX('得意先'!$D$5:$D$104,$W104)="末",0,IF(DAY($X104)&lt;=INDEX('得意先'!$D$5:$D$104,$W104),0,1))+N(INDEX('得意先'!$E$5:$E$104,$W104))),MIN(INDEX('得意先'!$F$5:$F$104,$W104),DAY(DATE(YEAR($X104),(MONTH($X104)+IF(INDEX('得意先'!$D$5:$D$104,$W104)="末",0,IF(DAY($X104)&lt;=INDEX('得意先'!$D$5:$D$104,$W104),0,1))+N(INDEX('得意先'!$E$5:$E$104,$W104)))+1,0)))))))</f>
        <v/>
      </c>
      <c r="N104" s="26" t="n"/>
      <c r="O104" s="29">
        <f>IF($A104="","",IF(ISNUMBER($N104),$N104,$M104))</f>
        <v/>
      </c>
      <c r="P104" s="28">
        <f>IF($A104="","",SUMIF('入金消込'!$F$5:$F$1004,$A104,'入金消込'!$G$5:$G$1004))</f>
        <v/>
      </c>
      <c r="Q104" s="28">
        <f>IF($A104="","",SUMIF('入金消込'!$F$5:$F$1004,$A104,'入金消込'!$H$5:$H$1004)+SUMIF('入金消込'!$F$5:$F$1004,$A104,'入金消込'!$I$5:$I$1004))</f>
        <v/>
      </c>
      <c r="R104" s="28">
        <f>IF($A104="","",$L104-$P104-$Q104)</f>
        <v/>
      </c>
      <c r="S104" s="30">
        <f>IF($A104="","",IF($R104=0,IF($L104=0,"請求額0","回収済"),IF($L104&lt;0,IF($R104&lt;0,"差し引き待ち","差し引きすぎ"),IF($R104&lt;0,"入金が多い",IF($P104+$Q104=0,"未入金","一部入金")))))</f>
        <v/>
      </c>
      <c r="T104" s="31">
        <f>IF(OR($A104="",N($R104)&lt;=0,NOT(ISNUMBER($O104))),"",IF($O104&lt;'設定'!$B$7,'設定'!$B$7-$O104,""))</f>
        <v/>
      </c>
      <c r="U104" s="30">
        <f>IF(OR($A104="",N($R104)&lt;=0),"",IF(NOT(ISNUMBER($O104)),'設定'!$B$22,IF($O104&gt;='設定'!$B$7,'設定'!$B$17,IF('設定'!$B$7-$O104&lt;='設定'!$B$12,'設定'!$B$18,IF('設定'!$B$7-$O104&lt;='設定'!$B$13,'設定'!$B$19,IF('設定'!$B$7-$O104&lt;='設定'!$B$14,'設定'!$B$20,'設定'!$B$21))))))</f>
        <v/>
      </c>
      <c r="V104" s="56" t="n"/>
      <c r="W104" s="32">
        <f>IF($C104="","",IFERROR(MATCH($C104,'得意先'!$B$5:$B$104,0),"なし"))</f>
        <v/>
      </c>
      <c r="X104" s="33">
        <f>IF($A104="","",IF(ISNUMBER($E104),$E104,IF(ISNUMBER($B104),$B104,"")))</f>
        <v/>
      </c>
      <c r="Y104" s="34">
        <f>IF($T104="","",$O104+ROW()/1000000)</f>
        <v/>
      </c>
      <c r="Z104" s="35">
        <f>IF(OR($A104="",$C104="",$C104&lt;&gt;'売掛帳'!$B$3,NOT(ISNUMBER($X104))),"",IF(AND($X104&gt;='売掛帳'!$Q$3,$X104&lt;='売掛帳'!$Q$4),$X104+ROW()/10000000,""))</f>
        <v/>
      </c>
    </row>
    <row r="105" ht="18" customHeight="1">
      <c r="A105" s="18" t="n"/>
      <c r="B105" s="26" t="n"/>
      <c r="C105" s="18" t="n"/>
      <c r="D105" s="20">
        <f>IF($W105="","",IF($W105="なし","※得意先にないコード",INDEX('得意先'!$C$5:$C$104,$W105)&amp;""))</f>
        <v/>
      </c>
      <c r="E105" s="26" t="n"/>
      <c r="F105" s="19" t="n"/>
      <c r="G105" s="27" t="n"/>
      <c r="H105" s="27" t="n"/>
      <c r="I105" s="27" t="n"/>
      <c r="J105" s="28">
        <f>IF($A105="","",IF('設定'!$B$10="四捨五入",ROUND(IF('設定'!$B$9="税込",N($G105)*10/110,N($G105)*10/100),0),IF('設定'!$B$10="切り上げ",ROUNDUP(IF('設定'!$B$9="税込",N($G105)*10/110,N($G105)*10/100),0),ROUNDDOWN(IF('設定'!$B$9="税込",N($G105)*10/110,N($G105)*10/100),0))))</f>
        <v/>
      </c>
      <c r="K105" s="28">
        <f>IF($A105="","",IF('設定'!$B$10="四捨五入",ROUND(IF('設定'!$B$9="税込",N($H105)*8/108,N($H105)*8/100),0),IF('設定'!$B$10="切り上げ",ROUNDUP(IF('設定'!$B$9="税込",N($H105)*8/108,N($H105)*8/100),0),ROUNDDOWN(IF('設定'!$B$9="税込",N($H105)*8/108,N($H105)*8/100),0))))</f>
        <v/>
      </c>
      <c r="L105" s="28">
        <f>IF($A105="","",N($G105)+N($H105)+N($I105)+IF('設定'!$B$9="税込",0,$J105+$K105))</f>
        <v/>
      </c>
      <c r="M105" s="29">
        <f>IF(OR($A105="",NOT(ISNUMBER($W105)),NOT(ISNUMBER($X105))),"",IF(OR(INDEX('得意先'!$D$5:$D$104,$W105)="",INDEX('得意先'!$E$5:$E$104,$W105)="",INDEX('得意先'!$F$5:$F$104,$W105)=""),"",IF(INDEX('得意先'!$F$5:$F$104,$W105)="末",DATE(YEAR($X105),(MONTH($X105)+IF(INDEX('得意先'!$D$5:$D$104,$W105)="末",0,IF(DAY($X105)&lt;=INDEX('得意先'!$D$5:$D$104,$W105),0,1))+N(INDEX('得意先'!$E$5:$E$104,$W105)))+1,0),DATE(YEAR($X105),(MONTH($X105)+IF(INDEX('得意先'!$D$5:$D$104,$W105)="末",0,IF(DAY($X105)&lt;=INDEX('得意先'!$D$5:$D$104,$W105),0,1))+N(INDEX('得意先'!$E$5:$E$104,$W105))),MIN(INDEX('得意先'!$F$5:$F$104,$W105),DAY(DATE(YEAR($X105),(MONTH($X105)+IF(INDEX('得意先'!$D$5:$D$104,$W105)="末",0,IF(DAY($X105)&lt;=INDEX('得意先'!$D$5:$D$104,$W105),0,1))+N(INDEX('得意先'!$E$5:$E$104,$W105)))+1,0)))))))</f>
        <v/>
      </c>
      <c r="N105" s="26" t="n"/>
      <c r="O105" s="29">
        <f>IF($A105="","",IF(ISNUMBER($N105),$N105,$M105))</f>
        <v/>
      </c>
      <c r="P105" s="28">
        <f>IF($A105="","",SUMIF('入金消込'!$F$5:$F$1004,$A105,'入金消込'!$G$5:$G$1004))</f>
        <v/>
      </c>
      <c r="Q105" s="28">
        <f>IF($A105="","",SUMIF('入金消込'!$F$5:$F$1004,$A105,'入金消込'!$H$5:$H$1004)+SUMIF('入金消込'!$F$5:$F$1004,$A105,'入金消込'!$I$5:$I$1004))</f>
        <v/>
      </c>
      <c r="R105" s="28">
        <f>IF($A105="","",$L105-$P105-$Q105)</f>
        <v/>
      </c>
      <c r="S105" s="30">
        <f>IF($A105="","",IF($R105=0,IF($L105=0,"請求額0","回収済"),IF($L105&lt;0,IF($R105&lt;0,"差し引き待ち","差し引きすぎ"),IF($R105&lt;0,"入金が多い",IF($P105+$Q105=0,"未入金","一部入金")))))</f>
        <v/>
      </c>
      <c r="T105" s="31">
        <f>IF(OR($A105="",N($R105)&lt;=0,NOT(ISNUMBER($O105))),"",IF($O105&lt;'設定'!$B$7,'設定'!$B$7-$O105,""))</f>
        <v/>
      </c>
      <c r="U105" s="30">
        <f>IF(OR($A105="",N($R105)&lt;=0),"",IF(NOT(ISNUMBER($O105)),'設定'!$B$22,IF($O105&gt;='設定'!$B$7,'設定'!$B$17,IF('設定'!$B$7-$O105&lt;='設定'!$B$12,'設定'!$B$18,IF('設定'!$B$7-$O105&lt;='設定'!$B$13,'設定'!$B$19,IF('設定'!$B$7-$O105&lt;='設定'!$B$14,'設定'!$B$20,'設定'!$B$21))))))</f>
        <v/>
      </c>
      <c r="V105" s="56" t="n"/>
      <c r="W105" s="32">
        <f>IF($C105="","",IFERROR(MATCH($C105,'得意先'!$B$5:$B$104,0),"なし"))</f>
        <v/>
      </c>
      <c r="X105" s="33">
        <f>IF($A105="","",IF(ISNUMBER($E105),$E105,IF(ISNUMBER($B105),$B105,"")))</f>
        <v/>
      </c>
      <c r="Y105" s="34">
        <f>IF($T105="","",$O105+ROW()/1000000)</f>
        <v/>
      </c>
      <c r="Z105" s="35">
        <f>IF(OR($A105="",$C105="",$C105&lt;&gt;'売掛帳'!$B$3,NOT(ISNUMBER($X105))),"",IF(AND($X105&gt;='売掛帳'!$Q$3,$X105&lt;='売掛帳'!$Q$4),$X105+ROW()/10000000,""))</f>
        <v/>
      </c>
    </row>
    <row r="106" ht="18" customHeight="1">
      <c r="A106" s="18" t="n"/>
      <c r="B106" s="26" t="n"/>
      <c r="C106" s="18" t="n"/>
      <c r="D106" s="20">
        <f>IF($W106="","",IF($W106="なし","※得意先にないコード",INDEX('得意先'!$C$5:$C$104,$W106)&amp;""))</f>
        <v/>
      </c>
      <c r="E106" s="26" t="n"/>
      <c r="F106" s="19" t="n"/>
      <c r="G106" s="27" t="n"/>
      <c r="H106" s="27" t="n"/>
      <c r="I106" s="27" t="n"/>
      <c r="J106" s="28">
        <f>IF($A106="","",IF('設定'!$B$10="四捨五入",ROUND(IF('設定'!$B$9="税込",N($G106)*10/110,N($G106)*10/100),0),IF('設定'!$B$10="切り上げ",ROUNDUP(IF('設定'!$B$9="税込",N($G106)*10/110,N($G106)*10/100),0),ROUNDDOWN(IF('設定'!$B$9="税込",N($G106)*10/110,N($G106)*10/100),0))))</f>
        <v/>
      </c>
      <c r="K106" s="28">
        <f>IF($A106="","",IF('設定'!$B$10="四捨五入",ROUND(IF('設定'!$B$9="税込",N($H106)*8/108,N($H106)*8/100),0),IF('設定'!$B$10="切り上げ",ROUNDUP(IF('設定'!$B$9="税込",N($H106)*8/108,N($H106)*8/100),0),ROUNDDOWN(IF('設定'!$B$9="税込",N($H106)*8/108,N($H106)*8/100),0))))</f>
        <v/>
      </c>
      <c r="L106" s="28">
        <f>IF($A106="","",N($G106)+N($H106)+N($I106)+IF('設定'!$B$9="税込",0,$J106+$K106))</f>
        <v/>
      </c>
      <c r="M106" s="29">
        <f>IF(OR($A106="",NOT(ISNUMBER($W106)),NOT(ISNUMBER($X106))),"",IF(OR(INDEX('得意先'!$D$5:$D$104,$W106)="",INDEX('得意先'!$E$5:$E$104,$W106)="",INDEX('得意先'!$F$5:$F$104,$W106)=""),"",IF(INDEX('得意先'!$F$5:$F$104,$W106)="末",DATE(YEAR($X106),(MONTH($X106)+IF(INDEX('得意先'!$D$5:$D$104,$W106)="末",0,IF(DAY($X106)&lt;=INDEX('得意先'!$D$5:$D$104,$W106),0,1))+N(INDEX('得意先'!$E$5:$E$104,$W106)))+1,0),DATE(YEAR($X106),(MONTH($X106)+IF(INDEX('得意先'!$D$5:$D$104,$W106)="末",0,IF(DAY($X106)&lt;=INDEX('得意先'!$D$5:$D$104,$W106),0,1))+N(INDEX('得意先'!$E$5:$E$104,$W106))),MIN(INDEX('得意先'!$F$5:$F$104,$W106),DAY(DATE(YEAR($X106),(MONTH($X106)+IF(INDEX('得意先'!$D$5:$D$104,$W106)="末",0,IF(DAY($X106)&lt;=INDEX('得意先'!$D$5:$D$104,$W106),0,1))+N(INDEX('得意先'!$E$5:$E$104,$W106)))+1,0)))))))</f>
        <v/>
      </c>
      <c r="N106" s="26" t="n"/>
      <c r="O106" s="29">
        <f>IF($A106="","",IF(ISNUMBER($N106),$N106,$M106))</f>
        <v/>
      </c>
      <c r="P106" s="28">
        <f>IF($A106="","",SUMIF('入金消込'!$F$5:$F$1004,$A106,'入金消込'!$G$5:$G$1004))</f>
        <v/>
      </c>
      <c r="Q106" s="28">
        <f>IF($A106="","",SUMIF('入金消込'!$F$5:$F$1004,$A106,'入金消込'!$H$5:$H$1004)+SUMIF('入金消込'!$F$5:$F$1004,$A106,'入金消込'!$I$5:$I$1004))</f>
        <v/>
      </c>
      <c r="R106" s="28">
        <f>IF($A106="","",$L106-$P106-$Q106)</f>
        <v/>
      </c>
      <c r="S106" s="30">
        <f>IF($A106="","",IF($R106=0,IF($L106=0,"請求額0","回収済"),IF($L106&lt;0,IF($R106&lt;0,"差し引き待ち","差し引きすぎ"),IF($R106&lt;0,"入金が多い",IF($P106+$Q106=0,"未入金","一部入金")))))</f>
        <v/>
      </c>
      <c r="T106" s="31">
        <f>IF(OR($A106="",N($R106)&lt;=0,NOT(ISNUMBER($O106))),"",IF($O106&lt;'設定'!$B$7,'設定'!$B$7-$O106,""))</f>
        <v/>
      </c>
      <c r="U106" s="30">
        <f>IF(OR($A106="",N($R106)&lt;=0),"",IF(NOT(ISNUMBER($O106)),'設定'!$B$22,IF($O106&gt;='設定'!$B$7,'設定'!$B$17,IF('設定'!$B$7-$O106&lt;='設定'!$B$12,'設定'!$B$18,IF('設定'!$B$7-$O106&lt;='設定'!$B$13,'設定'!$B$19,IF('設定'!$B$7-$O106&lt;='設定'!$B$14,'設定'!$B$20,'設定'!$B$21))))))</f>
        <v/>
      </c>
      <c r="V106" s="56" t="n"/>
      <c r="W106" s="32">
        <f>IF($C106="","",IFERROR(MATCH($C106,'得意先'!$B$5:$B$104,0),"なし"))</f>
        <v/>
      </c>
      <c r="X106" s="33">
        <f>IF($A106="","",IF(ISNUMBER($E106),$E106,IF(ISNUMBER($B106),$B106,"")))</f>
        <v/>
      </c>
      <c r="Y106" s="34">
        <f>IF($T106="","",$O106+ROW()/1000000)</f>
        <v/>
      </c>
      <c r="Z106" s="35">
        <f>IF(OR($A106="",$C106="",$C106&lt;&gt;'売掛帳'!$B$3,NOT(ISNUMBER($X106))),"",IF(AND($X106&gt;='売掛帳'!$Q$3,$X106&lt;='売掛帳'!$Q$4),$X106+ROW()/10000000,""))</f>
        <v/>
      </c>
    </row>
    <row r="107" ht="18" customHeight="1">
      <c r="A107" s="18" t="n"/>
      <c r="B107" s="26" t="n"/>
      <c r="C107" s="18" t="n"/>
      <c r="D107" s="20">
        <f>IF($W107="","",IF($W107="なし","※得意先にないコード",INDEX('得意先'!$C$5:$C$104,$W107)&amp;""))</f>
        <v/>
      </c>
      <c r="E107" s="26" t="n"/>
      <c r="F107" s="19" t="n"/>
      <c r="G107" s="27" t="n"/>
      <c r="H107" s="27" t="n"/>
      <c r="I107" s="27" t="n"/>
      <c r="J107" s="28">
        <f>IF($A107="","",IF('設定'!$B$10="四捨五入",ROUND(IF('設定'!$B$9="税込",N($G107)*10/110,N($G107)*10/100),0),IF('設定'!$B$10="切り上げ",ROUNDUP(IF('設定'!$B$9="税込",N($G107)*10/110,N($G107)*10/100),0),ROUNDDOWN(IF('設定'!$B$9="税込",N($G107)*10/110,N($G107)*10/100),0))))</f>
        <v/>
      </c>
      <c r="K107" s="28">
        <f>IF($A107="","",IF('設定'!$B$10="四捨五入",ROUND(IF('設定'!$B$9="税込",N($H107)*8/108,N($H107)*8/100),0),IF('設定'!$B$10="切り上げ",ROUNDUP(IF('設定'!$B$9="税込",N($H107)*8/108,N($H107)*8/100),0),ROUNDDOWN(IF('設定'!$B$9="税込",N($H107)*8/108,N($H107)*8/100),0))))</f>
        <v/>
      </c>
      <c r="L107" s="28">
        <f>IF($A107="","",N($G107)+N($H107)+N($I107)+IF('設定'!$B$9="税込",0,$J107+$K107))</f>
        <v/>
      </c>
      <c r="M107" s="29">
        <f>IF(OR($A107="",NOT(ISNUMBER($W107)),NOT(ISNUMBER($X107))),"",IF(OR(INDEX('得意先'!$D$5:$D$104,$W107)="",INDEX('得意先'!$E$5:$E$104,$W107)="",INDEX('得意先'!$F$5:$F$104,$W107)=""),"",IF(INDEX('得意先'!$F$5:$F$104,$W107)="末",DATE(YEAR($X107),(MONTH($X107)+IF(INDEX('得意先'!$D$5:$D$104,$W107)="末",0,IF(DAY($X107)&lt;=INDEX('得意先'!$D$5:$D$104,$W107),0,1))+N(INDEX('得意先'!$E$5:$E$104,$W107)))+1,0),DATE(YEAR($X107),(MONTH($X107)+IF(INDEX('得意先'!$D$5:$D$104,$W107)="末",0,IF(DAY($X107)&lt;=INDEX('得意先'!$D$5:$D$104,$W107),0,1))+N(INDEX('得意先'!$E$5:$E$104,$W107))),MIN(INDEX('得意先'!$F$5:$F$104,$W107),DAY(DATE(YEAR($X107),(MONTH($X107)+IF(INDEX('得意先'!$D$5:$D$104,$W107)="末",0,IF(DAY($X107)&lt;=INDEX('得意先'!$D$5:$D$104,$W107),0,1))+N(INDEX('得意先'!$E$5:$E$104,$W107)))+1,0)))))))</f>
        <v/>
      </c>
      <c r="N107" s="26" t="n"/>
      <c r="O107" s="29">
        <f>IF($A107="","",IF(ISNUMBER($N107),$N107,$M107))</f>
        <v/>
      </c>
      <c r="P107" s="28">
        <f>IF($A107="","",SUMIF('入金消込'!$F$5:$F$1004,$A107,'入金消込'!$G$5:$G$1004))</f>
        <v/>
      </c>
      <c r="Q107" s="28">
        <f>IF($A107="","",SUMIF('入金消込'!$F$5:$F$1004,$A107,'入金消込'!$H$5:$H$1004)+SUMIF('入金消込'!$F$5:$F$1004,$A107,'入金消込'!$I$5:$I$1004))</f>
        <v/>
      </c>
      <c r="R107" s="28">
        <f>IF($A107="","",$L107-$P107-$Q107)</f>
        <v/>
      </c>
      <c r="S107" s="30">
        <f>IF($A107="","",IF($R107=0,IF($L107=0,"請求額0","回収済"),IF($L107&lt;0,IF($R107&lt;0,"差し引き待ち","差し引きすぎ"),IF($R107&lt;0,"入金が多い",IF($P107+$Q107=0,"未入金","一部入金")))))</f>
        <v/>
      </c>
      <c r="T107" s="31">
        <f>IF(OR($A107="",N($R107)&lt;=0,NOT(ISNUMBER($O107))),"",IF($O107&lt;'設定'!$B$7,'設定'!$B$7-$O107,""))</f>
        <v/>
      </c>
      <c r="U107" s="30">
        <f>IF(OR($A107="",N($R107)&lt;=0),"",IF(NOT(ISNUMBER($O107)),'設定'!$B$22,IF($O107&gt;='設定'!$B$7,'設定'!$B$17,IF('設定'!$B$7-$O107&lt;='設定'!$B$12,'設定'!$B$18,IF('設定'!$B$7-$O107&lt;='設定'!$B$13,'設定'!$B$19,IF('設定'!$B$7-$O107&lt;='設定'!$B$14,'設定'!$B$20,'設定'!$B$21))))))</f>
        <v/>
      </c>
      <c r="V107" s="56" t="n"/>
      <c r="W107" s="32">
        <f>IF($C107="","",IFERROR(MATCH($C107,'得意先'!$B$5:$B$104,0),"なし"))</f>
        <v/>
      </c>
      <c r="X107" s="33">
        <f>IF($A107="","",IF(ISNUMBER($E107),$E107,IF(ISNUMBER($B107),$B107,"")))</f>
        <v/>
      </c>
      <c r="Y107" s="34">
        <f>IF($T107="","",$O107+ROW()/1000000)</f>
        <v/>
      </c>
      <c r="Z107" s="35">
        <f>IF(OR($A107="",$C107="",$C107&lt;&gt;'売掛帳'!$B$3,NOT(ISNUMBER($X107))),"",IF(AND($X107&gt;='売掛帳'!$Q$3,$X107&lt;='売掛帳'!$Q$4),$X107+ROW()/10000000,""))</f>
        <v/>
      </c>
    </row>
    <row r="108" ht="18" customHeight="1">
      <c r="A108" s="18" t="n"/>
      <c r="B108" s="26" t="n"/>
      <c r="C108" s="18" t="n"/>
      <c r="D108" s="20">
        <f>IF($W108="","",IF($W108="なし","※得意先にないコード",INDEX('得意先'!$C$5:$C$104,$W108)&amp;""))</f>
        <v/>
      </c>
      <c r="E108" s="26" t="n"/>
      <c r="F108" s="19" t="n"/>
      <c r="G108" s="27" t="n"/>
      <c r="H108" s="27" t="n"/>
      <c r="I108" s="27" t="n"/>
      <c r="J108" s="28">
        <f>IF($A108="","",IF('設定'!$B$10="四捨五入",ROUND(IF('設定'!$B$9="税込",N($G108)*10/110,N($G108)*10/100),0),IF('設定'!$B$10="切り上げ",ROUNDUP(IF('設定'!$B$9="税込",N($G108)*10/110,N($G108)*10/100),0),ROUNDDOWN(IF('設定'!$B$9="税込",N($G108)*10/110,N($G108)*10/100),0))))</f>
        <v/>
      </c>
      <c r="K108" s="28">
        <f>IF($A108="","",IF('設定'!$B$10="四捨五入",ROUND(IF('設定'!$B$9="税込",N($H108)*8/108,N($H108)*8/100),0),IF('設定'!$B$10="切り上げ",ROUNDUP(IF('設定'!$B$9="税込",N($H108)*8/108,N($H108)*8/100),0),ROUNDDOWN(IF('設定'!$B$9="税込",N($H108)*8/108,N($H108)*8/100),0))))</f>
        <v/>
      </c>
      <c r="L108" s="28">
        <f>IF($A108="","",N($G108)+N($H108)+N($I108)+IF('設定'!$B$9="税込",0,$J108+$K108))</f>
        <v/>
      </c>
      <c r="M108" s="29">
        <f>IF(OR($A108="",NOT(ISNUMBER($W108)),NOT(ISNUMBER($X108))),"",IF(OR(INDEX('得意先'!$D$5:$D$104,$W108)="",INDEX('得意先'!$E$5:$E$104,$W108)="",INDEX('得意先'!$F$5:$F$104,$W108)=""),"",IF(INDEX('得意先'!$F$5:$F$104,$W108)="末",DATE(YEAR($X108),(MONTH($X108)+IF(INDEX('得意先'!$D$5:$D$104,$W108)="末",0,IF(DAY($X108)&lt;=INDEX('得意先'!$D$5:$D$104,$W108),0,1))+N(INDEX('得意先'!$E$5:$E$104,$W108)))+1,0),DATE(YEAR($X108),(MONTH($X108)+IF(INDEX('得意先'!$D$5:$D$104,$W108)="末",0,IF(DAY($X108)&lt;=INDEX('得意先'!$D$5:$D$104,$W108),0,1))+N(INDEX('得意先'!$E$5:$E$104,$W108))),MIN(INDEX('得意先'!$F$5:$F$104,$W108),DAY(DATE(YEAR($X108),(MONTH($X108)+IF(INDEX('得意先'!$D$5:$D$104,$W108)="末",0,IF(DAY($X108)&lt;=INDEX('得意先'!$D$5:$D$104,$W108),0,1))+N(INDEX('得意先'!$E$5:$E$104,$W108)))+1,0)))))))</f>
        <v/>
      </c>
      <c r="N108" s="26" t="n"/>
      <c r="O108" s="29">
        <f>IF($A108="","",IF(ISNUMBER($N108),$N108,$M108))</f>
        <v/>
      </c>
      <c r="P108" s="28">
        <f>IF($A108="","",SUMIF('入金消込'!$F$5:$F$1004,$A108,'入金消込'!$G$5:$G$1004))</f>
        <v/>
      </c>
      <c r="Q108" s="28">
        <f>IF($A108="","",SUMIF('入金消込'!$F$5:$F$1004,$A108,'入金消込'!$H$5:$H$1004)+SUMIF('入金消込'!$F$5:$F$1004,$A108,'入金消込'!$I$5:$I$1004))</f>
        <v/>
      </c>
      <c r="R108" s="28">
        <f>IF($A108="","",$L108-$P108-$Q108)</f>
        <v/>
      </c>
      <c r="S108" s="30">
        <f>IF($A108="","",IF($R108=0,IF($L108=0,"請求額0","回収済"),IF($L108&lt;0,IF($R108&lt;0,"差し引き待ち","差し引きすぎ"),IF($R108&lt;0,"入金が多い",IF($P108+$Q108=0,"未入金","一部入金")))))</f>
        <v/>
      </c>
      <c r="T108" s="31">
        <f>IF(OR($A108="",N($R108)&lt;=0,NOT(ISNUMBER($O108))),"",IF($O108&lt;'設定'!$B$7,'設定'!$B$7-$O108,""))</f>
        <v/>
      </c>
      <c r="U108" s="30">
        <f>IF(OR($A108="",N($R108)&lt;=0),"",IF(NOT(ISNUMBER($O108)),'設定'!$B$22,IF($O108&gt;='設定'!$B$7,'設定'!$B$17,IF('設定'!$B$7-$O108&lt;='設定'!$B$12,'設定'!$B$18,IF('設定'!$B$7-$O108&lt;='設定'!$B$13,'設定'!$B$19,IF('設定'!$B$7-$O108&lt;='設定'!$B$14,'設定'!$B$20,'設定'!$B$21))))))</f>
        <v/>
      </c>
      <c r="V108" s="56" t="n"/>
      <c r="W108" s="32">
        <f>IF($C108="","",IFERROR(MATCH($C108,'得意先'!$B$5:$B$104,0),"なし"))</f>
        <v/>
      </c>
      <c r="X108" s="33">
        <f>IF($A108="","",IF(ISNUMBER($E108),$E108,IF(ISNUMBER($B108),$B108,"")))</f>
        <v/>
      </c>
      <c r="Y108" s="34">
        <f>IF($T108="","",$O108+ROW()/1000000)</f>
        <v/>
      </c>
      <c r="Z108" s="35">
        <f>IF(OR($A108="",$C108="",$C108&lt;&gt;'売掛帳'!$B$3,NOT(ISNUMBER($X108))),"",IF(AND($X108&gt;='売掛帳'!$Q$3,$X108&lt;='売掛帳'!$Q$4),$X108+ROW()/10000000,""))</f>
        <v/>
      </c>
    </row>
    <row r="109" ht="18" customHeight="1">
      <c r="A109" s="18" t="n"/>
      <c r="B109" s="26" t="n"/>
      <c r="C109" s="18" t="n"/>
      <c r="D109" s="20">
        <f>IF($W109="","",IF($W109="なし","※得意先にないコード",INDEX('得意先'!$C$5:$C$104,$W109)&amp;""))</f>
        <v/>
      </c>
      <c r="E109" s="26" t="n"/>
      <c r="F109" s="19" t="n"/>
      <c r="G109" s="27" t="n"/>
      <c r="H109" s="27" t="n"/>
      <c r="I109" s="27" t="n"/>
      <c r="J109" s="28">
        <f>IF($A109="","",IF('設定'!$B$10="四捨五入",ROUND(IF('設定'!$B$9="税込",N($G109)*10/110,N($G109)*10/100),0),IF('設定'!$B$10="切り上げ",ROUNDUP(IF('設定'!$B$9="税込",N($G109)*10/110,N($G109)*10/100),0),ROUNDDOWN(IF('設定'!$B$9="税込",N($G109)*10/110,N($G109)*10/100),0))))</f>
        <v/>
      </c>
      <c r="K109" s="28">
        <f>IF($A109="","",IF('設定'!$B$10="四捨五入",ROUND(IF('設定'!$B$9="税込",N($H109)*8/108,N($H109)*8/100),0),IF('設定'!$B$10="切り上げ",ROUNDUP(IF('設定'!$B$9="税込",N($H109)*8/108,N($H109)*8/100),0),ROUNDDOWN(IF('設定'!$B$9="税込",N($H109)*8/108,N($H109)*8/100),0))))</f>
        <v/>
      </c>
      <c r="L109" s="28">
        <f>IF($A109="","",N($G109)+N($H109)+N($I109)+IF('設定'!$B$9="税込",0,$J109+$K109))</f>
        <v/>
      </c>
      <c r="M109" s="29">
        <f>IF(OR($A109="",NOT(ISNUMBER($W109)),NOT(ISNUMBER($X109))),"",IF(OR(INDEX('得意先'!$D$5:$D$104,$W109)="",INDEX('得意先'!$E$5:$E$104,$W109)="",INDEX('得意先'!$F$5:$F$104,$W109)=""),"",IF(INDEX('得意先'!$F$5:$F$104,$W109)="末",DATE(YEAR($X109),(MONTH($X109)+IF(INDEX('得意先'!$D$5:$D$104,$W109)="末",0,IF(DAY($X109)&lt;=INDEX('得意先'!$D$5:$D$104,$W109),0,1))+N(INDEX('得意先'!$E$5:$E$104,$W109)))+1,0),DATE(YEAR($X109),(MONTH($X109)+IF(INDEX('得意先'!$D$5:$D$104,$W109)="末",0,IF(DAY($X109)&lt;=INDEX('得意先'!$D$5:$D$104,$W109),0,1))+N(INDEX('得意先'!$E$5:$E$104,$W109))),MIN(INDEX('得意先'!$F$5:$F$104,$W109),DAY(DATE(YEAR($X109),(MONTH($X109)+IF(INDEX('得意先'!$D$5:$D$104,$W109)="末",0,IF(DAY($X109)&lt;=INDEX('得意先'!$D$5:$D$104,$W109),0,1))+N(INDEX('得意先'!$E$5:$E$104,$W109)))+1,0)))))))</f>
        <v/>
      </c>
      <c r="N109" s="26" t="n"/>
      <c r="O109" s="29">
        <f>IF($A109="","",IF(ISNUMBER($N109),$N109,$M109))</f>
        <v/>
      </c>
      <c r="P109" s="28">
        <f>IF($A109="","",SUMIF('入金消込'!$F$5:$F$1004,$A109,'入金消込'!$G$5:$G$1004))</f>
        <v/>
      </c>
      <c r="Q109" s="28">
        <f>IF($A109="","",SUMIF('入金消込'!$F$5:$F$1004,$A109,'入金消込'!$H$5:$H$1004)+SUMIF('入金消込'!$F$5:$F$1004,$A109,'入金消込'!$I$5:$I$1004))</f>
        <v/>
      </c>
      <c r="R109" s="28">
        <f>IF($A109="","",$L109-$P109-$Q109)</f>
        <v/>
      </c>
      <c r="S109" s="30">
        <f>IF($A109="","",IF($R109=0,IF($L109=0,"請求額0","回収済"),IF($L109&lt;0,IF($R109&lt;0,"差し引き待ち","差し引きすぎ"),IF($R109&lt;0,"入金が多い",IF($P109+$Q109=0,"未入金","一部入金")))))</f>
        <v/>
      </c>
      <c r="T109" s="31">
        <f>IF(OR($A109="",N($R109)&lt;=0,NOT(ISNUMBER($O109))),"",IF($O109&lt;'設定'!$B$7,'設定'!$B$7-$O109,""))</f>
        <v/>
      </c>
      <c r="U109" s="30">
        <f>IF(OR($A109="",N($R109)&lt;=0),"",IF(NOT(ISNUMBER($O109)),'設定'!$B$22,IF($O109&gt;='設定'!$B$7,'設定'!$B$17,IF('設定'!$B$7-$O109&lt;='設定'!$B$12,'設定'!$B$18,IF('設定'!$B$7-$O109&lt;='設定'!$B$13,'設定'!$B$19,IF('設定'!$B$7-$O109&lt;='設定'!$B$14,'設定'!$B$20,'設定'!$B$21))))))</f>
        <v/>
      </c>
      <c r="V109" s="56" t="n"/>
      <c r="W109" s="32">
        <f>IF($C109="","",IFERROR(MATCH($C109,'得意先'!$B$5:$B$104,0),"なし"))</f>
        <v/>
      </c>
      <c r="X109" s="33">
        <f>IF($A109="","",IF(ISNUMBER($E109),$E109,IF(ISNUMBER($B109),$B109,"")))</f>
        <v/>
      </c>
      <c r="Y109" s="34">
        <f>IF($T109="","",$O109+ROW()/1000000)</f>
        <v/>
      </c>
      <c r="Z109" s="35">
        <f>IF(OR($A109="",$C109="",$C109&lt;&gt;'売掛帳'!$B$3,NOT(ISNUMBER($X109))),"",IF(AND($X109&gt;='売掛帳'!$Q$3,$X109&lt;='売掛帳'!$Q$4),$X109+ROW()/10000000,""))</f>
        <v/>
      </c>
    </row>
    <row r="110" ht="18" customHeight="1">
      <c r="A110" s="18" t="n"/>
      <c r="B110" s="26" t="n"/>
      <c r="C110" s="18" t="n"/>
      <c r="D110" s="20">
        <f>IF($W110="","",IF($W110="なし","※得意先にないコード",INDEX('得意先'!$C$5:$C$104,$W110)&amp;""))</f>
        <v/>
      </c>
      <c r="E110" s="26" t="n"/>
      <c r="F110" s="19" t="n"/>
      <c r="G110" s="27" t="n"/>
      <c r="H110" s="27" t="n"/>
      <c r="I110" s="27" t="n"/>
      <c r="J110" s="28">
        <f>IF($A110="","",IF('設定'!$B$10="四捨五入",ROUND(IF('設定'!$B$9="税込",N($G110)*10/110,N($G110)*10/100),0),IF('設定'!$B$10="切り上げ",ROUNDUP(IF('設定'!$B$9="税込",N($G110)*10/110,N($G110)*10/100),0),ROUNDDOWN(IF('設定'!$B$9="税込",N($G110)*10/110,N($G110)*10/100),0))))</f>
        <v/>
      </c>
      <c r="K110" s="28">
        <f>IF($A110="","",IF('設定'!$B$10="四捨五入",ROUND(IF('設定'!$B$9="税込",N($H110)*8/108,N($H110)*8/100),0),IF('設定'!$B$10="切り上げ",ROUNDUP(IF('設定'!$B$9="税込",N($H110)*8/108,N($H110)*8/100),0),ROUNDDOWN(IF('設定'!$B$9="税込",N($H110)*8/108,N($H110)*8/100),0))))</f>
        <v/>
      </c>
      <c r="L110" s="28">
        <f>IF($A110="","",N($G110)+N($H110)+N($I110)+IF('設定'!$B$9="税込",0,$J110+$K110))</f>
        <v/>
      </c>
      <c r="M110" s="29">
        <f>IF(OR($A110="",NOT(ISNUMBER($W110)),NOT(ISNUMBER($X110))),"",IF(OR(INDEX('得意先'!$D$5:$D$104,$W110)="",INDEX('得意先'!$E$5:$E$104,$W110)="",INDEX('得意先'!$F$5:$F$104,$W110)=""),"",IF(INDEX('得意先'!$F$5:$F$104,$W110)="末",DATE(YEAR($X110),(MONTH($X110)+IF(INDEX('得意先'!$D$5:$D$104,$W110)="末",0,IF(DAY($X110)&lt;=INDEX('得意先'!$D$5:$D$104,$W110),0,1))+N(INDEX('得意先'!$E$5:$E$104,$W110)))+1,0),DATE(YEAR($X110),(MONTH($X110)+IF(INDEX('得意先'!$D$5:$D$104,$W110)="末",0,IF(DAY($X110)&lt;=INDEX('得意先'!$D$5:$D$104,$W110),0,1))+N(INDEX('得意先'!$E$5:$E$104,$W110))),MIN(INDEX('得意先'!$F$5:$F$104,$W110),DAY(DATE(YEAR($X110),(MONTH($X110)+IF(INDEX('得意先'!$D$5:$D$104,$W110)="末",0,IF(DAY($X110)&lt;=INDEX('得意先'!$D$5:$D$104,$W110),0,1))+N(INDEX('得意先'!$E$5:$E$104,$W110)))+1,0)))))))</f>
        <v/>
      </c>
      <c r="N110" s="26" t="n"/>
      <c r="O110" s="29">
        <f>IF($A110="","",IF(ISNUMBER($N110),$N110,$M110))</f>
        <v/>
      </c>
      <c r="P110" s="28">
        <f>IF($A110="","",SUMIF('入金消込'!$F$5:$F$1004,$A110,'入金消込'!$G$5:$G$1004))</f>
        <v/>
      </c>
      <c r="Q110" s="28">
        <f>IF($A110="","",SUMIF('入金消込'!$F$5:$F$1004,$A110,'入金消込'!$H$5:$H$1004)+SUMIF('入金消込'!$F$5:$F$1004,$A110,'入金消込'!$I$5:$I$1004))</f>
        <v/>
      </c>
      <c r="R110" s="28">
        <f>IF($A110="","",$L110-$P110-$Q110)</f>
        <v/>
      </c>
      <c r="S110" s="30">
        <f>IF($A110="","",IF($R110=0,IF($L110=0,"請求額0","回収済"),IF($L110&lt;0,IF($R110&lt;0,"差し引き待ち","差し引きすぎ"),IF($R110&lt;0,"入金が多い",IF($P110+$Q110=0,"未入金","一部入金")))))</f>
        <v/>
      </c>
      <c r="T110" s="31">
        <f>IF(OR($A110="",N($R110)&lt;=0,NOT(ISNUMBER($O110))),"",IF($O110&lt;'設定'!$B$7,'設定'!$B$7-$O110,""))</f>
        <v/>
      </c>
      <c r="U110" s="30">
        <f>IF(OR($A110="",N($R110)&lt;=0),"",IF(NOT(ISNUMBER($O110)),'設定'!$B$22,IF($O110&gt;='設定'!$B$7,'設定'!$B$17,IF('設定'!$B$7-$O110&lt;='設定'!$B$12,'設定'!$B$18,IF('設定'!$B$7-$O110&lt;='設定'!$B$13,'設定'!$B$19,IF('設定'!$B$7-$O110&lt;='設定'!$B$14,'設定'!$B$20,'設定'!$B$21))))))</f>
        <v/>
      </c>
      <c r="V110" s="56" t="n"/>
      <c r="W110" s="32">
        <f>IF($C110="","",IFERROR(MATCH($C110,'得意先'!$B$5:$B$104,0),"なし"))</f>
        <v/>
      </c>
      <c r="X110" s="33">
        <f>IF($A110="","",IF(ISNUMBER($E110),$E110,IF(ISNUMBER($B110),$B110,"")))</f>
        <v/>
      </c>
      <c r="Y110" s="34">
        <f>IF($T110="","",$O110+ROW()/1000000)</f>
        <v/>
      </c>
      <c r="Z110" s="35">
        <f>IF(OR($A110="",$C110="",$C110&lt;&gt;'売掛帳'!$B$3,NOT(ISNUMBER($X110))),"",IF(AND($X110&gt;='売掛帳'!$Q$3,$X110&lt;='売掛帳'!$Q$4),$X110+ROW()/10000000,""))</f>
        <v/>
      </c>
    </row>
    <row r="111" ht="18" customHeight="1">
      <c r="A111" s="18" t="n"/>
      <c r="B111" s="26" t="n"/>
      <c r="C111" s="18" t="n"/>
      <c r="D111" s="20">
        <f>IF($W111="","",IF($W111="なし","※得意先にないコード",INDEX('得意先'!$C$5:$C$104,$W111)&amp;""))</f>
        <v/>
      </c>
      <c r="E111" s="26" t="n"/>
      <c r="F111" s="19" t="n"/>
      <c r="G111" s="27" t="n"/>
      <c r="H111" s="27" t="n"/>
      <c r="I111" s="27" t="n"/>
      <c r="J111" s="28">
        <f>IF($A111="","",IF('設定'!$B$10="四捨五入",ROUND(IF('設定'!$B$9="税込",N($G111)*10/110,N($G111)*10/100),0),IF('設定'!$B$10="切り上げ",ROUNDUP(IF('設定'!$B$9="税込",N($G111)*10/110,N($G111)*10/100),0),ROUNDDOWN(IF('設定'!$B$9="税込",N($G111)*10/110,N($G111)*10/100),0))))</f>
        <v/>
      </c>
      <c r="K111" s="28">
        <f>IF($A111="","",IF('設定'!$B$10="四捨五入",ROUND(IF('設定'!$B$9="税込",N($H111)*8/108,N($H111)*8/100),0),IF('設定'!$B$10="切り上げ",ROUNDUP(IF('設定'!$B$9="税込",N($H111)*8/108,N($H111)*8/100),0),ROUNDDOWN(IF('設定'!$B$9="税込",N($H111)*8/108,N($H111)*8/100),0))))</f>
        <v/>
      </c>
      <c r="L111" s="28">
        <f>IF($A111="","",N($G111)+N($H111)+N($I111)+IF('設定'!$B$9="税込",0,$J111+$K111))</f>
        <v/>
      </c>
      <c r="M111" s="29">
        <f>IF(OR($A111="",NOT(ISNUMBER($W111)),NOT(ISNUMBER($X111))),"",IF(OR(INDEX('得意先'!$D$5:$D$104,$W111)="",INDEX('得意先'!$E$5:$E$104,$W111)="",INDEX('得意先'!$F$5:$F$104,$W111)=""),"",IF(INDEX('得意先'!$F$5:$F$104,$W111)="末",DATE(YEAR($X111),(MONTH($X111)+IF(INDEX('得意先'!$D$5:$D$104,$W111)="末",0,IF(DAY($X111)&lt;=INDEX('得意先'!$D$5:$D$104,$W111),0,1))+N(INDEX('得意先'!$E$5:$E$104,$W111)))+1,0),DATE(YEAR($X111),(MONTH($X111)+IF(INDEX('得意先'!$D$5:$D$104,$W111)="末",0,IF(DAY($X111)&lt;=INDEX('得意先'!$D$5:$D$104,$W111),0,1))+N(INDEX('得意先'!$E$5:$E$104,$W111))),MIN(INDEX('得意先'!$F$5:$F$104,$W111),DAY(DATE(YEAR($X111),(MONTH($X111)+IF(INDEX('得意先'!$D$5:$D$104,$W111)="末",0,IF(DAY($X111)&lt;=INDEX('得意先'!$D$5:$D$104,$W111),0,1))+N(INDEX('得意先'!$E$5:$E$104,$W111)))+1,0)))))))</f>
        <v/>
      </c>
      <c r="N111" s="26" t="n"/>
      <c r="O111" s="29">
        <f>IF($A111="","",IF(ISNUMBER($N111),$N111,$M111))</f>
        <v/>
      </c>
      <c r="P111" s="28">
        <f>IF($A111="","",SUMIF('入金消込'!$F$5:$F$1004,$A111,'入金消込'!$G$5:$G$1004))</f>
        <v/>
      </c>
      <c r="Q111" s="28">
        <f>IF($A111="","",SUMIF('入金消込'!$F$5:$F$1004,$A111,'入金消込'!$H$5:$H$1004)+SUMIF('入金消込'!$F$5:$F$1004,$A111,'入金消込'!$I$5:$I$1004))</f>
        <v/>
      </c>
      <c r="R111" s="28">
        <f>IF($A111="","",$L111-$P111-$Q111)</f>
        <v/>
      </c>
      <c r="S111" s="30">
        <f>IF($A111="","",IF($R111=0,IF($L111=0,"請求額0","回収済"),IF($L111&lt;0,IF($R111&lt;0,"差し引き待ち","差し引きすぎ"),IF($R111&lt;0,"入金が多い",IF($P111+$Q111=0,"未入金","一部入金")))))</f>
        <v/>
      </c>
      <c r="T111" s="31">
        <f>IF(OR($A111="",N($R111)&lt;=0,NOT(ISNUMBER($O111))),"",IF($O111&lt;'設定'!$B$7,'設定'!$B$7-$O111,""))</f>
        <v/>
      </c>
      <c r="U111" s="30">
        <f>IF(OR($A111="",N($R111)&lt;=0),"",IF(NOT(ISNUMBER($O111)),'設定'!$B$22,IF($O111&gt;='設定'!$B$7,'設定'!$B$17,IF('設定'!$B$7-$O111&lt;='設定'!$B$12,'設定'!$B$18,IF('設定'!$B$7-$O111&lt;='設定'!$B$13,'設定'!$B$19,IF('設定'!$B$7-$O111&lt;='設定'!$B$14,'設定'!$B$20,'設定'!$B$21))))))</f>
        <v/>
      </c>
      <c r="V111" s="56" t="n"/>
      <c r="W111" s="32">
        <f>IF($C111="","",IFERROR(MATCH($C111,'得意先'!$B$5:$B$104,0),"なし"))</f>
        <v/>
      </c>
      <c r="X111" s="33">
        <f>IF($A111="","",IF(ISNUMBER($E111),$E111,IF(ISNUMBER($B111),$B111,"")))</f>
        <v/>
      </c>
      <c r="Y111" s="34">
        <f>IF($T111="","",$O111+ROW()/1000000)</f>
        <v/>
      </c>
      <c r="Z111" s="35">
        <f>IF(OR($A111="",$C111="",$C111&lt;&gt;'売掛帳'!$B$3,NOT(ISNUMBER($X111))),"",IF(AND($X111&gt;='売掛帳'!$Q$3,$X111&lt;='売掛帳'!$Q$4),$X111+ROW()/10000000,""))</f>
        <v/>
      </c>
    </row>
    <row r="112" ht="18" customHeight="1">
      <c r="A112" s="18" t="n"/>
      <c r="B112" s="26" t="n"/>
      <c r="C112" s="18" t="n"/>
      <c r="D112" s="20">
        <f>IF($W112="","",IF($W112="なし","※得意先にないコード",INDEX('得意先'!$C$5:$C$104,$W112)&amp;""))</f>
        <v/>
      </c>
      <c r="E112" s="26" t="n"/>
      <c r="F112" s="19" t="n"/>
      <c r="G112" s="27" t="n"/>
      <c r="H112" s="27" t="n"/>
      <c r="I112" s="27" t="n"/>
      <c r="J112" s="28">
        <f>IF($A112="","",IF('設定'!$B$10="四捨五入",ROUND(IF('設定'!$B$9="税込",N($G112)*10/110,N($G112)*10/100),0),IF('設定'!$B$10="切り上げ",ROUNDUP(IF('設定'!$B$9="税込",N($G112)*10/110,N($G112)*10/100),0),ROUNDDOWN(IF('設定'!$B$9="税込",N($G112)*10/110,N($G112)*10/100),0))))</f>
        <v/>
      </c>
      <c r="K112" s="28">
        <f>IF($A112="","",IF('設定'!$B$10="四捨五入",ROUND(IF('設定'!$B$9="税込",N($H112)*8/108,N($H112)*8/100),0),IF('設定'!$B$10="切り上げ",ROUNDUP(IF('設定'!$B$9="税込",N($H112)*8/108,N($H112)*8/100),0),ROUNDDOWN(IF('設定'!$B$9="税込",N($H112)*8/108,N($H112)*8/100),0))))</f>
        <v/>
      </c>
      <c r="L112" s="28">
        <f>IF($A112="","",N($G112)+N($H112)+N($I112)+IF('設定'!$B$9="税込",0,$J112+$K112))</f>
        <v/>
      </c>
      <c r="M112" s="29">
        <f>IF(OR($A112="",NOT(ISNUMBER($W112)),NOT(ISNUMBER($X112))),"",IF(OR(INDEX('得意先'!$D$5:$D$104,$W112)="",INDEX('得意先'!$E$5:$E$104,$W112)="",INDEX('得意先'!$F$5:$F$104,$W112)=""),"",IF(INDEX('得意先'!$F$5:$F$104,$W112)="末",DATE(YEAR($X112),(MONTH($X112)+IF(INDEX('得意先'!$D$5:$D$104,$W112)="末",0,IF(DAY($X112)&lt;=INDEX('得意先'!$D$5:$D$104,$W112),0,1))+N(INDEX('得意先'!$E$5:$E$104,$W112)))+1,0),DATE(YEAR($X112),(MONTH($X112)+IF(INDEX('得意先'!$D$5:$D$104,$W112)="末",0,IF(DAY($X112)&lt;=INDEX('得意先'!$D$5:$D$104,$W112),0,1))+N(INDEX('得意先'!$E$5:$E$104,$W112))),MIN(INDEX('得意先'!$F$5:$F$104,$W112),DAY(DATE(YEAR($X112),(MONTH($X112)+IF(INDEX('得意先'!$D$5:$D$104,$W112)="末",0,IF(DAY($X112)&lt;=INDEX('得意先'!$D$5:$D$104,$W112),0,1))+N(INDEX('得意先'!$E$5:$E$104,$W112)))+1,0)))))))</f>
        <v/>
      </c>
      <c r="N112" s="26" t="n"/>
      <c r="O112" s="29">
        <f>IF($A112="","",IF(ISNUMBER($N112),$N112,$M112))</f>
        <v/>
      </c>
      <c r="P112" s="28">
        <f>IF($A112="","",SUMIF('入金消込'!$F$5:$F$1004,$A112,'入金消込'!$G$5:$G$1004))</f>
        <v/>
      </c>
      <c r="Q112" s="28">
        <f>IF($A112="","",SUMIF('入金消込'!$F$5:$F$1004,$A112,'入金消込'!$H$5:$H$1004)+SUMIF('入金消込'!$F$5:$F$1004,$A112,'入金消込'!$I$5:$I$1004))</f>
        <v/>
      </c>
      <c r="R112" s="28">
        <f>IF($A112="","",$L112-$P112-$Q112)</f>
        <v/>
      </c>
      <c r="S112" s="30">
        <f>IF($A112="","",IF($R112=0,IF($L112=0,"請求額0","回収済"),IF($L112&lt;0,IF($R112&lt;0,"差し引き待ち","差し引きすぎ"),IF($R112&lt;0,"入金が多い",IF($P112+$Q112=0,"未入金","一部入金")))))</f>
        <v/>
      </c>
      <c r="T112" s="31">
        <f>IF(OR($A112="",N($R112)&lt;=0,NOT(ISNUMBER($O112))),"",IF($O112&lt;'設定'!$B$7,'設定'!$B$7-$O112,""))</f>
        <v/>
      </c>
      <c r="U112" s="30">
        <f>IF(OR($A112="",N($R112)&lt;=0),"",IF(NOT(ISNUMBER($O112)),'設定'!$B$22,IF($O112&gt;='設定'!$B$7,'設定'!$B$17,IF('設定'!$B$7-$O112&lt;='設定'!$B$12,'設定'!$B$18,IF('設定'!$B$7-$O112&lt;='設定'!$B$13,'設定'!$B$19,IF('設定'!$B$7-$O112&lt;='設定'!$B$14,'設定'!$B$20,'設定'!$B$21))))))</f>
        <v/>
      </c>
      <c r="V112" s="56" t="n"/>
      <c r="W112" s="32">
        <f>IF($C112="","",IFERROR(MATCH($C112,'得意先'!$B$5:$B$104,0),"なし"))</f>
        <v/>
      </c>
      <c r="X112" s="33">
        <f>IF($A112="","",IF(ISNUMBER($E112),$E112,IF(ISNUMBER($B112),$B112,"")))</f>
        <v/>
      </c>
      <c r="Y112" s="34">
        <f>IF($T112="","",$O112+ROW()/1000000)</f>
        <v/>
      </c>
      <c r="Z112" s="35">
        <f>IF(OR($A112="",$C112="",$C112&lt;&gt;'売掛帳'!$B$3,NOT(ISNUMBER($X112))),"",IF(AND($X112&gt;='売掛帳'!$Q$3,$X112&lt;='売掛帳'!$Q$4),$X112+ROW()/10000000,""))</f>
        <v/>
      </c>
    </row>
    <row r="113" ht="18" customHeight="1">
      <c r="A113" s="18" t="n"/>
      <c r="B113" s="26" t="n"/>
      <c r="C113" s="18" t="n"/>
      <c r="D113" s="20">
        <f>IF($W113="","",IF($W113="なし","※得意先にないコード",INDEX('得意先'!$C$5:$C$104,$W113)&amp;""))</f>
        <v/>
      </c>
      <c r="E113" s="26" t="n"/>
      <c r="F113" s="19" t="n"/>
      <c r="G113" s="27" t="n"/>
      <c r="H113" s="27" t="n"/>
      <c r="I113" s="27" t="n"/>
      <c r="J113" s="28">
        <f>IF($A113="","",IF('設定'!$B$10="四捨五入",ROUND(IF('設定'!$B$9="税込",N($G113)*10/110,N($G113)*10/100),0),IF('設定'!$B$10="切り上げ",ROUNDUP(IF('設定'!$B$9="税込",N($G113)*10/110,N($G113)*10/100),0),ROUNDDOWN(IF('設定'!$B$9="税込",N($G113)*10/110,N($G113)*10/100),0))))</f>
        <v/>
      </c>
      <c r="K113" s="28">
        <f>IF($A113="","",IF('設定'!$B$10="四捨五入",ROUND(IF('設定'!$B$9="税込",N($H113)*8/108,N($H113)*8/100),0),IF('設定'!$B$10="切り上げ",ROUNDUP(IF('設定'!$B$9="税込",N($H113)*8/108,N($H113)*8/100),0),ROUNDDOWN(IF('設定'!$B$9="税込",N($H113)*8/108,N($H113)*8/100),0))))</f>
        <v/>
      </c>
      <c r="L113" s="28">
        <f>IF($A113="","",N($G113)+N($H113)+N($I113)+IF('設定'!$B$9="税込",0,$J113+$K113))</f>
        <v/>
      </c>
      <c r="M113" s="29">
        <f>IF(OR($A113="",NOT(ISNUMBER($W113)),NOT(ISNUMBER($X113))),"",IF(OR(INDEX('得意先'!$D$5:$D$104,$W113)="",INDEX('得意先'!$E$5:$E$104,$W113)="",INDEX('得意先'!$F$5:$F$104,$W113)=""),"",IF(INDEX('得意先'!$F$5:$F$104,$W113)="末",DATE(YEAR($X113),(MONTH($X113)+IF(INDEX('得意先'!$D$5:$D$104,$W113)="末",0,IF(DAY($X113)&lt;=INDEX('得意先'!$D$5:$D$104,$W113),0,1))+N(INDEX('得意先'!$E$5:$E$104,$W113)))+1,0),DATE(YEAR($X113),(MONTH($X113)+IF(INDEX('得意先'!$D$5:$D$104,$W113)="末",0,IF(DAY($X113)&lt;=INDEX('得意先'!$D$5:$D$104,$W113),0,1))+N(INDEX('得意先'!$E$5:$E$104,$W113))),MIN(INDEX('得意先'!$F$5:$F$104,$W113),DAY(DATE(YEAR($X113),(MONTH($X113)+IF(INDEX('得意先'!$D$5:$D$104,$W113)="末",0,IF(DAY($X113)&lt;=INDEX('得意先'!$D$5:$D$104,$W113),0,1))+N(INDEX('得意先'!$E$5:$E$104,$W113)))+1,0)))))))</f>
        <v/>
      </c>
      <c r="N113" s="26" t="n"/>
      <c r="O113" s="29">
        <f>IF($A113="","",IF(ISNUMBER($N113),$N113,$M113))</f>
        <v/>
      </c>
      <c r="P113" s="28">
        <f>IF($A113="","",SUMIF('入金消込'!$F$5:$F$1004,$A113,'入金消込'!$G$5:$G$1004))</f>
        <v/>
      </c>
      <c r="Q113" s="28">
        <f>IF($A113="","",SUMIF('入金消込'!$F$5:$F$1004,$A113,'入金消込'!$H$5:$H$1004)+SUMIF('入金消込'!$F$5:$F$1004,$A113,'入金消込'!$I$5:$I$1004))</f>
        <v/>
      </c>
      <c r="R113" s="28">
        <f>IF($A113="","",$L113-$P113-$Q113)</f>
        <v/>
      </c>
      <c r="S113" s="30">
        <f>IF($A113="","",IF($R113=0,IF($L113=0,"請求額0","回収済"),IF($L113&lt;0,IF($R113&lt;0,"差し引き待ち","差し引きすぎ"),IF($R113&lt;0,"入金が多い",IF($P113+$Q113=0,"未入金","一部入金")))))</f>
        <v/>
      </c>
      <c r="T113" s="31">
        <f>IF(OR($A113="",N($R113)&lt;=0,NOT(ISNUMBER($O113))),"",IF($O113&lt;'設定'!$B$7,'設定'!$B$7-$O113,""))</f>
        <v/>
      </c>
      <c r="U113" s="30">
        <f>IF(OR($A113="",N($R113)&lt;=0),"",IF(NOT(ISNUMBER($O113)),'設定'!$B$22,IF($O113&gt;='設定'!$B$7,'設定'!$B$17,IF('設定'!$B$7-$O113&lt;='設定'!$B$12,'設定'!$B$18,IF('設定'!$B$7-$O113&lt;='設定'!$B$13,'設定'!$B$19,IF('設定'!$B$7-$O113&lt;='設定'!$B$14,'設定'!$B$20,'設定'!$B$21))))))</f>
        <v/>
      </c>
      <c r="V113" s="56" t="n"/>
      <c r="W113" s="32">
        <f>IF($C113="","",IFERROR(MATCH($C113,'得意先'!$B$5:$B$104,0),"なし"))</f>
        <v/>
      </c>
      <c r="X113" s="33">
        <f>IF($A113="","",IF(ISNUMBER($E113),$E113,IF(ISNUMBER($B113),$B113,"")))</f>
        <v/>
      </c>
      <c r="Y113" s="34">
        <f>IF($T113="","",$O113+ROW()/1000000)</f>
        <v/>
      </c>
      <c r="Z113" s="35">
        <f>IF(OR($A113="",$C113="",$C113&lt;&gt;'売掛帳'!$B$3,NOT(ISNUMBER($X113))),"",IF(AND($X113&gt;='売掛帳'!$Q$3,$X113&lt;='売掛帳'!$Q$4),$X113+ROW()/10000000,""))</f>
        <v/>
      </c>
    </row>
    <row r="114" ht="18" customHeight="1">
      <c r="A114" s="18" t="n"/>
      <c r="B114" s="26" t="n"/>
      <c r="C114" s="18" t="n"/>
      <c r="D114" s="20">
        <f>IF($W114="","",IF($W114="なし","※得意先にないコード",INDEX('得意先'!$C$5:$C$104,$W114)&amp;""))</f>
        <v/>
      </c>
      <c r="E114" s="26" t="n"/>
      <c r="F114" s="19" t="n"/>
      <c r="G114" s="27" t="n"/>
      <c r="H114" s="27" t="n"/>
      <c r="I114" s="27" t="n"/>
      <c r="J114" s="28">
        <f>IF($A114="","",IF('設定'!$B$10="四捨五入",ROUND(IF('設定'!$B$9="税込",N($G114)*10/110,N($G114)*10/100),0),IF('設定'!$B$10="切り上げ",ROUNDUP(IF('設定'!$B$9="税込",N($G114)*10/110,N($G114)*10/100),0),ROUNDDOWN(IF('設定'!$B$9="税込",N($G114)*10/110,N($G114)*10/100),0))))</f>
        <v/>
      </c>
      <c r="K114" s="28">
        <f>IF($A114="","",IF('設定'!$B$10="四捨五入",ROUND(IF('設定'!$B$9="税込",N($H114)*8/108,N($H114)*8/100),0),IF('設定'!$B$10="切り上げ",ROUNDUP(IF('設定'!$B$9="税込",N($H114)*8/108,N($H114)*8/100),0),ROUNDDOWN(IF('設定'!$B$9="税込",N($H114)*8/108,N($H114)*8/100),0))))</f>
        <v/>
      </c>
      <c r="L114" s="28">
        <f>IF($A114="","",N($G114)+N($H114)+N($I114)+IF('設定'!$B$9="税込",0,$J114+$K114))</f>
        <v/>
      </c>
      <c r="M114" s="29">
        <f>IF(OR($A114="",NOT(ISNUMBER($W114)),NOT(ISNUMBER($X114))),"",IF(OR(INDEX('得意先'!$D$5:$D$104,$W114)="",INDEX('得意先'!$E$5:$E$104,$W114)="",INDEX('得意先'!$F$5:$F$104,$W114)=""),"",IF(INDEX('得意先'!$F$5:$F$104,$W114)="末",DATE(YEAR($X114),(MONTH($X114)+IF(INDEX('得意先'!$D$5:$D$104,$W114)="末",0,IF(DAY($X114)&lt;=INDEX('得意先'!$D$5:$D$104,$W114),0,1))+N(INDEX('得意先'!$E$5:$E$104,$W114)))+1,0),DATE(YEAR($X114),(MONTH($X114)+IF(INDEX('得意先'!$D$5:$D$104,$W114)="末",0,IF(DAY($X114)&lt;=INDEX('得意先'!$D$5:$D$104,$W114),0,1))+N(INDEX('得意先'!$E$5:$E$104,$W114))),MIN(INDEX('得意先'!$F$5:$F$104,$W114),DAY(DATE(YEAR($X114),(MONTH($X114)+IF(INDEX('得意先'!$D$5:$D$104,$W114)="末",0,IF(DAY($X114)&lt;=INDEX('得意先'!$D$5:$D$104,$W114),0,1))+N(INDEX('得意先'!$E$5:$E$104,$W114)))+1,0)))))))</f>
        <v/>
      </c>
      <c r="N114" s="26" t="n"/>
      <c r="O114" s="29">
        <f>IF($A114="","",IF(ISNUMBER($N114),$N114,$M114))</f>
        <v/>
      </c>
      <c r="P114" s="28">
        <f>IF($A114="","",SUMIF('入金消込'!$F$5:$F$1004,$A114,'入金消込'!$G$5:$G$1004))</f>
        <v/>
      </c>
      <c r="Q114" s="28">
        <f>IF($A114="","",SUMIF('入金消込'!$F$5:$F$1004,$A114,'入金消込'!$H$5:$H$1004)+SUMIF('入金消込'!$F$5:$F$1004,$A114,'入金消込'!$I$5:$I$1004))</f>
        <v/>
      </c>
      <c r="R114" s="28">
        <f>IF($A114="","",$L114-$P114-$Q114)</f>
        <v/>
      </c>
      <c r="S114" s="30">
        <f>IF($A114="","",IF($R114=0,IF($L114=0,"請求額0","回収済"),IF($L114&lt;0,IF($R114&lt;0,"差し引き待ち","差し引きすぎ"),IF($R114&lt;0,"入金が多い",IF($P114+$Q114=0,"未入金","一部入金")))))</f>
        <v/>
      </c>
      <c r="T114" s="31">
        <f>IF(OR($A114="",N($R114)&lt;=0,NOT(ISNUMBER($O114))),"",IF($O114&lt;'設定'!$B$7,'設定'!$B$7-$O114,""))</f>
        <v/>
      </c>
      <c r="U114" s="30">
        <f>IF(OR($A114="",N($R114)&lt;=0),"",IF(NOT(ISNUMBER($O114)),'設定'!$B$22,IF($O114&gt;='設定'!$B$7,'設定'!$B$17,IF('設定'!$B$7-$O114&lt;='設定'!$B$12,'設定'!$B$18,IF('設定'!$B$7-$O114&lt;='設定'!$B$13,'設定'!$B$19,IF('設定'!$B$7-$O114&lt;='設定'!$B$14,'設定'!$B$20,'設定'!$B$21))))))</f>
        <v/>
      </c>
      <c r="V114" s="56" t="n"/>
      <c r="W114" s="32">
        <f>IF($C114="","",IFERROR(MATCH($C114,'得意先'!$B$5:$B$104,0),"なし"))</f>
        <v/>
      </c>
      <c r="X114" s="33">
        <f>IF($A114="","",IF(ISNUMBER($E114),$E114,IF(ISNUMBER($B114),$B114,"")))</f>
        <v/>
      </c>
      <c r="Y114" s="34">
        <f>IF($T114="","",$O114+ROW()/1000000)</f>
        <v/>
      </c>
      <c r="Z114" s="35">
        <f>IF(OR($A114="",$C114="",$C114&lt;&gt;'売掛帳'!$B$3,NOT(ISNUMBER($X114))),"",IF(AND($X114&gt;='売掛帳'!$Q$3,$X114&lt;='売掛帳'!$Q$4),$X114+ROW()/10000000,""))</f>
        <v/>
      </c>
    </row>
    <row r="115" ht="18" customHeight="1">
      <c r="A115" s="18" t="n"/>
      <c r="B115" s="26" t="n"/>
      <c r="C115" s="18" t="n"/>
      <c r="D115" s="20">
        <f>IF($W115="","",IF($W115="なし","※得意先にないコード",INDEX('得意先'!$C$5:$C$104,$W115)&amp;""))</f>
        <v/>
      </c>
      <c r="E115" s="26" t="n"/>
      <c r="F115" s="19" t="n"/>
      <c r="G115" s="27" t="n"/>
      <c r="H115" s="27" t="n"/>
      <c r="I115" s="27" t="n"/>
      <c r="J115" s="28">
        <f>IF($A115="","",IF('設定'!$B$10="四捨五入",ROUND(IF('設定'!$B$9="税込",N($G115)*10/110,N($G115)*10/100),0),IF('設定'!$B$10="切り上げ",ROUNDUP(IF('設定'!$B$9="税込",N($G115)*10/110,N($G115)*10/100),0),ROUNDDOWN(IF('設定'!$B$9="税込",N($G115)*10/110,N($G115)*10/100),0))))</f>
        <v/>
      </c>
      <c r="K115" s="28">
        <f>IF($A115="","",IF('設定'!$B$10="四捨五入",ROUND(IF('設定'!$B$9="税込",N($H115)*8/108,N($H115)*8/100),0),IF('設定'!$B$10="切り上げ",ROUNDUP(IF('設定'!$B$9="税込",N($H115)*8/108,N($H115)*8/100),0),ROUNDDOWN(IF('設定'!$B$9="税込",N($H115)*8/108,N($H115)*8/100),0))))</f>
        <v/>
      </c>
      <c r="L115" s="28">
        <f>IF($A115="","",N($G115)+N($H115)+N($I115)+IF('設定'!$B$9="税込",0,$J115+$K115))</f>
        <v/>
      </c>
      <c r="M115" s="29">
        <f>IF(OR($A115="",NOT(ISNUMBER($W115)),NOT(ISNUMBER($X115))),"",IF(OR(INDEX('得意先'!$D$5:$D$104,$W115)="",INDEX('得意先'!$E$5:$E$104,$W115)="",INDEX('得意先'!$F$5:$F$104,$W115)=""),"",IF(INDEX('得意先'!$F$5:$F$104,$W115)="末",DATE(YEAR($X115),(MONTH($X115)+IF(INDEX('得意先'!$D$5:$D$104,$W115)="末",0,IF(DAY($X115)&lt;=INDEX('得意先'!$D$5:$D$104,$W115),0,1))+N(INDEX('得意先'!$E$5:$E$104,$W115)))+1,0),DATE(YEAR($X115),(MONTH($X115)+IF(INDEX('得意先'!$D$5:$D$104,$W115)="末",0,IF(DAY($X115)&lt;=INDEX('得意先'!$D$5:$D$104,$W115),0,1))+N(INDEX('得意先'!$E$5:$E$104,$W115))),MIN(INDEX('得意先'!$F$5:$F$104,$W115),DAY(DATE(YEAR($X115),(MONTH($X115)+IF(INDEX('得意先'!$D$5:$D$104,$W115)="末",0,IF(DAY($X115)&lt;=INDEX('得意先'!$D$5:$D$104,$W115),0,1))+N(INDEX('得意先'!$E$5:$E$104,$W115)))+1,0)))))))</f>
        <v/>
      </c>
      <c r="N115" s="26" t="n"/>
      <c r="O115" s="29">
        <f>IF($A115="","",IF(ISNUMBER($N115),$N115,$M115))</f>
        <v/>
      </c>
      <c r="P115" s="28">
        <f>IF($A115="","",SUMIF('入金消込'!$F$5:$F$1004,$A115,'入金消込'!$G$5:$G$1004))</f>
        <v/>
      </c>
      <c r="Q115" s="28">
        <f>IF($A115="","",SUMIF('入金消込'!$F$5:$F$1004,$A115,'入金消込'!$H$5:$H$1004)+SUMIF('入金消込'!$F$5:$F$1004,$A115,'入金消込'!$I$5:$I$1004))</f>
        <v/>
      </c>
      <c r="R115" s="28">
        <f>IF($A115="","",$L115-$P115-$Q115)</f>
        <v/>
      </c>
      <c r="S115" s="30">
        <f>IF($A115="","",IF($R115=0,IF($L115=0,"請求額0","回収済"),IF($L115&lt;0,IF($R115&lt;0,"差し引き待ち","差し引きすぎ"),IF($R115&lt;0,"入金が多い",IF($P115+$Q115=0,"未入金","一部入金")))))</f>
        <v/>
      </c>
      <c r="T115" s="31">
        <f>IF(OR($A115="",N($R115)&lt;=0,NOT(ISNUMBER($O115))),"",IF($O115&lt;'設定'!$B$7,'設定'!$B$7-$O115,""))</f>
        <v/>
      </c>
      <c r="U115" s="30">
        <f>IF(OR($A115="",N($R115)&lt;=0),"",IF(NOT(ISNUMBER($O115)),'設定'!$B$22,IF($O115&gt;='設定'!$B$7,'設定'!$B$17,IF('設定'!$B$7-$O115&lt;='設定'!$B$12,'設定'!$B$18,IF('設定'!$B$7-$O115&lt;='設定'!$B$13,'設定'!$B$19,IF('設定'!$B$7-$O115&lt;='設定'!$B$14,'設定'!$B$20,'設定'!$B$21))))))</f>
        <v/>
      </c>
      <c r="V115" s="56" t="n"/>
      <c r="W115" s="32">
        <f>IF($C115="","",IFERROR(MATCH($C115,'得意先'!$B$5:$B$104,0),"なし"))</f>
        <v/>
      </c>
      <c r="X115" s="33">
        <f>IF($A115="","",IF(ISNUMBER($E115),$E115,IF(ISNUMBER($B115),$B115,"")))</f>
        <v/>
      </c>
      <c r="Y115" s="34">
        <f>IF($T115="","",$O115+ROW()/1000000)</f>
        <v/>
      </c>
      <c r="Z115" s="35">
        <f>IF(OR($A115="",$C115="",$C115&lt;&gt;'売掛帳'!$B$3,NOT(ISNUMBER($X115))),"",IF(AND($X115&gt;='売掛帳'!$Q$3,$X115&lt;='売掛帳'!$Q$4),$X115+ROW()/10000000,""))</f>
        <v/>
      </c>
    </row>
    <row r="116" ht="18" customHeight="1">
      <c r="A116" s="18" t="n"/>
      <c r="B116" s="26" t="n"/>
      <c r="C116" s="18" t="n"/>
      <c r="D116" s="20">
        <f>IF($W116="","",IF($W116="なし","※得意先にないコード",INDEX('得意先'!$C$5:$C$104,$W116)&amp;""))</f>
        <v/>
      </c>
      <c r="E116" s="26" t="n"/>
      <c r="F116" s="19" t="n"/>
      <c r="G116" s="27" t="n"/>
      <c r="H116" s="27" t="n"/>
      <c r="I116" s="27" t="n"/>
      <c r="J116" s="28">
        <f>IF($A116="","",IF('設定'!$B$10="四捨五入",ROUND(IF('設定'!$B$9="税込",N($G116)*10/110,N($G116)*10/100),0),IF('設定'!$B$10="切り上げ",ROUNDUP(IF('設定'!$B$9="税込",N($G116)*10/110,N($G116)*10/100),0),ROUNDDOWN(IF('設定'!$B$9="税込",N($G116)*10/110,N($G116)*10/100),0))))</f>
        <v/>
      </c>
      <c r="K116" s="28">
        <f>IF($A116="","",IF('設定'!$B$10="四捨五入",ROUND(IF('設定'!$B$9="税込",N($H116)*8/108,N($H116)*8/100),0),IF('設定'!$B$10="切り上げ",ROUNDUP(IF('設定'!$B$9="税込",N($H116)*8/108,N($H116)*8/100),0),ROUNDDOWN(IF('設定'!$B$9="税込",N($H116)*8/108,N($H116)*8/100),0))))</f>
        <v/>
      </c>
      <c r="L116" s="28">
        <f>IF($A116="","",N($G116)+N($H116)+N($I116)+IF('設定'!$B$9="税込",0,$J116+$K116))</f>
        <v/>
      </c>
      <c r="M116" s="29">
        <f>IF(OR($A116="",NOT(ISNUMBER($W116)),NOT(ISNUMBER($X116))),"",IF(OR(INDEX('得意先'!$D$5:$D$104,$W116)="",INDEX('得意先'!$E$5:$E$104,$W116)="",INDEX('得意先'!$F$5:$F$104,$W116)=""),"",IF(INDEX('得意先'!$F$5:$F$104,$W116)="末",DATE(YEAR($X116),(MONTH($X116)+IF(INDEX('得意先'!$D$5:$D$104,$W116)="末",0,IF(DAY($X116)&lt;=INDEX('得意先'!$D$5:$D$104,$W116),0,1))+N(INDEX('得意先'!$E$5:$E$104,$W116)))+1,0),DATE(YEAR($X116),(MONTH($X116)+IF(INDEX('得意先'!$D$5:$D$104,$W116)="末",0,IF(DAY($X116)&lt;=INDEX('得意先'!$D$5:$D$104,$W116),0,1))+N(INDEX('得意先'!$E$5:$E$104,$W116))),MIN(INDEX('得意先'!$F$5:$F$104,$W116),DAY(DATE(YEAR($X116),(MONTH($X116)+IF(INDEX('得意先'!$D$5:$D$104,$W116)="末",0,IF(DAY($X116)&lt;=INDEX('得意先'!$D$5:$D$104,$W116),0,1))+N(INDEX('得意先'!$E$5:$E$104,$W116)))+1,0)))))))</f>
        <v/>
      </c>
      <c r="N116" s="26" t="n"/>
      <c r="O116" s="29">
        <f>IF($A116="","",IF(ISNUMBER($N116),$N116,$M116))</f>
        <v/>
      </c>
      <c r="P116" s="28">
        <f>IF($A116="","",SUMIF('入金消込'!$F$5:$F$1004,$A116,'入金消込'!$G$5:$G$1004))</f>
        <v/>
      </c>
      <c r="Q116" s="28">
        <f>IF($A116="","",SUMIF('入金消込'!$F$5:$F$1004,$A116,'入金消込'!$H$5:$H$1004)+SUMIF('入金消込'!$F$5:$F$1004,$A116,'入金消込'!$I$5:$I$1004))</f>
        <v/>
      </c>
      <c r="R116" s="28">
        <f>IF($A116="","",$L116-$P116-$Q116)</f>
        <v/>
      </c>
      <c r="S116" s="30">
        <f>IF($A116="","",IF($R116=0,IF($L116=0,"請求額0","回収済"),IF($L116&lt;0,IF($R116&lt;0,"差し引き待ち","差し引きすぎ"),IF($R116&lt;0,"入金が多い",IF($P116+$Q116=0,"未入金","一部入金")))))</f>
        <v/>
      </c>
      <c r="T116" s="31">
        <f>IF(OR($A116="",N($R116)&lt;=0,NOT(ISNUMBER($O116))),"",IF($O116&lt;'設定'!$B$7,'設定'!$B$7-$O116,""))</f>
        <v/>
      </c>
      <c r="U116" s="30">
        <f>IF(OR($A116="",N($R116)&lt;=0),"",IF(NOT(ISNUMBER($O116)),'設定'!$B$22,IF($O116&gt;='設定'!$B$7,'設定'!$B$17,IF('設定'!$B$7-$O116&lt;='設定'!$B$12,'設定'!$B$18,IF('設定'!$B$7-$O116&lt;='設定'!$B$13,'設定'!$B$19,IF('設定'!$B$7-$O116&lt;='設定'!$B$14,'設定'!$B$20,'設定'!$B$21))))))</f>
        <v/>
      </c>
      <c r="V116" s="56" t="n"/>
      <c r="W116" s="32">
        <f>IF($C116="","",IFERROR(MATCH($C116,'得意先'!$B$5:$B$104,0),"なし"))</f>
        <v/>
      </c>
      <c r="X116" s="33">
        <f>IF($A116="","",IF(ISNUMBER($E116),$E116,IF(ISNUMBER($B116),$B116,"")))</f>
        <v/>
      </c>
      <c r="Y116" s="34">
        <f>IF($T116="","",$O116+ROW()/1000000)</f>
        <v/>
      </c>
      <c r="Z116" s="35">
        <f>IF(OR($A116="",$C116="",$C116&lt;&gt;'売掛帳'!$B$3,NOT(ISNUMBER($X116))),"",IF(AND($X116&gt;='売掛帳'!$Q$3,$X116&lt;='売掛帳'!$Q$4),$X116+ROW()/10000000,""))</f>
        <v/>
      </c>
    </row>
    <row r="117" ht="18" customHeight="1">
      <c r="A117" s="18" t="n"/>
      <c r="B117" s="26" t="n"/>
      <c r="C117" s="18" t="n"/>
      <c r="D117" s="20">
        <f>IF($W117="","",IF($W117="なし","※得意先にないコード",INDEX('得意先'!$C$5:$C$104,$W117)&amp;""))</f>
        <v/>
      </c>
      <c r="E117" s="26" t="n"/>
      <c r="F117" s="19" t="n"/>
      <c r="G117" s="27" t="n"/>
      <c r="H117" s="27" t="n"/>
      <c r="I117" s="27" t="n"/>
      <c r="J117" s="28">
        <f>IF($A117="","",IF('設定'!$B$10="四捨五入",ROUND(IF('設定'!$B$9="税込",N($G117)*10/110,N($G117)*10/100),0),IF('設定'!$B$10="切り上げ",ROUNDUP(IF('設定'!$B$9="税込",N($G117)*10/110,N($G117)*10/100),0),ROUNDDOWN(IF('設定'!$B$9="税込",N($G117)*10/110,N($G117)*10/100),0))))</f>
        <v/>
      </c>
      <c r="K117" s="28">
        <f>IF($A117="","",IF('設定'!$B$10="四捨五入",ROUND(IF('設定'!$B$9="税込",N($H117)*8/108,N($H117)*8/100),0),IF('設定'!$B$10="切り上げ",ROUNDUP(IF('設定'!$B$9="税込",N($H117)*8/108,N($H117)*8/100),0),ROUNDDOWN(IF('設定'!$B$9="税込",N($H117)*8/108,N($H117)*8/100),0))))</f>
        <v/>
      </c>
      <c r="L117" s="28">
        <f>IF($A117="","",N($G117)+N($H117)+N($I117)+IF('設定'!$B$9="税込",0,$J117+$K117))</f>
        <v/>
      </c>
      <c r="M117" s="29">
        <f>IF(OR($A117="",NOT(ISNUMBER($W117)),NOT(ISNUMBER($X117))),"",IF(OR(INDEX('得意先'!$D$5:$D$104,$W117)="",INDEX('得意先'!$E$5:$E$104,$W117)="",INDEX('得意先'!$F$5:$F$104,$W117)=""),"",IF(INDEX('得意先'!$F$5:$F$104,$W117)="末",DATE(YEAR($X117),(MONTH($X117)+IF(INDEX('得意先'!$D$5:$D$104,$W117)="末",0,IF(DAY($X117)&lt;=INDEX('得意先'!$D$5:$D$104,$W117),0,1))+N(INDEX('得意先'!$E$5:$E$104,$W117)))+1,0),DATE(YEAR($X117),(MONTH($X117)+IF(INDEX('得意先'!$D$5:$D$104,$W117)="末",0,IF(DAY($X117)&lt;=INDEX('得意先'!$D$5:$D$104,$W117),0,1))+N(INDEX('得意先'!$E$5:$E$104,$W117))),MIN(INDEX('得意先'!$F$5:$F$104,$W117),DAY(DATE(YEAR($X117),(MONTH($X117)+IF(INDEX('得意先'!$D$5:$D$104,$W117)="末",0,IF(DAY($X117)&lt;=INDEX('得意先'!$D$5:$D$104,$W117),0,1))+N(INDEX('得意先'!$E$5:$E$104,$W117)))+1,0)))))))</f>
        <v/>
      </c>
      <c r="N117" s="26" t="n"/>
      <c r="O117" s="29">
        <f>IF($A117="","",IF(ISNUMBER($N117),$N117,$M117))</f>
        <v/>
      </c>
      <c r="P117" s="28">
        <f>IF($A117="","",SUMIF('入金消込'!$F$5:$F$1004,$A117,'入金消込'!$G$5:$G$1004))</f>
        <v/>
      </c>
      <c r="Q117" s="28">
        <f>IF($A117="","",SUMIF('入金消込'!$F$5:$F$1004,$A117,'入金消込'!$H$5:$H$1004)+SUMIF('入金消込'!$F$5:$F$1004,$A117,'入金消込'!$I$5:$I$1004))</f>
        <v/>
      </c>
      <c r="R117" s="28">
        <f>IF($A117="","",$L117-$P117-$Q117)</f>
        <v/>
      </c>
      <c r="S117" s="30">
        <f>IF($A117="","",IF($R117=0,IF($L117=0,"請求額0","回収済"),IF($L117&lt;0,IF($R117&lt;0,"差し引き待ち","差し引きすぎ"),IF($R117&lt;0,"入金が多い",IF($P117+$Q117=0,"未入金","一部入金")))))</f>
        <v/>
      </c>
      <c r="T117" s="31">
        <f>IF(OR($A117="",N($R117)&lt;=0,NOT(ISNUMBER($O117))),"",IF($O117&lt;'設定'!$B$7,'設定'!$B$7-$O117,""))</f>
        <v/>
      </c>
      <c r="U117" s="30">
        <f>IF(OR($A117="",N($R117)&lt;=0),"",IF(NOT(ISNUMBER($O117)),'設定'!$B$22,IF($O117&gt;='設定'!$B$7,'設定'!$B$17,IF('設定'!$B$7-$O117&lt;='設定'!$B$12,'設定'!$B$18,IF('設定'!$B$7-$O117&lt;='設定'!$B$13,'設定'!$B$19,IF('設定'!$B$7-$O117&lt;='設定'!$B$14,'設定'!$B$20,'設定'!$B$21))))))</f>
        <v/>
      </c>
      <c r="V117" s="56" t="n"/>
      <c r="W117" s="32">
        <f>IF($C117="","",IFERROR(MATCH($C117,'得意先'!$B$5:$B$104,0),"なし"))</f>
        <v/>
      </c>
      <c r="X117" s="33">
        <f>IF($A117="","",IF(ISNUMBER($E117),$E117,IF(ISNUMBER($B117),$B117,"")))</f>
        <v/>
      </c>
      <c r="Y117" s="34">
        <f>IF($T117="","",$O117+ROW()/1000000)</f>
        <v/>
      </c>
      <c r="Z117" s="35">
        <f>IF(OR($A117="",$C117="",$C117&lt;&gt;'売掛帳'!$B$3,NOT(ISNUMBER($X117))),"",IF(AND($X117&gt;='売掛帳'!$Q$3,$X117&lt;='売掛帳'!$Q$4),$X117+ROW()/10000000,""))</f>
        <v/>
      </c>
    </row>
    <row r="118" ht="18" customHeight="1">
      <c r="A118" s="18" t="n"/>
      <c r="B118" s="26" t="n"/>
      <c r="C118" s="18" t="n"/>
      <c r="D118" s="20">
        <f>IF($W118="","",IF($W118="なし","※得意先にないコード",INDEX('得意先'!$C$5:$C$104,$W118)&amp;""))</f>
        <v/>
      </c>
      <c r="E118" s="26" t="n"/>
      <c r="F118" s="19" t="n"/>
      <c r="G118" s="27" t="n"/>
      <c r="H118" s="27" t="n"/>
      <c r="I118" s="27" t="n"/>
      <c r="J118" s="28">
        <f>IF($A118="","",IF('設定'!$B$10="四捨五入",ROUND(IF('設定'!$B$9="税込",N($G118)*10/110,N($G118)*10/100),0),IF('設定'!$B$10="切り上げ",ROUNDUP(IF('設定'!$B$9="税込",N($G118)*10/110,N($G118)*10/100),0),ROUNDDOWN(IF('設定'!$B$9="税込",N($G118)*10/110,N($G118)*10/100),0))))</f>
        <v/>
      </c>
      <c r="K118" s="28">
        <f>IF($A118="","",IF('設定'!$B$10="四捨五入",ROUND(IF('設定'!$B$9="税込",N($H118)*8/108,N($H118)*8/100),0),IF('設定'!$B$10="切り上げ",ROUNDUP(IF('設定'!$B$9="税込",N($H118)*8/108,N($H118)*8/100),0),ROUNDDOWN(IF('設定'!$B$9="税込",N($H118)*8/108,N($H118)*8/100),0))))</f>
        <v/>
      </c>
      <c r="L118" s="28">
        <f>IF($A118="","",N($G118)+N($H118)+N($I118)+IF('設定'!$B$9="税込",0,$J118+$K118))</f>
        <v/>
      </c>
      <c r="M118" s="29">
        <f>IF(OR($A118="",NOT(ISNUMBER($W118)),NOT(ISNUMBER($X118))),"",IF(OR(INDEX('得意先'!$D$5:$D$104,$W118)="",INDEX('得意先'!$E$5:$E$104,$W118)="",INDEX('得意先'!$F$5:$F$104,$W118)=""),"",IF(INDEX('得意先'!$F$5:$F$104,$W118)="末",DATE(YEAR($X118),(MONTH($X118)+IF(INDEX('得意先'!$D$5:$D$104,$W118)="末",0,IF(DAY($X118)&lt;=INDEX('得意先'!$D$5:$D$104,$W118),0,1))+N(INDEX('得意先'!$E$5:$E$104,$W118)))+1,0),DATE(YEAR($X118),(MONTH($X118)+IF(INDEX('得意先'!$D$5:$D$104,$W118)="末",0,IF(DAY($X118)&lt;=INDEX('得意先'!$D$5:$D$104,$W118),0,1))+N(INDEX('得意先'!$E$5:$E$104,$W118))),MIN(INDEX('得意先'!$F$5:$F$104,$W118),DAY(DATE(YEAR($X118),(MONTH($X118)+IF(INDEX('得意先'!$D$5:$D$104,$W118)="末",0,IF(DAY($X118)&lt;=INDEX('得意先'!$D$5:$D$104,$W118),0,1))+N(INDEX('得意先'!$E$5:$E$104,$W118)))+1,0)))))))</f>
        <v/>
      </c>
      <c r="N118" s="26" t="n"/>
      <c r="O118" s="29">
        <f>IF($A118="","",IF(ISNUMBER($N118),$N118,$M118))</f>
        <v/>
      </c>
      <c r="P118" s="28">
        <f>IF($A118="","",SUMIF('入金消込'!$F$5:$F$1004,$A118,'入金消込'!$G$5:$G$1004))</f>
        <v/>
      </c>
      <c r="Q118" s="28">
        <f>IF($A118="","",SUMIF('入金消込'!$F$5:$F$1004,$A118,'入金消込'!$H$5:$H$1004)+SUMIF('入金消込'!$F$5:$F$1004,$A118,'入金消込'!$I$5:$I$1004))</f>
        <v/>
      </c>
      <c r="R118" s="28">
        <f>IF($A118="","",$L118-$P118-$Q118)</f>
        <v/>
      </c>
      <c r="S118" s="30">
        <f>IF($A118="","",IF($R118=0,IF($L118=0,"請求額0","回収済"),IF($L118&lt;0,IF($R118&lt;0,"差し引き待ち","差し引きすぎ"),IF($R118&lt;0,"入金が多い",IF($P118+$Q118=0,"未入金","一部入金")))))</f>
        <v/>
      </c>
      <c r="T118" s="31">
        <f>IF(OR($A118="",N($R118)&lt;=0,NOT(ISNUMBER($O118))),"",IF($O118&lt;'設定'!$B$7,'設定'!$B$7-$O118,""))</f>
        <v/>
      </c>
      <c r="U118" s="30">
        <f>IF(OR($A118="",N($R118)&lt;=0),"",IF(NOT(ISNUMBER($O118)),'設定'!$B$22,IF($O118&gt;='設定'!$B$7,'設定'!$B$17,IF('設定'!$B$7-$O118&lt;='設定'!$B$12,'設定'!$B$18,IF('設定'!$B$7-$O118&lt;='設定'!$B$13,'設定'!$B$19,IF('設定'!$B$7-$O118&lt;='設定'!$B$14,'設定'!$B$20,'設定'!$B$21))))))</f>
        <v/>
      </c>
      <c r="V118" s="56" t="n"/>
      <c r="W118" s="32">
        <f>IF($C118="","",IFERROR(MATCH($C118,'得意先'!$B$5:$B$104,0),"なし"))</f>
        <v/>
      </c>
      <c r="X118" s="33">
        <f>IF($A118="","",IF(ISNUMBER($E118),$E118,IF(ISNUMBER($B118),$B118,"")))</f>
        <v/>
      </c>
      <c r="Y118" s="34">
        <f>IF($T118="","",$O118+ROW()/1000000)</f>
        <v/>
      </c>
      <c r="Z118" s="35">
        <f>IF(OR($A118="",$C118="",$C118&lt;&gt;'売掛帳'!$B$3,NOT(ISNUMBER($X118))),"",IF(AND($X118&gt;='売掛帳'!$Q$3,$X118&lt;='売掛帳'!$Q$4),$X118+ROW()/10000000,""))</f>
        <v/>
      </c>
    </row>
    <row r="119" ht="18" customHeight="1">
      <c r="A119" s="18" t="n"/>
      <c r="B119" s="26" t="n"/>
      <c r="C119" s="18" t="n"/>
      <c r="D119" s="20">
        <f>IF($W119="","",IF($W119="なし","※得意先にないコード",INDEX('得意先'!$C$5:$C$104,$W119)&amp;""))</f>
        <v/>
      </c>
      <c r="E119" s="26" t="n"/>
      <c r="F119" s="19" t="n"/>
      <c r="G119" s="27" t="n"/>
      <c r="H119" s="27" t="n"/>
      <c r="I119" s="27" t="n"/>
      <c r="J119" s="28">
        <f>IF($A119="","",IF('設定'!$B$10="四捨五入",ROUND(IF('設定'!$B$9="税込",N($G119)*10/110,N($G119)*10/100),0),IF('設定'!$B$10="切り上げ",ROUNDUP(IF('設定'!$B$9="税込",N($G119)*10/110,N($G119)*10/100),0),ROUNDDOWN(IF('設定'!$B$9="税込",N($G119)*10/110,N($G119)*10/100),0))))</f>
        <v/>
      </c>
      <c r="K119" s="28">
        <f>IF($A119="","",IF('設定'!$B$10="四捨五入",ROUND(IF('設定'!$B$9="税込",N($H119)*8/108,N($H119)*8/100),0),IF('設定'!$B$10="切り上げ",ROUNDUP(IF('設定'!$B$9="税込",N($H119)*8/108,N($H119)*8/100),0),ROUNDDOWN(IF('設定'!$B$9="税込",N($H119)*8/108,N($H119)*8/100),0))))</f>
        <v/>
      </c>
      <c r="L119" s="28">
        <f>IF($A119="","",N($G119)+N($H119)+N($I119)+IF('設定'!$B$9="税込",0,$J119+$K119))</f>
        <v/>
      </c>
      <c r="M119" s="29">
        <f>IF(OR($A119="",NOT(ISNUMBER($W119)),NOT(ISNUMBER($X119))),"",IF(OR(INDEX('得意先'!$D$5:$D$104,$W119)="",INDEX('得意先'!$E$5:$E$104,$W119)="",INDEX('得意先'!$F$5:$F$104,$W119)=""),"",IF(INDEX('得意先'!$F$5:$F$104,$W119)="末",DATE(YEAR($X119),(MONTH($X119)+IF(INDEX('得意先'!$D$5:$D$104,$W119)="末",0,IF(DAY($X119)&lt;=INDEX('得意先'!$D$5:$D$104,$W119),0,1))+N(INDEX('得意先'!$E$5:$E$104,$W119)))+1,0),DATE(YEAR($X119),(MONTH($X119)+IF(INDEX('得意先'!$D$5:$D$104,$W119)="末",0,IF(DAY($X119)&lt;=INDEX('得意先'!$D$5:$D$104,$W119),0,1))+N(INDEX('得意先'!$E$5:$E$104,$W119))),MIN(INDEX('得意先'!$F$5:$F$104,$W119),DAY(DATE(YEAR($X119),(MONTH($X119)+IF(INDEX('得意先'!$D$5:$D$104,$W119)="末",0,IF(DAY($X119)&lt;=INDEX('得意先'!$D$5:$D$104,$W119),0,1))+N(INDEX('得意先'!$E$5:$E$104,$W119)))+1,0)))))))</f>
        <v/>
      </c>
      <c r="N119" s="26" t="n"/>
      <c r="O119" s="29">
        <f>IF($A119="","",IF(ISNUMBER($N119),$N119,$M119))</f>
        <v/>
      </c>
      <c r="P119" s="28">
        <f>IF($A119="","",SUMIF('入金消込'!$F$5:$F$1004,$A119,'入金消込'!$G$5:$G$1004))</f>
        <v/>
      </c>
      <c r="Q119" s="28">
        <f>IF($A119="","",SUMIF('入金消込'!$F$5:$F$1004,$A119,'入金消込'!$H$5:$H$1004)+SUMIF('入金消込'!$F$5:$F$1004,$A119,'入金消込'!$I$5:$I$1004))</f>
        <v/>
      </c>
      <c r="R119" s="28">
        <f>IF($A119="","",$L119-$P119-$Q119)</f>
        <v/>
      </c>
      <c r="S119" s="30">
        <f>IF($A119="","",IF($R119=0,IF($L119=0,"請求額0","回収済"),IF($L119&lt;0,IF($R119&lt;0,"差し引き待ち","差し引きすぎ"),IF($R119&lt;0,"入金が多い",IF($P119+$Q119=0,"未入金","一部入金")))))</f>
        <v/>
      </c>
      <c r="T119" s="31">
        <f>IF(OR($A119="",N($R119)&lt;=0,NOT(ISNUMBER($O119))),"",IF($O119&lt;'設定'!$B$7,'設定'!$B$7-$O119,""))</f>
        <v/>
      </c>
      <c r="U119" s="30">
        <f>IF(OR($A119="",N($R119)&lt;=0),"",IF(NOT(ISNUMBER($O119)),'設定'!$B$22,IF($O119&gt;='設定'!$B$7,'設定'!$B$17,IF('設定'!$B$7-$O119&lt;='設定'!$B$12,'設定'!$B$18,IF('設定'!$B$7-$O119&lt;='設定'!$B$13,'設定'!$B$19,IF('設定'!$B$7-$O119&lt;='設定'!$B$14,'設定'!$B$20,'設定'!$B$21))))))</f>
        <v/>
      </c>
      <c r="V119" s="56" t="n"/>
      <c r="W119" s="32">
        <f>IF($C119="","",IFERROR(MATCH($C119,'得意先'!$B$5:$B$104,0),"なし"))</f>
        <v/>
      </c>
      <c r="X119" s="33">
        <f>IF($A119="","",IF(ISNUMBER($E119),$E119,IF(ISNUMBER($B119),$B119,"")))</f>
        <v/>
      </c>
      <c r="Y119" s="34">
        <f>IF($T119="","",$O119+ROW()/1000000)</f>
        <v/>
      </c>
      <c r="Z119" s="35">
        <f>IF(OR($A119="",$C119="",$C119&lt;&gt;'売掛帳'!$B$3,NOT(ISNUMBER($X119))),"",IF(AND($X119&gt;='売掛帳'!$Q$3,$X119&lt;='売掛帳'!$Q$4),$X119+ROW()/10000000,""))</f>
        <v/>
      </c>
    </row>
    <row r="120" ht="18" customHeight="1">
      <c r="A120" s="18" t="n"/>
      <c r="B120" s="26" t="n"/>
      <c r="C120" s="18" t="n"/>
      <c r="D120" s="20">
        <f>IF($W120="","",IF($W120="なし","※得意先にないコード",INDEX('得意先'!$C$5:$C$104,$W120)&amp;""))</f>
        <v/>
      </c>
      <c r="E120" s="26" t="n"/>
      <c r="F120" s="19" t="n"/>
      <c r="G120" s="27" t="n"/>
      <c r="H120" s="27" t="n"/>
      <c r="I120" s="27" t="n"/>
      <c r="J120" s="28">
        <f>IF($A120="","",IF('設定'!$B$10="四捨五入",ROUND(IF('設定'!$B$9="税込",N($G120)*10/110,N($G120)*10/100),0),IF('設定'!$B$10="切り上げ",ROUNDUP(IF('設定'!$B$9="税込",N($G120)*10/110,N($G120)*10/100),0),ROUNDDOWN(IF('設定'!$B$9="税込",N($G120)*10/110,N($G120)*10/100),0))))</f>
        <v/>
      </c>
      <c r="K120" s="28">
        <f>IF($A120="","",IF('設定'!$B$10="四捨五入",ROUND(IF('設定'!$B$9="税込",N($H120)*8/108,N($H120)*8/100),0),IF('設定'!$B$10="切り上げ",ROUNDUP(IF('設定'!$B$9="税込",N($H120)*8/108,N($H120)*8/100),0),ROUNDDOWN(IF('設定'!$B$9="税込",N($H120)*8/108,N($H120)*8/100),0))))</f>
        <v/>
      </c>
      <c r="L120" s="28">
        <f>IF($A120="","",N($G120)+N($H120)+N($I120)+IF('設定'!$B$9="税込",0,$J120+$K120))</f>
        <v/>
      </c>
      <c r="M120" s="29">
        <f>IF(OR($A120="",NOT(ISNUMBER($W120)),NOT(ISNUMBER($X120))),"",IF(OR(INDEX('得意先'!$D$5:$D$104,$W120)="",INDEX('得意先'!$E$5:$E$104,$W120)="",INDEX('得意先'!$F$5:$F$104,$W120)=""),"",IF(INDEX('得意先'!$F$5:$F$104,$W120)="末",DATE(YEAR($X120),(MONTH($X120)+IF(INDEX('得意先'!$D$5:$D$104,$W120)="末",0,IF(DAY($X120)&lt;=INDEX('得意先'!$D$5:$D$104,$W120),0,1))+N(INDEX('得意先'!$E$5:$E$104,$W120)))+1,0),DATE(YEAR($X120),(MONTH($X120)+IF(INDEX('得意先'!$D$5:$D$104,$W120)="末",0,IF(DAY($X120)&lt;=INDEX('得意先'!$D$5:$D$104,$W120),0,1))+N(INDEX('得意先'!$E$5:$E$104,$W120))),MIN(INDEX('得意先'!$F$5:$F$104,$W120),DAY(DATE(YEAR($X120),(MONTH($X120)+IF(INDEX('得意先'!$D$5:$D$104,$W120)="末",0,IF(DAY($X120)&lt;=INDEX('得意先'!$D$5:$D$104,$W120),0,1))+N(INDEX('得意先'!$E$5:$E$104,$W120)))+1,0)))))))</f>
        <v/>
      </c>
      <c r="N120" s="26" t="n"/>
      <c r="O120" s="29">
        <f>IF($A120="","",IF(ISNUMBER($N120),$N120,$M120))</f>
        <v/>
      </c>
      <c r="P120" s="28">
        <f>IF($A120="","",SUMIF('入金消込'!$F$5:$F$1004,$A120,'入金消込'!$G$5:$G$1004))</f>
        <v/>
      </c>
      <c r="Q120" s="28">
        <f>IF($A120="","",SUMIF('入金消込'!$F$5:$F$1004,$A120,'入金消込'!$H$5:$H$1004)+SUMIF('入金消込'!$F$5:$F$1004,$A120,'入金消込'!$I$5:$I$1004))</f>
        <v/>
      </c>
      <c r="R120" s="28">
        <f>IF($A120="","",$L120-$P120-$Q120)</f>
        <v/>
      </c>
      <c r="S120" s="30">
        <f>IF($A120="","",IF($R120=0,IF($L120=0,"請求額0","回収済"),IF($L120&lt;0,IF($R120&lt;0,"差し引き待ち","差し引きすぎ"),IF($R120&lt;0,"入金が多い",IF($P120+$Q120=0,"未入金","一部入金")))))</f>
        <v/>
      </c>
      <c r="T120" s="31">
        <f>IF(OR($A120="",N($R120)&lt;=0,NOT(ISNUMBER($O120))),"",IF($O120&lt;'設定'!$B$7,'設定'!$B$7-$O120,""))</f>
        <v/>
      </c>
      <c r="U120" s="30">
        <f>IF(OR($A120="",N($R120)&lt;=0),"",IF(NOT(ISNUMBER($O120)),'設定'!$B$22,IF($O120&gt;='設定'!$B$7,'設定'!$B$17,IF('設定'!$B$7-$O120&lt;='設定'!$B$12,'設定'!$B$18,IF('設定'!$B$7-$O120&lt;='設定'!$B$13,'設定'!$B$19,IF('設定'!$B$7-$O120&lt;='設定'!$B$14,'設定'!$B$20,'設定'!$B$21))))))</f>
        <v/>
      </c>
      <c r="V120" s="56" t="n"/>
      <c r="W120" s="32">
        <f>IF($C120="","",IFERROR(MATCH($C120,'得意先'!$B$5:$B$104,0),"なし"))</f>
        <v/>
      </c>
      <c r="X120" s="33">
        <f>IF($A120="","",IF(ISNUMBER($E120),$E120,IF(ISNUMBER($B120),$B120,"")))</f>
        <v/>
      </c>
      <c r="Y120" s="34">
        <f>IF($T120="","",$O120+ROW()/1000000)</f>
        <v/>
      </c>
      <c r="Z120" s="35">
        <f>IF(OR($A120="",$C120="",$C120&lt;&gt;'売掛帳'!$B$3,NOT(ISNUMBER($X120))),"",IF(AND($X120&gt;='売掛帳'!$Q$3,$X120&lt;='売掛帳'!$Q$4),$X120+ROW()/10000000,""))</f>
        <v/>
      </c>
    </row>
    <row r="121" ht="18" customHeight="1">
      <c r="A121" s="18" t="n"/>
      <c r="B121" s="26" t="n"/>
      <c r="C121" s="18" t="n"/>
      <c r="D121" s="20">
        <f>IF($W121="","",IF($W121="なし","※得意先にないコード",INDEX('得意先'!$C$5:$C$104,$W121)&amp;""))</f>
        <v/>
      </c>
      <c r="E121" s="26" t="n"/>
      <c r="F121" s="19" t="n"/>
      <c r="G121" s="27" t="n"/>
      <c r="H121" s="27" t="n"/>
      <c r="I121" s="27" t="n"/>
      <c r="J121" s="28">
        <f>IF($A121="","",IF('設定'!$B$10="四捨五入",ROUND(IF('設定'!$B$9="税込",N($G121)*10/110,N($G121)*10/100),0),IF('設定'!$B$10="切り上げ",ROUNDUP(IF('設定'!$B$9="税込",N($G121)*10/110,N($G121)*10/100),0),ROUNDDOWN(IF('設定'!$B$9="税込",N($G121)*10/110,N($G121)*10/100),0))))</f>
        <v/>
      </c>
      <c r="K121" s="28">
        <f>IF($A121="","",IF('設定'!$B$10="四捨五入",ROUND(IF('設定'!$B$9="税込",N($H121)*8/108,N($H121)*8/100),0),IF('設定'!$B$10="切り上げ",ROUNDUP(IF('設定'!$B$9="税込",N($H121)*8/108,N($H121)*8/100),0),ROUNDDOWN(IF('設定'!$B$9="税込",N($H121)*8/108,N($H121)*8/100),0))))</f>
        <v/>
      </c>
      <c r="L121" s="28">
        <f>IF($A121="","",N($G121)+N($H121)+N($I121)+IF('設定'!$B$9="税込",0,$J121+$K121))</f>
        <v/>
      </c>
      <c r="M121" s="29">
        <f>IF(OR($A121="",NOT(ISNUMBER($W121)),NOT(ISNUMBER($X121))),"",IF(OR(INDEX('得意先'!$D$5:$D$104,$W121)="",INDEX('得意先'!$E$5:$E$104,$W121)="",INDEX('得意先'!$F$5:$F$104,$W121)=""),"",IF(INDEX('得意先'!$F$5:$F$104,$W121)="末",DATE(YEAR($X121),(MONTH($X121)+IF(INDEX('得意先'!$D$5:$D$104,$W121)="末",0,IF(DAY($X121)&lt;=INDEX('得意先'!$D$5:$D$104,$W121),0,1))+N(INDEX('得意先'!$E$5:$E$104,$W121)))+1,0),DATE(YEAR($X121),(MONTH($X121)+IF(INDEX('得意先'!$D$5:$D$104,$W121)="末",0,IF(DAY($X121)&lt;=INDEX('得意先'!$D$5:$D$104,$W121),0,1))+N(INDEX('得意先'!$E$5:$E$104,$W121))),MIN(INDEX('得意先'!$F$5:$F$104,$W121),DAY(DATE(YEAR($X121),(MONTH($X121)+IF(INDEX('得意先'!$D$5:$D$104,$W121)="末",0,IF(DAY($X121)&lt;=INDEX('得意先'!$D$5:$D$104,$W121),0,1))+N(INDEX('得意先'!$E$5:$E$104,$W121)))+1,0)))))))</f>
        <v/>
      </c>
      <c r="N121" s="26" t="n"/>
      <c r="O121" s="29">
        <f>IF($A121="","",IF(ISNUMBER($N121),$N121,$M121))</f>
        <v/>
      </c>
      <c r="P121" s="28">
        <f>IF($A121="","",SUMIF('入金消込'!$F$5:$F$1004,$A121,'入金消込'!$G$5:$G$1004))</f>
        <v/>
      </c>
      <c r="Q121" s="28">
        <f>IF($A121="","",SUMIF('入金消込'!$F$5:$F$1004,$A121,'入金消込'!$H$5:$H$1004)+SUMIF('入金消込'!$F$5:$F$1004,$A121,'入金消込'!$I$5:$I$1004))</f>
        <v/>
      </c>
      <c r="R121" s="28">
        <f>IF($A121="","",$L121-$P121-$Q121)</f>
        <v/>
      </c>
      <c r="S121" s="30">
        <f>IF($A121="","",IF($R121=0,IF($L121=0,"請求額0","回収済"),IF($L121&lt;0,IF($R121&lt;0,"差し引き待ち","差し引きすぎ"),IF($R121&lt;0,"入金が多い",IF($P121+$Q121=0,"未入金","一部入金")))))</f>
        <v/>
      </c>
      <c r="T121" s="31">
        <f>IF(OR($A121="",N($R121)&lt;=0,NOT(ISNUMBER($O121))),"",IF($O121&lt;'設定'!$B$7,'設定'!$B$7-$O121,""))</f>
        <v/>
      </c>
      <c r="U121" s="30">
        <f>IF(OR($A121="",N($R121)&lt;=0),"",IF(NOT(ISNUMBER($O121)),'設定'!$B$22,IF($O121&gt;='設定'!$B$7,'設定'!$B$17,IF('設定'!$B$7-$O121&lt;='設定'!$B$12,'設定'!$B$18,IF('設定'!$B$7-$O121&lt;='設定'!$B$13,'設定'!$B$19,IF('設定'!$B$7-$O121&lt;='設定'!$B$14,'設定'!$B$20,'設定'!$B$21))))))</f>
        <v/>
      </c>
      <c r="V121" s="56" t="n"/>
      <c r="W121" s="32">
        <f>IF($C121="","",IFERROR(MATCH($C121,'得意先'!$B$5:$B$104,0),"なし"))</f>
        <v/>
      </c>
      <c r="X121" s="33">
        <f>IF($A121="","",IF(ISNUMBER($E121),$E121,IF(ISNUMBER($B121),$B121,"")))</f>
        <v/>
      </c>
      <c r="Y121" s="34">
        <f>IF($T121="","",$O121+ROW()/1000000)</f>
        <v/>
      </c>
      <c r="Z121" s="35">
        <f>IF(OR($A121="",$C121="",$C121&lt;&gt;'売掛帳'!$B$3,NOT(ISNUMBER($X121))),"",IF(AND($X121&gt;='売掛帳'!$Q$3,$X121&lt;='売掛帳'!$Q$4),$X121+ROW()/10000000,""))</f>
        <v/>
      </c>
    </row>
    <row r="122" ht="18" customHeight="1">
      <c r="A122" s="18" t="n"/>
      <c r="B122" s="26" t="n"/>
      <c r="C122" s="18" t="n"/>
      <c r="D122" s="20">
        <f>IF($W122="","",IF($W122="なし","※得意先にないコード",INDEX('得意先'!$C$5:$C$104,$W122)&amp;""))</f>
        <v/>
      </c>
      <c r="E122" s="26" t="n"/>
      <c r="F122" s="19" t="n"/>
      <c r="G122" s="27" t="n"/>
      <c r="H122" s="27" t="n"/>
      <c r="I122" s="27" t="n"/>
      <c r="J122" s="28">
        <f>IF($A122="","",IF('設定'!$B$10="四捨五入",ROUND(IF('設定'!$B$9="税込",N($G122)*10/110,N($G122)*10/100),0),IF('設定'!$B$10="切り上げ",ROUNDUP(IF('設定'!$B$9="税込",N($G122)*10/110,N($G122)*10/100),0),ROUNDDOWN(IF('設定'!$B$9="税込",N($G122)*10/110,N($G122)*10/100),0))))</f>
        <v/>
      </c>
      <c r="K122" s="28">
        <f>IF($A122="","",IF('設定'!$B$10="四捨五入",ROUND(IF('設定'!$B$9="税込",N($H122)*8/108,N($H122)*8/100),0),IF('設定'!$B$10="切り上げ",ROUNDUP(IF('設定'!$B$9="税込",N($H122)*8/108,N($H122)*8/100),0),ROUNDDOWN(IF('設定'!$B$9="税込",N($H122)*8/108,N($H122)*8/100),0))))</f>
        <v/>
      </c>
      <c r="L122" s="28">
        <f>IF($A122="","",N($G122)+N($H122)+N($I122)+IF('設定'!$B$9="税込",0,$J122+$K122))</f>
        <v/>
      </c>
      <c r="M122" s="29">
        <f>IF(OR($A122="",NOT(ISNUMBER($W122)),NOT(ISNUMBER($X122))),"",IF(OR(INDEX('得意先'!$D$5:$D$104,$W122)="",INDEX('得意先'!$E$5:$E$104,$W122)="",INDEX('得意先'!$F$5:$F$104,$W122)=""),"",IF(INDEX('得意先'!$F$5:$F$104,$W122)="末",DATE(YEAR($X122),(MONTH($X122)+IF(INDEX('得意先'!$D$5:$D$104,$W122)="末",0,IF(DAY($X122)&lt;=INDEX('得意先'!$D$5:$D$104,$W122),0,1))+N(INDEX('得意先'!$E$5:$E$104,$W122)))+1,0),DATE(YEAR($X122),(MONTH($X122)+IF(INDEX('得意先'!$D$5:$D$104,$W122)="末",0,IF(DAY($X122)&lt;=INDEX('得意先'!$D$5:$D$104,$W122),0,1))+N(INDEX('得意先'!$E$5:$E$104,$W122))),MIN(INDEX('得意先'!$F$5:$F$104,$W122),DAY(DATE(YEAR($X122),(MONTH($X122)+IF(INDEX('得意先'!$D$5:$D$104,$W122)="末",0,IF(DAY($X122)&lt;=INDEX('得意先'!$D$5:$D$104,$W122),0,1))+N(INDEX('得意先'!$E$5:$E$104,$W122)))+1,0)))))))</f>
        <v/>
      </c>
      <c r="N122" s="26" t="n"/>
      <c r="O122" s="29">
        <f>IF($A122="","",IF(ISNUMBER($N122),$N122,$M122))</f>
        <v/>
      </c>
      <c r="P122" s="28">
        <f>IF($A122="","",SUMIF('入金消込'!$F$5:$F$1004,$A122,'入金消込'!$G$5:$G$1004))</f>
        <v/>
      </c>
      <c r="Q122" s="28">
        <f>IF($A122="","",SUMIF('入金消込'!$F$5:$F$1004,$A122,'入金消込'!$H$5:$H$1004)+SUMIF('入金消込'!$F$5:$F$1004,$A122,'入金消込'!$I$5:$I$1004))</f>
        <v/>
      </c>
      <c r="R122" s="28">
        <f>IF($A122="","",$L122-$P122-$Q122)</f>
        <v/>
      </c>
      <c r="S122" s="30">
        <f>IF($A122="","",IF($R122=0,IF($L122=0,"請求額0","回収済"),IF($L122&lt;0,IF($R122&lt;0,"差し引き待ち","差し引きすぎ"),IF($R122&lt;0,"入金が多い",IF($P122+$Q122=0,"未入金","一部入金")))))</f>
        <v/>
      </c>
      <c r="T122" s="31">
        <f>IF(OR($A122="",N($R122)&lt;=0,NOT(ISNUMBER($O122))),"",IF($O122&lt;'設定'!$B$7,'設定'!$B$7-$O122,""))</f>
        <v/>
      </c>
      <c r="U122" s="30">
        <f>IF(OR($A122="",N($R122)&lt;=0),"",IF(NOT(ISNUMBER($O122)),'設定'!$B$22,IF($O122&gt;='設定'!$B$7,'設定'!$B$17,IF('設定'!$B$7-$O122&lt;='設定'!$B$12,'設定'!$B$18,IF('設定'!$B$7-$O122&lt;='設定'!$B$13,'設定'!$B$19,IF('設定'!$B$7-$O122&lt;='設定'!$B$14,'設定'!$B$20,'設定'!$B$21))))))</f>
        <v/>
      </c>
      <c r="V122" s="56" t="n"/>
      <c r="W122" s="32">
        <f>IF($C122="","",IFERROR(MATCH($C122,'得意先'!$B$5:$B$104,0),"なし"))</f>
        <v/>
      </c>
      <c r="X122" s="33">
        <f>IF($A122="","",IF(ISNUMBER($E122),$E122,IF(ISNUMBER($B122),$B122,"")))</f>
        <v/>
      </c>
      <c r="Y122" s="34">
        <f>IF($T122="","",$O122+ROW()/1000000)</f>
        <v/>
      </c>
      <c r="Z122" s="35">
        <f>IF(OR($A122="",$C122="",$C122&lt;&gt;'売掛帳'!$B$3,NOT(ISNUMBER($X122))),"",IF(AND($X122&gt;='売掛帳'!$Q$3,$X122&lt;='売掛帳'!$Q$4),$X122+ROW()/10000000,""))</f>
        <v/>
      </c>
    </row>
    <row r="123" ht="18" customHeight="1">
      <c r="A123" s="18" t="n"/>
      <c r="B123" s="26" t="n"/>
      <c r="C123" s="18" t="n"/>
      <c r="D123" s="20">
        <f>IF($W123="","",IF($W123="なし","※得意先にないコード",INDEX('得意先'!$C$5:$C$104,$W123)&amp;""))</f>
        <v/>
      </c>
      <c r="E123" s="26" t="n"/>
      <c r="F123" s="19" t="n"/>
      <c r="G123" s="27" t="n"/>
      <c r="H123" s="27" t="n"/>
      <c r="I123" s="27" t="n"/>
      <c r="J123" s="28">
        <f>IF($A123="","",IF('設定'!$B$10="四捨五入",ROUND(IF('設定'!$B$9="税込",N($G123)*10/110,N($G123)*10/100),0),IF('設定'!$B$10="切り上げ",ROUNDUP(IF('設定'!$B$9="税込",N($G123)*10/110,N($G123)*10/100),0),ROUNDDOWN(IF('設定'!$B$9="税込",N($G123)*10/110,N($G123)*10/100),0))))</f>
        <v/>
      </c>
      <c r="K123" s="28">
        <f>IF($A123="","",IF('設定'!$B$10="四捨五入",ROUND(IF('設定'!$B$9="税込",N($H123)*8/108,N($H123)*8/100),0),IF('設定'!$B$10="切り上げ",ROUNDUP(IF('設定'!$B$9="税込",N($H123)*8/108,N($H123)*8/100),0),ROUNDDOWN(IF('設定'!$B$9="税込",N($H123)*8/108,N($H123)*8/100),0))))</f>
        <v/>
      </c>
      <c r="L123" s="28">
        <f>IF($A123="","",N($G123)+N($H123)+N($I123)+IF('設定'!$B$9="税込",0,$J123+$K123))</f>
        <v/>
      </c>
      <c r="M123" s="29">
        <f>IF(OR($A123="",NOT(ISNUMBER($W123)),NOT(ISNUMBER($X123))),"",IF(OR(INDEX('得意先'!$D$5:$D$104,$W123)="",INDEX('得意先'!$E$5:$E$104,$W123)="",INDEX('得意先'!$F$5:$F$104,$W123)=""),"",IF(INDEX('得意先'!$F$5:$F$104,$W123)="末",DATE(YEAR($X123),(MONTH($X123)+IF(INDEX('得意先'!$D$5:$D$104,$W123)="末",0,IF(DAY($X123)&lt;=INDEX('得意先'!$D$5:$D$104,$W123),0,1))+N(INDEX('得意先'!$E$5:$E$104,$W123)))+1,0),DATE(YEAR($X123),(MONTH($X123)+IF(INDEX('得意先'!$D$5:$D$104,$W123)="末",0,IF(DAY($X123)&lt;=INDEX('得意先'!$D$5:$D$104,$W123),0,1))+N(INDEX('得意先'!$E$5:$E$104,$W123))),MIN(INDEX('得意先'!$F$5:$F$104,$W123),DAY(DATE(YEAR($X123),(MONTH($X123)+IF(INDEX('得意先'!$D$5:$D$104,$W123)="末",0,IF(DAY($X123)&lt;=INDEX('得意先'!$D$5:$D$104,$W123),0,1))+N(INDEX('得意先'!$E$5:$E$104,$W123)))+1,0)))))))</f>
        <v/>
      </c>
      <c r="N123" s="26" t="n"/>
      <c r="O123" s="29">
        <f>IF($A123="","",IF(ISNUMBER($N123),$N123,$M123))</f>
        <v/>
      </c>
      <c r="P123" s="28">
        <f>IF($A123="","",SUMIF('入金消込'!$F$5:$F$1004,$A123,'入金消込'!$G$5:$G$1004))</f>
        <v/>
      </c>
      <c r="Q123" s="28">
        <f>IF($A123="","",SUMIF('入金消込'!$F$5:$F$1004,$A123,'入金消込'!$H$5:$H$1004)+SUMIF('入金消込'!$F$5:$F$1004,$A123,'入金消込'!$I$5:$I$1004))</f>
        <v/>
      </c>
      <c r="R123" s="28">
        <f>IF($A123="","",$L123-$P123-$Q123)</f>
        <v/>
      </c>
      <c r="S123" s="30">
        <f>IF($A123="","",IF($R123=0,IF($L123=0,"請求額0","回収済"),IF($L123&lt;0,IF($R123&lt;0,"差し引き待ち","差し引きすぎ"),IF($R123&lt;0,"入金が多い",IF($P123+$Q123=0,"未入金","一部入金")))))</f>
        <v/>
      </c>
      <c r="T123" s="31">
        <f>IF(OR($A123="",N($R123)&lt;=0,NOT(ISNUMBER($O123))),"",IF($O123&lt;'設定'!$B$7,'設定'!$B$7-$O123,""))</f>
        <v/>
      </c>
      <c r="U123" s="30">
        <f>IF(OR($A123="",N($R123)&lt;=0),"",IF(NOT(ISNUMBER($O123)),'設定'!$B$22,IF($O123&gt;='設定'!$B$7,'設定'!$B$17,IF('設定'!$B$7-$O123&lt;='設定'!$B$12,'設定'!$B$18,IF('設定'!$B$7-$O123&lt;='設定'!$B$13,'設定'!$B$19,IF('設定'!$B$7-$O123&lt;='設定'!$B$14,'設定'!$B$20,'設定'!$B$21))))))</f>
        <v/>
      </c>
      <c r="V123" s="56" t="n"/>
      <c r="W123" s="32">
        <f>IF($C123="","",IFERROR(MATCH($C123,'得意先'!$B$5:$B$104,0),"なし"))</f>
        <v/>
      </c>
      <c r="X123" s="33">
        <f>IF($A123="","",IF(ISNUMBER($E123),$E123,IF(ISNUMBER($B123),$B123,"")))</f>
        <v/>
      </c>
      <c r="Y123" s="34">
        <f>IF($T123="","",$O123+ROW()/1000000)</f>
        <v/>
      </c>
      <c r="Z123" s="35">
        <f>IF(OR($A123="",$C123="",$C123&lt;&gt;'売掛帳'!$B$3,NOT(ISNUMBER($X123))),"",IF(AND($X123&gt;='売掛帳'!$Q$3,$X123&lt;='売掛帳'!$Q$4),$X123+ROW()/10000000,""))</f>
        <v/>
      </c>
    </row>
    <row r="124" ht="18" customHeight="1">
      <c r="A124" s="18" t="n"/>
      <c r="B124" s="26" t="n"/>
      <c r="C124" s="18" t="n"/>
      <c r="D124" s="20">
        <f>IF($W124="","",IF($W124="なし","※得意先にないコード",INDEX('得意先'!$C$5:$C$104,$W124)&amp;""))</f>
        <v/>
      </c>
      <c r="E124" s="26" t="n"/>
      <c r="F124" s="19" t="n"/>
      <c r="G124" s="27" t="n"/>
      <c r="H124" s="27" t="n"/>
      <c r="I124" s="27" t="n"/>
      <c r="J124" s="28">
        <f>IF($A124="","",IF('設定'!$B$10="四捨五入",ROUND(IF('設定'!$B$9="税込",N($G124)*10/110,N($G124)*10/100),0),IF('設定'!$B$10="切り上げ",ROUNDUP(IF('設定'!$B$9="税込",N($G124)*10/110,N($G124)*10/100),0),ROUNDDOWN(IF('設定'!$B$9="税込",N($G124)*10/110,N($G124)*10/100),0))))</f>
        <v/>
      </c>
      <c r="K124" s="28">
        <f>IF($A124="","",IF('設定'!$B$10="四捨五入",ROUND(IF('設定'!$B$9="税込",N($H124)*8/108,N($H124)*8/100),0),IF('設定'!$B$10="切り上げ",ROUNDUP(IF('設定'!$B$9="税込",N($H124)*8/108,N($H124)*8/100),0),ROUNDDOWN(IF('設定'!$B$9="税込",N($H124)*8/108,N($H124)*8/100),0))))</f>
        <v/>
      </c>
      <c r="L124" s="28">
        <f>IF($A124="","",N($G124)+N($H124)+N($I124)+IF('設定'!$B$9="税込",0,$J124+$K124))</f>
        <v/>
      </c>
      <c r="M124" s="29">
        <f>IF(OR($A124="",NOT(ISNUMBER($W124)),NOT(ISNUMBER($X124))),"",IF(OR(INDEX('得意先'!$D$5:$D$104,$W124)="",INDEX('得意先'!$E$5:$E$104,$W124)="",INDEX('得意先'!$F$5:$F$104,$W124)=""),"",IF(INDEX('得意先'!$F$5:$F$104,$W124)="末",DATE(YEAR($X124),(MONTH($X124)+IF(INDEX('得意先'!$D$5:$D$104,$W124)="末",0,IF(DAY($X124)&lt;=INDEX('得意先'!$D$5:$D$104,$W124),0,1))+N(INDEX('得意先'!$E$5:$E$104,$W124)))+1,0),DATE(YEAR($X124),(MONTH($X124)+IF(INDEX('得意先'!$D$5:$D$104,$W124)="末",0,IF(DAY($X124)&lt;=INDEX('得意先'!$D$5:$D$104,$W124),0,1))+N(INDEX('得意先'!$E$5:$E$104,$W124))),MIN(INDEX('得意先'!$F$5:$F$104,$W124),DAY(DATE(YEAR($X124),(MONTH($X124)+IF(INDEX('得意先'!$D$5:$D$104,$W124)="末",0,IF(DAY($X124)&lt;=INDEX('得意先'!$D$5:$D$104,$W124),0,1))+N(INDEX('得意先'!$E$5:$E$104,$W124)))+1,0)))))))</f>
        <v/>
      </c>
      <c r="N124" s="26" t="n"/>
      <c r="O124" s="29">
        <f>IF($A124="","",IF(ISNUMBER($N124),$N124,$M124))</f>
        <v/>
      </c>
      <c r="P124" s="28">
        <f>IF($A124="","",SUMIF('入金消込'!$F$5:$F$1004,$A124,'入金消込'!$G$5:$G$1004))</f>
        <v/>
      </c>
      <c r="Q124" s="28">
        <f>IF($A124="","",SUMIF('入金消込'!$F$5:$F$1004,$A124,'入金消込'!$H$5:$H$1004)+SUMIF('入金消込'!$F$5:$F$1004,$A124,'入金消込'!$I$5:$I$1004))</f>
        <v/>
      </c>
      <c r="R124" s="28">
        <f>IF($A124="","",$L124-$P124-$Q124)</f>
        <v/>
      </c>
      <c r="S124" s="30">
        <f>IF($A124="","",IF($R124=0,IF($L124=0,"請求額0","回収済"),IF($L124&lt;0,IF($R124&lt;0,"差し引き待ち","差し引きすぎ"),IF($R124&lt;0,"入金が多い",IF($P124+$Q124=0,"未入金","一部入金")))))</f>
        <v/>
      </c>
      <c r="T124" s="31">
        <f>IF(OR($A124="",N($R124)&lt;=0,NOT(ISNUMBER($O124))),"",IF($O124&lt;'設定'!$B$7,'設定'!$B$7-$O124,""))</f>
        <v/>
      </c>
      <c r="U124" s="30">
        <f>IF(OR($A124="",N($R124)&lt;=0),"",IF(NOT(ISNUMBER($O124)),'設定'!$B$22,IF($O124&gt;='設定'!$B$7,'設定'!$B$17,IF('設定'!$B$7-$O124&lt;='設定'!$B$12,'設定'!$B$18,IF('設定'!$B$7-$O124&lt;='設定'!$B$13,'設定'!$B$19,IF('設定'!$B$7-$O124&lt;='設定'!$B$14,'設定'!$B$20,'設定'!$B$21))))))</f>
        <v/>
      </c>
      <c r="V124" s="56" t="n"/>
      <c r="W124" s="32">
        <f>IF($C124="","",IFERROR(MATCH($C124,'得意先'!$B$5:$B$104,0),"なし"))</f>
        <v/>
      </c>
      <c r="X124" s="33">
        <f>IF($A124="","",IF(ISNUMBER($E124),$E124,IF(ISNUMBER($B124),$B124,"")))</f>
        <v/>
      </c>
      <c r="Y124" s="34">
        <f>IF($T124="","",$O124+ROW()/1000000)</f>
        <v/>
      </c>
      <c r="Z124" s="35">
        <f>IF(OR($A124="",$C124="",$C124&lt;&gt;'売掛帳'!$B$3,NOT(ISNUMBER($X124))),"",IF(AND($X124&gt;='売掛帳'!$Q$3,$X124&lt;='売掛帳'!$Q$4),$X124+ROW()/10000000,""))</f>
        <v/>
      </c>
    </row>
    <row r="125" ht="18" customHeight="1">
      <c r="A125" s="18" t="n"/>
      <c r="B125" s="26" t="n"/>
      <c r="C125" s="18" t="n"/>
      <c r="D125" s="20">
        <f>IF($W125="","",IF($W125="なし","※得意先にないコード",INDEX('得意先'!$C$5:$C$104,$W125)&amp;""))</f>
        <v/>
      </c>
      <c r="E125" s="26" t="n"/>
      <c r="F125" s="19" t="n"/>
      <c r="G125" s="27" t="n"/>
      <c r="H125" s="27" t="n"/>
      <c r="I125" s="27" t="n"/>
      <c r="J125" s="28">
        <f>IF($A125="","",IF('設定'!$B$10="四捨五入",ROUND(IF('設定'!$B$9="税込",N($G125)*10/110,N($G125)*10/100),0),IF('設定'!$B$10="切り上げ",ROUNDUP(IF('設定'!$B$9="税込",N($G125)*10/110,N($G125)*10/100),0),ROUNDDOWN(IF('設定'!$B$9="税込",N($G125)*10/110,N($G125)*10/100),0))))</f>
        <v/>
      </c>
      <c r="K125" s="28">
        <f>IF($A125="","",IF('設定'!$B$10="四捨五入",ROUND(IF('設定'!$B$9="税込",N($H125)*8/108,N($H125)*8/100),0),IF('設定'!$B$10="切り上げ",ROUNDUP(IF('設定'!$B$9="税込",N($H125)*8/108,N($H125)*8/100),0),ROUNDDOWN(IF('設定'!$B$9="税込",N($H125)*8/108,N($H125)*8/100),0))))</f>
        <v/>
      </c>
      <c r="L125" s="28">
        <f>IF($A125="","",N($G125)+N($H125)+N($I125)+IF('設定'!$B$9="税込",0,$J125+$K125))</f>
        <v/>
      </c>
      <c r="M125" s="29">
        <f>IF(OR($A125="",NOT(ISNUMBER($W125)),NOT(ISNUMBER($X125))),"",IF(OR(INDEX('得意先'!$D$5:$D$104,$W125)="",INDEX('得意先'!$E$5:$E$104,$W125)="",INDEX('得意先'!$F$5:$F$104,$W125)=""),"",IF(INDEX('得意先'!$F$5:$F$104,$W125)="末",DATE(YEAR($X125),(MONTH($X125)+IF(INDEX('得意先'!$D$5:$D$104,$W125)="末",0,IF(DAY($X125)&lt;=INDEX('得意先'!$D$5:$D$104,$W125),0,1))+N(INDEX('得意先'!$E$5:$E$104,$W125)))+1,0),DATE(YEAR($X125),(MONTH($X125)+IF(INDEX('得意先'!$D$5:$D$104,$W125)="末",0,IF(DAY($X125)&lt;=INDEX('得意先'!$D$5:$D$104,$W125),0,1))+N(INDEX('得意先'!$E$5:$E$104,$W125))),MIN(INDEX('得意先'!$F$5:$F$104,$W125),DAY(DATE(YEAR($X125),(MONTH($X125)+IF(INDEX('得意先'!$D$5:$D$104,$W125)="末",0,IF(DAY($X125)&lt;=INDEX('得意先'!$D$5:$D$104,$W125),0,1))+N(INDEX('得意先'!$E$5:$E$104,$W125)))+1,0)))))))</f>
        <v/>
      </c>
      <c r="N125" s="26" t="n"/>
      <c r="O125" s="29">
        <f>IF($A125="","",IF(ISNUMBER($N125),$N125,$M125))</f>
        <v/>
      </c>
      <c r="P125" s="28">
        <f>IF($A125="","",SUMIF('入金消込'!$F$5:$F$1004,$A125,'入金消込'!$G$5:$G$1004))</f>
        <v/>
      </c>
      <c r="Q125" s="28">
        <f>IF($A125="","",SUMIF('入金消込'!$F$5:$F$1004,$A125,'入金消込'!$H$5:$H$1004)+SUMIF('入金消込'!$F$5:$F$1004,$A125,'入金消込'!$I$5:$I$1004))</f>
        <v/>
      </c>
      <c r="R125" s="28">
        <f>IF($A125="","",$L125-$P125-$Q125)</f>
        <v/>
      </c>
      <c r="S125" s="30">
        <f>IF($A125="","",IF($R125=0,IF($L125=0,"請求額0","回収済"),IF($L125&lt;0,IF($R125&lt;0,"差し引き待ち","差し引きすぎ"),IF($R125&lt;0,"入金が多い",IF($P125+$Q125=0,"未入金","一部入金")))))</f>
        <v/>
      </c>
      <c r="T125" s="31">
        <f>IF(OR($A125="",N($R125)&lt;=0,NOT(ISNUMBER($O125))),"",IF($O125&lt;'設定'!$B$7,'設定'!$B$7-$O125,""))</f>
        <v/>
      </c>
      <c r="U125" s="30">
        <f>IF(OR($A125="",N($R125)&lt;=0),"",IF(NOT(ISNUMBER($O125)),'設定'!$B$22,IF($O125&gt;='設定'!$B$7,'設定'!$B$17,IF('設定'!$B$7-$O125&lt;='設定'!$B$12,'設定'!$B$18,IF('設定'!$B$7-$O125&lt;='設定'!$B$13,'設定'!$B$19,IF('設定'!$B$7-$O125&lt;='設定'!$B$14,'設定'!$B$20,'設定'!$B$21))))))</f>
        <v/>
      </c>
      <c r="V125" s="56" t="n"/>
      <c r="W125" s="32">
        <f>IF($C125="","",IFERROR(MATCH($C125,'得意先'!$B$5:$B$104,0),"なし"))</f>
        <v/>
      </c>
      <c r="X125" s="33">
        <f>IF($A125="","",IF(ISNUMBER($E125),$E125,IF(ISNUMBER($B125),$B125,"")))</f>
        <v/>
      </c>
      <c r="Y125" s="34">
        <f>IF($T125="","",$O125+ROW()/1000000)</f>
        <v/>
      </c>
      <c r="Z125" s="35">
        <f>IF(OR($A125="",$C125="",$C125&lt;&gt;'売掛帳'!$B$3,NOT(ISNUMBER($X125))),"",IF(AND($X125&gt;='売掛帳'!$Q$3,$X125&lt;='売掛帳'!$Q$4),$X125+ROW()/10000000,""))</f>
        <v/>
      </c>
    </row>
    <row r="126" ht="18" customHeight="1">
      <c r="A126" s="18" t="n"/>
      <c r="B126" s="26" t="n"/>
      <c r="C126" s="18" t="n"/>
      <c r="D126" s="20">
        <f>IF($W126="","",IF($W126="なし","※得意先にないコード",INDEX('得意先'!$C$5:$C$104,$W126)&amp;""))</f>
        <v/>
      </c>
      <c r="E126" s="26" t="n"/>
      <c r="F126" s="19" t="n"/>
      <c r="G126" s="27" t="n"/>
      <c r="H126" s="27" t="n"/>
      <c r="I126" s="27" t="n"/>
      <c r="J126" s="28">
        <f>IF($A126="","",IF('設定'!$B$10="四捨五入",ROUND(IF('設定'!$B$9="税込",N($G126)*10/110,N($G126)*10/100),0),IF('設定'!$B$10="切り上げ",ROUNDUP(IF('設定'!$B$9="税込",N($G126)*10/110,N($G126)*10/100),0),ROUNDDOWN(IF('設定'!$B$9="税込",N($G126)*10/110,N($G126)*10/100),0))))</f>
        <v/>
      </c>
      <c r="K126" s="28">
        <f>IF($A126="","",IF('設定'!$B$10="四捨五入",ROUND(IF('設定'!$B$9="税込",N($H126)*8/108,N($H126)*8/100),0),IF('設定'!$B$10="切り上げ",ROUNDUP(IF('設定'!$B$9="税込",N($H126)*8/108,N($H126)*8/100),0),ROUNDDOWN(IF('設定'!$B$9="税込",N($H126)*8/108,N($H126)*8/100),0))))</f>
        <v/>
      </c>
      <c r="L126" s="28">
        <f>IF($A126="","",N($G126)+N($H126)+N($I126)+IF('設定'!$B$9="税込",0,$J126+$K126))</f>
        <v/>
      </c>
      <c r="M126" s="29">
        <f>IF(OR($A126="",NOT(ISNUMBER($W126)),NOT(ISNUMBER($X126))),"",IF(OR(INDEX('得意先'!$D$5:$D$104,$W126)="",INDEX('得意先'!$E$5:$E$104,$W126)="",INDEX('得意先'!$F$5:$F$104,$W126)=""),"",IF(INDEX('得意先'!$F$5:$F$104,$W126)="末",DATE(YEAR($X126),(MONTH($X126)+IF(INDEX('得意先'!$D$5:$D$104,$W126)="末",0,IF(DAY($X126)&lt;=INDEX('得意先'!$D$5:$D$104,$W126),0,1))+N(INDEX('得意先'!$E$5:$E$104,$W126)))+1,0),DATE(YEAR($X126),(MONTH($X126)+IF(INDEX('得意先'!$D$5:$D$104,$W126)="末",0,IF(DAY($X126)&lt;=INDEX('得意先'!$D$5:$D$104,$W126),0,1))+N(INDEX('得意先'!$E$5:$E$104,$W126))),MIN(INDEX('得意先'!$F$5:$F$104,$W126),DAY(DATE(YEAR($X126),(MONTH($X126)+IF(INDEX('得意先'!$D$5:$D$104,$W126)="末",0,IF(DAY($X126)&lt;=INDEX('得意先'!$D$5:$D$104,$W126),0,1))+N(INDEX('得意先'!$E$5:$E$104,$W126)))+1,0)))))))</f>
        <v/>
      </c>
      <c r="N126" s="26" t="n"/>
      <c r="O126" s="29">
        <f>IF($A126="","",IF(ISNUMBER($N126),$N126,$M126))</f>
        <v/>
      </c>
      <c r="P126" s="28">
        <f>IF($A126="","",SUMIF('入金消込'!$F$5:$F$1004,$A126,'入金消込'!$G$5:$G$1004))</f>
        <v/>
      </c>
      <c r="Q126" s="28">
        <f>IF($A126="","",SUMIF('入金消込'!$F$5:$F$1004,$A126,'入金消込'!$H$5:$H$1004)+SUMIF('入金消込'!$F$5:$F$1004,$A126,'入金消込'!$I$5:$I$1004))</f>
        <v/>
      </c>
      <c r="R126" s="28">
        <f>IF($A126="","",$L126-$P126-$Q126)</f>
        <v/>
      </c>
      <c r="S126" s="30">
        <f>IF($A126="","",IF($R126=0,IF($L126=0,"請求額0","回収済"),IF($L126&lt;0,IF($R126&lt;0,"差し引き待ち","差し引きすぎ"),IF($R126&lt;0,"入金が多い",IF($P126+$Q126=0,"未入金","一部入金")))))</f>
        <v/>
      </c>
      <c r="T126" s="31">
        <f>IF(OR($A126="",N($R126)&lt;=0,NOT(ISNUMBER($O126))),"",IF($O126&lt;'設定'!$B$7,'設定'!$B$7-$O126,""))</f>
        <v/>
      </c>
      <c r="U126" s="30">
        <f>IF(OR($A126="",N($R126)&lt;=0),"",IF(NOT(ISNUMBER($O126)),'設定'!$B$22,IF($O126&gt;='設定'!$B$7,'設定'!$B$17,IF('設定'!$B$7-$O126&lt;='設定'!$B$12,'設定'!$B$18,IF('設定'!$B$7-$O126&lt;='設定'!$B$13,'設定'!$B$19,IF('設定'!$B$7-$O126&lt;='設定'!$B$14,'設定'!$B$20,'設定'!$B$21))))))</f>
        <v/>
      </c>
      <c r="V126" s="56" t="n"/>
      <c r="W126" s="32">
        <f>IF($C126="","",IFERROR(MATCH($C126,'得意先'!$B$5:$B$104,0),"なし"))</f>
        <v/>
      </c>
      <c r="X126" s="33">
        <f>IF($A126="","",IF(ISNUMBER($E126),$E126,IF(ISNUMBER($B126),$B126,"")))</f>
        <v/>
      </c>
      <c r="Y126" s="34">
        <f>IF($T126="","",$O126+ROW()/1000000)</f>
        <v/>
      </c>
      <c r="Z126" s="35">
        <f>IF(OR($A126="",$C126="",$C126&lt;&gt;'売掛帳'!$B$3,NOT(ISNUMBER($X126))),"",IF(AND($X126&gt;='売掛帳'!$Q$3,$X126&lt;='売掛帳'!$Q$4),$X126+ROW()/10000000,""))</f>
        <v/>
      </c>
    </row>
    <row r="127" ht="18" customHeight="1">
      <c r="A127" s="18" t="n"/>
      <c r="B127" s="26" t="n"/>
      <c r="C127" s="18" t="n"/>
      <c r="D127" s="20">
        <f>IF($W127="","",IF($W127="なし","※得意先にないコード",INDEX('得意先'!$C$5:$C$104,$W127)&amp;""))</f>
        <v/>
      </c>
      <c r="E127" s="26" t="n"/>
      <c r="F127" s="19" t="n"/>
      <c r="G127" s="27" t="n"/>
      <c r="H127" s="27" t="n"/>
      <c r="I127" s="27" t="n"/>
      <c r="J127" s="28">
        <f>IF($A127="","",IF('設定'!$B$10="四捨五入",ROUND(IF('設定'!$B$9="税込",N($G127)*10/110,N($G127)*10/100),0),IF('設定'!$B$10="切り上げ",ROUNDUP(IF('設定'!$B$9="税込",N($G127)*10/110,N($G127)*10/100),0),ROUNDDOWN(IF('設定'!$B$9="税込",N($G127)*10/110,N($G127)*10/100),0))))</f>
        <v/>
      </c>
      <c r="K127" s="28">
        <f>IF($A127="","",IF('設定'!$B$10="四捨五入",ROUND(IF('設定'!$B$9="税込",N($H127)*8/108,N($H127)*8/100),0),IF('設定'!$B$10="切り上げ",ROUNDUP(IF('設定'!$B$9="税込",N($H127)*8/108,N($H127)*8/100),0),ROUNDDOWN(IF('設定'!$B$9="税込",N($H127)*8/108,N($H127)*8/100),0))))</f>
        <v/>
      </c>
      <c r="L127" s="28">
        <f>IF($A127="","",N($G127)+N($H127)+N($I127)+IF('設定'!$B$9="税込",0,$J127+$K127))</f>
        <v/>
      </c>
      <c r="M127" s="29">
        <f>IF(OR($A127="",NOT(ISNUMBER($W127)),NOT(ISNUMBER($X127))),"",IF(OR(INDEX('得意先'!$D$5:$D$104,$W127)="",INDEX('得意先'!$E$5:$E$104,$W127)="",INDEX('得意先'!$F$5:$F$104,$W127)=""),"",IF(INDEX('得意先'!$F$5:$F$104,$W127)="末",DATE(YEAR($X127),(MONTH($X127)+IF(INDEX('得意先'!$D$5:$D$104,$W127)="末",0,IF(DAY($X127)&lt;=INDEX('得意先'!$D$5:$D$104,$W127),0,1))+N(INDEX('得意先'!$E$5:$E$104,$W127)))+1,0),DATE(YEAR($X127),(MONTH($X127)+IF(INDEX('得意先'!$D$5:$D$104,$W127)="末",0,IF(DAY($X127)&lt;=INDEX('得意先'!$D$5:$D$104,$W127),0,1))+N(INDEX('得意先'!$E$5:$E$104,$W127))),MIN(INDEX('得意先'!$F$5:$F$104,$W127),DAY(DATE(YEAR($X127),(MONTH($X127)+IF(INDEX('得意先'!$D$5:$D$104,$W127)="末",0,IF(DAY($X127)&lt;=INDEX('得意先'!$D$5:$D$104,$W127),0,1))+N(INDEX('得意先'!$E$5:$E$104,$W127)))+1,0)))))))</f>
        <v/>
      </c>
      <c r="N127" s="26" t="n"/>
      <c r="O127" s="29">
        <f>IF($A127="","",IF(ISNUMBER($N127),$N127,$M127))</f>
        <v/>
      </c>
      <c r="P127" s="28">
        <f>IF($A127="","",SUMIF('入金消込'!$F$5:$F$1004,$A127,'入金消込'!$G$5:$G$1004))</f>
        <v/>
      </c>
      <c r="Q127" s="28">
        <f>IF($A127="","",SUMIF('入金消込'!$F$5:$F$1004,$A127,'入金消込'!$H$5:$H$1004)+SUMIF('入金消込'!$F$5:$F$1004,$A127,'入金消込'!$I$5:$I$1004))</f>
        <v/>
      </c>
      <c r="R127" s="28">
        <f>IF($A127="","",$L127-$P127-$Q127)</f>
        <v/>
      </c>
      <c r="S127" s="30">
        <f>IF($A127="","",IF($R127=0,IF($L127=0,"請求額0","回収済"),IF($L127&lt;0,IF($R127&lt;0,"差し引き待ち","差し引きすぎ"),IF($R127&lt;0,"入金が多い",IF($P127+$Q127=0,"未入金","一部入金")))))</f>
        <v/>
      </c>
      <c r="T127" s="31">
        <f>IF(OR($A127="",N($R127)&lt;=0,NOT(ISNUMBER($O127))),"",IF($O127&lt;'設定'!$B$7,'設定'!$B$7-$O127,""))</f>
        <v/>
      </c>
      <c r="U127" s="30">
        <f>IF(OR($A127="",N($R127)&lt;=0),"",IF(NOT(ISNUMBER($O127)),'設定'!$B$22,IF($O127&gt;='設定'!$B$7,'設定'!$B$17,IF('設定'!$B$7-$O127&lt;='設定'!$B$12,'設定'!$B$18,IF('設定'!$B$7-$O127&lt;='設定'!$B$13,'設定'!$B$19,IF('設定'!$B$7-$O127&lt;='設定'!$B$14,'設定'!$B$20,'設定'!$B$21))))))</f>
        <v/>
      </c>
      <c r="V127" s="56" t="n"/>
      <c r="W127" s="32">
        <f>IF($C127="","",IFERROR(MATCH($C127,'得意先'!$B$5:$B$104,0),"なし"))</f>
        <v/>
      </c>
      <c r="X127" s="33">
        <f>IF($A127="","",IF(ISNUMBER($E127),$E127,IF(ISNUMBER($B127),$B127,"")))</f>
        <v/>
      </c>
      <c r="Y127" s="34">
        <f>IF($T127="","",$O127+ROW()/1000000)</f>
        <v/>
      </c>
      <c r="Z127" s="35">
        <f>IF(OR($A127="",$C127="",$C127&lt;&gt;'売掛帳'!$B$3,NOT(ISNUMBER($X127))),"",IF(AND($X127&gt;='売掛帳'!$Q$3,$X127&lt;='売掛帳'!$Q$4),$X127+ROW()/10000000,""))</f>
        <v/>
      </c>
    </row>
    <row r="128" ht="18" customHeight="1">
      <c r="A128" s="18" t="n"/>
      <c r="B128" s="26" t="n"/>
      <c r="C128" s="18" t="n"/>
      <c r="D128" s="20">
        <f>IF($W128="","",IF($W128="なし","※得意先にないコード",INDEX('得意先'!$C$5:$C$104,$W128)&amp;""))</f>
        <v/>
      </c>
      <c r="E128" s="26" t="n"/>
      <c r="F128" s="19" t="n"/>
      <c r="G128" s="27" t="n"/>
      <c r="H128" s="27" t="n"/>
      <c r="I128" s="27" t="n"/>
      <c r="J128" s="28">
        <f>IF($A128="","",IF('設定'!$B$10="四捨五入",ROUND(IF('設定'!$B$9="税込",N($G128)*10/110,N($G128)*10/100),0),IF('設定'!$B$10="切り上げ",ROUNDUP(IF('設定'!$B$9="税込",N($G128)*10/110,N($G128)*10/100),0),ROUNDDOWN(IF('設定'!$B$9="税込",N($G128)*10/110,N($G128)*10/100),0))))</f>
        <v/>
      </c>
      <c r="K128" s="28">
        <f>IF($A128="","",IF('設定'!$B$10="四捨五入",ROUND(IF('設定'!$B$9="税込",N($H128)*8/108,N($H128)*8/100),0),IF('設定'!$B$10="切り上げ",ROUNDUP(IF('設定'!$B$9="税込",N($H128)*8/108,N($H128)*8/100),0),ROUNDDOWN(IF('設定'!$B$9="税込",N($H128)*8/108,N($H128)*8/100),0))))</f>
        <v/>
      </c>
      <c r="L128" s="28">
        <f>IF($A128="","",N($G128)+N($H128)+N($I128)+IF('設定'!$B$9="税込",0,$J128+$K128))</f>
        <v/>
      </c>
      <c r="M128" s="29">
        <f>IF(OR($A128="",NOT(ISNUMBER($W128)),NOT(ISNUMBER($X128))),"",IF(OR(INDEX('得意先'!$D$5:$D$104,$W128)="",INDEX('得意先'!$E$5:$E$104,$W128)="",INDEX('得意先'!$F$5:$F$104,$W128)=""),"",IF(INDEX('得意先'!$F$5:$F$104,$W128)="末",DATE(YEAR($X128),(MONTH($X128)+IF(INDEX('得意先'!$D$5:$D$104,$W128)="末",0,IF(DAY($X128)&lt;=INDEX('得意先'!$D$5:$D$104,$W128),0,1))+N(INDEX('得意先'!$E$5:$E$104,$W128)))+1,0),DATE(YEAR($X128),(MONTH($X128)+IF(INDEX('得意先'!$D$5:$D$104,$W128)="末",0,IF(DAY($X128)&lt;=INDEX('得意先'!$D$5:$D$104,$W128),0,1))+N(INDEX('得意先'!$E$5:$E$104,$W128))),MIN(INDEX('得意先'!$F$5:$F$104,$W128),DAY(DATE(YEAR($X128),(MONTH($X128)+IF(INDEX('得意先'!$D$5:$D$104,$W128)="末",0,IF(DAY($X128)&lt;=INDEX('得意先'!$D$5:$D$104,$W128),0,1))+N(INDEX('得意先'!$E$5:$E$104,$W128)))+1,0)))))))</f>
        <v/>
      </c>
      <c r="N128" s="26" t="n"/>
      <c r="O128" s="29">
        <f>IF($A128="","",IF(ISNUMBER($N128),$N128,$M128))</f>
        <v/>
      </c>
      <c r="P128" s="28">
        <f>IF($A128="","",SUMIF('入金消込'!$F$5:$F$1004,$A128,'入金消込'!$G$5:$G$1004))</f>
        <v/>
      </c>
      <c r="Q128" s="28">
        <f>IF($A128="","",SUMIF('入金消込'!$F$5:$F$1004,$A128,'入金消込'!$H$5:$H$1004)+SUMIF('入金消込'!$F$5:$F$1004,$A128,'入金消込'!$I$5:$I$1004))</f>
        <v/>
      </c>
      <c r="R128" s="28">
        <f>IF($A128="","",$L128-$P128-$Q128)</f>
        <v/>
      </c>
      <c r="S128" s="30">
        <f>IF($A128="","",IF($R128=0,IF($L128=0,"請求額0","回収済"),IF($L128&lt;0,IF($R128&lt;0,"差し引き待ち","差し引きすぎ"),IF($R128&lt;0,"入金が多い",IF($P128+$Q128=0,"未入金","一部入金")))))</f>
        <v/>
      </c>
      <c r="T128" s="31">
        <f>IF(OR($A128="",N($R128)&lt;=0,NOT(ISNUMBER($O128))),"",IF($O128&lt;'設定'!$B$7,'設定'!$B$7-$O128,""))</f>
        <v/>
      </c>
      <c r="U128" s="30">
        <f>IF(OR($A128="",N($R128)&lt;=0),"",IF(NOT(ISNUMBER($O128)),'設定'!$B$22,IF($O128&gt;='設定'!$B$7,'設定'!$B$17,IF('設定'!$B$7-$O128&lt;='設定'!$B$12,'設定'!$B$18,IF('設定'!$B$7-$O128&lt;='設定'!$B$13,'設定'!$B$19,IF('設定'!$B$7-$O128&lt;='設定'!$B$14,'設定'!$B$20,'設定'!$B$21))))))</f>
        <v/>
      </c>
      <c r="V128" s="56" t="n"/>
      <c r="W128" s="32">
        <f>IF($C128="","",IFERROR(MATCH($C128,'得意先'!$B$5:$B$104,0),"なし"))</f>
        <v/>
      </c>
      <c r="X128" s="33">
        <f>IF($A128="","",IF(ISNUMBER($E128),$E128,IF(ISNUMBER($B128),$B128,"")))</f>
        <v/>
      </c>
      <c r="Y128" s="34">
        <f>IF($T128="","",$O128+ROW()/1000000)</f>
        <v/>
      </c>
      <c r="Z128" s="35">
        <f>IF(OR($A128="",$C128="",$C128&lt;&gt;'売掛帳'!$B$3,NOT(ISNUMBER($X128))),"",IF(AND($X128&gt;='売掛帳'!$Q$3,$X128&lt;='売掛帳'!$Q$4),$X128+ROW()/10000000,""))</f>
        <v/>
      </c>
    </row>
    <row r="129" ht="18" customHeight="1">
      <c r="A129" s="18" t="n"/>
      <c r="B129" s="26" t="n"/>
      <c r="C129" s="18" t="n"/>
      <c r="D129" s="20">
        <f>IF($W129="","",IF($W129="なし","※得意先にないコード",INDEX('得意先'!$C$5:$C$104,$W129)&amp;""))</f>
        <v/>
      </c>
      <c r="E129" s="26" t="n"/>
      <c r="F129" s="19" t="n"/>
      <c r="G129" s="27" t="n"/>
      <c r="H129" s="27" t="n"/>
      <c r="I129" s="27" t="n"/>
      <c r="J129" s="28">
        <f>IF($A129="","",IF('設定'!$B$10="四捨五入",ROUND(IF('設定'!$B$9="税込",N($G129)*10/110,N($G129)*10/100),0),IF('設定'!$B$10="切り上げ",ROUNDUP(IF('設定'!$B$9="税込",N($G129)*10/110,N($G129)*10/100),0),ROUNDDOWN(IF('設定'!$B$9="税込",N($G129)*10/110,N($G129)*10/100),0))))</f>
        <v/>
      </c>
      <c r="K129" s="28">
        <f>IF($A129="","",IF('設定'!$B$10="四捨五入",ROUND(IF('設定'!$B$9="税込",N($H129)*8/108,N($H129)*8/100),0),IF('設定'!$B$10="切り上げ",ROUNDUP(IF('設定'!$B$9="税込",N($H129)*8/108,N($H129)*8/100),0),ROUNDDOWN(IF('設定'!$B$9="税込",N($H129)*8/108,N($H129)*8/100),0))))</f>
        <v/>
      </c>
      <c r="L129" s="28">
        <f>IF($A129="","",N($G129)+N($H129)+N($I129)+IF('設定'!$B$9="税込",0,$J129+$K129))</f>
        <v/>
      </c>
      <c r="M129" s="29">
        <f>IF(OR($A129="",NOT(ISNUMBER($W129)),NOT(ISNUMBER($X129))),"",IF(OR(INDEX('得意先'!$D$5:$D$104,$W129)="",INDEX('得意先'!$E$5:$E$104,$W129)="",INDEX('得意先'!$F$5:$F$104,$W129)=""),"",IF(INDEX('得意先'!$F$5:$F$104,$W129)="末",DATE(YEAR($X129),(MONTH($X129)+IF(INDEX('得意先'!$D$5:$D$104,$W129)="末",0,IF(DAY($X129)&lt;=INDEX('得意先'!$D$5:$D$104,$W129),0,1))+N(INDEX('得意先'!$E$5:$E$104,$W129)))+1,0),DATE(YEAR($X129),(MONTH($X129)+IF(INDEX('得意先'!$D$5:$D$104,$W129)="末",0,IF(DAY($X129)&lt;=INDEX('得意先'!$D$5:$D$104,$W129),0,1))+N(INDEX('得意先'!$E$5:$E$104,$W129))),MIN(INDEX('得意先'!$F$5:$F$104,$W129),DAY(DATE(YEAR($X129),(MONTH($X129)+IF(INDEX('得意先'!$D$5:$D$104,$W129)="末",0,IF(DAY($X129)&lt;=INDEX('得意先'!$D$5:$D$104,$W129),0,1))+N(INDEX('得意先'!$E$5:$E$104,$W129)))+1,0)))))))</f>
        <v/>
      </c>
      <c r="N129" s="26" t="n"/>
      <c r="O129" s="29">
        <f>IF($A129="","",IF(ISNUMBER($N129),$N129,$M129))</f>
        <v/>
      </c>
      <c r="P129" s="28">
        <f>IF($A129="","",SUMIF('入金消込'!$F$5:$F$1004,$A129,'入金消込'!$G$5:$G$1004))</f>
        <v/>
      </c>
      <c r="Q129" s="28">
        <f>IF($A129="","",SUMIF('入金消込'!$F$5:$F$1004,$A129,'入金消込'!$H$5:$H$1004)+SUMIF('入金消込'!$F$5:$F$1004,$A129,'入金消込'!$I$5:$I$1004))</f>
        <v/>
      </c>
      <c r="R129" s="28">
        <f>IF($A129="","",$L129-$P129-$Q129)</f>
        <v/>
      </c>
      <c r="S129" s="30">
        <f>IF($A129="","",IF($R129=0,IF($L129=0,"請求額0","回収済"),IF($L129&lt;0,IF($R129&lt;0,"差し引き待ち","差し引きすぎ"),IF($R129&lt;0,"入金が多い",IF($P129+$Q129=0,"未入金","一部入金")))))</f>
        <v/>
      </c>
      <c r="T129" s="31">
        <f>IF(OR($A129="",N($R129)&lt;=0,NOT(ISNUMBER($O129))),"",IF($O129&lt;'設定'!$B$7,'設定'!$B$7-$O129,""))</f>
        <v/>
      </c>
      <c r="U129" s="30">
        <f>IF(OR($A129="",N($R129)&lt;=0),"",IF(NOT(ISNUMBER($O129)),'設定'!$B$22,IF($O129&gt;='設定'!$B$7,'設定'!$B$17,IF('設定'!$B$7-$O129&lt;='設定'!$B$12,'設定'!$B$18,IF('設定'!$B$7-$O129&lt;='設定'!$B$13,'設定'!$B$19,IF('設定'!$B$7-$O129&lt;='設定'!$B$14,'設定'!$B$20,'設定'!$B$21))))))</f>
        <v/>
      </c>
      <c r="V129" s="56" t="n"/>
      <c r="W129" s="32">
        <f>IF($C129="","",IFERROR(MATCH($C129,'得意先'!$B$5:$B$104,0),"なし"))</f>
        <v/>
      </c>
      <c r="X129" s="33">
        <f>IF($A129="","",IF(ISNUMBER($E129),$E129,IF(ISNUMBER($B129),$B129,"")))</f>
        <v/>
      </c>
      <c r="Y129" s="34">
        <f>IF($T129="","",$O129+ROW()/1000000)</f>
        <v/>
      </c>
      <c r="Z129" s="35">
        <f>IF(OR($A129="",$C129="",$C129&lt;&gt;'売掛帳'!$B$3,NOT(ISNUMBER($X129))),"",IF(AND($X129&gt;='売掛帳'!$Q$3,$X129&lt;='売掛帳'!$Q$4),$X129+ROW()/10000000,""))</f>
        <v/>
      </c>
    </row>
    <row r="130" ht="18" customHeight="1">
      <c r="A130" s="18" t="n"/>
      <c r="B130" s="26" t="n"/>
      <c r="C130" s="18" t="n"/>
      <c r="D130" s="20">
        <f>IF($W130="","",IF($W130="なし","※得意先にないコード",INDEX('得意先'!$C$5:$C$104,$W130)&amp;""))</f>
        <v/>
      </c>
      <c r="E130" s="26" t="n"/>
      <c r="F130" s="19" t="n"/>
      <c r="G130" s="27" t="n"/>
      <c r="H130" s="27" t="n"/>
      <c r="I130" s="27" t="n"/>
      <c r="J130" s="28">
        <f>IF($A130="","",IF('設定'!$B$10="四捨五入",ROUND(IF('設定'!$B$9="税込",N($G130)*10/110,N($G130)*10/100),0),IF('設定'!$B$10="切り上げ",ROUNDUP(IF('設定'!$B$9="税込",N($G130)*10/110,N($G130)*10/100),0),ROUNDDOWN(IF('設定'!$B$9="税込",N($G130)*10/110,N($G130)*10/100),0))))</f>
        <v/>
      </c>
      <c r="K130" s="28">
        <f>IF($A130="","",IF('設定'!$B$10="四捨五入",ROUND(IF('設定'!$B$9="税込",N($H130)*8/108,N($H130)*8/100),0),IF('設定'!$B$10="切り上げ",ROUNDUP(IF('設定'!$B$9="税込",N($H130)*8/108,N($H130)*8/100),0),ROUNDDOWN(IF('設定'!$B$9="税込",N($H130)*8/108,N($H130)*8/100),0))))</f>
        <v/>
      </c>
      <c r="L130" s="28">
        <f>IF($A130="","",N($G130)+N($H130)+N($I130)+IF('設定'!$B$9="税込",0,$J130+$K130))</f>
        <v/>
      </c>
      <c r="M130" s="29">
        <f>IF(OR($A130="",NOT(ISNUMBER($W130)),NOT(ISNUMBER($X130))),"",IF(OR(INDEX('得意先'!$D$5:$D$104,$W130)="",INDEX('得意先'!$E$5:$E$104,$W130)="",INDEX('得意先'!$F$5:$F$104,$W130)=""),"",IF(INDEX('得意先'!$F$5:$F$104,$W130)="末",DATE(YEAR($X130),(MONTH($X130)+IF(INDEX('得意先'!$D$5:$D$104,$W130)="末",0,IF(DAY($X130)&lt;=INDEX('得意先'!$D$5:$D$104,$W130),0,1))+N(INDEX('得意先'!$E$5:$E$104,$W130)))+1,0),DATE(YEAR($X130),(MONTH($X130)+IF(INDEX('得意先'!$D$5:$D$104,$W130)="末",0,IF(DAY($X130)&lt;=INDEX('得意先'!$D$5:$D$104,$W130),0,1))+N(INDEX('得意先'!$E$5:$E$104,$W130))),MIN(INDEX('得意先'!$F$5:$F$104,$W130),DAY(DATE(YEAR($X130),(MONTH($X130)+IF(INDEX('得意先'!$D$5:$D$104,$W130)="末",0,IF(DAY($X130)&lt;=INDEX('得意先'!$D$5:$D$104,$W130),0,1))+N(INDEX('得意先'!$E$5:$E$104,$W130)))+1,0)))))))</f>
        <v/>
      </c>
      <c r="N130" s="26" t="n"/>
      <c r="O130" s="29">
        <f>IF($A130="","",IF(ISNUMBER($N130),$N130,$M130))</f>
        <v/>
      </c>
      <c r="P130" s="28">
        <f>IF($A130="","",SUMIF('入金消込'!$F$5:$F$1004,$A130,'入金消込'!$G$5:$G$1004))</f>
        <v/>
      </c>
      <c r="Q130" s="28">
        <f>IF($A130="","",SUMIF('入金消込'!$F$5:$F$1004,$A130,'入金消込'!$H$5:$H$1004)+SUMIF('入金消込'!$F$5:$F$1004,$A130,'入金消込'!$I$5:$I$1004))</f>
        <v/>
      </c>
      <c r="R130" s="28">
        <f>IF($A130="","",$L130-$P130-$Q130)</f>
        <v/>
      </c>
      <c r="S130" s="30">
        <f>IF($A130="","",IF($R130=0,IF($L130=0,"請求額0","回収済"),IF($L130&lt;0,IF($R130&lt;0,"差し引き待ち","差し引きすぎ"),IF($R130&lt;0,"入金が多い",IF($P130+$Q130=0,"未入金","一部入金")))))</f>
        <v/>
      </c>
      <c r="T130" s="31">
        <f>IF(OR($A130="",N($R130)&lt;=0,NOT(ISNUMBER($O130))),"",IF($O130&lt;'設定'!$B$7,'設定'!$B$7-$O130,""))</f>
        <v/>
      </c>
      <c r="U130" s="30">
        <f>IF(OR($A130="",N($R130)&lt;=0),"",IF(NOT(ISNUMBER($O130)),'設定'!$B$22,IF($O130&gt;='設定'!$B$7,'設定'!$B$17,IF('設定'!$B$7-$O130&lt;='設定'!$B$12,'設定'!$B$18,IF('設定'!$B$7-$O130&lt;='設定'!$B$13,'設定'!$B$19,IF('設定'!$B$7-$O130&lt;='設定'!$B$14,'設定'!$B$20,'設定'!$B$21))))))</f>
        <v/>
      </c>
      <c r="V130" s="56" t="n"/>
      <c r="W130" s="32">
        <f>IF($C130="","",IFERROR(MATCH($C130,'得意先'!$B$5:$B$104,0),"なし"))</f>
        <v/>
      </c>
      <c r="X130" s="33">
        <f>IF($A130="","",IF(ISNUMBER($E130),$E130,IF(ISNUMBER($B130),$B130,"")))</f>
        <v/>
      </c>
      <c r="Y130" s="34">
        <f>IF($T130="","",$O130+ROW()/1000000)</f>
        <v/>
      </c>
      <c r="Z130" s="35">
        <f>IF(OR($A130="",$C130="",$C130&lt;&gt;'売掛帳'!$B$3,NOT(ISNUMBER($X130))),"",IF(AND($X130&gt;='売掛帳'!$Q$3,$X130&lt;='売掛帳'!$Q$4),$X130+ROW()/10000000,""))</f>
        <v/>
      </c>
    </row>
    <row r="131" ht="18" customHeight="1">
      <c r="A131" s="18" t="n"/>
      <c r="B131" s="26" t="n"/>
      <c r="C131" s="18" t="n"/>
      <c r="D131" s="20">
        <f>IF($W131="","",IF($W131="なし","※得意先にないコード",INDEX('得意先'!$C$5:$C$104,$W131)&amp;""))</f>
        <v/>
      </c>
      <c r="E131" s="26" t="n"/>
      <c r="F131" s="19" t="n"/>
      <c r="G131" s="27" t="n"/>
      <c r="H131" s="27" t="n"/>
      <c r="I131" s="27" t="n"/>
      <c r="J131" s="28">
        <f>IF($A131="","",IF('設定'!$B$10="四捨五入",ROUND(IF('設定'!$B$9="税込",N($G131)*10/110,N($G131)*10/100),0),IF('設定'!$B$10="切り上げ",ROUNDUP(IF('設定'!$B$9="税込",N($G131)*10/110,N($G131)*10/100),0),ROUNDDOWN(IF('設定'!$B$9="税込",N($G131)*10/110,N($G131)*10/100),0))))</f>
        <v/>
      </c>
      <c r="K131" s="28">
        <f>IF($A131="","",IF('設定'!$B$10="四捨五入",ROUND(IF('設定'!$B$9="税込",N($H131)*8/108,N($H131)*8/100),0),IF('設定'!$B$10="切り上げ",ROUNDUP(IF('設定'!$B$9="税込",N($H131)*8/108,N($H131)*8/100),0),ROUNDDOWN(IF('設定'!$B$9="税込",N($H131)*8/108,N($H131)*8/100),0))))</f>
        <v/>
      </c>
      <c r="L131" s="28">
        <f>IF($A131="","",N($G131)+N($H131)+N($I131)+IF('設定'!$B$9="税込",0,$J131+$K131))</f>
        <v/>
      </c>
      <c r="M131" s="29">
        <f>IF(OR($A131="",NOT(ISNUMBER($W131)),NOT(ISNUMBER($X131))),"",IF(OR(INDEX('得意先'!$D$5:$D$104,$W131)="",INDEX('得意先'!$E$5:$E$104,$W131)="",INDEX('得意先'!$F$5:$F$104,$W131)=""),"",IF(INDEX('得意先'!$F$5:$F$104,$W131)="末",DATE(YEAR($X131),(MONTH($X131)+IF(INDEX('得意先'!$D$5:$D$104,$W131)="末",0,IF(DAY($X131)&lt;=INDEX('得意先'!$D$5:$D$104,$W131),0,1))+N(INDEX('得意先'!$E$5:$E$104,$W131)))+1,0),DATE(YEAR($X131),(MONTH($X131)+IF(INDEX('得意先'!$D$5:$D$104,$W131)="末",0,IF(DAY($X131)&lt;=INDEX('得意先'!$D$5:$D$104,$W131),0,1))+N(INDEX('得意先'!$E$5:$E$104,$W131))),MIN(INDEX('得意先'!$F$5:$F$104,$W131),DAY(DATE(YEAR($X131),(MONTH($X131)+IF(INDEX('得意先'!$D$5:$D$104,$W131)="末",0,IF(DAY($X131)&lt;=INDEX('得意先'!$D$5:$D$104,$W131),0,1))+N(INDEX('得意先'!$E$5:$E$104,$W131)))+1,0)))))))</f>
        <v/>
      </c>
      <c r="N131" s="26" t="n"/>
      <c r="O131" s="29">
        <f>IF($A131="","",IF(ISNUMBER($N131),$N131,$M131))</f>
        <v/>
      </c>
      <c r="P131" s="28">
        <f>IF($A131="","",SUMIF('入金消込'!$F$5:$F$1004,$A131,'入金消込'!$G$5:$G$1004))</f>
        <v/>
      </c>
      <c r="Q131" s="28">
        <f>IF($A131="","",SUMIF('入金消込'!$F$5:$F$1004,$A131,'入金消込'!$H$5:$H$1004)+SUMIF('入金消込'!$F$5:$F$1004,$A131,'入金消込'!$I$5:$I$1004))</f>
        <v/>
      </c>
      <c r="R131" s="28">
        <f>IF($A131="","",$L131-$P131-$Q131)</f>
        <v/>
      </c>
      <c r="S131" s="30">
        <f>IF($A131="","",IF($R131=0,IF($L131=0,"請求額0","回収済"),IF($L131&lt;0,IF($R131&lt;0,"差し引き待ち","差し引きすぎ"),IF($R131&lt;0,"入金が多い",IF($P131+$Q131=0,"未入金","一部入金")))))</f>
        <v/>
      </c>
      <c r="T131" s="31">
        <f>IF(OR($A131="",N($R131)&lt;=0,NOT(ISNUMBER($O131))),"",IF($O131&lt;'設定'!$B$7,'設定'!$B$7-$O131,""))</f>
        <v/>
      </c>
      <c r="U131" s="30">
        <f>IF(OR($A131="",N($R131)&lt;=0),"",IF(NOT(ISNUMBER($O131)),'設定'!$B$22,IF($O131&gt;='設定'!$B$7,'設定'!$B$17,IF('設定'!$B$7-$O131&lt;='設定'!$B$12,'設定'!$B$18,IF('設定'!$B$7-$O131&lt;='設定'!$B$13,'設定'!$B$19,IF('設定'!$B$7-$O131&lt;='設定'!$B$14,'設定'!$B$20,'設定'!$B$21))))))</f>
        <v/>
      </c>
      <c r="V131" s="56" t="n"/>
      <c r="W131" s="32">
        <f>IF($C131="","",IFERROR(MATCH($C131,'得意先'!$B$5:$B$104,0),"なし"))</f>
        <v/>
      </c>
      <c r="X131" s="33">
        <f>IF($A131="","",IF(ISNUMBER($E131),$E131,IF(ISNUMBER($B131),$B131,"")))</f>
        <v/>
      </c>
      <c r="Y131" s="34">
        <f>IF($T131="","",$O131+ROW()/1000000)</f>
        <v/>
      </c>
      <c r="Z131" s="35">
        <f>IF(OR($A131="",$C131="",$C131&lt;&gt;'売掛帳'!$B$3,NOT(ISNUMBER($X131))),"",IF(AND($X131&gt;='売掛帳'!$Q$3,$X131&lt;='売掛帳'!$Q$4),$X131+ROW()/10000000,""))</f>
        <v/>
      </c>
    </row>
    <row r="132" ht="18" customHeight="1">
      <c r="A132" s="18" t="n"/>
      <c r="B132" s="26" t="n"/>
      <c r="C132" s="18" t="n"/>
      <c r="D132" s="20">
        <f>IF($W132="","",IF($W132="なし","※得意先にないコード",INDEX('得意先'!$C$5:$C$104,$W132)&amp;""))</f>
        <v/>
      </c>
      <c r="E132" s="26" t="n"/>
      <c r="F132" s="19" t="n"/>
      <c r="G132" s="27" t="n"/>
      <c r="H132" s="27" t="n"/>
      <c r="I132" s="27" t="n"/>
      <c r="J132" s="28">
        <f>IF($A132="","",IF('設定'!$B$10="四捨五入",ROUND(IF('設定'!$B$9="税込",N($G132)*10/110,N($G132)*10/100),0),IF('設定'!$B$10="切り上げ",ROUNDUP(IF('設定'!$B$9="税込",N($G132)*10/110,N($G132)*10/100),0),ROUNDDOWN(IF('設定'!$B$9="税込",N($G132)*10/110,N($G132)*10/100),0))))</f>
        <v/>
      </c>
      <c r="K132" s="28">
        <f>IF($A132="","",IF('設定'!$B$10="四捨五入",ROUND(IF('設定'!$B$9="税込",N($H132)*8/108,N($H132)*8/100),0),IF('設定'!$B$10="切り上げ",ROUNDUP(IF('設定'!$B$9="税込",N($H132)*8/108,N($H132)*8/100),0),ROUNDDOWN(IF('設定'!$B$9="税込",N($H132)*8/108,N($H132)*8/100),0))))</f>
        <v/>
      </c>
      <c r="L132" s="28">
        <f>IF($A132="","",N($G132)+N($H132)+N($I132)+IF('設定'!$B$9="税込",0,$J132+$K132))</f>
        <v/>
      </c>
      <c r="M132" s="29">
        <f>IF(OR($A132="",NOT(ISNUMBER($W132)),NOT(ISNUMBER($X132))),"",IF(OR(INDEX('得意先'!$D$5:$D$104,$W132)="",INDEX('得意先'!$E$5:$E$104,$W132)="",INDEX('得意先'!$F$5:$F$104,$W132)=""),"",IF(INDEX('得意先'!$F$5:$F$104,$W132)="末",DATE(YEAR($X132),(MONTH($X132)+IF(INDEX('得意先'!$D$5:$D$104,$W132)="末",0,IF(DAY($X132)&lt;=INDEX('得意先'!$D$5:$D$104,$W132),0,1))+N(INDEX('得意先'!$E$5:$E$104,$W132)))+1,0),DATE(YEAR($X132),(MONTH($X132)+IF(INDEX('得意先'!$D$5:$D$104,$W132)="末",0,IF(DAY($X132)&lt;=INDEX('得意先'!$D$5:$D$104,$W132),0,1))+N(INDEX('得意先'!$E$5:$E$104,$W132))),MIN(INDEX('得意先'!$F$5:$F$104,$W132),DAY(DATE(YEAR($X132),(MONTH($X132)+IF(INDEX('得意先'!$D$5:$D$104,$W132)="末",0,IF(DAY($X132)&lt;=INDEX('得意先'!$D$5:$D$104,$W132),0,1))+N(INDEX('得意先'!$E$5:$E$104,$W132)))+1,0)))))))</f>
        <v/>
      </c>
      <c r="N132" s="26" t="n"/>
      <c r="O132" s="29">
        <f>IF($A132="","",IF(ISNUMBER($N132),$N132,$M132))</f>
        <v/>
      </c>
      <c r="P132" s="28">
        <f>IF($A132="","",SUMIF('入金消込'!$F$5:$F$1004,$A132,'入金消込'!$G$5:$G$1004))</f>
        <v/>
      </c>
      <c r="Q132" s="28">
        <f>IF($A132="","",SUMIF('入金消込'!$F$5:$F$1004,$A132,'入金消込'!$H$5:$H$1004)+SUMIF('入金消込'!$F$5:$F$1004,$A132,'入金消込'!$I$5:$I$1004))</f>
        <v/>
      </c>
      <c r="R132" s="28">
        <f>IF($A132="","",$L132-$P132-$Q132)</f>
        <v/>
      </c>
      <c r="S132" s="30">
        <f>IF($A132="","",IF($R132=0,IF($L132=0,"請求額0","回収済"),IF($L132&lt;0,IF($R132&lt;0,"差し引き待ち","差し引きすぎ"),IF($R132&lt;0,"入金が多い",IF($P132+$Q132=0,"未入金","一部入金")))))</f>
        <v/>
      </c>
      <c r="T132" s="31">
        <f>IF(OR($A132="",N($R132)&lt;=0,NOT(ISNUMBER($O132))),"",IF($O132&lt;'設定'!$B$7,'設定'!$B$7-$O132,""))</f>
        <v/>
      </c>
      <c r="U132" s="30">
        <f>IF(OR($A132="",N($R132)&lt;=0),"",IF(NOT(ISNUMBER($O132)),'設定'!$B$22,IF($O132&gt;='設定'!$B$7,'設定'!$B$17,IF('設定'!$B$7-$O132&lt;='設定'!$B$12,'設定'!$B$18,IF('設定'!$B$7-$O132&lt;='設定'!$B$13,'設定'!$B$19,IF('設定'!$B$7-$O132&lt;='設定'!$B$14,'設定'!$B$20,'設定'!$B$21))))))</f>
        <v/>
      </c>
      <c r="V132" s="56" t="n"/>
      <c r="W132" s="32">
        <f>IF($C132="","",IFERROR(MATCH($C132,'得意先'!$B$5:$B$104,0),"なし"))</f>
        <v/>
      </c>
      <c r="X132" s="33">
        <f>IF($A132="","",IF(ISNUMBER($E132),$E132,IF(ISNUMBER($B132),$B132,"")))</f>
        <v/>
      </c>
      <c r="Y132" s="34">
        <f>IF($T132="","",$O132+ROW()/1000000)</f>
        <v/>
      </c>
      <c r="Z132" s="35">
        <f>IF(OR($A132="",$C132="",$C132&lt;&gt;'売掛帳'!$B$3,NOT(ISNUMBER($X132))),"",IF(AND($X132&gt;='売掛帳'!$Q$3,$X132&lt;='売掛帳'!$Q$4),$X132+ROW()/10000000,""))</f>
        <v/>
      </c>
    </row>
    <row r="133" ht="18" customHeight="1">
      <c r="A133" s="18" t="n"/>
      <c r="B133" s="26" t="n"/>
      <c r="C133" s="18" t="n"/>
      <c r="D133" s="20">
        <f>IF($W133="","",IF($W133="なし","※得意先にないコード",INDEX('得意先'!$C$5:$C$104,$W133)&amp;""))</f>
        <v/>
      </c>
      <c r="E133" s="26" t="n"/>
      <c r="F133" s="19" t="n"/>
      <c r="G133" s="27" t="n"/>
      <c r="H133" s="27" t="n"/>
      <c r="I133" s="27" t="n"/>
      <c r="J133" s="28">
        <f>IF($A133="","",IF('設定'!$B$10="四捨五入",ROUND(IF('設定'!$B$9="税込",N($G133)*10/110,N($G133)*10/100),0),IF('設定'!$B$10="切り上げ",ROUNDUP(IF('設定'!$B$9="税込",N($G133)*10/110,N($G133)*10/100),0),ROUNDDOWN(IF('設定'!$B$9="税込",N($G133)*10/110,N($G133)*10/100),0))))</f>
        <v/>
      </c>
      <c r="K133" s="28">
        <f>IF($A133="","",IF('設定'!$B$10="四捨五入",ROUND(IF('設定'!$B$9="税込",N($H133)*8/108,N($H133)*8/100),0),IF('設定'!$B$10="切り上げ",ROUNDUP(IF('設定'!$B$9="税込",N($H133)*8/108,N($H133)*8/100),0),ROUNDDOWN(IF('設定'!$B$9="税込",N($H133)*8/108,N($H133)*8/100),0))))</f>
        <v/>
      </c>
      <c r="L133" s="28">
        <f>IF($A133="","",N($G133)+N($H133)+N($I133)+IF('設定'!$B$9="税込",0,$J133+$K133))</f>
        <v/>
      </c>
      <c r="M133" s="29">
        <f>IF(OR($A133="",NOT(ISNUMBER($W133)),NOT(ISNUMBER($X133))),"",IF(OR(INDEX('得意先'!$D$5:$D$104,$W133)="",INDEX('得意先'!$E$5:$E$104,$W133)="",INDEX('得意先'!$F$5:$F$104,$W133)=""),"",IF(INDEX('得意先'!$F$5:$F$104,$W133)="末",DATE(YEAR($X133),(MONTH($X133)+IF(INDEX('得意先'!$D$5:$D$104,$W133)="末",0,IF(DAY($X133)&lt;=INDEX('得意先'!$D$5:$D$104,$W133),0,1))+N(INDEX('得意先'!$E$5:$E$104,$W133)))+1,0),DATE(YEAR($X133),(MONTH($X133)+IF(INDEX('得意先'!$D$5:$D$104,$W133)="末",0,IF(DAY($X133)&lt;=INDEX('得意先'!$D$5:$D$104,$W133),0,1))+N(INDEX('得意先'!$E$5:$E$104,$W133))),MIN(INDEX('得意先'!$F$5:$F$104,$W133),DAY(DATE(YEAR($X133),(MONTH($X133)+IF(INDEX('得意先'!$D$5:$D$104,$W133)="末",0,IF(DAY($X133)&lt;=INDEX('得意先'!$D$5:$D$104,$W133),0,1))+N(INDEX('得意先'!$E$5:$E$104,$W133)))+1,0)))))))</f>
        <v/>
      </c>
      <c r="N133" s="26" t="n"/>
      <c r="O133" s="29">
        <f>IF($A133="","",IF(ISNUMBER($N133),$N133,$M133))</f>
        <v/>
      </c>
      <c r="P133" s="28">
        <f>IF($A133="","",SUMIF('入金消込'!$F$5:$F$1004,$A133,'入金消込'!$G$5:$G$1004))</f>
        <v/>
      </c>
      <c r="Q133" s="28">
        <f>IF($A133="","",SUMIF('入金消込'!$F$5:$F$1004,$A133,'入金消込'!$H$5:$H$1004)+SUMIF('入金消込'!$F$5:$F$1004,$A133,'入金消込'!$I$5:$I$1004))</f>
        <v/>
      </c>
      <c r="R133" s="28">
        <f>IF($A133="","",$L133-$P133-$Q133)</f>
        <v/>
      </c>
      <c r="S133" s="30">
        <f>IF($A133="","",IF($R133=0,IF($L133=0,"請求額0","回収済"),IF($L133&lt;0,IF($R133&lt;0,"差し引き待ち","差し引きすぎ"),IF($R133&lt;0,"入金が多い",IF($P133+$Q133=0,"未入金","一部入金")))))</f>
        <v/>
      </c>
      <c r="T133" s="31">
        <f>IF(OR($A133="",N($R133)&lt;=0,NOT(ISNUMBER($O133))),"",IF($O133&lt;'設定'!$B$7,'設定'!$B$7-$O133,""))</f>
        <v/>
      </c>
      <c r="U133" s="30">
        <f>IF(OR($A133="",N($R133)&lt;=0),"",IF(NOT(ISNUMBER($O133)),'設定'!$B$22,IF($O133&gt;='設定'!$B$7,'設定'!$B$17,IF('設定'!$B$7-$O133&lt;='設定'!$B$12,'設定'!$B$18,IF('設定'!$B$7-$O133&lt;='設定'!$B$13,'設定'!$B$19,IF('設定'!$B$7-$O133&lt;='設定'!$B$14,'設定'!$B$20,'設定'!$B$21))))))</f>
        <v/>
      </c>
      <c r="V133" s="56" t="n"/>
      <c r="W133" s="32">
        <f>IF($C133="","",IFERROR(MATCH($C133,'得意先'!$B$5:$B$104,0),"なし"))</f>
        <v/>
      </c>
      <c r="X133" s="33">
        <f>IF($A133="","",IF(ISNUMBER($E133),$E133,IF(ISNUMBER($B133),$B133,"")))</f>
        <v/>
      </c>
      <c r="Y133" s="34">
        <f>IF($T133="","",$O133+ROW()/1000000)</f>
        <v/>
      </c>
      <c r="Z133" s="35">
        <f>IF(OR($A133="",$C133="",$C133&lt;&gt;'売掛帳'!$B$3,NOT(ISNUMBER($X133))),"",IF(AND($X133&gt;='売掛帳'!$Q$3,$X133&lt;='売掛帳'!$Q$4),$X133+ROW()/10000000,""))</f>
        <v/>
      </c>
    </row>
    <row r="134" ht="18" customHeight="1">
      <c r="A134" s="18" t="n"/>
      <c r="B134" s="26" t="n"/>
      <c r="C134" s="18" t="n"/>
      <c r="D134" s="20">
        <f>IF($W134="","",IF($W134="なし","※得意先にないコード",INDEX('得意先'!$C$5:$C$104,$W134)&amp;""))</f>
        <v/>
      </c>
      <c r="E134" s="26" t="n"/>
      <c r="F134" s="19" t="n"/>
      <c r="G134" s="27" t="n"/>
      <c r="H134" s="27" t="n"/>
      <c r="I134" s="27" t="n"/>
      <c r="J134" s="28">
        <f>IF($A134="","",IF('設定'!$B$10="四捨五入",ROUND(IF('設定'!$B$9="税込",N($G134)*10/110,N($G134)*10/100),0),IF('設定'!$B$10="切り上げ",ROUNDUP(IF('設定'!$B$9="税込",N($G134)*10/110,N($G134)*10/100),0),ROUNDDOWN(IF('設定'!$B$9="税込",N($G134)*10/110,N($G134)*10/100),0))))</f>
        <v/>
      </c>
      <c r="K134" s="28">
        <f>IF($A134="","",IF('設定'!$B$10="四捨五入",ROUND(IF('設定'!$B$9="税込",N($H134)*8/108,N($H134)*8/100),0),IF('設定'!$B$10="切り上げ",ROUNDUP(IF('設定'!$B$9="税込",N($H134)*8/108,N($H134)*8/100),0),ROUNDDOWN(IF('設定'!$B$9="税込",N($H134)*8/108,N($H134)*8/100),0))))</f>
        <v/>
      </c>
      <c r="L134" s="28">
        <f>IF($A134="","",N($G134)+N($H134)+N($I134)+IF('設定'!$B$9="税込",0,$J134+$K134))</f>
        <v/>
      </c>
      <c r="M134" s="29">
        <f>IF(OR($A134="",NOT(ISNUMBER($W134)),NOT(ISNUMBER($X134))),"",IF(OR(INDEX('得意先'!$D$5:$D$104,$W134)="",INDEX('得意先'!$E$5:$E$104,$W134)="",INDEX('得意先'!$F$5:$F$104,$W134)=""),"",IF(INDEX('得意先'!$F$5:$F$104,$W134)="末",DATE(YEAR($X134),(MONTH($X134)+IF(INDEX('得意先'!$D$5:$D$104,$W134)="末",0,IF(DAY($X134)&lt;=INDEX('得意先'!$D$5:$D$104,$W134),0,1))+N(INDEX('得意先'!$E$5:$E$104,$W134)))+1,0),DATE(YEAR($X134),(MONTH($X134)+IF(INDEX('得意先'!$D$5:$D$104,$W134)="末",0,IF(DAY($X134)&lt;=INDEX('得意先'!$D$5:$D$104,$W134),0,1))+N(INDEX('得意先'!$E$5:$E$104,$W134))),MIN(INDEX('得意先'!$F$5:$F$104,$W134),DAY(DATE(YEAR($X134),(MONTH($X134)+IF(INDEX('得意先'!$D$5:$D$104,$W134)="末",0,IF(DAY($X134)&lt;=INDEX('得意先'!$D$5:$D$104,$W134),0,1))+N(INDEX('得意先'!$E$5:$E$104,$W134)))+1,0)))))))</f>
        <v/>
      </c>
      <c r="N134" s="26" t="n"/>
      <c r="O134" s="29">
        <f>IF($A134="","",IF(ISNUMBER($N134),$N134,$M134))</f>
        <v/>
      </c>
      <c r="P134" s="28">
        <f>IF($A134="","",SUMIF('入金消込'!$F$5:$F$1004,$A134,'入金消込'!$G$5:$G$1004))</f>
        <v/>
      </c>
      <c r="Q134" s="28">
        <f>IF($A134="","",SUMIF('入金消込'!$F$5:$F$1004,$A134,'入金消込'!$H$5:$H$1004)+SUMIF('入金消込'!$F$5:$F$1004,$A134,'入金消込'!$I$5:$I$1004))</f>
        <v/>
      </c>
      <c r="R134" s="28">
        <f>IF($A134="","",$L134-$P134-$Q134)</f>
        <v/>
      </c>
      <c r="S134" s="30">
        <f>IF($A134="","",IF($R134=0,IF($L134=0,"請求額0","回収済"),IF($L134&lt;0,IF($R134&lt;0,"差し引き待ち","差し引きすぎ"),IF($R134&lt;0,"入金が多い",IF($P134+$Q134=0,"未入金","一部入金")))))</f>
        <v/>
      </c>
      <c r="T134" s="31">
        <f>IF(OR($A134="",N($R134)&lt;=0,NOT(ISNUMBER($O134))),"",IF($O134&lt;'設定'!$B$7,'設定'!$B$7-$O134,""))</f>
        <v/>
      </c>
      <c r="U134" s="30">
        <f>IF(OR($A134="",N($R134)&lt;=0),"",IF(NOT(ISNUMBER($O134)),'設定'!$B$22,IF($O134&gt;='設定'!$B$7,'設定'!$B$17,IF('設定'!$B$7-$O134&lt;='設定'!$B$12,'設定'!$B$18,IF('設定'!$B$7-$O134&lt;='設定'!$B$13,'設定'!$B$19,IF('設定'!$B$7-$O134&lt;='設定'!$B$14,'設定'!$B$20,'設定'!$B$21))))))</f>
        <v/>
      </c>
      <c r="V134" s="56" t="n"/>
      <c r="W134" s="32">
        <f>IF($C134="","",IFERROR(MATCH($C134,'得意先'!$B$5:$B$104,0),"なし"))</f>
        <v/>
      </c>
      <c r="X134" s="33">
        <f>IF($A134="","",IF(ISNUMBER($E134),$E134,IF(ISNUMBER($B134),$B134,"")))</f>
        <v/>
      </c>
      <c r="Y134" s="34">
        <f>IF($T134="","",$O134+ROW()/1000000)</f>
        <v/>
      </c>
      <c r="Z134" s="35">
        <f>IF(OR($A134="",$C134="",$C134&lt;&gt;'売掛帳'!$B$3,NOT(ISNUMBER($X134))),"",IF(AND($X134&gt;='売掛帳'!$Q$3,$X134&lt;='売掛帳'!$Q$4),$X134+ROW()/10000000,""))</f>
        <v/>
      </c>
    </row>
    <row r="135" ht="18" customHeight="1">
      <c r="A135" s="18" t="n"/>
      <c r="B135" s="26" t="n"/>
      <c r="C135" s="18" t="n"/>
      <c r="D135" s="20">
        <f>IF($W135="","",IF($W135="なし","※得意先にないコード",INDEX('得意先'!$C$5:$C$104,$W135)&amp;""))</f>
        <v/>
      </c>
      <c r="E135" s="26" t="n"/>
      <c r="F135" s="19" t="n"/>
      <c r="G135" s="27" t="n"/>
      <c r="H135" s="27" t="n"/>
      <c r="I135" s="27" t="n"/>
      <c r="J135" s="28">
        <f>IF($A135="","",IF('設定'!$B$10="四捨五入",ROUND(IF('設定'!$B$9="税込",N($G135)*10/110,N($G135)*10/100),0),IF('設定'!$B$10="切り上げ",ROUNDUP(IF('設定'!$B$9="税込",N($G135)*10/110,N($G135)*10/100),0),ROUNDDOWN(IF('設定'!$B$9="税込",N($G135)*10/110,N($G135)*10/100),0))))</f>
        <v/>
      </c>
      <c r="K135" s="28">
        <f>IF($A135="","",IF('設定'!$B$10="四捨五入",ROUND(IF('設定'!$B$9="税込",N($H135)*8/108,N($H135)*8/100),0),IF('設定'!$B$10="切り上げ",ROUNDUP(IF('設定'!$B$9="税込",N($H135)*8/108,N($H135)*8/100),0),ROUNDDOWN(IF('設定'!$B$9="税込",N($H135)*8/108,N($H135)*8/100),0))))</f>
        <v/>
      </c>
      <c r="L135" s="28">
        <f>IF($A135="","",N($G135)+N($H135)+N($I135)+IF('設定'!$B$9="税込",0,$J135+$K135))</f>
        <v/>
      </c>
      <c r="M135" s="29">
        <f>IF(OR($A135="",NOT(ISNUMBER($W135)),NOT(ISNUMBER($X135))),"",IF(OR(INDEX('得意先'!$D$5:$D$104,$W135)="",INDEX('得意先'!$E$5:$E$104,$W135)="",INDEX('得意先'!$F$5:$F$104,$W135)=""),"",IF(INDEX('得意先'!$F$5:$F$104,$W135)="末",DATE(YEAR($X135),(MONTH($X135)+IF(INDEX('得意先'!$D$5:$D$104,$W135)="末",0,IF(DAY($X135)&lt;=INDEX('得意先'!$D$5:$D$104,$W135),0,1))+N(INDEX('得意先'!$E$5:$E$104,$W135)))+1,0),DATE(YEAR($X135),(MONTH($X135)+IF(INDEX('得意先'!$D$5:$D$104,$W135)="末",0,IF(DAY($X135)&lt;=INDEX('得意先'!$D$5:$D$104,$W135),0,1))+N(INDEX('得意先'!$E$5:$E$104,$W135))),MIN(INDEX('得意先'!$F$5:$F$104,$W135),DAY(DATE(YEAR($X135),(MONTH($X135)+IF(INDEX('得意先'!$D$5:$D$104,$W135)="末",0,IF(DAY($X135)&lt;=INDEX('得意先'!$D$5:$D$104,$W135),0,1))+N(INDEX('得意先'!$E$5:$E$104,$W135)))+1,0)))))))</f>
        <v/>
      </c>
      <c r="N135" s="26" t="n"/>
      <c r="O135" s="29">
        <f>IF($A135="","",IF(ISNUMBER($N135),$N135,$M135))</f>
        <v/>
      </c>
      <c r="P135" s="28">
        <f>IF($A135="","",SUMIF('入金消込'!$F$5:$F$1004,$A135,'入金消込'!$G$5:$G$1004))</f>
        <v/>
      </c>
      <c r="Q135" s="28">
        <f>IF($A135="","",SUMIF('入金消込'!$F$5:$F$1004,$A135,'入金消込'!$H$5:$H$1004)+SUMIF('入金消込'!$F$5:$F$1004,$A135,'入金消込'!$I$5:$I$1004))</f>
        <v/>
      </c>
      <c r="R135" s="28">
        <f>IF($A135="","",$L135-$P135-$Q135)</f>
        <v/>
      </c>
      <c r="S135" s="30">
        <f>IF($A135="","",IF($R135=0,IF($L135=0,"請求額0","回収済"),IF($L135&lt;0,IF($R135&lt;0,"差し引き待ち","差し引きすぎ"),IF($R135&lt;0,"入金が多い",IF($P135+$Q135=0,"未入金","一部入金")))))</f>
        <v/>
      </c>
      <c r="T135" s="31">
        <f>IF(OR($A135="",N($R135)&lt;=0,NOT(ISNUMBER($O135))),"",IF($O135&lt;'設定'!$B$7,'設定'!$B$7-$O135,""))</f>
        <v/>
      </c>
      <c r="U135" s="30">
        <f>IF(OR($A135="",N($R135)&lt;=0),"",IF(NOT(ISNUMBER($O135)),'設定'!$B$22,IF($O135&gt;='設定'!$B$7,'設定'!$B$17,IF('設定'!$B$7-$O135&lt;='設定'!$B$12,'設定'!$B$18,IF('設定'!$B$7-$O135&lt;='設定'!$B$13,'設定'!$B$19,IF('設定'!$B$7-$O135&lt;='設定'!$B$14,'設定'!$B$20,'設定'!$B$21))))))</f>
        <v/>
      </c>
      <c r="V135" s="56" t="n"/>
      <c r="W135" s="32">
        <f>IF($C135="","",IFERROR(MATCH($C135,'得意先'!$B$5:$B$104,0),"なし"))</f>
        <v/>
      </c>
      <c r="X135" s="33">
        <f>IF($A135="","",IF(ISNUMBER($E135),$E135,IF(ISNUMBER($B135),$B135,"")))</f>
        <v/>
      </c>
      <c r="Y135" s="34">
        <f>IF($T135="","",$O135+ROW()/1000000)</f>
        <v/>
      </c>
      <c r="Z135" s="35">
        <f>IF(OR($A135="",$C135="",$C135&lt;&gt;'売掛帳'!$B$3,NOT(ISNUMBER($X135))),"",IF(AND($X135&gt;='売掛帳'!$Q$3,$X135&lt;='売掛帳'!$Q$4),$X135+ROW()/10000000,""))</f>
        <v/>
      </c>
    </row>
    <row r="136" ht="18" customHeight="1">
      <c r="A136" s="18" t="n"/>
      <c r="B136" s="26" t="n"/>
      <c r="C136" s="18" t="n"/>
      <c r="D136" s="20">
        <f>IF($W136="","",IF($W136="なし","※得意先にないコード",INDEX('得意先'!$C$5:$C$104,$W136)&amp;""))</f>
        <v/>
      </c>
      <c r="E136" s="26" t="n"/>
      <c r="F136" s="19" t="n"/>
      <c r="G136" s="27" t="n"/>
      <c r="H136" s="27" t="n"/>
      <c r="I136" s="27" t="n"/>
      <c r="J136" s="28">
        <f>IF($A136="","",IF('設定'!$B$10="四捨五入",ROUND(IF('設定'!$B$9="税込",N($G136)*10/110,N($G136)*10/100),0),IF('設定'!$B$10="切り上げ",ROUNDUP(IF('設定'!$B$9="税込",N($G136)*10/110,N($G136)*10/100),0),ROUNDDOWN(IF('設定'!$B$9="税込",N($G136)*10/110,N($G136)*10/100),0))))</f>
        <v/>
      </c>
      <c r="K136" s="28">
        <f>IF($A136="","",IF('設定'!$B$10="四捨五入",ROUND(IF('設定'!$B$9="税込",N($H136)*8/108,N($H136)*8/100),0),IF('設定'!$B$10="切り上げ",ROUNDUP(IF('設定'!$B$9="税込",N($H136)*8/108,N($H136)*8/100),0),ROUNDDOWN(IF('設定'!$B$9="税込",N($H136)*8/108,N($H136)*8/100),0))))</f>
        <v/>
      </c>
      <c r="L136" s="28">
        <f>IF($A136="","",N($G136)+N($H136)+N($I136)+IF('設定'!$B$9="税込",0,$J136+$K136))</f>
        <v/>
      </c>
      <c r="M136" s="29">
        <f>IF(OR($A136="",NOT(ISNUMBER($W136)),NOT(ISNUMBER($X136))),"",IF(OR(INDEX('得意先'!$D$5:$D$104,$W136)="",INDEX('得意先'!$E$5:$E$104,$W136)="",INDEX('得意先'!$F$5:$F$104,$W136)=""),"",IF(INDEX('得意先'!$F$5:$F$104,$W136)="末",DATE(YEAR($X136),(MONTH($X136)+IF(INDEX('得意先'!$D$5:$D$104,$W136)="末",0,IF(DAY($X136)&lt;=INDEX('得意先'!$D$5:$D$104,$W136),0,1))+N(INDEX('得意先'!$E$5:$E$104,$W136)))+1,0),DATE(YEAR($X136),(MONTH($X136)+IF(INDEX('得意先'!$D$5:$D$104,$W136)="末",0,IF(DAY($X136)&lt;=INDEX('得意先'!$D$5:$D$104,$W136),0,1))+N(INDEX('得意先'!$E$5:$E$104,$W136))),MIN(INDEX('得意先'!$F$5:$F$104,$W136),DAY(DATE(YEAR($X136),(MONTH($X136)+IF(INDEX('得意先'!$D$5:$D$104,$W136)="末",0,IF(DAY($X136)&lt;=INDEX('得意先'!$D$5:$D$104,$W136),0,1))+N(INDEX('得意先'!$E$5:$E$104,$W136)))+1,0)))))))</f>
        <v/>
      </c>
      <c r="N136" s="26" t="n"/>
      <c r="O136" s="29">
        <f>IF($A136="","",IF(ISNUMBER($N136),$N136,$M136))</f>
        <v/>
      </c>
      <c r="P136" s="28">
        <f>IF($A136="","",SUMIF('入金消込'!$F$5:$F$1004,$A136,'入金消込'!$G$5:$G$1004))</f>
        <v/>
      </c>
      <c r="Q136" s="28">
        <f>IF($A136="","",SUMIF('入金消込'!$F$5:$F$1004,$A136,'入金消込'!$H$5:$H$1004)+SUMIF('入金消込'!$F$5:$F$1004,$A136,'入金消込'!$I$5:$I$1004))</f>
        <v/>
      </c>
      <c r="R136" s="28">
        <f>IF($A136="","",$L136-$P136-$Q136)</f>
        <v/>
      </c>
      <c r="S136" s="30">
        <f>IF($A136="","",IF($R136=0,IF($L136=0,"請求額0","回収済"),IF($L136&lt;0,IF($R136&lt;0,"差し引き待ち","差し引きすぎ"),IF($R136&lt;0,"入金が多い",IF($P136+$Q136=0,"未入金","一部入金")))))</f>
        <v/>
      </c>
      <c r="T136" s="31">
        <f>IF(OR($A136="",N($R136)&lt;=0,NOT(ISNUMBER($O136))),"",IF($O136&lt;'設定'!$B$7,'設定'!$B$7-$O136,""))</f>
        <v/>
      </c>
      <c r="U136" s="30">
        <f>IF(OR($A136="",N($R136)&lt;=0),"",IF(NOT(ISNUMBER($O136)),'設定'!$B$22,IF($O136&gt;='設定'!$B$7,'設定'!$B$17,IF('設定'!$B$7-$O136&lt;='設定'!$B$12,'設定'!$B$18,IF('設定'!$B$7-$O136&lt;='設定'!$B$13,'設定'!$B$19,IF('設定'!$B$7-$O136&lt;='設定'!$B$14,'設定'!$B$20,'設定'!$B$21))))))</f>
        <v/>
      </c>
      <c r="V136" s="56" t="n"/>
      <c r="W136" s="32">
        <f>IF($C136="","",IFERROR(MATCH($C136,'得意先'!$B$5:$B$104,0),"なし"))</f>
        <v/>
      </c>
      <c r="X136" s="33">
        <f>IF($A136="","",IF(ISNUMBER($E136),$E136,IF(ISNUMBER($B136),$B136,"")))</f>
        <v/>
      </c>
      <c r="Y136" s="34">
        <f>IF($T136="","",$O136+ROW()/1000000)</f>
        <v/>
      </c>
      <c r="Z136" s="35">
        <f>IF(OR($A136="",$C136="",$C136&lt;&gt;'売掛帳'!$B$3,NOT(ISNUMBER($X136))),"",IF(AND($X136&gt;='売掛帳'!$Q$3,$X136&lt;='売掛帳'!$Q$4),$X136+ROW()/10000000,""))</f>
        <v/>
      </c>
    </row>
    <row r="137" ht="18" customHeight="1">
      <c r="A137" s="18" t="n"/>
      <c r="B137" s="26" t="n"/>
      <c r="C137" s="18" t="n"/>
      <c r="D137" s="20">
        <f>IF($W137="","",IF($W137="なし","※得意先にないコード",INDEX('得意先'!$C$5:$C$104,$W137)&amp;""))</f>
        <v/>
      </c>
      <c r="E137" s="26" t="n"/>
      <c r="F137" s="19" t="n"/>
      <c r="G137" s="27" t="n"/>
      <c r="H137" s="27" t="n"/>
      <c r="I137" s="27" t="n"/>
      <c r="J137" s="28">
        <f>IF($A137="","",IF('設定'!$B$10="四捨五入",ROUND(IF('設定'!$B$9="税込",N($G137)*10/110,N($G137)*10/100),0),IF('設定'!$B$10="切り上げ",ROUNDUP(IF('設定'!$B$9="税込",N($G137)*10/110,N($G137)*10/100),0),ROUNDDOWN(IF('設定'!$B$9="税込",N($G137)*10/110,N($G137)*10/100),0))))</f>
        <v/>
      </c>
      <c r="K137" s="28">
        <f>IF($A137="","",IF('設定'!$B$10="四捨五入",ROUND(IF('設定'!$B$9="税込",N($H137)*8/108,N($H137)*8/100),0),IF('設定'!$B$10="切り上げ",ROUNDUP(IF('設定'!$B$9="税込",N($H137)*8/108,N($H137)*8/100),0),ROUNDDOWN(IF('設定'!$B$9="税込",N($H137)*8/108,N($H137)*8/100),0))))</f>
        <v/>
      </c>
      <c r="L137" s="28">
        <f>IF($A137="","",N($G137)+N($H137)+N($I137)+IF('設定'!$B$9="税込",0,$J137+$K137))</f>
        <v/>
      </c>
      <c r="M137" s="29">
        <f>IF(OR($A137="",NOT(ISNUMBER($W137)),NOT(ISNUMBER($X137))),"",IF(OR(INDEX('得意先'!$D$5:$D$104,$W137)="",INDEX('得意先'!$E$5:$E$104,$W137)="",INDEX('得意先'!$F$5:$F$104,$W137)=""),"",IF(INDEX('得意先'!$F$5:$F$104,$W137)="末",DATE(YEAR($X137),(MONTH($X137)+IF(INDEX('得意先'!$D$5:$D$104,$W137)="末",0,IF(DAY($X137)&lt;=INDEX('得意先'!$D$5:$D$104,$W137),0,1))+N(INDEX('得意先'!$E$5:$E$104,$W137)))+1,0),DATE(YEAR($X137),(MONTH($X137)+IF(INDEX('得意先'!$D$5:$D$104,$W137)="末",0,IF(DAY($X137)&lt;=INDEX('得意先'!$D$5:$D$104,$W137),0,1))+N(INDEX('得意先'!$E$5:$E$104,$W137))),MIN(INDEX('得意先'!$F$5:$F$104,$W137),DAY(DATE(YEAR($X137),(MONTH($X137)+IF(INDEX('得意先'!$D$5:$D$104,$W137)="末",0,IF(DAY($X137)&lt;=INDEX('得意先'!$D$5:$D$104,$W137),0,1))+N(INDEX('得意先'!$E$5:$E$104,$W137)))+1,0)))))))</f>
        <v/>
      </c>
      <c r="N137" s="26" t="n"/>
      <c r="O137" s="29">
        <f>IF($A137="","",IF(ISNUMBER($N137),$N137,$M137))</f>
        <v/>
      </c>
      <c r="P137" s="28">
        <f>IF($A137="","",SUMIF('入金消込'!$F$5:$F$1004,$A137,'入金消込'!$G$5:$G$1004))</f>
        <v/>
      </c>
      <c r="Q137" s="28">
        <f>IF($A137="","",SUMIF('入金消込'!$F$5:$F$1004,$A137,'入金消込'!$H$5:$H$1004)+SUMIF('入金消込'!$F$5:$F$1004,$A137,'入金消込'!$I$5:$I$1004))</f>
        <v/>
      </c>
      <c r="R137" s="28">
        <f>IF($A137="","",$L137-$P137-$Q137)</f>
        <v/>
      </c>
      <c r="S137" s="30">
        <f>IF($A137="","",IF($R137=0,IF($L137=0,"請求額0","回収済"),IF($L137&lt;0,IF($R137&lt;0,"差し引き待ち","差し引きすぎ"),IF($R137&lt;0,"入金が多い",IF($P137+$Q137=0,"未入金","一部入金")))))</f>
        <v/>
      </c>
      <c r="T137" s="31">
        <f>IF(OR($A137="",N($R137)&lt;=0,NOT(ISNUMBER($O137))),"",IF($O137&lt;'設定'!$B$7,'設定'!$B$7-$O137,""))</f>
        <v/>
      </c>
      <c r="U137" s="30">
        <f>IF(OR($A137="",N($R137)&lt;=0),"",IF(NOT(ISNUMBER($O137)),'設定'!$B$22,IF($O137&gt;='設定'!$B$7,'設定'!$B$17,IF('設定'!$B$7-$O137&lt;='設定'!$B$12,'設定'!$B$18,IF('設定'!$B$7-$O137&lt;='設定'!$B$13,'設定'!$B$19,IF('設定'!$B$7-$O137&lt;='設定'!$B$14,'設定'!$B$20,'設定'!$B$21))))))</f>
        <v/>
      </c>
      <c r="V137" s="56" t="n"/>
      <c r="W137" s="32">
        <f>IF($C137="","",IFERROR(MATCH($C137,'得意先'!$B$5:$B$104,0),"なし"))</f>
        <v/>
      </c>
      <c r="X137" s="33">
        <f>IF($A137="","",IF(ISNUMBER($E137),$E137,IF(ISNUMBER($B137),$B137,"")))</f>
        <v/>
      </c>
      <c r="Y137" s="34">
        <f>IF($T137="","",$O137+ROW()/1000000)</f>
        <v/>
      </c>
      <c r="Z137" s="35">
        <f>IF(OR($A137="",$C137="",$C137&lt;&gt;'売掛帳'!$B$3,NOT(ISNUMBER($X137))),"",IF(AND($X137&gt;='売掛帳'!$Q$3,$X137&lt;='売掛帳'!$Q$4),$X137+ROW()/10000000,""))</f>
        <v/>
      </c>
    </row>
    <row r="138" ht="18" customHeight="1">
      <c r="A138" s="18" t="n"/>
      <c r="B138" s="26" t="n"/>
      <c r="C138" s="18" t="n"/>
      <c r="D138" s="20">
        <f>IF($W138="","",IF($W138="なし","※得意先にないコード",INDEX('得意先'!$C$5:$C$104,$W138)&amp;""))</f>
        <v/>
      </c>
      <c r="E138" s="26" t="n"/>
      <c r="F138" s="19" t="n"/>
      <c r="G138" s="27" t="n"/>
      <c r="H138" s="27" t="n"/>
      <c r="I138" s="27" t="n"/>
      <c r="J138" s="28">
        <f>IF($A138="","",IF('設定'!$B$10="四捨五入",ROUND(IF('設定'!$B$9="税込",N($G138)*10/110,N($G138)*10/100),0),IF('設定'!$B$10="切り上げ",ROUNDUP(IF('設定'!$B$9="税込",N($G138)*10/110,N($G138)*10/100),0),ROUNDDOWN(IF('設定'!$B$9="税込",N($G138)*10/110,N($G138)*10/100),0))))</f>
        <v/>
      </c>
      <c r="K138" s="28">
        <f>IF($A138="","",IF('設定'!$B$10="四捨五入",ROUND(IF('設定'!$B$9="税込",N($H138)*8/108,N($H138)*8/100),0),IF('設定'!$B$10="切り上げ",ROUNDUP(IF('設定'!$B$9="税込",N($H138)*8/108,N($H138)*8/100),0),ROUNDDOWN(IF('設定'!$B$9="税込",N($H138)*8/108,N($H138)*8/100),0))))</f>
        <v/>
      </c>
      <c r="L138" s="28">
        <f>IF($A138="","",N($G138)+N($H138)+N($I138)+IF('設定'!$B$9="税込",0,$J138+$K138))</f>
        <v/>
      </c>
      <c r="M138" s="29">
        <f>IF(OR($A138="",NOT(ISNUMBER($W138)),NOT(ISNUMBER($X138))),"",IF(OR(INDEX('得意先'!$D$5:$D$104,$W138)="",INDEX('得意先'!$E$5:$E$104,$W138)="",INDEX('得意先'!$F$5:$F$104,$W138)=""),"",IF(INDEX('得意先'!$F$5:$F$104,$W138)="末",DATE(YEAR($X138),(MONTH($X138)+IF(INDEX('得意先'!$D$5:$D$104,$W138)="末",0,IF(DAY($X138)&lt;=INDEX('得意先'!$D$5:$D$104,$W138),0,1))+N(INDEX('得意先'!$E$5:$E$104,$W138)))+1,0),DATE(YEAR($X138),(MONTH($X138)+IF(INDEX('得意先'!$D$5:$D$104,$W138)="末",0,IF(DAY($X138)&lt;=INDEX('得意先'!$D$5:$D$104,$W138),0,1))+N(INDEX('得意先'!$E$5:$E$104,$W138))),MIN(INDEX('得意先'!$F$5:$F$104,$W138),DAY(DATE(YEAR($X138),(MONTH($X138)+IF(INDEX('得意先'!$D$5:$D$104,$W138)="末",0,IF(DAY($X138)&lt;=INDEX('得意先'!$D$5:$D$104,$W138),0,1))+N(INDEX('得意先'!$E$5:$E$104,$W138)))+1,0)))))))</f>
        <v/>
      </c>
      <c r="N138" s="26" t="n"/>
      <c r="O138" s="29">
        <f>IF($A138="","",IF(ISNUMBER($N138),$N138,$M138))</f>
        <v/>
      </c>
      <c r="P138" s="28">
        <f>IF($A138="","",SUMIF('入金消込'!$F$5:$F$1004,$A138,'入金消込'!$G$5:$G$1004))</f>
        <v/>
      </c>
      <c r="Q138" s="28">
        <f>IF($A138="","",SUMIF('入金消込'!$F$5:$F$1004,$A138,'入金消込'!$H$5:$H$1004)+SUMIF('入金消込'!$F$5:$F$1004,$A138,'入金消込'!$I$5:$I$1004))</f>
        <v/>
      </c>
      <c r="R138" s="28">
        <f>IF($A138="","",$L138-$P138-$Q138)</f>
        <v/>
      </c>
      <c r="S138" s="30">
        <f>IF($A138="","",IF($R138=0,IF($L138=0,"請求額0","回収済"),IF($L138&lt;0,IF($R138&lt;0,"差し引き待ち","差し引きすぎ"),IF($R138&lt;0,"入金が多い",IF($P138+$Q138=0,"未入金","一部入金")))))</f>
        <v/>
      </c>
      <c r="T138" s="31">
        <f>IF(OR($A138="",N($R138)&lt;=0,NOT(ISNUMBER($O138))),"",IF($O138&lt;'設定'!$B$7,'設定'!$B$7-$O138,""))</f>
        <v/>
      </c>
      <c r="U138" s="30">
        <f>IF(OR($A138="",N($R138)&lt;=0),"",IF(NOT(ISNUMBER($O138)),'設定'!$B$22,IF($O138&gt;='設定'!$B$7,'設定'!$B$17,IF('設定'!$B$7-$O138&lt;='設定'!$B$12,'設定'!$B$18,IF('設定'!$B$7-$O138&lt;='設定'!$B$13,'設定'!$B$19,IF('設定'!$B$7-$O138&lt;='設定'!$B$14,'設定'!$B$20,'設定'!$B$21))))))</f>
        <v/>
      </c>
      <c r="V138" s="56" t="n"/>
      <c r="W138" s="32">
        <f>IF($C138="","",IFERROR(MATCH($C138,'得意先'!$B$5:$B$104,0),"なし"))</f>
        <v/>
      </c>
      <c r="X138" s="33">
        <f>IF($A138="","",IF(ISNUMBER($E138),$E138,IF(ISNUMBER($B138),$B138,"")))</f>
        <v/>
      </c>
      <c r="Y138" s="34">
        <f>IF($T138="","",$O138+ROW()/1000000)</f>
        <v/>
      </c>
      <c r="Z138" s="35">
        <f>IF(OR($A138="",$C138="",$C138&lt;&gt;'売掛帳'!$B$3,NOT(ISNUMBER($X138))),"",IF(AND($X138&gt;='売掛帳'!$Q$3,$X138&lt;='売掛帳'!$Q$4),$X138+ROW()/10000000,""))</f>
        <v/>
      </c>
    </row>
    <row r="139" ht="18" customHeight="1">
      <c r="A139" s="18" t="n"/>
      <c r="B139" s="26" t="n"/>
      <c r="C139" s="18" t="n"/>
      <c r="D139" s="20">
        <f>IF($W139="","",IF($W139="なし","※得意先にないコード",INDEX('得意先'!$C$5:$C$104,$W139)&amp;""))</f>
        <v/>
      </c>
      <c r="E139" s="26" t="n"/>
      <c r="F139" s="19" t="n"/>
      <c r="G139" s="27" t="n"/>
      <c r="H139" s="27" t="n"/>
      <c r="I139" s="27" t="n"/>
      <c r="J139" s="28">
        <f>IF($A139="","",IF('設定'!$B$10="四捨五入",ROUND(IF('設定'!$B$9="税込",N($G139)*10/110,N($G139)*10/100),0),IF('設定'!$B$10="切り上げ",ROUNDUP(IF('設定'!$B$9="税込",N($G139)*10/110,N($G139)*10/100),0),ROUNDDOWN(IF('設定'!$B$9="税込",N($G139)*10/110,N($G139)*10/100),0))))</f>
        <v/>
      </c>
      <c r="K139" s="28">
        <f>IF($A139="","",IF('設定'!$B$10="四捨五入",ROUND(IF('設定'!$B$9="税込",N($H139)*8/108,N($H139)*8/100),0),IF('設定'!$B$10="切り上げ",ROUNDUP(IF('設定'!$B$9="税込",N($H139)*8/108,N($H139)*8/100),0),ROUNDDOWN(IF('設定'!$B$9="税込",N($H139)*8/108,N($H139)*8/100),0))))</f>
        <v/>
      </c>
      <c r="L139" s="28">
        <f>IF($A139="","",N($G139)+N($H139)+N($I139)+IF('設定'!$B$9="税込",0,$J139+$K139))</f>
        <v/>
      </c>
      <c r="M139" s="29">
        <f>IF(OR($A139="",NOT(ISNUMBER($W139)),NOT(ISNUMBER($X139))),"",IF(OR(INDEX('得意先'!$D$5:$D$104,$W139)="",INDEX('得意先'!$E$5:$E$104,$W139)="",INDEX('得意先'!$F$5:$F$104,$W139)=""),"",IF(INDEX('得意先'!$F$5:$F$104,$W139)="末",DATE(YEAR($X139),(MONTH($X139)+IF(INDEX('得意先'!$D$5:$D$104,$W139)="末",0,IF(DAY($X139)&lt;=INDEX('得意先'!$D$5:$D$104,$W139),0,1))+N(INDEX('得意先'!$E$5:$E$104,$W139)))+1,0),DATE(YEAR($X139),(MONTH($X139)+IF(INDEX('得意先'!$D$5:$D$104,$W139)="末",0,IF(DAY($X139)&lt;=INDEX('得意先'!$D$5:$D$104,$W139),0,1))+N(INDEX('得意先'!$E$5:$E$104,$W139))),MIN(INDEX('得意先'!$F$5:$F$104,$W139),DAY(DATE(YEAR($X139),(MONTH($X139)+IF(INDEX('得意先'!$D$5:$D$104,$W139)="末",0,IF(DAY($X139)&lt;=INDEX('得意先'!$D$5:$D$104,$W139),0,1))+N(INDEX('得意先'!$E$5:$E$104,$W139)))+1,0)))))))</f>
        <v/>
      </c>
      <c r="N139" s="26" t="n"/>
      <c r="O139" s="29">
        <f>IF($A139="","",IF(ISNUMBER($N139),$N139,$M139))</f>
        <v/>
      </c>
      <c r="P139" s="28">
        <f>IF($A139="","",SUMIF('入金消込'!$F$5:$F$1004,$A139,'入金消込'!$G$5:$G$1004))</f>
        <v/>
      </c>
      <c r="Q139" s="28">
        <f>IF($A139="","",SUMIF('入金消込'!$F$5:$F$1004,$A139,'入金消込'!$H$5:$H$1004)+SUMIF('入金消込'!$F$5:$F$1004,$A139,'入金消込'!$I$5:$I$1004))</f>
        <v/>
      </c>
      <c r="R139" s="28">
        <f>IF($A139="","",$L139-$P139-$Q139)</f>
        <v/>
      </c>
      <c r="S139" s="30">
        <f>IF($A139="","",IF($R139=0,IF($L139=0,"請求額0","回収済"),IF($L139&lt;0,IF($R139&lt;0,"差し引き待ち","差し引きすぎ"),IF($R139&lt;0,"入金が多い",IF($P139+$Q139=0,"未入金","一部入金")))))</f>
        <v/>
      </c>
      <c r="T139" s="31">
        <f>IF(OR($A139="",N($R139)&lt;=0,NOT(ISNUMBER($O139))),"",IF($O139&lt;'設定'!$B$7,'設定'!$B$7-$O139,""))</f>
        <v/>
      </c>
      <c r="U139" s="30">
        <f>IF(OR($A139="",N($R139)&lt;=0),"",IF(NOT(ISNUMBER($O139)),'設定'!$B$22,IF($O139&gt;='設定'!$B$7,'設定'!$B$17,IF('設定'!$B$7-$O139&lt;='設定'!$B$12,'設定'!$B$18,IF('設定'!$B$7-$O139&lt;='設定'!$B$13,'設定'!$B$19,IF('設定'!$B$7-$O139&lt;='設定'!$B$14,'設定'!$B$20,'設定'!$B$21))))))</f>
        <v/>
      </c>
      <c r="V139" s="56" t="n"/>
      <c r="W139" s="32">
        <f>IF($C139="","",IFERROR(MATCH($C139,'得意先'!$B$5:$B$104,0),"なし"))</f>
        <v/>
      </c>
      <c r="X139" s="33">
        <f>IF($A139="","",IF(ISNUMBER($E139),$E139,IF(ISNUMBER($B139),$B139,"")))</f>
        <v/>
      </c>
      <c r="Y139" s="34">
        <f>IF($T139="","",$O139+ROW()/1000000)</f>
        <v/>
      </c>
      <c r="Z139" s="35">
        <f>IF(OR($A139="",$C139="",$C139&lt;&gt;'売掛帳'!$B$3,NOT(ISNUMBER($X139))),"",IF(AND($X139&gt;='売掛帳'!$Q$3,$X139&lt;='売掛帳'!$Q$4),$X139+ROW()/10000000,""))</f>
        <v/>
      </c>
    </row>
    <row r="140" ht="18" customHeight="1">
      <c r="A140" s="18" t="n"/>
      <c r="B140" s="26" t="n"/>
      <c r="C140" s="18" t="n"/>
      <c r="D140" s="20">
        <f>IF($W140="","",IF($W140="なし","※得意先にないコード",INDEX('得意先'!$C$5:$C$104,$W140)&amp;""))</f>
        <v/>
      </c>
      <c r="E140" s="26" t="n"/>
      <c r="F140" s="19" t="n"/>
      <c r="G140" s="27" t="n"/>
      <c r="H140" s="27" t="n"/>
      <c r="I140" s="27" t="n"/>
      <c r="J140" s="28">
        <f>IF($A140="","",IF('設定'!$B$10="四捨五入",ROUND(IF('設定'!$B$9="税込",N($G140)*10/110,N($G140)*10/100),0),IF('設定'!$B$10="切り上げ",ROUNDUP(IF('設定'!$B$9="税込",N($G140)*10/110,N($G140)*10/100),0),ROUNDDOWN(IF('設定'!$B$9="税込",N($G140)*10/110,N($G140)*10/100),0))))</f>
        <v/>
      </c>
      <c r="K140" s="28">
        <f>IF($A140="","",IF('設定'!$B$10="四捨五入",ROUND(IF('設定'!$B$9="税込",N($H140)*8/108,N($H140)*8/100),0),IF('設定'!$B$10="切り上げ",ROUNDUP(IF('設定'!$B$9="税込",N($H140)*8/108,N($H140)*8/100),0),ROUNDDOWN(IF('設定'!$B$9="税込",N($H140)*8/108,N($H140)*8/100),0))))</f>
        <v/>
      </c>
      <c r="L140" s="28">
        <f>IF($A140="","",N($G140)+N($H140)+N($I140)+IF('設定'!$B$9="税込",0,$J140+$K140))</f>
        <v/>
      </c>
      <c r="M140" s="29">
        <f>IF(OR($A140="",NOT(ISNUMBER($W140)),NOT(ISNUMBER($X140))),"",IF(OR(INDEX('得意先'!$D$5:$D$104,$W140)="",INDEX('得意先'!$E$5:$E$104,$W140)="",INDEX('得意先'!$F$5:$F$104,$W140)=""),"",IF(INDEX('得意先'!$F$5:$F$104,$W140)="末",DATE(YEAR($X140),(MONTH($X140)+IF(INDEX('得意先'!$D$5:$D$104,$W140)="末",0,IF(DAY($X140)&lt;=INDEX('得意先'!$D$5:$D$104,$W140),0,1))+N(INDEX('得意先'!$E$5:$E$104,$W140)))+1,0),DATE(YEAR($X140),(MONTH($X140)+IF(INDEX('得意先'!$D$5:$D$104,$W140)="末",0,IF(DAY($X140)&lt;=INDEX('得意先'!$D$5:$D$104,$W140),0,1))+N(INDEX('得意先'!$E$5:$E$104,$W140))),MIN(INDEX('得意先'!$F$5:$F$104,$W140),DAY(DATE(YEAR($X140),(MONTH($X140)+IF(INDEX('得意先'!$D$5:$D$104,$W140)="末",0,IF(DAY($X140)&lt;=INDEX('得意先'!$D$5:$D$104,$W140),0,1))+N(INDEX('得意先'!$E$5:$E$104,$W140)))+1,0)))))))</f>
        <v/>
      </c>
      <c r="N140" s="26" t="n"/>
      <c r="O140" s="29">
        <f>IF($A140="","",IF(ISNUMBER($N140),$N140,$M140))</f>
        <v/>
      </c>
      <c r="P140" s="28">
        <f>IF($A140="","",SUMIF('入金消込'!$F$5:$F$1004,$A140,'入金消込'!$G$5:$G$1004))</f>
        <v/>
      </c>
      <c r="Q140" s="28">
        <f>IF($A140="","",SUMIF('入金消込'!$F$5:$F$1004,$A140,'入金消込'!$H$5:$H$1004)+SUMIF('入金消込'!$F$5:$F$1004,$A140,'入金消込'!$I$5:$I$1004))</f>
        <v/>
      </c>
      <c r="R140" s="28">
        <f>IF($A140="","",$L140-$P140-$Q140)</f>
        <v/>
      </c>
      <c r="S140" s="30">
        <f>IF($A140="","",IF($R140=0,IF($L140=0,"請求額0","回収済"),IF($L140&lt;0,IF($R140&lt;0,"差し引き待ち","差し引きすぎ"),IF($R140&lt;0,"入金が多い",IF($P140+$Q140=0,"未入金","一部入金")))))</f>
        <v/>
      </c>
      <c r="T140" s="31">
        <f>IF(OR($A140="",N($R140)&lt;=0,NOT(ISNUMBER($O140))),"",IF($O140&lt;'設定'!$B$7,'設定'!$B$7-$O140,""))</f>
        <v/>
      </c>
      <c r="U140" s="30">
        <f>IF(OR($A140="",N($R140)&lt;=0),"",IF(NOT(ISNUMBER($O140)),'設定'!$B$22,IF($O140&gt;='設定'!$B$7,'設定'!$B$17,IF('設定'!$B$7-$O140&lt;='設定'!$B$12,'設定'!$B$18,IF('設定'!$B$7-$O140&lt;='設定'!$B$13,'設定'!$B$19,IF('設定'!$B$7-$O140&lt;='設定'!$B$14,'設定'!$B$20,'設定'!$B$21))))))</f>
        <v/>
      </c>
      <c r="V140" s="56" t="n"/>
      <c r="W140" s="32">
        <f>IF($C140="","",IFERROR(MATCH($C140,'得意先'!$B$5:$B$104,0),"なし"))</f>
        <v/>
      </c>
      <c r="X140" s="33">
        <f>IF($A140="","",IF(ISNUMBER($E140),$E140,IF(ISNUMBER($B140),$B140,"")))</f>
        <v/>
      </c>
      <c r="Y140" s="34">
        <f>IF($T140="","",$O140+ROW()/1000000)</f>
        <v/>
      </c>
      <c r="Z140" s="35">
        <f>IF(OR($A140="",$C140="",$C140&lt;&gt;'売掛帳'!$B$3,NOT(ISNUMBER($X140))),"",IF(AND($X140&gt;='売掛帳'!$Q$3,$X140&lt;='売掛帳'!$Q$4),$X140+ROW()/10000000,""))</f>
        <v/>
      </c>
    </row>
    <row r="141" ht="18" customHeight="1">
      <c r="A141" s="18" t="n"/>
      <c r="B141" s="26" t="n"/>
      <c r="C141" s="18" t="n"/>
      <c r="D141" s="20">
        <f>IF($W141="","",IF($W141="なし","※得意先にないコード",INDEX('得意先'!$C$5:$C$104,$W141)&amp;""))</f>
        <v/>
      </c>
      <c r="E141" s="26" t="n"/>
      <c r="F141" s="19" t="n"/>
      <c r="G141" s="27" t="n"/>
      <c r="H141" s="27" t="n"/>
      <c r="I141" s="27" t="n"/>
      <c r="J141" s="28">
        <f>IF($A141="","",IF('設定'!$B$10="四捨五入",ROUND(IF('設定'!$B$9="税込",N($G141)*10/110,N($G141)*10/100),0),IF('設定'!$B$10="切り上げ",ROUNDUP(IF('設定'!$B$9="税込",N($G141)*10/110,N($G141)*10/100),0),ROUNDDOWN(IF('設定'!$B$9="税込",N($G141)*10/110,N($G141)*10/100),0))))</f>
        <v/>
      </c>
      <c r="K141" s="28">
        <f>IF($A141="","",IF('設定'!$B$10="四捨五入",ROUND(IF('設定'!$B$9="税込",N($H141)*8/108,N($H141)*8/100),0),IF('設定'!$B$10="切り上げ",ROUNDUP(IF('設定'!$B$9="税込",N($H141)*8/108,N($H141)*8/100),0),ROUNDDOWN(IF('設定'!$B$9="税込",N($H141)*8/108,N($H141)*8/100),0))))</f>
        <v/>
      </c>
      <c r="L141" s="28">
        <f>IF($A141="","",N($G141)+N($H141)+N($I141)+IF('設定'!$B$9="税込",0,$J141+$K141))</f>
        <v/>
      </c>
      <c r="M141" s="29">
        <f>IF(OR($A141="",NOT(ISNUMBER($W141)),NOT(ISNUMBER($X141))),"",IF(OR(INDEX('得意先'!$D$5:$D$104,$W141)="",INDEX('得意先'!$E$5:$E$104,$W141)="",INDEX('得意先'!$F$5:$F$104,$W141)=""),"",IF(INDEX('得意先'!$F$5:$F$104,$W141)="末",DATE(YEAR($X141),(MONTH($X141)+IF(INDEX('得意先'!$D$5:$D$104,$W141)="末",0,IF(DAY($X141)&lt;=INDEX('得意先'!$D$5:$D$104,$W141),0,1))+N(INDEX('得意先'!$E$5:$E$104,$W141)))+1,0),DATE(YEAR($X141),(MONTH($X141)+IF(INDEX('得意先'!$D$5:$D$104,$W141)="末",0,IF(DAY($X141)&lt;=INDEX('得意先'!$D$5:$D$104,$W141),0,1))+N(INDEX('得意先'!$E$5:$E$104,$W141))),MIN(INDEX('得意先'!$F$5:$F$104,$W141),DAY(DATE(YEAR($X141),(MONTH($X141)+IF(INDEX('得意先'!$D$5:$D$104,$W141)="末",0,IF(DAY($X141)&lt;=INDEX('得意先'!$D$5:$D$104,$W141),0,1))+N(INDEX('得意先'!$E$5:$E$104,$W141)))+1,0)))))))</f>
        <v/>
      </c>
      <c r="N141" s="26" t="n"/>
      <c r="O141" s="29">
        <f>IF($A141="","",IF(ISNUMBER($N141),$N141,$M141))</f>
        <v/>
      </c>
      <c r="P141" s="28">
        <f>IF($A141="","",SUMIF('入金消込'!$F$5:$F$1004,$A141,'入金消込'!$G$5:$G$1004))</f>
        <v/>
      </c>
      <c r="Q141" s="28">
        <f>IF($A141="","",SUMIF('入金消込'!$F$5:$F$1004,$A141,'入金消込'!$H$5:$H$1004)+SUMIF('入金消込'!$F$5:$F$1004,$A141,'入金消込'!$I$5:$I$1004))</f>
        <v/>
      </c>
      <c r="R141" s="28">
        <f>IF($A141="","",$L141-$P141-$Q141)</f>
        <v/>
      </c>
      <c r="S141" s="30">
        <f>IF($A141="","",IF($R141=0,IF($L141=0,"請求額0","回収済"),IF($L141&lt;0,IF($R141&lt;0,"差し引き待ち","差し引きすぎ"),IF($R141&lt;0,"入金が多い",IF($P141+$Q141=0,"未入金","一部入金")))))</f>
        <v/>
      </c>
      <c r="T141" s="31">
        <f>IF(OR($A141="",N($R141)&lt;=0,NOT(ISNUMBER($O141))),"",IF($O141&lt;'設定'!$B$7,'設定'!$B$7-$O141,""))</f>
        <v/>
      </c>
      <c r="U141" s="30">
        <f>IF(OR($A141="",N($R141)&lt;=0),"",IF(NOT(ISNUMBER($O141)),'設定'!$B$22,IF($O141&gt;='設定'!$B$7,'設定'!$B$17,IF('設定'!$B$7-$O141&lt;='設定'!$B$12,'設定'!$B$18,IF('設定'!$B$7-$O141&lt;='設定'!$B$13,'設定'!$B$19,IF('設定'!$B$7-$O141&lt;='設定'!$B$14,'設定'!$B$20,'設定'!$B$21))))))</f>
        <v/>
      </c>
      <c r="V141" s="56" t="n"/>
      <c r="W141" s="32">
        <f>IF($C141="","",IFERROR(MATCH($C141,'得意先'!$B$5:$B$104,0),"なし"))</f>
        <v/>
      </c>
      <c r="X141" s="33">
        <f>IF($A141="","",IF(ISNUMBER($E141),$E141,IF(ISNUMBER($B141),$B141,"")))</f>
        <v/>
      </c>
      <c r="Y141" s="34">
        <f>IF($T141="","",$O141+ROW()/1000000)</f>
        <v/>
      </c>
      <c r="Z141" s="35">
        <f>IF(OR($A141="",$C141="",$C141&lt;&gt;'売掛帳'!$B$3,NOT(ISNUMBER($X141))),"",IF(AND($X141&gt;='売掛帳'!$Q$3,$X141&lt;='売掛帳'!$Q$4),$X141+ROW()/10000000,""))</f>
        <v/>
      </c>
    </row>
    <row r="142" ht="18" customHeight="1">
      <c r="A142" s="18" t="n"/>
      <c r="B142" s="26" t="n"/>
      <c r="C142" s="18" t="n"/>
      <c r="D142" s="20">
        <f>IF($W142="","",IF($W142="なし","※得意先にないコード",INDEX('得意先'!$C$5:$C$104,$W142)&amp;""))</f>
        <v/>
      </c>
      <c r="E142" s="26" t="n"/>
      <c r="F142" s="19" t="n"/>
      <c r="G142" s="27" t="n"/>
      <c r="H142" s="27" t="n"/>
      <c r="I142" s="27" t="n"/>
      <c r="J142" s="28">
        <f>IF($A142="","",IF('設定'!$B$10="四捨五入",ROUND(IF('設定'!$B$9="税込",N($G142)*10/110,N($G142)*10/100),0),IF('設定'!$B$10="切り上げ",ROUNDUP(IF('設定'!$B$9="税込",N($G142)*10/110,N($G142)*10/100),0),ROUNDDOWN(IF('設定'!$B$9="税込",N($G142)*10/110,N($G142)*10/100),0))))</f>
        <v/>
      </c>
      <c r="K142" s="28">
        <f>IF($A142="","",IF('設定'!$B$10="四捨五入",ROUND(IF('設定'!$B$9="税込",N($H142)*8/108,N($H142)*8/100),0),IF('設定'!$B$10="切り上げ",ROUNDUP(IF('設定'!$B$9="税込",N($H142)*8/108,N($H142)*8/100),0),ROUNDDOWN(IF('設定'!$B$9="税込",N($H142)*8/108,N($H142)*8/100),0))))</f>
        <v/>
      </c>
      <c r="L142" s="28">
        <f>IF($A142="","",N($G142)+N($H142)+N($I142)+IF('設定'!$B$9="税込",0,$J142+$K142))</f>
        <v/>
      </c>
      <c r="M142" s="29">
        <f>IF(OR($A142="",NOT(ISNUMBER($W142)),NOT(ISNUMBER($X142))),"",IF(OR(INDEX('得意先'!$D$5:$D$104,$W142)="",INDEX('得意先'!$E$5:$E$104,$W142)="",INDEX('得意先'!$F$5:$F$104,$W142)=""),"",IF(INDEX('得意先'!$F$5:$F$104,$W142)="末",DATE(YEAR($X142),(MONTH($X142)+IF(INDEX('得意先'!$D$5:$D$104,$W142)="末",0,IF(DAY($X142)&lt;=INDEX('得意先'!$D$5:$D$104,$W142),0,1))+N(INDEX('得意先'!$E$5:$E$104,$W142)))+1,0),DATE(YEAR($X142),(MONTH($X142)+IF(INDEX('得意先'!$D$5:$D$104,$W142)="末",0,IF(DAY($X142)&lt;=INDEX('得意先'!$D$5:$D$104,$W142),0,1))+N(INDEX('得意先'!$E$5:$E$104,$W142))),MIN(INDEX('得意先'!$F$5:$F$104,$W142),DAY(DATE(YEAR($X142),(MONTH($X142)+IF(INDEX('得意先'!$D$5:$D$104,$W142)="末",0,IF(DAY($X142)&lt;=INDEX('得意先'!$D$5:$D$104,$W142),0,1))+N(INDEX('得意先'!$E$5:$E$104,$W142)))+1,0)))))))</f>
        <v/>
      </c>
      <c r="N142" s="26" t="n"/>
      <c r="O142" s="29">
        <f>IF($A142="","",IF(ISNUMBER($N142),$N142,$M142))</f>
        <v/>
      </c>
      <c r="P142" s="28">
        <f>IF($A142="","",SUMIF('入金消込'!$F$5:$F$1004,$A142,'入金消込'!$G$5:$G$1004))</f>
        <v/>
      </c>
      <c r="Q142" s="28">
        <f>IF($A142="","",SUMIF('入金消込'!$F$5:$F$1004,$A142,'入金消込'!$H$5:$H$1004)+SUMIF('入金消込'!$F$5:$F$1004,$A142,'入金消込'!$I$5:$I$1004))</f>
        <v/>
      </c>
      <c r="R142" s="28">
        <f>IF($A142="","",$L142-$P142-$Q142)</f>
        <v/>
      </c>
      <c r="S142" s="30">
        <f>IF($A142="","",IF($R142=0,IF($L142=0,"請求額0","回収済"),IF($L142&lt;0,IF($R142&lt;0,"差し引き待ち","差し引きすぎ"),IF($R142&lt;0,"入金が多い",IF($P142+$Q142=0,"未入金","一部入金")))))</f>
        <v/>
      </c>
      <c r="T142" s="31">
        <f>IF(OR($A142="",N($R142)&lt;=0,NOT(ISNUMBER($O142))),"",IF($O142&lt;'設定'!$B$7,'設定'!$B$7-$O142,""))</f>
        <v/>
      </c>
      <c r="U142" s="30">
        <f>IF(OR($A142="",N($R142)&lt;=0),"",IF(NOT(ISNUMBER($O142)),'設定'!$B$22,IF($O142&gt;='設定'!$B$7,'設定'!$B$17,IF('設定'!$B$7-$O142&lt;='設定'!$B$12,'設定'!$B$18,IF('設定'!$B$7-$O142&lt;='設定'!$B$13,'設定'!$B$19,IF('設定'!$B$7-$O142&lt;='設定'!$B$14,'設定'!$B$20,'設定'!$B$21))))))</f>
        <v/>
      </c>
      <c r="V142" s="56" t="n"/>
      <c r="W142" s="32">
        <f>IF($C142="","",IFERROR(MATCH($C142,'得意先'!$B$5:$B$104,0),"なし"))</f>
        <v/>
      </c>
      <c r="X142" s="33">
        <f>IF($A142="","",IF(ISNUMBER($E142),$E142,IF(ISNUMBER($B142),$B142,"")))</f>
        <v/>
      </c>
      <c r="Y142" s="34">
        <f>IF($T142="","",$O142+ROW()/1000000)</f>
        <v/>
      </c>
      <c r="Z142" s="35">
        <f>IF(OR($A142="",$C142="",$C142&lt;&gt;'売掛帳'!$B$3,NOT(ISNUMBER($X142))),"",IF(AND($X142&gt;='売掛帳'!$Q$3,$X142&lt;='売掛帳'!$Q$4),$X142+ROW()/10000000,""))</f>
        <v/>
      </c>
    </row>
    <row r="143" ht="18" customHeight="1">
      <c r="A143" s="18" t="n"/>
      <c r="B143" s="26" t="n"/>
      <c r="C143" s="18" t="n"/>
      <c r="D143" s="20">
        <f>IF($W143="","",IF($W143="なし","※得意先にないコード",INDEX('得意先'!$C$5:$C$104,$W143)&amp;""))</f>
        <v/>
      </c>
      <c r="E143" s="26" t="n"/>
      <c r="F143" s="19" t="n"/>
      <c r="G143" s="27" t="n"/>
      <c r="H143" s="27" t="n"/>
      <c r="I143" s="27" t="n"/>
      <c r="J143" s="28">
        <f>IF($A143="","",IF('設定'!$B$10="四捨五入",ROUND(IF('設定'!$B$9="税込",N($G143)*10/110,N($G143)*10/100),0),IF('設定'!$B$10="切り上げ",ROUNDUP(IF('設定'!$B$9="税込",N($G143)*10/110,N($G143)*10/100),0),ROUNDDOWN(IF('設定'!$B$9="税込",N($G143)*10/110,N($G143)*10/100),0))))</f>
        <v/>
      </c>
      <c r="K143" s="28">
        <f>IF($A143="","",IF('設定'!$B$10="四捨五入",ROUND(IF('設定'!$B$9="税込",N($H143)*8/108,N($H143)*8/100),0),IF('設定'!$B$10="切り上げ",ROUNDUP(IF('設定'!$B$9="税込",N($H143)*8/108,N($H143)*8/100),0),ROUNDDOWN(IF('設定'!$B$9="税込",N($H143)*8/108,N($H143)*8/100),0))))</f>
        <v/>
      </c>
      <c r="L143" s="28">
        <f>IF($A143="","",N($G143)+N($H143)+N($I143)+IF('設定'!$B$9="税込",0,$J143+$K143))</f>
        <v/>
      </c>
      <c r="M143" s="29">
        <f>IF(OR($A143="",NOT(ISNUMBER($W143)),NOT(ISNUMBER($X143))),"",IF(OR(INDEX('得意先'!$D$5:$D$104,$W143)="",INDEX('得意先'!$E$5:$E$104,$W143)="",INDEX('得意先'!$F$5:$F$104,$W143)=""),"",IF(INDEX('得意先'!$F$5:$F$104,$W143)="末",DATE(YEAR($X143),(MONTH($X143)+IF(INDEX('得意先'!$D$5:$D$104,$W143)="末",0,IF(DAY($X143)&lt;=INDEX('得意先'!$D$5:$D$104,$W143),0,1))+N(INDEX('得意先'!$E$5:$E$104,$W143)))+1,0),DATE(YEAR($X143),(MONTH($X143)+IF(INDEX('得意先'!$D$5:$D$104,$W143)="末",0,IF(DAY($X143)&lt;=INDEX('得意先'!$D$5:$D$104,$W143),0,1))+N(INDEX('得意先'!$E$5:$E$104,$W143))),MIN(INDEX('得意先'!$F$5:$F$104,$W143),DAY(DATE(YEAR($X143),(MONTH($X143)+IF(INDEX('得意先'!$D$5:$D$104,$W143)="末",0,IF(DAY($X143)&lt;=INDEX('得意先'!$D$5:$D$104,$W143),0,1))+N(INDEX('得意先'!$E$5:$E$104,$W143)))+1,0)))))))</f>
        <v/>
      </c>
      <c r="N143" s="26" t="n"/>
      <c r="O143" s="29">
        <f>IF($A143="","",IF(ISNUMBER($N143),$N143,$M143))</f>
        <v/>
      </c>
      <c r="P143" s="28">
        <f>IF($A143="","",SUMIF('入金消込'!$F$5:$F$1004,$A143,'入金消込'!$G$5:$G$1004))</f>
        <v/>
      </c>
      <c r="Q143" s="28">
        <f>IF($A143="","",SUMIF('入金消込'!$F$5:$F$1004,$A143,'入金消込'!$H$5:$H$1004)+SUMIF('入金消込'!$F$5:$F$1004,$A143,'入金消込'!$I$5:$I$1004))</f>
        <v/>
      </c>
      <c r="R143" s="28">
        <f>IF($A143="","",$L143-$P143-$Q143)</f>
        <v/>
      </c>
      <c r="S143" s="30">
        <f>IF($A143="","",IF($R143=0,IF($L143=0,"請求額0","回収済"),IF($L143&lt;0,IF($R143&lt;0,"差し引き待ち","差し引きすぎ"),IF($R143&lt;0,"入金が多い",IF($P143+$Q143=0,"未入金","一部入金")))))</f>
        <v/>
      </c>
      <c r="T143" s="31">
        <f>IF(OR($A143="",N($R143)&lt;=0,NOT(ISNUMBER($O143))),"",IF($O143&lt;'設定'!$B$7,'設定'!$B$7-$O143,""))</f>
        <v/>
      </c>
      <c r="U143" s="30">
        <f>IF(OR($A143="",N($R143)&lt;=0),"",IF(NOT(ISNUMBER($O143)),'設定'!$B$22,IF($O143&gt;='設定'!$B$7,'設定'!$B$17,IF('設定'!$B$7-$O143&lt;='設定'!$B$12,'設定'!$B$18,IF('設定'!$B$7-$O143&lt;='設定'!$B$13,'設定'!$B$19,IF('設定'!$B$7-$O143&lt;='設定'!$B$14,'設定'!$B$20,'設定'!$B$21))))))</f>
        <v/>
      </c>
      <c r="V143" s="56" t="n"/>
      <c r="W143" s="32">
        <f>IF($C143="","",IFERROR(MATCH($C143,'得意先'!$B$5:$B$104,0),"なし"))</f>
        <v/>
      </c>
      <c r="X143" s="33">
        <f>IF($A143="","",IF(ISNUMBER($E143),$E143,IF(ISNUMBER($B143),$B143,"")))</f>
        <v/>
      </c>
      <c r="Y143" s="34">
        <f>IF($T143="","",$O143+ROW()/1000000)</f>
        <v/>
      </c>
      <c r="Z143" s="35">
        <f>IF(OR($A143="",$C143="",$C143&lt;&gt;'売掛帳'!$B$3,NOT(ISNUMBER($X143))),"",IF(AND($X143&gt;='売掛帳'!$Q$3,$X143&lt;='売掛帳'!$Q$4),$X143+ROW()/10000000,""))</f>
        <v/>
      </c>
    </row>
    <row r="144" ht="18" customHeight="1">
      <c r="A144" s="18" t="n"/>
      <c r="B144" s="26" t="n"/>
      <c r="C144" s="18" t="n"/>
      <c r="D144" s="20">
        <f>IF($W144="","",IF($W144="なし","※得意先にないコード",INDEX('得意先'!$C$5:$C$104,$W144)&amp;""))</f>
        <v/>
      </c>
      <c r="E144" s="26" t="n"/>
      <c r="F144" s="19" t="n"/>
      <c r="G144" s="27" t="n"/>
      <c r="H144" s="27" t="n"/>
      <c r="I144" s="27" t="n"/>
      <c r="J144" s="28">
        <f>IF($A144="","",IF('設定'!$B$10="四捨五入",ROUND(IF('設定'!$B$9="税込",N($G144)*10/110,N($G144)*10/100),0),IF('設定'!$B$10="切り上げ",ROUNDUP(IF('設定'!$B$9="税込",N($G144)*10/110,N($G144)*10/100),0),ROUNDDOWN(IF('設定'!$B$9="税込",N($G144)*10/110,N($G144)*10/100),0))))</f>
        <v/>
      </c>
      <c r="K144" s="28">
        <f>IF($A144="","",IF('設定'!$B$10="四捨五入",ROUND(IF('設定'!$B$9="税込",N($H144)*8/108,N($H144)*8/100),0),IF('設定'!$B$10="切り上げ",ROUNDUP(IF('設定'!$B$9="税込",N($H144)*8/108,N($H144)*8/100),0),ROUNDDOWN(IF('設定'!$B$9="税込",N($H144)*8/108,N($H144)*8/100),0))))</f>
        <v/>
      </c>
      <c r="L144" s="28">
        <f>IF($A144="","",N($G144)+N($H144)+N($I144)+IF('設定'!$B$9="税込",0,$J144+$K144))</f>
        <v/>
      </c>
      <c r="M144" s="29">
        <f>IF(OR($A144="",NOT(ISNUMBER($W144)),NOT(ISNUMBER($X144))),"",IF(OR(INDEX('得意先'!$D$5:$D$104,$W144)="",INDEX('得意先'!$E$5:$E$104,$W144)="",INDEX('得意先'!$F$5:$F$104,$W144)=""),"",IF(INDEX('得意先'!$F$5:$F$104,$W144)="末",DATE(YEAR($X144),(MONTH($X144)+IF(INDEX('得意先'!$D$5:$D$104,$W144)="末",0,IF(DAY($X144)&lt;=INDEX('得意先'!$D$5:$D$104,$W144),0,1))+N(INDEX('得意先'!$E$5:$E$104,$W144)))+1,0),DATE(YEAR($X144),(MONTH($X144)+IF(INDEX('得意先'!$D$5:$D$104,$W144)="末",0,IF(DAY($X144)&lt;=INDEX('得意先'!$D$5:$D$104,$W144),0,1))+N(INDEX('得意先'!$E$5:$E$104,$W144))),MIN(INDEX('得意先'!$F$5:$F$104,$W144),DAY(DATE(YEAR($X144),(MONTH($X144)+IF(INDEX('得意先'!$D$5:$D$104,$W144)="末",0,IF(DAY($X144)&lt;=INDEX('得意先'!$D$5:$D$104,$W144),0,1))+N(INDEX('得意先'!$E$5:$E$104,$W144)))+1,0)))))))</f>
        <v/>
      </c>
      <c r="N144" s="26" t="n"/>
      <c r="O144" s="29">
        <f>IF($A144="","",IF(ISNUMBER($N144),$N144,$M144))</f>
        <v/>
      </c>
      <c r="P144" s="28">
        <f>IF($A144="","",SUMIF('入金消込'!$F$5:$F$1004,$A144,'入金消込'!$G$5:$G$1004))</f>
        <v/>
      </c>
      <c r="Q144" s="28">
        <f>IF($A144="","",SUMIF('入金消込'!$F$5:$F$1004,$A144,'入金消込'!$H$5:$H$1004)+SUMIF('入金消込'!$F$5:$F$1004,$A144,'入金消込'!$I$5:$I$1004))</f>
        <v/>
      </c>
      <c r="R144" s="28">
        <f>IF($A144="","",$L144-$P144-$Q144)</f>
        <v/>
      </c>
      <c r="S144" s="30">
        <f>IF($A144="","",IF($R144=0,IF($L144=0,"請求額0","回収済"),IF($L144&lt;0,IF($R144&lt;0,"差し引き待ち","差し引きすぎ"),IF($R144&lt;0,"入金が多い",IF($P144+$Q144=0,"未入金","一部入金")))))</f>
        <v/>
      </c>
      <c r="T144" s="31">
        <f>IF(OR($A144="",N($R144)&lt;=0,NOT(ISNUMBER($O144))),"",IF($O144&lt;'設定'!$B$7,'設定'!$B$7-$O144,""))</f>
        <v/>
      </c>
      <c r="U144" s="30">
        <f>IF(OR($A144="",N($R144)&lt;=0),"",IF(NOT(ISNUMBER($O144)),'設定'!$B$22,IF($O144&gt;='設定'!$B$7,'設定'!$B$17,IF('設定'!$B$7-$O144&lt;='設定'!$B$12,'設定'!$B$18,IF('設定'!$B$7-$O144&lt;='設定'!$B$13,'設定'!$B$19,IF('設定'!$B$7-$O144&lt;='設定'!$B$14,'設定'!$B$20,'設定'!$B$21))))))</f>
        <v/>
      </c>
      <c r="V144" s="56" t="n"/>
      <c r="W144" s="32">
        <f>IF($C144="","",IFERROR(MATCH($C144,'得意先'!$B$5:$B$104,0),"なし"))</f>
        <v/>
      </c>
      <c r="X144" s="33">
        <f>IF($A144="","",IF(ISNUMBER($E144),$E144,IF(ISNUMBER($B144),$B144,"")))</f>
        <v/>
      </c>
      <c r="Y144" s="34">
        <f>IF($T144="","",$O144+ROW()/1000000)</f>
        <v/>
      </c>
      <c r="Z144" s="35">
        <f>IF(OR($A144="",$C144="",$C144&lt;&gt;'売掛帳'!$B$3,NOT(ISNUMBER($X144))),"",IF(AND($X144&gt;='売掛帳'!$Q$3,$X144&lt;='売掛帳'!$Q$4),$X144+ROW()/10000000,""))</f>
        <v/>
      </c>
    </row>
    <row r="145" ht="18" customHeight="1">
      <c r="A145" s="18" t="n"/>
      <c r="B145" s="26" t="n"/>
      <c r="C145" s="18" t="n"/>
      <c r="D145" s="20">
        <f>IF($W145="","",IF($W145="なし","※得意先にないコード",INDEX('得意先'!$C$5:$C$104,$W145)&amp;""))</f>
        <v/>
      </c>
      <c r="E145" s="26" t="n"/>
      <c r="F145" s="19" t="n"/>
      <c r="G145" s="27" t="n"/>
      <c r="H145" s="27" t="n"/>
      <c r="I145" s="27" t="n"/>
      <c r="J145" s="28">
        <f>IF($A145="","",IF('設定'!$B$10="四捨五入",ROUND(IF('設定'!$B$9="税込",N($G145)*10/110,N($G145)*10/100),0),IF('設定'!$B$10="切り上げ",ROUNDUP(IF('設定'!$B$9="税込",N($G145)*10/110,N($G145)*10/100),0),ROUNDDOWN(IF('設定'!$B$9="税込",N($G145)*10/110,N($G145)*10/100),0))))</f>
        <v/>
      </c>
      <c r="K145" s="28">
        <f>IF($A145="","",IF('設定'!$B$10="四捨五入",ROUND(IF('設定'!$B$9="税込",N($H145)*8/108,N($H145)*8/100),0),IF('設定'!$B$10="切り上げ",ROUNDUP(IF('設定'!$B$9="税込",N($H145)*8/108,N($H145)*8/100),0),ROUNDDOWN(IF('設定'!$B$9="税込",N($H145)*8/108,N($H145)*8/100),0))))</f>
        <v/>
      </c>
      <c r="L145" s="28">
        <f>IF($A145="","",N($G145)+N($H145)+N($I145)+IF('設定'!$B$9="税込",0,$J145+$K145))</f>
        <v/>
      </c>
      <c r="M145" s="29">
        <f>IF(OR($A145="",NOT(ISNUMBER($W145)),NOT(ISNUMBER($X145))),"",IF(OR(INDEX('得意先'!$D$5:$D$104,$W145)="",INDEX('得意先'!$E$5:$E$104,$W145)="",INDEX('得意先'!$F$5:$F$104,$W145)=""),"",IF(INDEX('得意先'!$F$5:$F$104,$W145)="末",DATE(YEAR($X145),(MONTH($X145)+IF(INDEX('得意先'!$D$5:$D$104,$W145)="末",0,IF(DAY($X145)&lt;=INDEX('得意先'!$D$5:$D$104,$W145),0,1))+N(INDEX('得意先'!$E$5:$E$104,$W145)))+1,0),DATE(YEAR($X145),(MONTH($X145)+IF(INDEX('得意先'!$D$5:$D$104,$W145)="末",0,IF(DAY($X145)&lt;=INDEX('得意先'!$D$5:$D$104,$W145),0,1))+N(INDEX('得意先'!$E$5:$E$104,$W145))),MIN(INDEX('得意先'!$F$5:$F$104,$W145),DAY(DATE(YEAR($X145),(MONTH($X145)+IF(INDEX('得意先'!$D$5:$D$104,$W145)="末",0,IF(DAY($X145)&lt;=INDEX('得意先'!$D$5:$D$104,$W145),0,1))+N(INDEX('得意先'!$E$5:$E$104,$W145)))+1,0)))))))</f>
        <v/>
      </c>
      <c r="N145" s="26" t="n"/>
      <c r="O145" s="29">
        <f>IF($A145="","",IF(ISNUMBER($N145),$N145,$M145))</f>
        <v/>
      </c>
      <c r="P145" s="28">
        <f>IF($A145="","",SUMIF('入金消込'!$F$5:$F$1004,$A145,'入金消込'!$G$5:$G$1004))</f>
        <v/>
      </c>
      <c r="Q145" s="28">
        <f>IF($A145="","",SUMIF('入金消込'!$F$5:$F$1004,$A145,'入金消込'!$H$5:$H$1004)+SUMIF('入金消込'!$F$5:$F$1004,$A145,'入金消込'!$I$5:$I$1004))</f>
        <v/>
      </c>
      <c r="R145" s="28">
        <f>IF($A145="","",$L145-$P145-$Q145)</f>
        <v/>
      </c>
      <c r="S145" s="30">
        <f>IF($A145="","",IF($R145=0,IF($L145=0,"請求額0","回収済"),IF($L145&lt;0,IF($R145&lt;0,"差し引き待ち","差し引きすぎ"),IF($R145&lt;0,"入金が多い",IF($P145+$Q145=0,"未入金","一部入金")))))</f>
        <v/>
      </c>
      <c r="T145" s="31">
        <f>IF(OR($A145="",N($R145)&lt;=0,NOT(ISNUMBER($O145))),"",IF($O145&lt;'設定'!$B$7,'設定'!$B$7-$O145,""))</f>
        <v/>
      </c>
      <c r="U145" s="30">
        <f>IF(OR($A145="",N($R145)&lt;=0),"",IF(NOT(ISNUMBER($O145)),'設定'!$B$22,IF($O145&gt;='設定'!$B$7,'設定'!$B$17,IF('設定'!$B$7-$O145&lt;='設定'!$B$12,'設定'!$B$18,IF('設定'!$B$7-$O145&lt;='設定'!$B$13,'設定'!$B$19,IF('設定'!$B$7-$O145&lt;='設定'!$B$14,'設定'!$B$20,'設定'!$B$21))))))</f>
        <v/>
      </c>
      <c r="V145" s="56" t="n"/>
      <c r="W145" s="32">
        <f>IF($C145="","",IFERROR(MATCH($C145,'得意先'!$B$5:$B$104,0),"なし"))</f>
        <v/>
      </c>
      <c r="X145" s="33">
        <f>IF($A145="","",IF(ISNUMBER($E145),$E145,IF(ISNUMBER($B145),$B145,"")))</f>
        <v/>
      </c>
      <c r="Y145" s="34">
        <f>IF($T145="","",$O145+ROW()/1000000)</f>
        <v/>
      </c>
      <c r="Z145" s="35">
        <f>IF(OR($A145="",$C145="",$C145&lt;&gt;'売掛帳'!$B$3,NOT(ISNUMBER($X145))),"",IF(AND($X145&gt;='売掛帳'!$Q$3,$X145&lt;='売掛帳'!$Q$4),$X145+ROW()/10000000,""))</f>
        <v/>
      </c>
    </row>
    <row r="146" ht="18" customHeight="1">
      <c r="A146" s="18" t="n"/>
      <c r="B146" s="26" t="n"/>
      <c r="C146" s="18" t="n"/>
      <c r="D146" s="20">
        <f>IF($W146="","",IF($W146="なし","※得意先にないコード",INDEX('得意先'!$C$5:$C$104,$W146)&amp;""))</f>
        <v/>
      </c>
      <c r="E146" s="26" t="n"/>
      <c r="F146" s="19" t="n"/>
      <c r="G146" s="27" t="n"/>
      <c r="H146" s="27" t="n"/>
      <c r="I146" s="27" t="n"/>
      <c r="J146" s="28">
        <f>IF($A146="","",IF('設定'!$B$10="四捨五入",ROUND(IF('設定'!$B$9="税込",N($G146)*10/110,N($G146)*10/100),0),IF('設定'!$B$10="切り上げ",ROUNDUP(IF('設定'!$B$9="税込",N($G146)*10/110,N($G146)*10/100),0),ROUNDDOWN(IF('設定'!$B$9="税込",N($G146)*10/110,N($G146)*10/100),0))))</f>
        <v/>
      </c>
      <c r="K146" s="28">
        <f>IF($A146="","",IF('設定'!$B$10="四捨五入",ROUND(IF('設定'!$B$9="税込",N($H146)*8/108,N($H146)*8/100),0),IF('設定'!$B$10="切り上げ",ROUNDUP(IF('設定'!$B$9="税込",N($H146)*8/108,N($H146)*8/100),0),ROUNDDOWN(IF('設定'!$B$9="税込",N($H146)*8/108,N($H146)*8/100),0))))</f>
        <v/>
      </c>
      <c r="L146" s="28">
        <f>IF($A146="","",N($G146)+N($H146)+N($I146)+IF('設定'!$B$9="税込",0,$J146+$K146))</f>
        <v/>
      </c>
      <c r="M146" s="29">
        <f>IF(OR($A146="",NOT(ISNUMBER($W146)),NOT(ISNUMBER($X146))),"",IF(OR(INDEX('得意先'!$D$5:$D$104,$W146)="",INDEX('得意先'!$E$5:$E$104,$W146)="",INDEX('得意先'!$F$5:$F$104,$W146)=""),"",IF(INDEX('得意先'!$F$5:$F$104,$W146)="末",DATE(YEAR($X146),(MONTH($X146)+IF(INDEX('得意先'!$D$5:$D$104,$W146)="末",0,IF(DAY($X146)&lt;=INDEX('得意先'!$D$5:$D$104,$W146),0,1))+N(INDEX('得意先'!$E$5:$E$104,$W146)))+1,0),DATE(YEAR($X146),(MONTH($X146)+IF(INDEX('得意先'!$D$5:$D$104,$W146)="末",0,IF(DAY($X146)&lt;=INDEX('得意先'!$D$5:$D$104,$W146),0,1))+N(INDEX('得意先'!$E$5:$E$104,$W146))),MIN(INDEX('得意先'!$F$5:$F$104,$W146),DAY(DATE(YEAR($X146),(MONTH($X146)+IF(INDEX('得意先'!$D$5:$D$104,$W146)="末",0,IF(DAY($X146)&lt;=INDEX('得意先'!$D$5:$D$104,$W146),0,1))+N(INDEX('得意先'!$E$5:$E$104,$W146)))+1,0)))))))</f>
        <v/>
      </c>
      <c r="N146" s="26" t="n"/>
      <c r="O146" s="29">
        <f>IF($A146="","",IF(ISNUMBER($N146),$N146,$M146))</f>
        <v/>
      </c>
      <c r="P146" s="28">
        <f>IF($A146="","",SUMIF('入金消込'!$F$5:$F$1004,$A146,'入金消込'!$G$5:$G$1004))</f>
        <v/>
      </c>
      <c r="Q146" s="28">
        <f>IF($A146="","",SUMIF('入金消込'!$F$5:$F$1004,$A146,'入金消込'!$H$5:$H$1004)+SUMIF('入金消込'!$F$5:$F$1004,$A146,'入金消込'!$I$5:$I$1004))</f>
        <v/>
      </c>
      <c r="R146" s="28">
        <f>IF($A146="","",$L146-$P146-$Q146)</f>
        <v/>
      </c>
      <c r="S146" s="30">
        <f>IF($A146="","",IF($R146=0,IF($L146=0,"請求額0","回収済"),IF($L146&lt;0,IF($R146&lt;0,"差し引き待ち","差し引きすぎ"),IF($R146&lt;0,"入金が多い",IF($P146+$Q146=0,"未入金","一部入金")))))</f>
        <v/>
      </c>
      <c r="T146" s="31">
        <f>IF(OR($A146="",N($R146)&lt;=0,NOT(ISNUMBER($O146))),"",IF($O146&lt;'設定'!$B$7,'設定'!$B$7-$O146,""))</f>
        <v/>
      </c>
      <c r="U146" s="30">
        <f>IF(OR($A146="",N($R146)&lt;=0),"",IF(NOT(ISNUMBER($O146)),'設定'!$B$22,IF($O146&gt;='設定'!$B$7,'設定'!$B$17,IF('設定'!$B$7-$O146&lt;='設定'!$B$12,'設定'!$B$18,IF('設定'!$B$7-$O146&lt;='設定'!$B$13,'設定'!$B$19,IF('設定'!$B$7-$O146&lt;='設定'!$B$14,'設定'!$B$20,'設定'!$B$21))))))</f>
        <v/>
      </c>
      <c r="V146" s="56" t="n"/>
      <c r="W146" s="32">
        <f>IF($C146="","",IFERROR(MATCH($C146,'得意先'!$B$5:$B$104,0),"なし"))</f>
        <v/>
      </c>
      <c r="X146" s="33">
        <f>IF($A146="","",IF(ISNUMBER($E146),$E146,IF(ISNUMBER($B146),$B146,"")))</f>
        <v/>
      </c>
      <c r="Y146" s="34">
        <f>IF($T146="","",$O146+ROW()/1000000)</f>
        <v/>
      </c>
      <c r="Z146" s="35">
        <f>IF(OR($A146="",$C146="",$C146&lt;&gt;'売掛帳'!$B$3,NOT(ISNUMBER($X146))),"",IF(AND($X146&gt;='売掛帳'!$Q$3,$X146&lt;='売掛帳'!$Q$4),$X146+ROW()/10000000,""))</f>
        <v/>
      </c>
    </row>
    <row r="147" ht="18" customHeight="1">
      <c r="A147" s="18" t="n"/>
      <c r="B147" s="26" t="n"/>
      <c r="C147" s="18" t="n"/>
      <c r="D147" s="20">
        <f>IF($W147="","",IF($W147="なし","※得意先にないコード",INDEX('得意先'!$C$5:$C$104,$W147)&amp;""))</f>
        <v/>
      </c>
      <c r="E147" s="26" t="n"/>
      <c r="F147" s="19" t="n"/>
      <c r="G147" s="27" t="n"/>
      <c r="H147" s="27" t="n"/>
      <c r="I147" s="27" t="n"/>
      <c r="J147" s="28">
        <f>IF($A147="","",IF('設定'!$B$10="四捨五入",ROUND(IF('設定'!$B$9="税込",N($G147)*10/110,N($G147)*10/100),0),IF('設定'!$B$10="切り上げ",ROUNDUP(IF('設定'!$B$9="税込",N($G147)*10/110,N($G147)*10/100),0),ROUNDDOWN(IF('設定'!$B$9="税込",N($G147)*10/110,N($G147)*10/100),0))))</f>
        <v/>
      </c>
      <c r="K147" s="28">
        <f>IF($A147="","",IF('設定'!$B$10="四捨五入",ROUND(IF('設定'!$B$9="税込",N($H147)*8/108,N($H147)*8/100),0),IF('設定'!$B$10="切り上げ",ROUNDUP(IF('設定'!$B$9="税込",N($H147)*8/108,N($H147)*8/100),0),ROUNDDOWN(IF('設定'!$B$9="税込",N($H147)*8/108,N($H147)*8/100),0))))</f>
        <v/>
      </c>
      <c r="L147" s="28">
        <f>IF($A147="","",N($G147)+N($H147)+N($I147)+IF('設定'!$B$9="税込",0,$J147+$K147))</f>
        <v/>
      </c>
      <c r="M147" s="29">
        <f>IF(OR($A147="",NOT(ISNUMBER($W147)),NOT(ISNUMBER($X147))),"",IF(OR(INDEX('得意先'!$D$5:$D$104,$W147)="",INDEX('得意先'!$E$5:$E$104,$W147)="",INDEX('得意先'!$F$5:$F$104,$W147)=""),"",IF(INDEX('得意先'!$F$5:$F$104,$W147)="末",DATE(YEAR($X147),(MONTH($X147)+IF(INDEX('得意先'!$D$5:$D$104,$W147)="末",0,IF(DAY($X147)&lt;=INDEX('得意先'!$D$5:$D$104,$W147),0,1))+N(INDEX('得意先'!$E$5:$E$104,$W147)))+1,0),DATE(YEAR($X147),(MONTH($X147)+IF(INDEX('得意先'!$D$5:$D$104,$W147)="末",0,IF(DAY($X147)&lt;=INDEX('得意先'!$D$5:$D$104,$W147),0,1))+N(INDEX('得意先'!$E$5:$E$104,$W147))),MIN(INDEX('得意先'!$F$5:$F$104,$W147),DAY(DATE(YEAR($X147),(MONTH($X147)+IF(INDEX('得意先'!$D$5:$D$104,$W147)="末",0,IF(DAY($X147)&lt;=INDEX('得意先'!$D$5:$D$104,$W147),0,1))+N(INDEX('得意先'!$E$5:$E$104,$W147)))+1,0)))))))</f>
        <v/>
      </c>
      <c r="N147" s="26" t="n"/>
      <c r="O147" s="29">
        <f>IF($A147="","",IF(ISNUMBER($N147),$N147,$M147))</f>
        <v/>
      </c>
      <c r="P147" s="28">
        <f>IF($A147="","",SUMIF('入金消込'!$F$5:$F$1004,$A147,'入金消込'!$G$5:$G$1004))</f>
        <v/>
      </c>
      <c r="Q147" s="28">
        <f>IF($A147="","",SUMIF('入金消込'!$F$5:$F$1004,$A147,'入金消込'!$H$5:$H$1004)+SUMIF('入金消込'!$F$5:$F$1004,$A147,'入金消込'!$I$5:$I$1004))</f>
        <v/>
      </c>
      <c r="R147" s="28">
        <f>IF($A147="","",$L147-$P147-$Q147)</f>
        <v/>
      </c>
      <c r="S147" s="30">
        <f>IF($A147="","",IF($R147=0,IF($L147=0,"請求額0","回収済"),IF($L147&lt;0,IF($R147&lt;0,"差し引き待ち","差し引きすぎ"),IF($R147&lt;0,"入金が多い",IF($P147+$Q147=0,"未入金","一部入金")))))</f>
        <v/>
      </c>
      <c r="T147" s="31">
        <f>IF(OR($A147="",N($R147)&lt;=0,NOT(ISNUMBER($O147))),"",IF($O147&lt;'設定'!$B$7,'設定'!$B$7-$O147,""))</f>
        <v/>
      </c>
      <c r="U147" s="30">
        <f>IF(OR($A147="",N($R147)&lt;=0),"",IF(NOT(ISNUMBER($O147)),'設定'!$B$22,IF($O147&gt;='設定'!$B$7,'設定'!$B$17,IF('設定'!$B$7-$O147&lt;='設定'!$B$12,'設定'!$B$18,IF('設定'!$B$7-$O147&lt;='設定'!$B$13,'設定'!$B$19,IF('設定'!$B$7-$O147&lt;='設定'!$B$14,'設定'!$B$20,'設定'!$B$21))))))</f>
        <v/>
      </c>
      <c r="V147" s="56" t="n"/>
      <c r="W147" s="32">
        <f>IF($C147="","",IFERROR(MATCH($C147,'得意先'!$B$5:$B$104,0),"なし"))</f>
        <v/>
      </c>
      <c r="X147" s="33">
        <f>IF($A147="","",IF(ISNUMBER($E147),$E147,IF(ISNUMBER($B147),$B147,"")))</f>
        <v/>
      </c>
      <c r="Y147" s="34">
        <f>IF($T147="","",$O147+ROW()/1000000)</f>
        <v/>
      </c>
      <c r="Z147" s="35">
        <f>IF(OR($A147="",$C147="",$C147&lt;&gt;'売掛帳'!$B$3,NOT(ISNUMBER($X147))),"",IF(AND($X147&gt;='売掛帳'!$Q$3,$X147&lt;='売掛帳'!$Q$4),$X147+ROW()/10000000,""))</f>
        <v/>
      </c>
    </row>
    <row r="148" ht="18" customHeight="1">
      <c r="A148" s="18" t="n"/>
      <c r="B148" s="26" t="n"/>
      <c r="C148" s="18" t="n"/>
      <c r="D148" s="20">
        <f>IF($W148="","",IF($W148="なし","※得意先にないコード",INDEX('得意先'!$C$5:$C$104,$W148)&amp;""))</f>
        <v/>
      </c>
      <c r="E148" s="26" t="n"/>
      <c r="F148" s="19" t="n"/>
      <c r="G148" s="27" t="n"/>
      <c r="H148" s="27" t="n"/>
      <c r="I148" s="27" t="n"/>
      <c r="J148" s="28">
        <f>IF($A148="","",IF('設定'!$B$10="四捨五入",ROUND(IF('設定'!$B$9="税込",N($G148)*10/110,N($G148)*10/100),0),IF('設定'!$B$10="切り上げ",ROUNDUP(IF('設定'!$B$9="税込",N($G148)*10/110,N($G148)*10/100),0),ROUNDDOWN(IF('設定'!$B$9="税込",N($G148)*10/110,N($G148)*10/100),0))))</f>
        <v/>
      </c>
      <c r="K148" s="28">
        <f>IF($A148="","",IF('設定'!$B$10="四捨五入",ROUND(IF('設定'!$B$9="税込",N($H148)*8/108,N($H148)*8/100),0),IF('設定'!$B$10="切り上げ",ROUNDUP(IF('設定'!$B$9="税込",N($H148)*8/108,N($H148)*8/100),0),ROUNDDOWN(IF('設定'!$B$9="税込",N($H148)*8/108,N($H148)*8/100),0))))</f>
        <v/>
      </c>
      <c r="L148" s="28">
        <f>IF($A148="","",N($G148)+N($H148)+N($I148)+IF('設定'!$B$9="税込",0,$J148+$K148))</f>
        <v/>
      </c>
      <c r="M148" s="29">
        <f>IF(OR($A148="",NOT(ISNUMBER($W148)),NOT(ISNUMBER($X148))),"",IF(OR(INDEX('得意先'!$D$5:$D$104,$W148)="",INDEX('得意先'!$E$5:$E$104,$W148)="",INDEX('得意先'!$F$5:$F$104,$W148)=""),"",IF(INDEX('得意先'!$F$5:$F$104,$W148)="末",DATE(YEAR($X148),(MONTH($X148)+IF(INDEX('得意先'!$D$5:$D$104,$W148)="末",0,IF(DAY($X148)&lt;=INDEX('得意先'!$D$5:$D$104,$W148),0,1))+N(INDEX('得意先'!$E$5:$E$104,$W148)))+1,0),DATE(YEAR($X148),(MONTH($X148)+IF(INDEX('得意先'!$D$5:$D$104,$W148)="末",0,IF(DAY($X148)&lt;=INDEX('得意先'!$D$5:$D$104,$W148),0,1))+N(INDEX('得意先'!$E$5:$E$104,$W148))),MIN(INDEX('得意先'!$F$5:$F$104,$W148),DAY(DATE(YEAR($X148),(MONTH($X148)+IF(INDEX('得意先'!$D$5:$D$104,$W148)="末",0,IF(DAY($X148)&lt;=INDEX('得意先'!$D$5:$D$104,$W148),0,1))+N(INDEX('得意先'!$E$5:$E$104,$W148)))+1,0)))))))</f>
        <v/>
      </c>
      <c r="N148" s="26" t="n"/>
      <c r="O148" s="29">
        <f>IF($A148="","",IF(ISNUMBER($N148),$N148,$M148))</f>
        <v/>
      </c>
      <c r="P148" s="28">
        <f>IF($A148="","",SUMIF('入金消込'!$F$5:$F$1004,$A148,'入金消込'!$G$5:$G$1004))</f>
        <v/>
      </c>
      <c r="Q148" s="28">
        <f>IF($A148="","",SUMIF('入金消込'!$F$5:$F$1004,$A148,'入金消込'!$H$5:$H$1004)+SUMIF('入金消込'!$F$5:$F$1004,$A148,'入金消込'!$I$5:$I$1004))</f>
        <v/>
      </c>
      <c r="R148" s="28">
        <f>IF($A148="","",$L148-$P148-$Q148)</f>
        <v/>
      </c>
      <c r="S148" s="30">
        <f>IF($A148="","",IF($R148=0,IF($L148=0,"請求額0","回収済"),IF($L148&lt;0,IF($R148&lt;0,"差し引き待ち","差し引きすぎ"),IF($R148&lt;0,"入金が多い",IF($P148+$Q148=0,"未入金","一部入金")))))</f>
        <v/>
      </c>
      <c r="T148" s="31">
        <f>IF(OR($A148="",N($R148)&lt;=0,NOT(ISNUMBER($O148))),"",IF($O148&lt;'設定'!$B$7,'設定'!$B$7-$O148,""))</f>
        <v/>
      </c>
      <c r="U148" s="30">
        <f>IF(OR($A148="",N($R148)&lt;=0),"",IF(NOT(ISNUMBER($O148)),'設定'!$B$22,IF($O148&gt;='設定'!$B$7,'設定'!$B$17,IF('設定'!$B$7-$O148&lt;='設定'!$B$12,'設定'!$B$18,IF('設定'!$B$7-$O148&lt;='設定'!$B$13,'設定'!$B$19,IF('設定'!$B$7-$O148&lt;='設定'!$B$14,'設定'!$B$20,'設定'!$B$21))))))</f>
        <v/>
      </c>
      <c r="V148" s="56" t="n"/>
      <c r="W148" s="32">
        <f>IF($C148="","",IFERROR(MATCH($C148,'得意先'!$B$5:$B$104,0),"なし"))</f>
        <v/>
      </c>
      <c r="X148" s="33">
        <f>IF($A148="","",IF(ISNUMBER($E148),$E148,IF(ISNUMBER($B148),$B148,"")))</f>
        <v/>
      </c>
      <c r="Y148" s="34">
        <f>IF($T148="","",$O148+ROW()/1000000)</f>
        <v/>
      </c>
      <c r="Z148" s="35">
        <f>IF(OR($A148="",$C148="",$C148&lt;&gt;'売掛帳'!$B$3,NOT(ISNUMBER($X148))),"",IF(AND($X148&gt;='売掛帳'!$Q$3,$X148&lt;='売掛帳'!$Q$4),$X148+ROW()/10000000,""))</f>
        <v/>
      </c>
    </row>
    <row r="149" ht="18" customHeight="1">
      <c r="A149" s="18" t="n"/>
      <c r="B149" s="26" t="n"/>
      <c r="C149" s="18" t="n"/>
      <c r="D149" s="20">
        <f>IF($W149="","",IF($W149="なし","※得意先にないコード",INDEX('得意先'!$C$5:$C$104,$W149)&amp;""))</f>
        <v/>
      </c>
      <c r="E149" s="26" t="n"/>
      <c r="F149" s="19" t="n"/>
      <c r="G149" s="27" t="n"/>
      <c r="H149" s="27" t="n"/>
      <c r="I149" s="27" t="n"/>
      <c r="J149" s="28">
        <f>IF($A149="","",IF('設定'!$B$10="四捨五入",ROUND(IF('設定'!$B$9="税込",N($G149)*10/110,N($G149)*10/100),0),IF('設定'!$B$10="切り上げ",ROUNDUP(IF('設定'!$B$9="税込",N($G149)*10/110,N($G149)*10/100),0),ROUNDDOWN(IF('設定'!$B$9="税込",N($G149)*10/110,N($G149)*10/100),0))))</f>
        <v/>
      </c>
      <c r="K149" s="28">
        <f>IF($A149="","",IF('設定'!$B$10="四捨五入",ROUND(IF('設定'!$B$9="税込",N($H149)*8/108,N($H149)*8/100),0),IF('設定'!$B$10="切り上げ",ROUNDUP(IF('設定'!$B$9="税込",N($H149)*8/108,N($H149)*8/100),0),ROUNDDOWN(IF('設定'!$B$9="税込",N($H149)*8/108,N($H149)*8/100),0))))</f>
        <v/>
      </c>
      <c r="L149" s="28">
        <f>IF($A149="","",N($G149)+N($H149)+N($I149)+IF('設定'!$B$9="税込",0,$J149+$K149))</f>
        <v/>
      </c>
      <c r="M149" s="29">
        <f>IF(OR($A149="",NOT(ISNUMBER($W149)),NOT(ISNUMBER($X149))),"",IF(OR(INDEX('得意先'!$D$5:$D$104,$W149)="",INDEX('得意先'!$E$5:$E$104,$W149)="",INDEX('得意先'!$F$5:$F$104,$W149)=""),"",IF(INDEX('得意先'!$F$5:$F$104,$W149)="末",DATE(YEAR($X149),(MONTH($X149)+IF(INDEX('得意先'!$D$5:$D$104,$W149)="末",0,IF(DAY($X149)&lt;=INDEX('得意先'!$D$5:$D$104,$W149),0,1))+N(INDEX('得意先'!$E$5:$E$104,$W149)))+1,0),DATE(YEAR($X149),(MONTH($X149)+IF(INDEX('得意先'!$D$5:$D$104,$W149)="末",0,IF(DAY($X149)&lt;=INDEX('得意先'!$D$5:$D$104,$W149),0,1))+N(INDEX('得意先'!$E$5:$E$104,$W149))),MIN(INDEX('得意先'!$F$5:$F$104,$W149),DAY(DATE(YEAR($X149),(MONTH($X149)+IF(INDEX('得意先'!$D$5:$D$104,$W149)="末",0,IF(DAY($X149)&lt;=INDEX('得意先'!$D$5:$D$104,$W149),0,1))+N(INDEX('得意先'!$E$5:$E$104,$W149)))+1,0)))))))</f>
        <v/>
      </c>
      <c r="N149" s="26" t="n"/>
      <c r="O149" s="29">
        <f>IF($A149="","",IF(ISNUMBER($N149),$N149,$M149))</f>
        <v/>
      </c>
      <c r="P149" s="28">
        <f>IF($A149="","",SUMIF('入金消込'!$F$5:$F$1004,$A149,'入金消込'!$G$5:$G$1004))</f>
        <v/>
      </c>
      <c r="Q149" s="28">
        <f>IF($A149="","",SUMIF('入金消込'!$F$5:$F$1004,$A149,'入金消込'!$H$5:$H$1004)+SUMIF('入金消込'!$F$5:$F$1004,$A149,'入金消込'!$I$5:$I$1004))</f>
        <v/>
      </c>
      <c r="R149" s="28">
        <f>IF($A149="","",$L149-$P149-$Q149)</f>
        <v/>
      </c>
      <c r="S149" s="30">
        <f>IF($A149="","",IF($R149=0,IF($L149=0,"請求額0","回収済"),IF($L149&lt;0,IF($R149&lt;0,"差し引き待ち","差し引きすぎ"),IF($R149&lt;0,"入金が多い",IF($P149+$Q149=0,"未入金","一部入金")))))</f>
        <v/>
      </c>
      <c r="T149" s="31">
        <f>IF(OR($A149="",N($R149)&lt;=0,NOT(ISNUMBER($O149))),"",IF($O149&lt;'設定'!$B$7,'設定'!$B$7-$O149,""))</f>
        <v/>
      </c>
      <c r="U149" s="30">
        <f>IF(OR($A149="",N($R149)&lt;=0),"",IF(NOT(ISNUMBER($O149)),'設定'!$B$22,IF($O149&gt;='設定'!$B$7,'設定'!$B$17,IF('設定'!$B$7-$O149&lt;='設定'!$B$12,'設定'!$B$18,IF('設定'!$B$7-$O149&lt;='設定'!$B$13,'設定'!$B$19,IF('設定'!$B$7-$O149&lt;='設定'!$B$14,'設定'!$B$20,'設定'!$B$21))))))</f>
        <v/>
      </c>
      <c r="V149" s="56" t="n"/>
      <c r="W149" s="32">
        <f>IF($C149="","",IFERROR(MATCH($C149,'得意先'!$B$5:$B$104,0),"なし"))</f>
        <v/>
      </c>
      <c r="X149" s="33">
        <f>IF($A149="","",IF(ISNUMBER($E149),$E149,IF(ISNUMBER($B149),$B149,"")))</f>
        <v/>
      </c>
      <c r="Y149" s="34">
        <f>IF($T149="","",$O149+ROW()/1000000)</f>
        <v/>
      </c>
      <c r="Z149" s="35">
        <f>IF(OR($A149="",$C149="",$C149&lt;&gt;'売掛帳'!$B$3,NOT(ISNUMBER($X149))),"",IF(AND($X149&gt;='売掛帳'!$Q$3,$X149&lt;='売掛帳'!$Q$4),$X149+ROW()/10000000,""))</f>
        <v/>
      </c>
    </row>
    <row r="150" ht="18" customHeight="1">
      <c r="A150" s="18" t="n"/>
      <c r="B150" s="26" t="n"/>
      <c r="C150" s="18" t="n"/>
      <c r="D150" s="20">
        <f>IF($W150="","",IF($W150="なし","※得意先にないコード",INDEX('得意先'!$C$5:$C$104,$W150)&amp;""))</f>
        <v/>
      </c>
      <c r="E150" s="26" t="n"/>
      <c r="F150" s="19" t="n"/>
      <c r="G150" s="27" t="n"/>
      <c r="H150" s="27" t="n"/>
      <c r="I150" s="27" t="n"/>
      <c r="J150" s="28">
        <f>IF($A150="","",IF('設定'!$B$10="四捨五入",ROUND(IF('設定'!$B$9="税込",N($G150)*10/110,N($G150)*10/100),0),IF('設定'!$B$10="切り上げ",ROUNDUP(IF('設定'!$B$9="税込",N($G150)*10/110,N($G150)*10/100),0),ROUNDDOWN(IF('設定'!$B$9="税込",N($G150)*10/110,N($G150)*10/100),0))))</f>
        <v/>
      </c>
      <c r="K150" s="28">
        <f>IF($A150="","",IF('設定'!$B$10="四捨五入",ROUND(IF('設定'!$B$9="税込",N($H150)*8/108,N($H150)*8/100),0),IF('設定'!$B$10="切り上げ",ROUNDUP(IF('設定'!$B$9="税込",N($H150)*8/108,N($H150)*8/100),0),ROUNDDOWN(IF('設定'!$B$9="税込",N($H150)*8/108,N($H150)*8/100),0))))</f>
        <v/>
      </c>
      <c r="L150" s="28">
        <f>IF($A150="","",N($G150)+N($H150)+N($I150)+IF('設定'!$B$9="税込",0,$J150+$K150))</f>
        <v/>
      </c>
      <c r="M150" s="29">
        <f>IF(OR($A150="",NOT(ISNUMBER($W150)),NOT(ISNUMBER($X150))),"",IF(OR(INDEX('得意先'!$D$5:$D$104,$W150)="",INDEX('得意先'!$E$5:$E$104,$W150)="",INDEX('得意先'!$F$5:$F$104,$W150)=""),"",IF(INDEX('得意先'!$F$5:$F$104,$W150)="末",DATE(YEAR($X150),(MONTH($X150)+IF(INDEX('得意先'!$D$5:$D$104,$W150)="末",0,IF(DAY($X150)&lt;=INDEX('得意先'!$D$5:$D$104,$W150),0,1))+N(INDEX('得意先'!$E$5:$E$104,$W150)))+1,0),DATE(YEAR($X150),(MONTH($X150)+IF(INDEX('得意先'!$D$5:$D$104,$W150)="末",0,IF(DAY($X150)&lt;=INDEX('得意先'!$D$5:$D$104,$W150),0,1))+N(INDEX('得意先'!$E$5:$E$104,$W150))),MIN(INDEX('得意先'!$F$5:$F$104,$W150),DAY(DATE(YEAR($X150),(MONTH($X150)+IF(INDEX('得意先'!$D$5:$D$104,$W150)="末",0,IF(DAY($X150)&lt;=INDEX('得意先'!$D$5:$D$104,$W150),0,1))+N(INDEX('得意先'!$E$5:$E$104,$W150)))+1,0)))))))</f>
        <v/>
      </c>
      <c r="N150" s="26" t="n"/>
      <c r="O150" s="29">
        <f>IF($A150="","",IF(ISNUMBER($N150),$N150,$M150))</f>
        <v/>
      </c>
      <c r="P150" s="28">
        <f>IF($A150="","",SUMIF('入金消込'!$F$5:$F$1004,$A150,'入金消込'!$G$5:$G$1004))</f>
        <v/>
      </c>
      <c r="Q150" s="28">
        <f>IF($A150="","",SUMIF('入金消込'!$F$5:$F$1004,$A150,'入金消込'!$H$5:$H$1004)+SUMIF('入金消込'!$F$5:$F$1004,$A150,'入金消込'!$I$5:$I$1004))</f>
        <v/>
      </c>
      <c r="R150" s="28">
        <f>IF($A150="","",$L150-$P150-$Q150)</f>
        <v/>
      </c>
      <c r="S150" s="30">
        <f>IF($A150="","",IF($R150=0,IF($L150=0,"請求額0","回収済"),IF($L150&lt;0,IF($R150&lt;0,"差し引き待ち","差し引きすぎ"),IF($R150&lt;0,"入金が多い",IF($P150+$Q150=0,"未入金","一部入金")))))</f>
        <v/>
      </c>
      <c r="T150" s="31">
        <f>IF(OR($A150="",N($R150)&lt;=0,NOT(ISNUMBER($O150))),"",IF($O150&lt;'設定'!$B$7,'設定'!$B$7-$O150,""))</f>
        <v/>
      </c>
      <c r="U150" s="30">
        <f>IF(OR($A150="",N($R150)&lt;=0),"",IF(NOT(ISNUMBER($O150)),'設定'!$B$22,IF($O150&gt;='設定'!$B$7,'設定'!$B$17,IF('設定'!$B$7-$O150&lt;='設定'!$B$12,'設定'!$B$18,IF('設定'!$B$7-$O150&lt;='設定'!$B$13,'設定'!$B$19,IF('設定'!$B$7-$O150&lt;='設定'!$B$14,'設定'!$B$20,'設定'!$B$21))))))</f>
        <v/>
      </c>
      <c r="V150" s="56" t="n"/>
      <c r="W150" s="32">
        <f>IF($C150="","",IFERROR(MATCH($C150,'得意先'!$B$5:$B$104,0),"なし"))</f>
        <v/>
      </c>
      <c r="X150" s="33">
        <f>IF($A150="","",IF(ISNUMBER($E150),$E150,IF(ISNUMBER($B150),$B150,"")))</f>
        <v/>
      </c>
      <c r="Y150" s="34">
        <f>IF($T150="","",$O150+ROW()/1000000)</f>
        <v/>
      </c>
      <c r="Z150" s="35">
        <f>IF(OR($A150="",$C150="",$C150&lt;&gt;'売掛帳'!$B$3,NOT(ISNUMBER($X150))),"",IF(AND($X150&gt;='売掛帳'!$Q$3,$X150&lt;='売掛帳'!$Q$4),$X150+ROW()/10000000,""))</f>
        <v/>
      </c>
    </row>
    <row r="151" ht="18" customHeight="1">
      <c r="A151" s="18" t="n"/>
      <c r="B151" s="26" t="n"/>
      <c r="C151" s="18" t="n"/>
      <c r="D151" s="20">
        <f>IF($W151="","",IF($W151="なし","※得意先にないコード",INDEX('得意先'!$C$5:$C$104,$W151)&amp;""))</f>
        <v/>
      </c>
      <c r="E151" s="26" t="n"/>
      <c r="F151" s="19" t="n"/>
      <c r="G151" s="27" t="n"/>
      <c r="H151" s="27" t="n"/>
      <c r="I151" s="27" t="n"/>
      <c r="J151" s="28">
        <f>IF($A151="","",IF('設定'!$B$10="四捨五入",ROUND(IF('設定'!$B$9="税込",N($G151)*10/110,N($G151)*10/100),0),IF('設定'!$B$10="切り上げ",ROUNDUP(IF('設定'!$B$9="税込",N($G151)*10/110,N($G151)*10/100),0),ROUNDDOWN(IF('設定'!$B$9="税込",N($G151)*10/110,N($G151)*10/100),0))))</f>
        <v/>
      </c>
      <c r="K151" s="28">
        <f>IF($A151="","",IF('設定'!$B$10="四捨五入",ROUND(IF('設定'!$B$9="税込",N($H151)*8/108,N($H151)*8/100),0),IF('設定'!$B$10="切り上げ",ROUNDUP(IF('設定'!$B$9="税込",N($H151)*8/108,N($H151)*8/100),0),ROUNDDOWN(IF('設定'!$B$9="税込",N($H151)*8/108,N($H151)*8/100),0))))</f>
        <v/>
      </c>
      <c r="L151" s="28">
        <f>IF($A151="","",N($G151)+N($H151)+N($I151)+IF('設定'!$B$9="税込",0,$J151+$K151))</f>
        <v/>
      </c>
      <c r="M151" s="29">
        <f>IF(OR($A151="",NOT(ISNUMBER($W151)),NOT(ISNUMBER($X151))),"",IF(OR(INDEX('得意先'!$D$5:$D$104,$W151)="",INDEX('得意先'!$E$5:$E$104,$W151)="",INDEX('得意先'!$F$5:$F$104,$W151)=""),"",IF(INDEX('得意先'!$F$5:$F$104,$W151)="末",DATE(YEAR($X151),(MONTH($X151)+IF(INDEX('得意先'!$D$5:$D$104,$W151)="末",0,IF(DAY($X151)&lt;=INDEX('得意先'!$D$5:$D$104,$W151),0,1))+N(INDEX('得意先'!$E$5:$E$104,$W151)))+1,0),DATE(YEAR($X151),(MONTH($X151)+IF(INDEX('得意先'!$D$5:$D$104,$W151)="末",0,IF(DAY($X151)&lt;=INDEX('得意先'!$D$5:$D$104,$W151),0,1))+N(INDEX('得意先'!$E$5:$E$104,$W151))),MIN(INDEX('得意先'!$F$5:$F$104,$W151),DAY(DATE(YEAR($X151),(MONTH($X151)+IF(INDEX('得意先'!$D$5:$D$104,$W151)="末",0,IF(DAY($X151)&lt;=INDEX('得意先'!$D$5:$D$104,$W151),0,1))+N(INDEX('得意先'!$E$5:$E$104,$W151)))+1,0)))))))</f>
        <v/>
      </c>
      <c r="N151" s="26" t="n"/>
      <c r="O151" s="29">
        <f>IF($A151="","",IF(ISNUMBER($N151),$N151,$M151))</f>
        <v/>
      </c>
      <c r="P151" s="28">
        <f>IF($A151="","",SUMIF('入金消込'!$F$5:$F$1004,$A151,'入金消込'!$G$5:$G$1004))</f>
        <v/>
      </c>
      <c r="Q151" s="28">
        <f>IF($A151="","",SUMIF('入金消込'!$F$5:$F$1004,$A151,'入金消込'!$H$5:$H$1004)+SUMIF('入金消込'!$F$5:$F$1004,$A151,'入金消込'!$I$5:$I$1004))</f>
        <v/>
      </c>
      <c r="R151" s="28">
        <f>IF($A151="","",$L151-$P151-$Q151)</f>
        <v/>
      </c>
      <c r="S151" s="30">
        <f>IF($A151="","",IF($R151=0,IF($L151=0,"請求額0","回収済"),IF($L151&lt;0,IF($R151&lt;0,"差し引き待ち","差し引きすぎ"),IF($R151&lt;0,"入金が多い",IF($P151+$Q151=0,"未入金","一部入金")))))</f>
        <v/>
      </c>
      <c r="T151" s="31">
        <f>IF(OR($A151="",N($R151)&lt;=0,NOT(ISNUMBER($O151))),"",IF($O151&lt;'設定'!$B$7,'設定'!$B$7-$O151,""))</f>
        <v/>
      </c>
      <c r="U151" s="30">
        <f>IF(OR($A151="",N($R151)&lt;=0),"",IF(NOT(ISNUMBER($O151)),'設定'!$B$22,IF($O151&gt;='設定'!$B$7,'設定'!$B$17,IF('設定'!$B$7-$O151&lt;='設定'!$B$12,'設定'!$B$18,IF('設定'!$B$7-$O151&lt;='設定'!$B$13,'設定'!$B$19,IF('設定'!$B$7-$O151&lt;='設定'!$B$14,'設定'!$B$20,'設定'!$B$21))))))</f>
        <v/>
      </c>
      <c r="V151" s="56" t="n"/>
      <c r="W151" s="32">
        <f>IF($C151="","",IFERROR(MATCH($C151,'得意先'!$B$5:$B$104,0),"なし"))</f>
        <v/>
      </c>
      <c r="X151" s="33">
        <f>IF($A151="","",IF(ISNUMBER($E151),$E151,IF(ISNUMBER($B151),$B151,"")))</f>
        <v/>
      </c>
      <c r="Y151" s="34">
        <f>IF($T151="","",$O151+ROW()/1000000)</f>
        <v/>
      </c>
      <c r="Z151" s="35">
        <f>IF(OR($A151="",$C151="",$C151&lt;&gt;'売掛帳'!$B$3,NOT(ISNUMBER($X151))),"",IF(AND($X151&gt;='売掛帳'!$Q$3,$X151&lt;='売掛帳'!$Q$4),$X151+ROW()/10000000,""))</f>
        <v/>
      </c>
    </row>
    <row r="152" ht="18" customHeight="1">
      <c r="A152" s="18" t="n"/>
      <c r="B152" s="26" t="n"/>
      <c r="C152" s="18" t="n"/>
      <c r="D152" s="20">
        <f>IF($W152="","",IF($W152="なし","※得意先にないコード",INDEX('得意先'!$C$5:$C$104,$W152)&amp;""))</f>
        <v/>
      </c>
      <c r="E152" s="26" t="n"/>
      <c r="F152" s="19" t="n"/>
      <c r="G152" s="27" t="n"/>
      <c r="H152" s="27" t="n"/>
      <c r="I152" s="27" t="n"/>
      <c r="J152" s="28">
        <f>IF($A152="","",IF('設定'!$B$10="四捨五入",ROUND(IF('設定'!$B$9="税込",N($G152)*10/110,N($G152)*10/100),0),IF('設定'!$B$10="切り上げ",ROUNDUP(IF('設定'!$B$9="税込",N($G152)*10/110,N($G152)*10/100),0),ROUNDDOWN(IF('設定'!$B$9="税込",N($G152)*10/110,N($G152)*10/100),0))))</f>
        <v/>
      </c>
      <c r="K152" s="28">
        <f>IF($A152="","",IF('設定'!$B$10="四捨五入",ROUND(IF('設定'!$B$9="税込",N($H152)*8/108,N($H152)*8/100),0),IF('設定'!$B$10="切り上げ",ROUNDUP(IF('設定'!$B$9="税込",N($H152)*8/108,N($H152)*8/100),0),ROUNDDOWN(IF('設定'!$B$9="税込",N($H152)*8/108,N($H152)*8/100),0))))</f>
        <v/>
      </c>
      <c r="L152" s="28">
        <f>IF($A152="","",N($G152)+N($H152)+N($I152)+IF('設定'!$B$9="税込",0,$J152+$K152))</f>
        <v/>
      </c>
      <c r="M152" s="29">
        <f>IF(OR($A152="",NOT(ISNUMBER($W152)),NOT(ISNUMBER($X152))),"",IF(OR(INDEX('得意先'!$D$5:$D$104,$W152)="",INDEX('得意先'!$E$5:$E$104,$W152)="",INDEX('得意先'!$F$5:$F$104,$W152)=""),"",IF(INDEX('得意先'!$F$5:$F$104,$W152)="末",DATE(YEAR($X152),(MONTH($X152)+IF(INDEX('得意先'!$D$5:$D$104,$W152)="末",0,IF(DAY($X152)&lt;=INDEX('得意先'!$D$5:$D$104,$W152),0,1))+N(INDEX('得意先'!$E$5:$E$104,$W152)))+1,0),DATE(YEAR($X152),(MONTH($X152)+IF(INDEX('得意先'!$D$5:$D$104,$W152)="末",0,IF(DAY($X152)&lt;=INDEX('得意先'!$D$5:$D$104,$W152),0,1))+N(INDEX('得意先'!$E$5:$E$104,$W152))),MIN(INDEX('得意先'!$F$5:$F$104,$W152),DAY(DATE(YEAR($X152),(MONTH($X152)+IF(INDEX('得意先'!$D$5:$D$104,$W152)="末",0,IF(DAY($X152)&lt;=INDEX('得意先'!$D$5:$D$104,$W152),0,1))+N(INDEX('得意先'!$E$5:$E$104,$W152)))+1,0)))))))</f>
        <v/>
      </c>
      <c r="N152" s="26" t="n"/>
      <c r="O152" s="29">
        <f>IF($A152="","",IF(ISNUMBER($N152),$N152,$M152))</f>
        <v/>
      </c>
      <c r="P152" s="28">
        <f>IF($A152="","",SUMIF('入金消込'!$F$5:$F$1004,$A152,'入金消込'!$G$5:$G$1004))</f>
        <v/>
      </c>
      <c r="Q152" s="28">
        <f>IF($A152="","",SUMIF('入金消込'!$F$5:$F$1004,$A152,'入金消込'!$H$5:$H$1004)+SUMIF('入金消込'!$F$5:$F$1004,$A152,'入金消込'!$I$5:$I$1004))</f>
        <v/>
      </c>
      <c r="R152" s="28">
        <f>IF($A152="","",$L152-$P152-$Q152)</f>
        <v/>
      </c>
      <c r="S152" s="30">
        <f>IF($A152="","",IF($R152=0,IF($L152=0,"請求額0","回収済"),IF($L152&lt;0,IF($R152&lt;0,"差し引き待ち","差し引きすぎ"),IF($R152&lt;0,"入金が多い",IF($P152+$Q152=0,"未入金","一部入金")))))</f>
        <v/>
      </c>
      <c r="T152" s="31">
        <f>IF(OR($A152="",N($R152)&lt;=0,NOT(ISNUMBER($O152))),"",IF($O152&lt;'設定'!$B$7,'設定'!$B$7-$O152,""))</f>
        <v/>
      </c>
      <c r="U152" s="30">
        <f>IF(OR($A152="",N($R152)&lt;=0),"",IF(NOT(ISNUMBER($O152)),'設定'!$B$22,IF($O152&gt;='設定'!$B$7,'設定'!$B$17,IF('設定'!$B$7-$O152&lt;='設定'!$B$12,'設定'!$B$18,IF('設定'!$B$7-$O152&lt;='設定'!$B$13,'設定'!$B$19,IF('設定'!$B$7-$O152&lt;='設定'!$B$14,'設定'!$B$20,'設定'!$B$21))))))</f>
        <v/>
      </c>
      <c r="V152" s="56" t="n"/>
      <c r="W152" s="32">
        <f>IF($C152="","",IFERROR(MATCH($C152,'得意先'!$B$5:$B$104,0),"なし"))</f>
        <v/>
      </c>
      <c r="X152" s="33">
        <f>IF($A152="","",IF(ISNUMBER($E152),$E152,IF(ISNUMBER($B152),$B152,"")))</f>
        <v/>
      </c>
      <c r="Y152" s="34">
        <f>IF($T152="","",$O152+ROW()/1000000)</f>
        <v/>
      </c>
      <c r="Z152" s="35">
        <f>IF(OR($A152="",$C152="",$C152&lt;&gt;'売掛帳'!$B$3,NOT(ISNUMBER($X152))),"",IF(AND($X152&gt;='売掛帳'!$Q$3,$X152&lt;='売掛帳'!$Q$4),$X152+ROW()/10000000,""))</f>
        <v/>
      </c>
    </row>
    <row r="153" ht="18" customHeight="1">
      <c r="A153" s="18" t="n"/>
      <c r="B153" s="26" t="n"/>
      <c r="C153" s="18" t="n"/>
      <c r="D153" s="20">
        <f>IF($W153="","",IF($W153="なし","※得意先にないコード",INDEX('得意先'!$C$5:$C$104,$W153)&amp;""))</f>
        <v/>
      </c>
      <c r="E153" s="26" t="n"/>
      <c r="F153" s="19" t="n"/>
      <c r="G153" s="27" t="n"/>
      <c r="H153" s="27" t="n"/>
      <c r="I153" s="27" t="n"/>
      <c r="J153" s="28">
        <f>IF($A153="","",IF('設定'!$B$10="四捨五入",ROUND(IF('設定'!$B$9="税込",N($G153)*10/110,N($G153)*10/100),0),IF('設定'!$B$10="切り上げ",ROUNDUP(IF('設定'!$B$9="税込",N($G153)*10/110,N($G153)*10/100),0),ROUNDDOWN(IF('設定'!$B$9="税込",N($G153)*10/110,N($G153)*10/100),0))))</f>
        <v/>
      </c>
      <c r="K153" s="28">
        <f>IF($A153="","",IF('設定'!$B$10="四捨五入",ROUND(IF('設定'!$B$9="税込",N($H153)*8/108,N($H153)*8/100),0),IF('設定'!$B$10="切り上げ",ROUNDUP(IF('設定'!$B$9="税込",N($H153)*8/108,N($H153)*8/100),0),ROUNDDOWN(IF('設定'!$B$9="税込",N($H153)*8/108,N($H153)*8/100),0))))</f>
        <v/>
      </c>
      <c r="L153" s="28">
        <f>IF($A153="","",N($G153)+N($H153)+N($I153)+IF('設定'!$B$9="税込",0,$J153+$K153))</f>
        <v/>
      </c>
      <c r="M153" s="29">
        <f>IF(OR($A153="",NOT(ISNUMBER($W153)),NOT(ISNUMBER($X153))),"",IF(OR(INDEX('得意先'!$D$5:$D$104,$W153)="",INDEX('得意先'!$E$5:$E$104,$W153)="",INDEX('得意先'!$F$5:$F$104,$W153)=""),"",IF(INDEX('得意先'!$F$5:$F$104,$W153)="末",DATE(YEAR($X153),(MONTH($X153)+IF(INDEX('得意先'!$D$5:$D$104,$W153)="末",0,IF(DAY($X153)&lt;=INDEX('得意先'!$D$5:$D$104,$W153),0,1))+N(INDEX('得意先'!$E$5:$E$104,$W153)))+1,0),DATE(YEAR($X153),(MONTH($X153)+IF(INDEX('得意先'!$D$5:$D$104,$W153)="末",0,IF(DAY($X153)&lt;=INDEX('得意先'!$D$5:$D$104,$W153),0,1))+N(INDEX('得意先'!$E$5:$E$104,$W153))),MIN(INDEX('得意先'!$F$5:$F$104,$W153),DAY(DATE(YEAR($X153),(MONTH($X153)+IF(INDEX('得意先'!$D$5:$D$104,$W153)="末",0,IF(DAY($X153)&lt;=INDEX('得意先'!$D$5:$D$104,$W153),0,1))+N(INDEX('得意先'!$E$5:$E$104,$W153)))+1,0)))))))</f>
        <v/>
      </c>
      <c r="N153" s="26" t="n"/>
      <c r="O153" s="29">
        <f>IF($A153="","",IF(ISNUMBER($N153),$N153,$M153))</f>
        <v/>
      </c>
      <c r="P153" s="28">
        <f>IF($A153="","",SUMIF('入金消込'!$F$5:$F$1004,$A153,'入金消込'!$G$5:$G$1004))</f>
        <v/>
      </c>
      <c r="Q153" s="28">
        <f>IF($A153="","",SUMIF('入金消込'!$F$5:$F$1004,$A153,'入金消込'!$H$5:$H$1004)+SUMIF('入金消込'!$F$5:$F$1004,$A153,'入金消込'!$I$5:$I$1004))</f>
        <v/>
      </c>
      <c r="R153" s="28">
        <f>IF($A153="","",$L153-$P153-$Q153)</f>
        <v/>
      </c>
      <c r="S153" s="30">
        <f>IF($A153="","",IF($R153=0,IF($L153=0,"請求額0","回収済"),IF($L153&lt;0,IF($R153&lt;0,"差し引き待ち","差し引きすぎ"),IF($R153&lt;0,"入金が多い",IF($P153+$Q153=0,"未入金","一部入金")))))</f>
        <v/>
      </c>
      <c r="T153" s="31">
        <f>IF(OR($A153="",N($R153)&lt;=0,NOT(ISNUMBER($O153))),"",IF($O153&lt;'設定'!$B$7,'設定'!$B$7-$O153,""))</f>
        <v/>
      </c>
      <c r="U153" s="30">
        <f>IF(OR($A153="",N($R153)&lt;=0),"",IF(NOT(ISNUMBER($O153)),'設定'!$B$22,IF($O153&gt;='設定'!$B$7,'設定'!$B$17,IF('設定'!$B$7-$O153&lt;='設定'!$B$12,'設定'!$B$18,IF('設定'!$B$7-$O153&lt;='設定'!$B$13,'設定'!$B$19,IF('設定'!$B$7-$O153&lt;='設定'!$B$14,'設定'!$B$20,'設定'!$B$21))))))</f>
        <v/>
      </c>
      <c r="V153" s="56" t="n"/>
      <c r="W153" s="32">
        <f>IF($C153="","",IFERROR(MATCH($C153,'得意先'!$B$5:$B$104,0),"なし"))</f>
        <v/>
      </c>
      <c r="X153" s="33">
        <f>IF($A153="","",IF(ISNUMBER($E153),$E153,IF(ISNUMBER($B153),$B153,"")))</f>
        <v/>
      </c>
      <c r="Y153" s="34">
        <f>IF($T153="","",$O153+ROW()/1000000)</f>
        <v/>
      </c>
      <c r="Z153" s="35">
        <f>IF(OR($A153="",$C153="",$C153&lt;&gt;'売掛帳'!$B$3,NOT(ISNUMBER($X153))),"",IF(AND($X153&gt;='売掛帳'!$Q$3,$X153&lt;='売掛帳'!$Q$4),$X153+ROW()/10000000,""))</f>
        <v/>
      </c>
    </row>
    <row r="154" ht="18" customHeight="1">
      <c r="A154" s="18" t="n"/>
      <c r="B154" s="26" t="n"/>
      <c r="C154" s="18" t="n"/>
      <c r="D154" s="20">
        <f>IF($W154="","",IF($W154="なし","※得意先にないコード",INDEX('得意先'!$C$5:$C$104,$W154)&amp;""))</f>
        <v/>
      </c>
      <c r="E154" s="26" t="n"/>
      <c r="F154" s="19" t="n"/>
      <c r="G154" s="27" t="n"/>
      <c r="H154" s="27" t="n"/>
      <c r="I154" s="27" t="n"/>
      <c r="J154" s="28">
        <f>IF($A154="","",IF('設定'!$B$10="四捨五入",ROUND(IF('設定'!$B$9="税込",N($G154)*10/110,N($G154)*10/100),0),IF('設定'!$B$10="切り上げ",ROUNDUP(IF('設定'!$B$9="税込",N($G154)*10/110,N($G154)*10/100),0),ROUNDDOWN(IF('設定'!$B$9="税込",N($G154)*10/110,N($G154)*10/100),0))))</f>
        <v/>
      </c>
      <c r="K154" s="28">
        <f>IF($A154="","",IF('設定'!$B$10="四捨五入",ROUND(IF('設定'!$B$9="税込",N($H154)*8/108,N($H154)*8/100),0),IF('設定'!$B$10="切り上げ",ROUNDUP(IF('設定'!$B$9="税込",N($H154)*8/108,N($H154)*8/100),0),ROUNDDOWN(IF('設定'!$B$9="税込",N($H154)*8/108,N($H154)*8/100),0))))</f>
        <v/>
      </c>
      <c r="L154" s="28">
        <f>IF($A154="","",N($G154)+N($H154)+N($I154)+IF('設定'!$B$9="税込",0,$J154+$K154))</f>
        <v/>
      </c>
      <c r="M154" s="29">
        <f>IF(OR($A154="",NOT(ISNUMBER($W154)),NOT(ISNUMBER($X154))),"",IF(OR(INDEX('得意先'!$D$5:$D$104,$W154)="",INDEX('得意先'!$E$5:$E$104,$W154)="",INDEX('得意先'!$F$5:$F$104,$W154)=""),"",IF(INDEX('得意先'!$F$5:$F$104,$W154)="末",DATE(YEAR($X154),(MONTH($X154)+IF(INDEX('得意先'!$D$5:$D$104,$W154)="末",0,IF(DAY($X154)&lt;=INDEX('得意先'!$D$5:$D$104,$W154),0,1))+N(INDEX('得意先'!$E$5:$E$104,$W154)))+1,0),DATE(YEAR($X154),(MONTH($X154)+IF(INDEX('得意先'!$D$5:$D$104,$W154)="末",0,IF(DAY($X154)&lt;=INDEX('得意先'!$D$5:$D$104,$W154),0,1))+N(INDEX('得意先'!$E$5:$E$104,$W154))),MIN(INDEX('得意先'!$F$5:$F$104,$W154),DAY(DATE(YEAR($X154),(MONTH($X154)+IF(INDEX('得意先'!$D$5:$D$104,$W154)="末",0,IF(DAY($X154)&lt;=INDEX('得意先'!$D$5:$D$104,$W154),0,1))+N(INDEX('得意先'!$E$5:$E$104,$W154)))+1,0)))))))</f>
        <v/>
      </c>
      <c r="N154" s="26" t="n"/>
      <c r="O154" s="29">
        <f>IF($A154="","",IF(ISNUMBER($N154),$N154,$M154))</f>
        <v/>
      </c>
      <c r="P154" s="28">
        <f>IF($A154="","",SUMIF('入金消込'!$F$5:$F$1004,$A154,'入金消込'!$G$5:$G$1004))</f>
        <v/>
      </c>
      <c r="Q154" s="28">
        <f>IF($A154="","",SUMIF('入金消込'!$F$5:$F$1004,$A154,'入金消込'!$H$5:$H$1004)+SUMIF('入金消込'!$F$5:$F$1004,$A154,'入金消込'!$I$5:$I$1004))</f>
        <v/>
      </c>
      <c r="R154" s="28">
        <f>IF($A154="","",$L154-$P154-$Q154)</f>
        <v/>
      </c>
      <c r="S154" s="30">
        <f>IF($A154="","",IF($R154=0,IF($L154=0,"請求額0","回収済"),IF($L154&lt;0,IF($R154&lt;0,"差し引き待ち","差し引きすぎ"),IF($R154&lt;0,"入金が多い",IF($P154+$Q154=0,"未入金","一部入金")))))</f>
        <v/>
      </c>
      <c r="T154" s="31">
        <f>IF(OR($A154="",N($R154)&lt;=0,NOT(ISNUMBER($O154))),"",IF($O154&lt;'設定'!$B$7,'設定'!$B$7-$O154,""))</f>
        <v/>
      </c>
      <c r="U154" s="30">
        <f>IF(OR($A154="",N($R154)&lt;=0),"",IF(NOT(ISNUMBER($O154)),'設定'!$B$22,IF($O154&gt;='設定'!$B$7,'設定'!$B$17,IF('設定'!$B$7-$O154&lt;='設定'!$B$12,'設定'!$B$18,IF('設定'!$B$7-$O154&lt;='設定'!$B$13,'設定'!$B$19,IF('設定'!$B$7-$O154&lt;='設定'!$B$14,'設定'!$B$20,'設定'!$B$21))))))</f>
        <v/>
      </c>
      <c r="V154" s="56" t="n"/>
      <c r="W154" s="32">
        <f>IF($C154="","",IFERROR(MATCH($C154,'得意先'!$B$5:$B$104,0),"なし"))</f>
        <v/>
      </c>
      <c r="X154" s="33">
        <f>IF($A154="","",IF(ISNUMBER($E154),$E154,IF(ISNUMBER($B154),$B154,"")))</f>
        <v/>
      </c>
      <c r="Y154" s="34">
        <f>IF($T154="","",$O154+ROW()/1000000)</f>
        <v/>
      </c>
      <c r="Z154" s="35">
        <f>IF(OR($A154="",$C154="",$C154&lt;&gt;'売掛帳'!$B$3,NOT(ISNUMBER($X154))),"",IF(AND($X154&gt;='売掛帳'!$Q$3,$X154&lt;='売掛帳'!$Q$4),$X154+ROW()/10000000,""))</f>
        <v/>
      </c>
    </row>
    <row r="155" ht="18" customHeight="1">
      <c r="A155" s="18" t="n"/>
      <c r="B155" s="26" t="n"/>
      <c r="C155" s="18" t="n"/>
      <c r="D155" s="20">
        <f>IF($W155="","",IF($W155="なし","※得意先にないコード",INDEX('得意先'!$C$5:$C$104,$W155)&amp;""))</f>
        <v/>
      </c>
      <c r="E155" s="26" t="n"/>
      <c r="F155" s="19" t="n"/>
      <c r="G155" s="27" t="n"/>
      <c r="H155" s="27" t="n"/>
      <c r="I155" s="27" t="n"/>
      <c r="J155" s="28">
        <f>IF($A155="","",IF('設定'!$B$10="四捨五入",ROUND(IF('設定'!$B$9="税込",N($G155)*10/110,N($G155)*10/100),0),IF('設定'!$B$10="切り上げ",ROUNDUP(IF('設定'!$B$9="税込",N($G155)*10/110,N($G155)*10/100),0),ROUNDDOWN(IF('設定'!$B$9="税込",N($G155)*10/110,N($G155)*10/100),0))))</f>
        <v/>
      </c>
      <c r="K155" s="28">
        <f>IF($A155="","",IF('設定'!$B$10="四捨五入",ROUND(IF('設定'!$B$9="税込",N($H155)*8/108,N($H155)*8/100),0),IF('設定'!$B$10="切り上げ",ROUNDUP(IF('設定'!$B$9="税込",N($H155)*8/108,N($H155)*8/100),0),ROUNDDOWN(IF('設定'!$B$9="税込",N($H155)*8/108,N($H155)*8/100),0))))</f>
        <v/>
      </c>
      <c r="L155" s="28">
        <f>IF($A155="","",N($G155)+N($H155)+N($I155)+IF('設定'!$B$9="税込",0,$J155+$K155))</f>
        <v/>
      </c>
      <c r="M155" s="29">
        <f>IF(OR($A155="",NOT(ISNUMBER($W155)),NOT(ISNUMBER($X155))),"",IF(OR(INDEX('得意先'!$D$5:$D$104,$W155)="",INDEX('得意先'!$E$5:$E$104,$W155)="",INDEX('得意先'!$F$5:$F$104,$W155)=""),"",IF(INDEX('得意先'!$F$5:$F$104,$W155)="末",DATE(YEAR($X155),(MONTH($X155)+IF(INDEX('得意先'!$D$5:$D$104,$W155)="末",0,IF(DAY($X155)&lt;=INDEX('得意先'!$D$5:$D$104,$W155),0,1))+N(INDEX('得意先'!$E$5:$E$104,$W155)))+1,0),DATE(YEAR($X155),(MONTH($X155)+IF(INDEX('得意先'!$D$5:$D$104,$W155)="末",0,IF(DAY($X155)&lt;=INDEX('得意先'!$D$5:$D$104,$W155),0,1))+N(INDEX('得意先'!$E$5:$E$104,$W155))),MIN(INDEX('得意先'!$F$5:$F$104,$W155),DAY(DATE(YEAR($X155),(MONTH($X155)+IF(INDEX('得意先'!$D$5:$D$104,$W155)="末",0,IF(DAY($X155)&lt;=INDEX('得意先'!$D$5:$D$104,$W155),0,1))+N(INDEX('得意先'!$E$5:$E$104,$W155)))+1,0)))))))</f>
        <v/>
      </c>
      <c r="N155" s="26" t="n"/>
      <c r="O155" s="29">
        <f>IF($A155="","",IF(ISNUMBER($N155),$N155,$M155))</f>
        <v/>
      </c>
      <c r="P155" s="28">
        <f>IF($A155="","",SUMIF('入金消込'!$F$5:$F$1004,$A155,'入金消込'!$G$5:$G$1004))</f>
        <v/>
      </c>
      <c r="Q155" s="28">
        <f>IF($A155="","",SUMIF('入金消込'!$F$5:$F$1004,$A155,'入金消込'!$H$5:$H$1004)+SUMIF('入金消込'!$F$5:$F$1004,$A155,'入金消込'!$I$5:$I$1004))</f>
        <v/>
      </c>
      <c r="R155" s="28">
        <f>IF($A155="","",$L155-$P155-$Q155)</f>
        <v/>
      </c>
      <c r="S155" s="30">
        <f>IF($A155="","",IF($R155=0,IF($L155=0,"請求額0","回収済"),IF($L155&lt;0,IF($R155&lt;0,"差し引き待ち","差し引きすぎ"),IF($R155&lt;0,"入金が多い",IF($P155+$Q155=0,"未入金","一部入金")))))</f>
        <v/>
      </c>
      <c r="T155" s="31">
        <f>IF(OR($A155="",N($R155)&lt;=0,NOT(ISNUMBER($O155))),"",IF($O155&lt;'設定'!$B$7,'設定'!$B$7-$O155,""))</f>
        <v/>
      </c>
      <c r="U155" s="30">
        <f>IF(OR($A155="",N($R155)&lt;=0),"",IF(NOT(ISNUMBER($O155)),'設定'!$B$22,IF($O155&gt;='設定'!$B$7,'設定'!$B$17,IF('設定'!$B$7-$O155&lt;='設定'!$B$12,'設定'!$B$18,IF('設定'!$B$7-$O155&lt;='設定'!$B$13,'設定'!$B$19,IF('設定'!$B$7-$O155&lt;='設定'!$B$14,'設定'!$B$20,'設定'!$B$21))))))</f>
        <v/>
      </c>
      <c r="V155" s="56" t="n"/>
      <c r="W155" s="32">
        <f>IF($C155="","",IFERROR(MATCH($C155,'得意先'!$B$5:$B$104,0),"なし"))</f>
        <v/>
      </c>
      <c r="X155" s="33">
        <f>IF($A155="","",IF(ISNUMBER($E155),$E155,IF(ISNUMBER($B155),$B155,"")))</f>
        <v/>
      </c>
      <c r="Y155" s="34">
        <f>IF($T155="","",$O155+ROW()/1000000)</f>
        <v/>
      </c>
      <c r="Z155" s="35">
        <f>IF(OR($A155="",$C155="",$C155&lt;&gt;'売掛帳'!$B$3,NOT(ISNUMBER($X155))),"",IF(AND($X155&gt;='売掛帳'!$Q$3,$X155&lt;='売掛帳'!$Q$4),$X155+ROW()/10000000,""))</f>
        <v/>
      </c>
    </row>
    <row r="156" ht="18" customHeight="1">
      <c r="A156" s="18" t="n"/>
      <c r="B156" s="26" t="n"/>
      <c r="C156" s="18" t="n"/>
      <c r="D156" s="20">
        <f>IF($W156="","",IF($W156="なし","※得意先にないコード",INDEX('得意先'!$C$5:$C$104,$W156)&amp;""))</f>
        <v/>
      </c>
      <c r="E156" s="26" t="n"/>
      <c r="F156" s="19" t="n"/>
      <c r="G156" s="27" t="n"/>
      <c r="H156" s="27" t="n"/>
      <c r="I156" s="27" t="n"/>
      <c r="J156" s="28">
        <f>IF($A156="","",IF('設定'!$B$10="四捨五入",ROUND(IF('設定'!$B$9="税込",N($G156)*10/110,N($G156)*10/100),0),IF('設定'!$B$10="切り上げ",ROUNDUP(IF('設定'!$B$9="税込",N($G156)*10/110,N($G156)*10/100),0),ROUNDDOWN(IF('設定'!$B$9="税込",N($G156)*10/110,N($G156)*10/100),0))))</f>
        <v/>
      </c>
      <c r="K156" s="28">
        <f>IF($A156="","",IF('設定'!$B$10="四捨五入",ROUND(IF('設定'!$B$9="税込",N($H156)*8/108,N($H156)*8/100),0),IF('設定'!$B$10="切り上げ",ROUNDUP(IF('設定'!$B$9="税込",N($H156)*8/108,N($H156)*8/100),0),ROUNDDOWN(IF('設定'!$B$9="税込",N($H156)*8/108,N($H156)*8/100),0))))</f>
        <v/>
      </c>
      <c r="L156" s="28">
        <f>IF($A156="","",N($G156)+N($H156)+N($I156)+IF('設定'!$B$9="税込",0,$J156+$K156))</f>
        <v/>
      </c>
      <c r="M156" s="29">
        <f>IF(OR($A156="",NOT(ISNUMBER($W156)),NOT(ISNUMBER($X156))),"",IF(OR(INDEX('得意先'!$D$5:$D$104,$W156)="",INDEX('得意先'!$E$5:$E$104,$W156)="",INDEX('得意先'!$F$5:$F$104,$W156)=""),"",IF(INDEX('得意先'!$F$5:$F$104,$W156)="末",DATE(YEAR($X156),(MONTH($X156)+IF(INDEX('得意先'!$D$5:$D$104,$W156)="末",0,IF(DAY($X156)&lt;=INDEX('得意先'!$D$5:$D$104,$W156),0,1))+N(INDEX('得意先'!$E$5:$E$104,$W156)))+1,0),DATE(YEAR($X156),(MONTH($X156)+IF(INDEX('得意先'!$D$5:$D$104,$W156)="末",0,IF(DAY($X156)&lt;=INDEX('得意先'!$D$5:$D$104,$W156),0,1))+N(INDEX('得意先'!$E$5:$E$104,$W156))),MIN(INDEX('得意先'!$F$5:$F$104,$W156),DAY(DATE(YEAR($X156),(MONTH($X156)+IF(INDEX('得意先'!$D$5:$D$104,$W156)="末",0,IF(DAY($X156)&lt;=INDEX('得意先'!$D$5:$D$104,$W156),0,1))+N(INDEX('得意先'!$E$5:$E$104,$W156)))+1,0)))))))</f>
        <v/>
      </c>
      <c r="N156" s="26" t="n"/>
      <c r="O156" s="29">
        <f>IF($A156="","",IF(ISNUMBER($N156),$N156,$M156))</f>
        <v/>
      </c>
      <c r="P156" s="28">
        <f>IF($A156="","",SUMIF('入金消込'!$F$5:$F$1004,$A156,'入金消込'!$G$5:$G$1004))</f>
        <v/>
      </c>
      <c r="Q156" s="28">
        <f>IF($A156="","",SUMIF('入金消込'!$F$5:$F$1004,$A156,'入金消込'!$H$5:$H$1004)+SUMIF('入金消込'!$F$5:$F$1004,$A156,'入金消込'!$I$5:$I$1004))</f>
        <v/>
      </c>
      <c r="R156" s="28">
        <f>IF($A156="","",$L156-$P156-$Q156)</f>
        <v/>
      </c>
      <c r="S156" s="30">
        <f>IF($A156="","",IF($R156=0,IF($L156=0,"請求額0","回収済"),IF($L156&lt;0,IF($R156&lt;0,"差し引き待ち","差し引きすぎ"),IF($R156&lt;0,"入金が多い",IF($P156+$Q156=0,"未入金","一部入金")))))</f>
        <v/>
      </c>
      <c r="T156" s="31">
        <f>IF(OR($A156="",N($R156)&lt;=0,NOT(ISNUMBER($O156))),"",IF($O156&lt;'設定'!$B$7,'設定'!$B$7-$O156,""))</f>
        <v/>
      </c>
      <c r="U156" s="30">
        <f>IF(OR($A156="",N($R156)&lt;=0),"",IF(NOT(ISNUMBER($O156)),'設定'!$B$22,IF($O156&gt;='設定'!$B$7,'設定'!$B$17,IF('設定'!$B$7-$O156&lt;='設定'!$B$12,'設定'!$B$18,IF('設定'!$B$7-$O156&lt;='設定'!$B$13,'設定'!$B$19,IF('設定'!$B$7-$O156&lt;='設定'!$B$14,'設定'!$B$20,'設定'!$B$21))))))</f>
        <v/>
      </c>
      <c r="V156" s="56" t="n"/>
      <c r="W156" s="32">
        <f>IF($C156="","",IFERROR(MATCH($C156,'得意先'!$B$5:$B$104,0),"なし"))</f>
        <v/>
      </c>
      <c r="X156" s="33">
        <f>IF($A156="","",IF(ISNUMBER($E156),$E156,IF(ISNUMBER($B156),$B156,"")))</f>
        <v/>
      </c>
      <c r="Y156" s="34">
        <f>IF($T156="","",$O156+ROW()/1000000)</f>
        <v/>
      </c>
      <c r="Z156" s="35">
        <f>IF(OR($A156="",$C156="",$C156&lt;&gt;'売掛帳'!$B$3,NOT(ISNUMBER($X156))),"",IF(AND($X156&gt;='売掛帳'!$Q$3,$X156&lt;='売掛帳'!$Q$4),$X156+ROW()/10000000,""))</f>
        <v/>
      </c>
    </row>
    <row r="157" ht="18" customHeight="1">
      <c r="A157" s="18" t="n"/>
      <c r="B157" s="26" t="n"/>
      <c r="C157" s="18" t="n"/>
      <c r="D157" s="20">
        <f>IF($W157="","",IF($W157="なし","※得意先にないコード",INDEX('得意先'!$C$5:$C$104,$W157)&amp;""))</f>
        <v/>
      </c>
      <c r="E157" s="26" t="n"/>
      <c r="F157" s="19" t="n"/>
      <c r="G157" s="27" t="n"/>
      <c r="H157" s="27" t="n"/>
      <c r="I157" s="27" t="n"/>
      <c r="J157" s="28">
        <f>IF($A157="","",IF('設定'!$B$10="四捨五入",ROUND(IF('設定'!$B$9="税込",N($G157)*10/110,N($G157)*10/100),0),IF('設定'!$B$10="切り上げ",ROUNDUP(IF('設定'!$B$9="税込",N($G157)*10/110,N($G157)*10/100),0),ROUNDDOWN(IF('設定'!$B$9="税込",N($G157)*10/110,N($G157)*10/100),0))))</f>
        <v/>
      </c>
      <c r="K157" s="28">
        <f>IF($A157="","",IF('設定'!$B$10="四捨五入",ROUND(IF('設定'!$B$9="税込",N($H157)*8/108,N($H157)*8/100),0),IF('設定'!$B$10="切り上げ",ROUNDUP(IF('設定'!$B$9="税込",N($H157)*8/108,N($H157)*8/100),0),ROUNDDOWN(IF('設定'!$B$9="税込",N($H157)*8/108,N($H157)*8/100),0))))</f>
        <v/>
      </c>
      <c r="L157" s="28">
        <f>IF($A157="","",N($G157)+N($H157)+N($I157)+IF('設定'!$B$9="税込",0,$J157+$K157))</f>
        <v/>
      </c>
      <c r="M157" s="29">
        <f>IF(OR($A157="",NOT(ISNUMBER($W157)),NOT(ISNUMBER($X157))),"",IF(OR(INDEX('得意先'!$D$5:$D$104,$W157)="",INDEX('得意先'!$E$5:$E$104,$W157)="",INDEX('得意先'!$F$5:$F$104,$W157)=""),"",IF(INDEX('得意先'!$F$5:$F$104,$W157)="末",DATE(YEAR($X157),(MONTH($X157)+IF(INDEX('得意先'!$D$5:$D$104,$W157)="末",0,IF(DAY($X157)&lt;=INDEX('得意先'!$D$5:$D$104,$W157),0,1))+N(INDEX('得意先'!$E$5:$E$104,$W157)))+1,0),DATE(YEAR($X157),(MONTH($X157)+IF(INDEX('得意先'!$D$5:$D$104,$W157)="末",0,IF(DAY($X157)&lt;=INDEX('得意先'!$D$5:$D$104,$W157),0,1))+N(INDEX('得意先'!$E$5:$E$104,$W157))),MIN(INDEX('得意先'!$F$5:$F$104,$W157),DAY(DATE(YEAR($X157),(MONTH($X157)+IF(INDEX('得意先'!$D$5:$D$104,$W157)="末",0,IF(DAY($X157)&lt;=INDEX('得意先'!$D$5:$D$104,$W157),0,1))+N(INDEX('得意先'!$E$5:$E$104,$W157)))+1,0)))))))</f>
        <v/>
      </c>
      <c r="N157" s="26" t="n"/>
      <c r="O157" s="29">
        <f>IF($A157="","",IF(ISNUMBER($N157),$N157,$M157))</f>
        <v/>
      </c>
      <c r="P157" s="28">
        <f>IF($A157="","",SUMIF('入金消込'!$F$5:$F$1004,$A157,'入金消込'!$G$5:$G$1004))</f>
        <v/>
      </c>
      <c r="Q157" s="28">
        <f>IF($A157="","",SUMIF('入金消込'!$F$5:$F$1004,$A157,'入金消込'!$H$5:$H$1004)+SUMIF('入金消込'!$F$5:$F$1004,$A157,'入金消込'!$I$5:$I$1004))</f>
        <v/>
      </c>
      <c r="R157" s="28">
        <f>IF($A157="","",$L157-$P157-$Q157)</f>
        <v/>
      </c>
      <c r="S157" s="30">
        <f>IF($A157="","",IF($R157=0,IF($L157=0,"請求額0","回収済"),IF($L157&lt;0,IF($R157&lt;0,"差し引き待ち","差し引きすぎ"),IF($R157&lt;0,"入金が多い",IF($P157+$Q157=0,"未入金","一部入金")))))</f>
        <v/>
      </c>
      <c r="T157" s="31">
        <f>IF(OR($A157="",N($R157)&lt;=0,NOT(ISNUMBER($O157))),"",IF($O157&lt;'設定'!$B$7,'設定'!$B$7-$O157,""))</f>
        <v/>
      </c>
      <c r="U157" s="30">
        <f>IF(OR($A157="",N($R157)&lt;=0),"",IF(NOT(ISNUMBER($O157)),'設定'!$B$22,IF($O157&gt;='設定'!$B$7,'設定'!$B$17,IF('設定'!$B$7-$O157&lt;='設定'!$B$12,'設定'!$B$18,IF('設定'!$B$7-$O157&lt;='設定'!$B$13,'設定'!$B$19,IF('設定'!$B$7-$O157&lt;='設定'!$B$14,'設定'!$B$20,'設定'!$B$21))))))</f>
        <v/>
      </c>
      <c r="V157" s="56" t="n"/>
      <c r="W157" s="32">
        <f>IF($C157="","",IFERROR(MATCH($C157,'得意先'!$B$5:$B$104,0),"なし"))</f>
        <v/>
      </c>
      <c r="X157" s="33">
        <f>IF($A157="","",IF(ISNUMBER($E157),$E157,IF(ISNUMBER($B157),$B157,"")))</f>
        <v/>
      </c>
      <c r="Y157" s="34">
        <f>IF($T157="","",$O157+ROW()/1000000)</f>
        <v/>
      </c>
      <c r="Z157" s="35">
        <f>IF(OR($A157="",$C157="",$C157&lt;&gt;'売掛帳'!$B$3,NOT(ISNUMBER($X157))),"",IF(AND($X157&gt;='売掛帳'!$Q$3,$X157&lt;='売掛帳'!$Q$4),$X157+ROW()/10000000,""))</f>
        <v/>
      </c>
    </row>
    <row r="158" ht="18" customHeight="1">
      <c r="A158" s="18" t="n"/>
      <c r="B158" s="26" t="n"/>
      <c r="C158" s="18" t="n"/>
      <c r="D158" s="20">
        <f>IF($W158="","",IF($W158="なし","※得意先にないコード",INDEX('得意先'!$C$5:$C$104,$W158)&amp;""))</f>
        <v/>
      </c>
      <c r="E158" s="26" t="n"/>
      <c r="F158" s="19" t="n"/>
      <c r="G158" s="27" t="n"/>
      <c r="H158" s="27" t="n"/>
      <c r="I158" s="27" t="n"/>
      <c r="J158" s="28">
        <f>IF($A158="","",IF('設定'!$B$10="四捨五入",ROUND(IF('設定'!$B$9="税込",N($G158)*10/110,N($G158)*10/100),0),IF('設定'!$B$10="切り上げ",ROUNDUP(IF('設定'!$B$9="税込",N($G158)*10/110,N($G158)*10/100),0),ROUNDDOWN(IF('設定'!$B$9="税込",N($G158)*10/110,N($G158)*10/100),0))))</f>
        <v/>
      </c>
      <c r="K158" s="28">
        <f>IF($A158="","",IF('設定'!$B$10="四捨五入",ROUND(IF('設定'!$B$9="税込",N($H158)*8/108,N($H158)*8/100),0),IF('設定'!$B$10="切り上げ",ROUNDUP(IF('設定'!$B$9="税込",N($H158)*8/108,N($H158)*8/100),0),ROUNDDOWN(IF('設定'!$B$9="税込",N($H158)*8/108,N($H158)*8/100),0))))</f>
        <v/>
      </c>
      <c r="L158" s="28">
        <f>IF($A158="","",N($G158)+N($H158)+N($I158)+IF('設定'!$B$9="税込",0,$J158+$K158))</f>
        <v/>
      </c>
      <c r="M158" s="29">
        <f>IF(OR($A158="",NOT(ISNUMBER($W158)),NOT(ISNUMBER($X158))),"",IF(OR(INDEX('得意先'!$D$5:$D$104,$W158)="",INDEX('得意先'!$E$5:$E$104,$W158)="",INDEX('得意先'!$F$5:$F$104,$W158)=""),"",IF(INDEX('得意先'!$F$5:$F$104,$W158)="末",DATE(YEAR($X158),(MONTH($X158)+IF(INDEX('得意先'!$D$5:$D$104,$W158)="末",0,IF(DAY($X158)&lt;=INDEX('得意先'!$D$5:$D$104,$W158),0,1))+N(INDEX('得意先'!$E$5:$E$104,$W158)))+1,0),DATE(YEAR($X158),(MONTH($X158)+IF(INDEX('得意先'!$D$5:$D$104,$W158)="末",0,IF(DAY($X158)&lt;=INDEX('得意先'!$D$5:$D$104,$W158),0,1))+N(INDEX('得意先'!$E$5:$E$104,$W158))),MIN(INDEX('得意先'!$F$5:$F$104,$W158),DAY(DATE(YEAR($X158),(MONTH($X158)+IF(INDEX('得意先'!$D$5:$D$104,$W158)="末",0,IF(DAY($X158)&lt;=INDEX('得意先'!$D$5:$D$104,$W158),0,1))+N(INDEX('得意先'!$E$5:$E$104,$W158)))+1,0)))))))</f>
        <v/>
      </c>
      <c r="N158" s="26" t="n"/>
      <c r="O158" s="29">
        <f>IF($A158="","",IF(ISNUMBER($N158),$N158,$M158))</f>
        <v/>
      </c>
      <c r="P158" s="28">
        <f>IF($A158="","",SUMIF('入金消込'!$F$5:$F$1004,$A158,'入金消込'!$G$5:$G$1004))</f>
        <v/>
      </c>
      <c r="Q158" s="28">
        <f>IF($A158="","",SUMIF('入金消込'!$F$5:$F$1004,$A158,'入金消込'!$H$5:$H$1004)+SUMIF('入金消込'!$F$5:$F$1004,$A158,'入金消込'!$I$5:$I$1004))</f>
        <v/>
      </c>
      <c r="R158" s="28">
        <f>IF($A158="","",$L158-$P158-$Q158)</f>
        <v/>
      </c>
      <c r="S158" s="30">
        <f>IF($A158="","",IF($R158=0,IF($L158=0,"請求額0","回収済"),IF($L158&lt;0,IF($R158&lt;0,"差し引き待ち","差し引きすぎ"),IF($R158&lt;0,"入金が多い",IF($P158+$Q158=0,"未入金","一部入金")))))</f>
        <v/>
      </c>
      <c r="T158" s="31">
        <f>IF(OR($A158="",N($R158)&lt;=0,NOT(ISNUMBER($O158))),"",IF($O158&lt;'設定'!$B$7,'設定'!$B$7-$O158,""))</f>
        <v/>
      </c>
      <c r="U158" s="30">
        <f>IF(OR($A158="",N($R158)&lt;=0),"",IF(NOT(ISNUMBER($O158)),'設定'!$B$22,IF($O158&gt;='設定'!$B$7,'設定'!$B$17,IF('設定'!$B$7-$O158&lt;='設定'!$B$12,'設定'!$B$18,IF('設定'!$B$7-$O158&lt;='設定'!$B$13,'設定'!$B$19,IF('設定'!$B$7-$O158&lt;='設定'!$B$14,'設定'!$B$20,'設定'!$B$21))))))</f>
        <v/>
      </c>
      <c r="V158" s="56" t="n"/>
      <c r="W158" s="32">
        <f>IF($C158="","",IFERROR(MATCH($C158,'得意先'!$B$5:$B$104,0),"なし"))</f>
        <v/>
      </c>
      <c r="X158" s="33">
        <f>IF($A158="","",IF(ISNUMBER($E158),$E158,IF(ISNUMBER($B158),$B158,"")))</f>
        <v/>
      </c>
      <c r="Y158" s="34">
        <f>IF($T158="","",$O158+ROW()/1000000)</f>
        <v/>
      </c>
      <c r="Z158" s="35">
        <f>IF(OR($A158="",$C158="",$C158&lt;&gt;'売掛帳'!$B$3,NOT(ISNUMBER($X158))),"",IF(AND($X158&gt;='売掛帳'!$Q$3,$X158&lt;='売掛帳'!$Q$4),$X158+ROW()/10000000,""))</f>
        <v/>
      </c>
    </row>
    <row r="159" ht="18" customHeight="1">
      <c r="A159" s="18" t="n"/>
      <c r="B159" s="26" t="n"/>
      <c r="C159" s="18" t="n"/>
      <c r="D159" s="20">
        <f>IF($W159="","",IF($W159="なし","※得意先にないコード",INDEX('得意先'!$C$5:$C$104,$W159)&amp;""))</f>
        <v/>
      </c>
      <c r="E159" s="26" t="n"/>
      <c r="F159" s="19" t="n"/>
      <c r="G159" s="27" t="n"/>
      <c r="H159" s="27" t="n"/>
      <c r="I159" s="27" t="n"/>
      <c r="J159" s="28">
        <f>IF($A159="","",IF('設定'!$B$10="四捨五入",ROUND(IF('設定'!$B$9="税込",N($G159)*10/110,N($G159)*10/100),0),IF('設定'!$B$10="切り上げ",ROUNDUP(IF('設定'!$B$9="税込",N($G159)*10/110,N($G159)*10/100),0),ROUNDDOWN(IF('設定'!$B$9="税込",N($G159)*10/110,N($G159)*10/100),0))))</f>
        <v/>
      </c>
      <c r="K159" s="28">
        <f>IF($A159="","",IF('設定'!$B$10="四捨五入",ROUND(IF('設定'!$B$9="税込",N($H159)*8/108,N($H159)*8/100),0),IF('設定'!$B$10="切り上げ",ROUNDUP(IF('設定'!$B$9="税込",N($H159)*8/108,N($H159)*8/100),0),ROUNDDOWN(IF('設定'!$B$9="税込",N($H159)*8/108,N($H159)*8/100),0))))</f>
        <v/>
      </c>
      <c r="L159" s="28">
        <f>IF($A159="","",N($G159)+N($H159)+N($I159)+IF('設定'!$B$9="税込",0,$J159+$K159))</f>
        <v/>
      </c>
      <c r="M159" s="29">
        <f>IF(OR($A159="",NOT(ISNUMBER($W159)),NOT(ISNUMBER($X159))),"",IF(OR(INDEX('得意先'!$D$5:$D$104,$W159)="",INDEX('得意先'!$E$5:$E$104,$W159)="",INDEX('得意先'!$F$5:$F$104,$W159)=""),"",IF(INDEX('得意先'!$F$5:$F$104,$W159)="末",DATE(YEAR($X159),(MONTH($X159)+IF(INDEX('得意先'!$D$5:$D$104,$W159)="末",0,IF(DAY($X159)&lt;=INDEX('得意先'!$D$5:$D$104,$W159),0,1))+N(INDEX('得意先'!$E$5:$E$104,$W159)))+1,0),DATE(YEAR($X159),(MONTH($X159)+IF(INDEX('得意先'!$D$5:$D$104,$W159)="末",0,IF(DAY($X159)&lt;=INDEX('得意先'!$D$5:$D$104,$W159),0,1))+N(INDEX('得意先'!$E$5:$E$104,$W159))),MIN(INDEX('得意先'!$F$5:$F$104,$W159),DAY(DATE(YEAR($X159),(MONTH($X159)+IF(INDEX('得意先'!$D$5:$D$104,$W159)="末",0,IF(DAY($X159)&lt;=INDEX('得意先'!$D$5:$D$104,$W159),0,1))+N(INDEX('得意先'!$E$5:$E$104,$W159)))+1,0)))))))</f>
        <v/>
      </c>
      <c r="N159" s="26" t="n"/>
      <c r="O159" s="29">
        <f>IF($A159="","",IF(ISNUMBER($N159),$N159,$M159))</f>
        <v/>
      </c>
      <c r="P159" s="28">
        <f>IF($A159="","",SUMIF('入金消込'!$F$5:$F$1004,$A159,'入金消込'!$G$5:$G$1004))</f>
        <v/>
      </c>
      <c r="Q159" s="28">
        <f>IF($A159="","",SUMIF('入金消込'!$F$5:$F$1004,$A159,'入金消込'!$H$5:$H$1004)+SUMIF('入金消込'!$F$5:$F$1004,$A159,'入金消込'!$I$5:$I$1004))</f>
        <v/>
      </c>
      <c r="R159" s="28">
        <f>IF($A159="","",$L159-$P159-$Q159)</f>
        <v/>
      </c>
      <c r="S159" s="30">
        <f>IF($A159="","",IF($R159=0,IF($L159=0,"請求額0","回収済"),IF($L159&lt;0,IF($R159&lt;0,"差し引き待ち","差し引きすぎ"),IF($R159&lt;0,"入金が多い",IF($P159+$Q159=0,"未入金","一部入金")))))</f>
        <v/>
      </c>
      <c r="T159" s="31">
        <f>IF(OR($A159="",N($R159)&lt;=0,NOT(ISNUMBER($O159))),"",IF($O159&lt;'設定'!$B$7,'設定'!$B$7-$O159,""))</f>
        <v/>
      </c>
      <c r="U159" s="30">
        <f>IF(OR($A159="",N($R159)&lt;=0),"",IF(NOT(ISNUMBER($O159)),'設定'!$B$22,IF($O159&gt;='設定'!$B$7,'設定'!$B$17,IF('設定'!$B$7-$O159&lt;='設定'!$B$12,'設定'!$B$18,IF('設定'!$B$7-$O159&lt;='設定'!$B$13,'設定'!$B$19,IF('設定'!$B$7-$O159&lt;='設定'!$B$14,'設定'!$B$20,'設定'!$B$21))))))</f>
        <v/>
      </c>
      <c r="V159" s="56" t="n"/>
      <c r="W159" s="32">
        <f>IF($C159="","",IFERROR(MATCH($C159,'得意先'!$B$5:$B$104,0),"なし"))</f>
        <v/>
      </c>
      <c r="X159" s="33">
        <f>IF($A159="","",IF(ISNUMBER($E159),$E159,IF(ISNUMBER($B159),$B159,"")))</f>
        <v/>
      </c>
      <c r="Y159" s="34">
        <f>IF($T159="","",$O159+ROW()/1000000)</f>
        <v/>
      </c>
      <c r="Z159" s="35">
        <f>IF(OR($A159="",$C159="",$C159&lt;&gt;'売掛帳'!$B$3,NOT(ISNUMBER($X159))),"",IF(AND($X159&gt;='売掛帳'!$Q$3,$X159&lt;='売掛帳'!$Q$4),$X159+ROW()/10000000,""))</f>
        <v/>
      </c>
    </row>
    <row r="160" ht="18" customHeight="1">
      <c r="A160" s="18" t="n"/>
      <c r="B160" s="26" t="n"/>
      <c r="C160" s="18" t="n"/>
      <c r="D160" s="20">
        <f>IF($W160="","",IF($W160="なし","※得意先にないコード",INDEX('得意先'!$C$5:$C$104,$W160)&amp;""))</f>
        <v/>
      </c>
      <c r="E160" s="26" t="n"/>
      <c r="F160" s="19" t="n"/>
      <c r="G160" s="27" t="n"/>
      <c r="H160" s="27" t="n"/>
      <c r="I160" s="27" t="n"/>
      <c r="J160" s="28">
        <f>IF($A160="","",IF('設定'!$B$10="四捨五入",ROUND(IF('設定'!$B$9="税込",N($G160)*10/110,N($G160)*10/100),0),IF('設定'!$B$10="切り上げ",ROUNDUP(IF('設定'!$B$9="税込",N($G160)*10/110,N($G160)*10/100),0),ROUNDDOWN(IF('設定'!$B$9="税込",N($G160)*10/110,N($G160)*10/100),0))))</f>
        <v/>
      </c>
      <c r="K160" s="28">
        <f>IF($A160="","",IF('設定'!$B$10="四捨五入",ROUND(IF('設定'!$B$9="税込",N($H160)*8/108,N($H160)*8/100),0),IF('設定'!$B$10="切り上げ",ROUNDUP(IF('設定'!$B$9="税込",N($H160)*8/108,N($H160)*8/100),0),ROUNDDOWN(IF('設定'!$B$9="税込",N($H160)*8/108,N($H160)*8/100),0))))</f>
        <v/>
      </c>
      <c r="L160" s="28">
        <f>IF($A160="","",N($G160)+N($H160)+N($I160)+IF('設定'!$B$9="税込",0,$J160+$K160))</f>
        <v/>
      </c>
      <c r="M160" s="29">
        <f>IF(OR($A160="",NOT(ISNUMBER($W160)),NOT(ISNUMBER($X160))),"",IF(OR(INDEX('得意先'!$D$5:$D$104,$W160)="",INDEX('得意先'!$E$5:$E$104,$W160)="",INDEX('得意先'!$F$5:$F$104,$W160)=""),"",IF(INDEX('得意先'!$F$5:$F$104,$W160)="末",DATE(YEAR($X160),(MONTH($X160)+IF(INDEX('得意先'!$D$5:$D$104,$W160)="末",0,IF(DAY($X160)&lt;=INDEX('得意先'!$D$5:$D$104,$W160),0,1))+N(INDEX('得意先'!$E$5:$E$104,$W160)))+1,0),DATE(YEAR($X160),(MONTH($X160)+IF(INDEX('得意先'!$D$5:$D$104,$W160)="末",0,IF(DAY($X160)&lt;=INDEX('得意先'!$D$5:$D$104,$W160),0,1))+N(INDEX('得意先'!$E$5:$E$104,$W160))),MIN(INDEX('得意先'!$F$5:$F$104,$W160),DAY(DATE(YEAR($X160),(MONTH($X160)+IF(INDEX('得意先'!$D$5:$D$104,$W160)="末",0,IF(DAY($X160)&lt;=INDEX('得意先'!$D$5:$D$104,$W160),0,1))+N(INDEX('得意先'!$E$5:$E$104,$W160)))+1,0)))))))</f>
        <v/>
      </c>
      <c r="N160" s="26" t="n"/>
      <c r="O160" s="29">
        <f>IF($A160="","",IF(ISNUMBER($N160),$N160,$M160))</f>
        <v/>
      </c>
      <c r="P160" s="28">
        <f>IF($A160="","",SUMIF('入金消込'!$F$5:$F$1004,$A160,'入金消込'!$G$5:$G$1004))</f>
        <v/>
      </c>
      <c r="Q160" s="28">
        <f>IF($A160="","",SUMIF('入金消込'!$F$5:$F$1004,$A160,'入金消込'!$H$5:$H$1004)+SUMIF('入金消込'!$F$5:$F$1004,$A160,'入金消込'!$I$5:$I$1004))</f>
        <v/>
      </c>
      <c r="R160" s="28">
        <f>IF($A160="","",$L160-$P160-$Q160)</f>
        <v/>
      </c>
      <c r="S160" s="30">
        <f>IF($A160="","",IF($R160=0,IF($L160=0,"請求額0","回収済"),IF($L160&lt;0,IF($R160&lt;0,"差し引き待ち","差し引きすぎ"),IF($R160&lt;0,"入金が多い",IF($P160+$Q160=0,"未入金","一部入金")))))</f>
        <v/>
      </c>
      <c r="T160" s="31">
        <f>IF(OR($A160="",N($R160)&lt;=0,NOT(ISNUMBER($O160))),"",IF($O160&lt;'設定'!$B$7,'設定'!$B$7-$O160,""))</f>
        <v/>
      </c>
      <c r="U160" s="30">
        <f>IF(OR($A160="",N($R160)&lt;=0),"",IF(NOT(ISNUMBER($O160)),'設定'!$B$22,IF($O160&gt;='設定'!$B$7,'設定'!$B$17,IF('設定'!$B$7-$O160&lt;='設定'!$B$12,'設定'!$B$18,IF('設定'!$B$7-$O160&lt;='設定'!$B$13,'設定'!$B$19,IF('設定'!$B$7-$O160&lt;='設定'!$B$14,'設定'!$B$20,'設定'!$B$21))))))</f>
        <v/>
      </c>
      <c r="V160" s="56" t="n"/>
      <c r="W160" s="32">
        <f>IF($C160="","",IFERROR(MATCH($C160,'得意先'!$B$5:$B$104,0),"なし"))</f>
        <v/>
      </c>
      <c r="X160" s="33">
        <f>IF($A160="","",IF(ISNUMBER($E160),$E160,IF(ISNUMBER($B160),$B160,"")))</f>
        <v/>
      </c>
      <c r="Y160" s="34">
        <f>IF($T160="","",$O160+ROW()/1000000)</f>
        <v/>
      </c>
      <c r="Z160" s="35">
        <f>IF(OR($A160="",$C160="",$C160&lt;&gt;'売掛帳'!$B$3,NOT(ISNUMBER($X160))),"",IF(AND($X160&gt;='売掛帳'!$Q$3,$X160&lt;='売掛帳'!$Q$4),$X160+ROW()/10000000,""))</f>
        <v/>
      </c>
    </row>
    <row r="161" ht="18" customHeight="1">
      <c r="A161" s="18" t="n"/>
      <c r="B161" s="26" t="n"/>
      <c r="C161" s="18" t="n"/>
      <c r="D161" s="20">
        <f>IF($W161="","",IF($W161="なし","※得意先にないコード",INDEX('得意先'!$C$5:$C$104,$W161)&amp;""))</f>
        <v/>
      </c>
      <c r="E161" s="26" t="n"/>
      <c r="F161" s="19" t="n"/>
      <c r="G161" s="27" t="n"/>
      <c r="H161" s="27" t="n"/>
      <c r="I161" s="27" t="n"/>
      <c r="J161" s="28">
        <f>IF($A161="","",IF('設定'!$B$10="四捨五入",ROUND(IF('設定'!$B$9="税込",N($G161)*10/110,N($G161)*10/100),0),IF('設定'!$B$10="切り上げ",ROUNDUP(IF('設定'!$B$9="税込",N($G161)*10/110,N($G161)*10/100),0),ROUNDDOWN(IF('設定'!$B$9="税込",N($G161)*10/110,N($G161)*10/100),0))))</f>
        <v/>
      </c>
      <c r="K161" s="28">
        <f>IF($A161="","",IF('設定'!$B$10="四捨五入",ROUND(IF('設定'!$B$9="税込",N($H161)*8/108,N($H161)*8/100),0),IF('設定'!$B$10="切り上げ",ROUNDUP(IF('設定'!$B$9="税込",N($H161)*8/108,N($H161)*8/100),0),ROUNDDOWN(IF('設定'!$B$9="税込",N($H161)*8/108,N($H161)*8/100),0))))</f>
        <v/>
      </c>
      <c r="L161" s="28">
        <f>IF($A161="","",N($G161)+N($H161)+N($I161)+IF('設定'!$B$9="税込",0,$J161+$K161))</f>
        <v/>
      </c>
      <c r="M161" s="29">
        <f>IF(OR($A161="",NOT(ISNUMBER($W161)),NOT(ISNUMBER($X161))),"",IF(OR(INDEX('得意先'!$D$5:$D$104,$W161)="",INDEX('得意先'!$E$5:$E$104,$W161)="",INDEX('得意先'!$F$5:$F$104,$W161)=""),"",IF(INDEX('得意先'!$F$5:$F$104,$W161)="末",DATE(YEAR($X161),(MONTH($X161)+IF(INDEX('得意先'!$D$5:$D$104,$W161)="末",0,IF(DAY($X161)&lt;=INDEX('得意先'!$D$5:$D$104,$W161),0,1))+N(INDEX('得意先'!$E$5:$E$104,$W161)))+1,0),DATE(YEAR($X161),(MONTH($X161)+IF(INDEX('得意先'!$D$5:$D$104,$W161)="末",0,IF(DAY($X161)&lt;=INDEX('得意先'!$D$5:$D$104,$W161),0,1))+N(INDEX('得意先'!$E$5:$E$104,$W161))),MIN(INDEX('得意先'!$F$5:$F$104,$W161),DAY(DATE(YEAR($X161),(MONTH($X161)+IF(INDEX('得意先'!$D$5:$D$104,$W161)="末",0,IF(DAY($X161)&lt;=INDEX('得意先'!$D$5:$D$104,$W161),0,1))+N(INDEX('得意先'!$E$5:$E$104,$W161)))+1,0)))))))</f>
        <v/>
      </c>
      <c r="N161" s="26" t="n"/>
      <c r="O161" s="29">
        <f>IF($A161="","",IF(ISNUMBER($N161),$N161,$M161))</f>
        <v/>
      </c>
      <c r="P161" s="28">
        <f>IF($A161="","",SUMIF('入金消込'!$F$5:$F$1004,$A161,'入金消込'!$G$5:$G$1004))</f>
        <v/>
      </c>
      <c r="Q161" s="28">
        <f>IF($A161="","",SUMIF('入金消込'!$F$5:$F$1004,$A161,'入金消込'!$H$5:$H$1004)+SUMIF('入金消込'!$F$5:$F$1004,$A161,'入金消込'!$I$5:$I$1004))</f>
        <v/>
      </c>
      <c r="R161" s="28">
        <f>IF($A161="","",$L161-$P161-$Q161)</f>
        <v/>
      </c>
      <c r="S161" s="30">
        <f>IF($A161="","",IF($R161=0,IF($L161=0,"請求額0","回収済"),IF($L161&lt;0,IF($R161&lt;0,"差し引き待ち","差し引きすぎ"),IF($R161&lt;0,"入金が多い",IF($P161+$Q161=0,"未入金","一部入金")))))</f>
        <v/>
      </c>
      <c r="T161" s="31">
        <f>IF(OR($A161="",N($R161)&lt;=0,NOT(ISNUMBER($O161))),"",IF($O161&lt;'設定'!$B$7,'設定'!$B$7-$O161,""))</f>
        <v/>
      </c>
      <c r="U161" s="30">
        <f>IF(OR($A161="",N($R161)&lt;=0),"",IF(NOT(ISNUMBER($O161)),'設定'!$B$22,IF($O161&gt;='設定'!$B$7,'設定'!$B$17,IF('設定'!$B$7-$O161&lt;='設定'!$B$12,'設定'!$B$18,IF('設定'!$B$7-$O161&lt;='設定'!$B$13,'設定'!$B$19,IF('設定'!$B$7-$O161&lt;='設定'!$B$14,'設定'!$B$20,'設定'!$B$21))))))</f>
        <v/>
      </c>
      <c r="V161" s="56" t="n"/>
      <c r="W161" s="32">
        <f>IF($C161="","",IFERROR(MATCH($C161,'得意先'!$B$5:$B$104,0),"なし"))</f>
        <v/>
      </c>
      <c r="X161" s="33">
        <f>IF($A161="","",IF(ISNUMBER($E161),$E161,IF(ISNUMBER($B161),$B161,"")))</f>
        <v/>
      </c>
      <c r="Y161" s="34">
        <f>IF($T161="","",$O161+ROW()/1000000)</f>
        <v/>
      </c>
      <c r="Z161" s="35">
        <f>IF(OR($A161="",$C161="",$C161&lt;&gt;'売掛帳'!$B$3,NOT(ISNUMBER($X161))),"",IF(AND($X161&gt;='売掛帳'!$Q$3,$X161&lt;='売掛帳'!$Q$4),$X161+ROW()/10000000,""))</f>
        <v/>
      </c>
    </row>
    <row r="162" ht="18" customHeight="1">
      <c r="A162" s="18" t="n"/>
      <c r="B162" s="26" t="n"/>
      <c r="C162" s="18" t="n"/>
      <c r="D162" s="20">
        <f>IF($W162="","",IF($W162="なし","※得意先にないコード",INDEX('得意先'!$C$5:$C$104,$W162)&amp;""))</f>
        <v/>
      </c>
      <c r="E162" s="26" t="n"/>
      <c r="F162" s="19" t="n"/>
      <c r="G162" s="27" t="n"/>
      <c r="H162" s="27" t="n"/>
      <c r="I162" s="27" t="n"/>
      <c r="J162" s="28">
        <f>IF($A162="","",IF('設定'!$B$10="四捨五入",ROUND(IF('設定'!$B$9="税込",N($G162)*10/110,N($G162)*10/100),0),IF('設定'!$B$10="切り上げ",ROUNDUP(IF('設定'!$B$9="税込",N($G162)*10/110,N($G162)*10/100),0),ROUNDDOWN(IF('設定'!$B$9="税込",N($G162)*10/110,N($G162)*10/100),0))))</f>
        <v/>
      </c>
      <c r="K162" s="28">
        <f>IF($A162="","",IF('設定'!$B$10="四捨五入",ROUND(IF('設定'!$B$9="税込",N($H162)*8/108,N($H162)*8/100),0),IF('設定'!$B$10="切り上げ",ROUNDUP(IF('設定'!$B$9="税込",N($H162)*8/108,N($H162)*8/100),0),ROUNDDOWN(IF('設定'!$B$9="税込",N($H162)*8/108,N($H162)*8/100),0))))</f>
        <v/>
      </c>
      <c r="L162" s="28">
        <f>IF($A162="","",N($G162)+N($H162)+N($I162)+IF('設定'!$B$9="税込",0,$J162+$K162))</f>
        <v/>
      </c>
      <c r="M162" s="29">
        <f>IF(OR($A162="",NOT(ISNUMBER($W162)),NOT(ISNUMBER($X162))),"",IF(OR(INDEX('得意先'!$D$5:$D$104,$W162)="",INDEX('得意先'!$E$5:$E$104,$W162)="",INDEX('得意先'!$F$5:$F$104,$W162)=""),"",IF(INDEX('得意先'!$F$5:$F$104,$W162)="末",DATE(YEAR($X162),(MONTH($X162)+IF(INDEX('得意先'!$D$5:$D$104,$W162)="末",0,IF(DAY($X162)&lt;=INDEX('得意先'!$D$5:$D$104,$W162),0,1))+N(INDEX('得意先'!$E$5:$E$104,$W162)))+1,0),DATE(YEAR($X162),(MONTH($X162)+IF(INDEX('得意先'!$D$5:$D$104,$W162)="末",0,IF(DAY($X162)&lt;=INDEX('得意先'!$D$5:$D$104,$W162),0,1))+N(INDEX('得意先'!$E$5:$E$104,$W162))),MIN(INDEX('得意先'!$F$5:$F$104,$W162),DAY(DATE(YEAR($X162),(MONTH($X162)+IF(INDEX('得意先'!$D$5:$D$104,$W162)="末",0,IF(DAY($X162)&lt;=INDEX('得意先'!$D$5:$D$104,$W162),0,1))+N(INDEX('得意先'!$E$5:$E$104,$W162)))+1,0)))))))</f>
        <v/>
      </c>
      <c r="N162" s="26" t="n"/>
      <c r="O162" s="29">
        <f>IF($A162="","",IF(ISNUMBER($N162),$N162,$M162))</f>
        <v/>
      </c>
      <c r="P162" s="28">
        <f>IF($A162="","",SUMIF('入金消込'!$F$5:$F$1004,$A162,'入金消込'!$G$5:$G$1004))</f>
        <v/>
      </c>
      <c r="Q162" s="28">
        <f>IF($A162="","",SUMIF('入金消込'!$F$5:$F$1004,$A162,'入金消込'!$H$5:$H$1004)+SUMIF('入金消込'!$F$5:$F$1004,$A162,'入金消込'!$I$5:$I$1004))</f>
        <v/>
      </c>
      <c r="R162" s="28">
        <f>IF($A162="","",$L162-$P162-$Q162)</f>
        <v/>
      </c>
      <c r="S162" s="30">
        <f>IF($A162="","",IF($R162=0,IF($L162=0,"請求額0","回収済"),IF($L162&lt;0,IF($R162&lt;0,"差し引き待ち","差し引きすぎ"),IF($R162&lt;0,"入金が多い",IF($P162+$Q162=0,"未入金","一部入金")))))</f>
        <v/>
      </c>
      <c r="T162" s="31">
        <f>IF(OR($A162="",N($R162)&lt;=0,NOT(ISNUMBER($O162))),"",IF($O162&lt;'設定'!$B$7,'設定'!$B$7-$O162,""))</f>
        <v/>
      </c>
      <c r="U162" s="30">
        <f>IF(OR($A162="",N($R162)&lt;=0),"",IF(NOT(ISNUMBER($O162)),'設定'!$B$22,IF($O162&gt;='設定'!$B$7,'設定'!$B$17,IF('設定'!$B$7-$O162&lt;='設定'!$B$12,'設定'!$B$18,IF('設定'!$B$7-$O162&lt;='設定'!$B$13,'設定'!$B$19,IF('設定'!$B$7-$O162&lt;='設定'!$B$14,'設定'!$B$20,'設定'!$B$21))))))</f>
        <v/>
      </c>
      <c r="V162" s="56" t="n"/>
      <c r="W162" s="32">
        <f>IF($C162="","",IFERROR(MATCH($C162,'得意先'!$B$5:$B$104,0),"なし"))</f>
        <v/>
      </c>
      <c r="X162" s="33">
        <f>IF($A162="","",IF(ISNUMBER($E162),$E162,IF(ISNUMBER($B162),$B162,"")))</f>
        <v/>
      </c>
      <c r="Y162" s="34">
        <f>IF($T162="","",$O162+ROW()/1000000)</f>
        <v/>
      </c>
      <c r="Z162" s="35">
        <f>IF(OR($A162="",$C162="",$C162&lt;&gt;'売掛帳'!$B$3,NOT(ISNUMBER($X162))),"",IF(AND($X162&gt;='売掛帳'!$Q$3,$X162&lt;='売掛帳'!$Q$4),$X162+ROW()/10000000,""))</f>
        <v/>
      </c>
    </row>
    <row r="163" ht="18" customHeight="1">
      <c r="A163" s="18" t="n"/>
      <c r="B163" s="26" t="n"/>
      <c r="C163" s="18" t="n"/>
      <c r="D163" s="20">
        <f>IF($W163="","",IF($W163="なし","※得意先にないコード",INDEX('得意先'!$C$5:$C$104,$W163)&amp;""))</f>
        <v/>
      </c>
      <c r="E163" s="26" t="n"/>
      <c r="F163" s="19" t="n"/>
      <c r="G163" s="27" t="n"/>
      <c r="H163" s="27" t="n"/>
      <c r="I163" s="27" t="n"/>
      <c r="J163" s="28">
        <f>IF($A163="","",IF('設定'!$B$10="四捨五入",ROUND(IF('設定'!$B$9="税込",N($G163)*10/110,N($G163)*10/100),0),IF('設定'!$B$10="切り上げ",ROUNDUP(IF('設定'!$B$9="税込",N($G163)*10/110,N($G163)*10/100),0),ROUNDDOWN(IF('設定'!$B$9="税込",N($G163)*10/110,N($G163)*10/100),0))))</f>
        <v/>
      </c>
      <c r="K163" s="28">
        <f>IF($A163="","",IF('設定'!$B$10="四捨五入",ROUND(IF('設定'!$B$9="税込",N($H163)*8/108,N($H163)*8/100),0),IF('設定'!$B$10="切り上げ",ROUNDUP(IF('設定'!$B$9="税込",N($H163)*8/108,N($H163)*8/100),0),ROUNDDOWN(IF('設定'!$B$9="税込",N($H163)*8/108,N($H163)*8/100),0))))</f>
        <v/>
      </c>
      <c r="L163" s="28">
        <f>IF($A163="","",N($G163)+N($H163)+N($I163)+IF('設定'!$B$9="税込",0,$J163+$K163))</f>
        <v/>
      </c>
      <c r="M163" s="29">
        <f>IF(OR($A163="",NOT(ISNUMBER($W163)),NOT(ISNUMBER($X163))),"",IF(OR(INDEX('得意先'!$D$5:$D$104,$W163)="",INDEX('得意先'!$E$5:$E$104,$W163)="",INDEX('得意先'!$F$5:$F$104,$W163)=""),"",IF(INDEX('得意先'!$F$5:$F$104,$W163)="末",DATE(YEAR($X163),(MONTH($X163)+IF(INDEX('得意先'!$D$5:$D$104,$W163)="末",0,IF(DAY($X163)&lt;=INDEX('得意先'!$D$5:$D$104,$W163),0,1))+N(INDEX('得意先'!$E$5:$E$104,$W163)))+1,0),DATE(YEAR($X163),(MONTH($X163)+IF(INDEX('得意先'!$D$5:$D$104,$W163)="末",0,IF(DAY($X163)&lt;=INDEX('得意先'!$D$5:$D$104,$W163),0,1))+N(INDEX('得意先'!$E$5:$E$104,$W163))),MIN(INDEX('得意先'!$F$5:$F$104,$W163),DAY(DATE(YEAR($X163),(MONTH($X163)+IF(INDEX('得意先'!$D$5:$D$104,$W163)="末",0,IF(DAY($X163)&lt;=INDEX('得意先'!$D$5:$D$104,$W163),0,1))+N(INDEX('得意先'!$E$5:$E$104,$W163)))+1,0)))))))</f>
        <v/>
      </c>
      <c r="N163" s="26" t="n"/>
      <c r="O163" s="29">
        <f>IF($A163="","",IF(ISNUMBER($N163),$N163,$M163))</f>
        <v/>
      </c>
      <c r="P163" s="28">
        <f>IF($A163="","",SUMIF('入金消込'!$F$5:$F$1004,$A163,'入金消込'!$G$5:$G$1004))</f>
        <v/>
      </c>
      <c r="Q163" s="28">
        <f>IF($A163="","",SUMIF('入金消込'!$F$5:$F$1004,$A163,'入金消込'!$H$5:$H$1004)+SUMIF('入金消込'!$F$5:$F$1004,$A163,'入金消込'!$I$5:$I$1004))</f>
        <v/>
      </c>
      <c r="R163" s="28">
        <f>IF($A163="","",$L163-$P163-$Q163)</f>
        <v/>
      </c>
      <c r="S163" s="30">
        <f>IF($A163="","",IF($R163=0,IF($L163=0,"請求額0","回収済"),IF($L163&lt;0,IF($R163&lt;0,"差し引き待ち","差し引きすぎ"),IF($R163&lt;0,"入金が多い",IF($P163+$Q163=0,"未入金","一部入金")))))</f>
        <v/>
      </c>
      <c r="T163" s="31">
        <f>IF(OR($A163="",N($R163)&lt;=0,NOT(ISNUMBER($O163))),"",IF($O163&lt;'設定'!$B$7,'設定'!$B$7-$O163,""))</f>
        <v/>
      </c>
      <c r="U163" s="30">
        <f>IF(OR($A163="",N($R163)&lt;=0),"",IF(NOT(ISNUMBER($O163)),'設定'!$B$22,IF($O163&gt;='設定'!$B$7,'設定'!$B$17,IF('設定'!$B$7-$O163&lt;='設定'!$B$12,'設定'!$B$18,IF('設定'!$B$7-$O163&lt;='設定'!$B$13,'設定'!$B$19,IF('設定'!$B$7-$O163&lt;='設定'!$B$14,'設定'!$B$20,'設定'!$B$21))))))</f>
        <v/>
      </c>
      <c r="V163" s="56" t="n"/>
      <c r="W163" s="32">
        <f>IF($C163="","",IFERROR(MATCH($C163,'得意先'!$B$5:$B$104,0),"なし"))</f>
        <v/>
      </c>
      <c r="X163" s="33">
        <f>IF($A163="","",IF(ISNUMBER($E163),$E163,IF(ISNUMBER($B163),$B163,"")))</f>
        <v/>
      </c>
      <c r="Y163" s="34">
        <f>IF($T163="","",$O163+ROW()/1000000)</f>
        <v/>
      </c>
      <c r="Z163" s="35">
        <f>IF(OR($A163="",$C163="",$C163&lt;&gt;'売掛帳'!$B$3,NOT(ISNUMBER($X163))),"",IF(AND($X163&gt;='売掛帳'!$Q$3,$X163&lt;='売掛帳'!$Q$4),$X163+ROW()/10000000,""))</f>
        <v/>
      </c>
    </row>
    <row r="164" ht="18" customHeight="1">
      <c r="A164" s="18" t="n"/>
      <c r="B164" s="26" t="n"/>
      <c r="C164" s="18" t="n"/>
      <c r="D164" s="20">
        <f>IF($W164="","",IF($W164="なし","※得意先にないコード",INDEX('得意先'!$C$5:$C$104,$W164)&amp;""))</f>
        <v/>
      </c>
      <c r="E164" s="26" t="n"/>
      <c r="F164" s="19" t="n"/>
      <c r="G164" s="27" t="n"/>
      <c r="H164" s="27" t="n"/>
      <c r="I164" s="27" t="n"/>
      <c r="J164" s="28">
        <f>IF($A164="","",IF('設定'!$B$10="四捨五入",ROUND(IF('設定'!$B$9="税込",N($G164)*10/110,N($G164)*10/100),0),IF('設定'!$B$10="切り上げ",ROUNDUP(IF('設定'!$B$9="税込",N($G164)*10/110,N($G164)*10/100),0),ROUNDDOWN(IF('設定'!$B$9="税込",N($G164)*10/110,N($G164)*10/100),0))))</f>
        <v/>
      </c>
      <c r="K164" s="28">
        <f>IF($A164="","",IF('設定'!$B$10="四捨五入",ROUND(IF('設定'!$B$9="税込",N($H164)*8/108,N($H164)*8/100),0),IF('設定'!$B$10="切り上げ",ROUNDUP(IF('設定'!$B$9="税込",N($H164)*8/108,N($H164)*8/100),0),ROUNDDOWN(IF('設定'!$B$9="税込",N($H164)*8/108,N($H164)*8/100),0))))</f>
        <v/>
      </c>
      <c r="L164" s="28">
        <f>IF($A164="","",N($G164)+N($H164)+N($I164)+IF('設定'!$B$9="税込",0,$J164+$K164))</f>
        <v/>
      </c>
      <c r="M164" s="29">
        <f>IF(OR($A164="",NOT(ISNUMBER($W164)),NOT(ISNUMBER($X164))),"",IF(OR(INDEX('得意先'!$D$5:$D$104,$W164)="",INDEX('得意先'!$E$5:$E$104,$W164)="",INDEX('得意先'!$F$5:$F$104,$W164)=""),"",IF(INDEX('得意先'!$F$5:$F$104,$W164)="末",DATE(YEAR($X164),(MONTH($X164)+IF(INDEX('得意先'!$D$5:$D$104,$W164)="末",0,IF(DAY($X164)&lt;=INDEX('得意先'!$D$5:$D$104,$W164),0,1))+N(INDEX('得意先'!$E$5:$E$104,$W164)))+1,0),DATE(YEAR($X164),(MONTH($X164)+IF(INDEX('得意先'!$D$5:$D$104,$W164)="末",0,IF(DAY($X164)&lt;=INDEX('得意先'!$D$5:$D$104,$W164),0,1))+N(INDEX('得意先'!$E$5:$E$104,$W164))),MIN(INDEX('得意先'!$F$5:$F$104,$W164),DAY(DATE(YEAR($X164),(MONTH($X164)+IF(INDEX('得意先'!$D$5:$D$104,$W164)="末",0,IF(DAY($X164)&lt;=INDEX('得意先'!$D$5:$D$104,$W164),0,1))+N(INDEX('得意先'!$E$5:$E$104,$W164)))+1,0)))))))</f>
        <v/>
      </c>
      <c r="N164" s="26" t="n"/>
      <c r="O164" s="29">
        <f>IF($A164="","",IF(ISNUMBER($N164),$N164,$M164))</f>
        <v/>
      </c>
      <c r="P164" s="28">
        <f>IF($A164="","",SUMIF('入金消込'!$F$5:$F$1004,$A164,'入金消込'!$G$5:$G$1004))</f>
        <v/>
      </c>
      <c r="Q164" s="28">
        <f>IF($A164="","",SUMIF('入金消込'!$F$5:$F$1004,$A164,'入金消込'!$H$5:$H$1004)+SUMIF('入金消込'!$F$5:$F$1004,$A164,'入金消込'!$I$5:$I$1004))</f>
        <v/>
      </c>
      <c r="R164" s="28">
        <f>IF($A164="","",$L164-$P164-$Q164)</f>
        <v/>
      </c>
      <c r="S164" s="30">
        <f>IF($A164="","",IF($R164=0,IF($L164=0,"請求額0","回収済"),IF($L164&lt;0,IF($R164&lt;0,"差し引き待ち","差し引きすぎ"),IF($R164&lt;0,"入金が多い",IF($P164+$Q164=0,"未入金","一部入金")))))</f>
        <v/>
      </c>
      <c r="T164" s="31">
        <f>IF(OR($A164="",N($R164)&lt;=0,NOT(ISNUMBER($O164))),"",IF($O164&lt;'設定'!$B$7,'設定'!$B$7-$O164,""))</f>
        <v/>
      </c>
      <c r="U164" s="30">
        <f>IF(OR($A164="",N($R164)&lt;=0),"",IF(NOT(ISNUMBER($O164)),'設定'!$B$22,IF($O164&gt;='設定'!$B$7,'設定'!$B$17,IF('設定'!$B$7-$O164&lt;='設定'!$B$12,'設定'!$B$18,IF('設定'!$B$7-$O164&lt;='設定'!$B$13,'設定'!$B$19,IF('設定'!$B$7-$O164&lt;='設定'!$B$14,'設定'!$B$20,'設定'!$B$21))))))</f>
        <v/>
      </c>
      <c r="V164" s="56" t="n"/>
      <c r="W164" s="32">
        <f>IF($C164="","",IFERROR(MATCH($C164,'得意先'!$B$5:$B$104,0),"なし"))</f>
        <v/>
      </c>
      <c r="X164" s="33">
        <f>IF($A164="","",IF(ISNUMBER($E164),$E164,IF(ISNUMBER($B164),$B164,"")))</f>
        <v/>
      </c>
      <c r="Y164" s="34">
        <f>IF($T164="","",$O164+ROW()/1000000)</f>
        <v/>
      </c>
      <c r="Z164" s="35">
        <f>IF(OR($A164="",$C164="",$C164&lt;&gt;'売掛帳'!$B$3,NOT(ISNUMBER($X164))),"",IF(AND($X164&gt;='売掛帳'!$Q$3,$X164&lt;='売掛帳'!$Q$4),$X164+ROW()/10000000,""))</f>
        <v/>
      </c>
    </row>
    <row r="165" ht="18" customHeight="1">
      <c r="A165" s="18" t="n"/>
      <c r="B165" s="26" t="n"/>
      <c r="C165" s="18" t="n"/>
      <c r="D165" s="20">
        <f>IF($W165="","",IF($W165="なし","※得意先にないコード",INDEX('得意先'!$C$5:$C$104,$W165)&amp;""))</f>
        <v/>
      </c>
      <c r="E165" s="26" t="n"/>
      <c r="F165" s="19" t="n"/>
      <c r="G165" s="27" t="n"/>
      <c r="H165" s="27" t="n"/>
      <c r="I165" s="27" t="n"/>
      <c r="J165" s="28">
        <f>IF($A165="","",IF('設定'!$B$10="四捨五入",ROUND(IF('設定'!$B$9="税込",N($G165)*10/110,N($G165)*10/100),0),IF('設定'!$B$10="切り上げ",ROUNDUP(IF('設定'!$B$9="税込",N($G165)*10/110,N($G165)*10/100),0),ROUNDDOWN(IF('設定'!$B$9="税込",N($G165)*10/110,N($G165)*10/100),0))))</f>
        <v/>
      </c>
      <c r="K165" s="28">
        <f>IF($A165="","",IF('設定'!$B$10="四捨五入",ROUND(IF('設定'!$B$9="税込",N($H165)*8/108,N($H165)*8/100),0),IF('設定'!$B$10="切り上げ",ROUNDUP(IF('設定'!$B$9="税込",N($H165)*8/108,N($H165)*8/100),0),ROUNDDOWN(IF('設定'!$B$9="税込",N($H165)*8/108,N($H165)*8/100),0))))</f>
        <v/>
      </c>
      <c r="L165" s="28">
        <f>IF($A165="","",N($G165)+N($H165)+N($I165)+IF('設定'!$B$9="税込",0,$J165+$K165))</f>
        <v/>
      </c>
      <c r="M165" s="29">
        <f>IF(OR($A165="",NOT(ISNUMBER($W165)),NOT(ISNUMBER($X165))),"",IF(OR(INDEX('得意先'!$D$5:$D$104,$W165)="",INDEX('得意先'!$E$5:$E$104,$W165)="",INDEX('得意先'!$F$5:$F$104,$W165)=""),"",IF(INDEX('得意先'!$F$5:$F$104,$W165)="末",DATE(YEAR($X165),(MONTH($X165)+IF(INDEX('得意先'!$D$5:$D$104,$W165)="末",0,IF(DAY($X165)&lt;=INDEX('得意先'!$D$5:$D$104,$W165),0,1))+N(INDEX('得意先'!$E$5:$E$104,$W165)))+1,0),DATE(YEAR($X165),(MONTH($X165)+IF(INDEX('得意先'!$D$5:$D$104,$W165)="末",0,IF(DAY($X165)&lt;=INDEX('得意先'!$D$5:$D$104,$W165),0,1))+N(INDEX('得意先'!$E$5:$E$104,$W165))),MIN(INDEX('得意先'!$F$5:$F$104,$W165),DAY(DATE(YEAR($X165),(MONTH($X165)+IF(INDEX('得意先'!$D$5:$D$104,$W165)="末",0,IF(DAY($X165)&lt;=INDEX('得意先'!$D$5:$D$104,$W165),0,1))+N(INDEX('得意先'!$E$5:$E$104,$W165)))+1,0)))))))</f>
        <v/>
      </c>
      <c r="N165" s="26" t="n"/>
      <c r="O165" s="29">
        <f>IF($A165="","",IF(ISNUMBER($N165),$N165,$M165))</f>
        <v/>
      </c>
      <c r="P165" s="28">
        <f>IF($A165="","",SUMIF('入金消込'!$F$5:$F$1004,$A165,'入金消込'!$G$5:$G$1004))</f>
        <v/>
      </c>
      <c r="Q165" s="28">
        <f>IF($A165="","",SUMIF('入金消込'!$F$5:$F$1004,$A165,'入金消込'!$H$5:$H$1004)+SUMIF('入金消込'!$F$5:$F$1004,$A165,'入金消込'!$I$5:$I$1004))</f>
        <v/>
      </c>
      <c r="R165" s="28">
        <f>IF($A165="","",$L165-$P165-$Q165)</f>
        <v/>
      </c>
      <c r="S165" s="30">
        <f>IF($A165="","",IF($R165=0,IF($L165=0,"請求額0","回収済"),IF($L165&lt;0,IF($R165&lt;0,"差し引き待ち","差し引きすぎ"),IF($R165&lt;0,"入金が多い",IF($P165+$Q165=0,"未入金","一部入金")))))</f>
        <v/>
      </c>
      <c r="T165" s="31">
        <f>IF(OR($A165="",N($R165)&lt;=0,NOT(ISNUMBER($O165))),"",IF($O165&lt;'設定'!$B$7,'設定'!$B$7-$O165,""))</f>
        <v/>
      </c>
      <c r="U165" s="30">
        <f>IF(OR($A165="",N($R165)&lt;=0),"",IF(NOT(ISNUMBER($O165)),'設定'!$B$22,IF($O165&gt;='設定'!$B$7,'設定'!$B$17,IF('設定'!$B$7-$O165&lt;='設定'!$B$12,'設定'!$B$18,IF('設定'!$B$7-$O165&lt;='設定'!$B$13,'設定'!$B$19,IF('設定'!$B$7-$O165&lt;='設定'!$B$14,'設定'!$B$20,'設定'!$B$21))))))</f>
        <v/>
      </c>
      <c r="V165" s="56" t="n"/>
      <c r="W165" s="32">
        <f>IF($C165="","",IFERROR(MATCH($C165,'得意先'!$B$5:$B$104,0),"なし"))</f>
        <v/>
      </c>
      <c r="X165" s="33">
        <f>IF($A165="","",IF(ISNUMBER($E165),$E165,IF(ISNUMBER($B165),$B165,"")))</f>
        <v/>
      </c>
      <c r="Y165" s="34">
        <f>IF($T165="","",$O165+ROW()/1000000)</f>
        <v/>
      </c>
      <c r="Z165" s="35">
        <f>IF(OR($A165="",$C165="",$C165&lt;&gt;'売掛帳'!$B$3,NOT(ISNUMBER($X165))),"",IF(AND($X165&gt;='売掛帳'!$Q$3,$X165&lt;='売掛帳'!$Q$4),$X165+ROW()/10000000,""))</f>
        <v/>
      </c>
    </row>
    <row r="166" ht="18" customHeight="1">
      <c r="A166" s="18" t="n"/>
      <c r="B166" s="26" t="n"/>
      <c r="C166" s="18" t="n"/>
      <c r="D166" s="20">
        <f>IF($W166="","",IF($W166="なし","※得意先にないコード",INDEX('得意先'!$C$5:$C$104,$W166)&amp;""))</f>
        <v/>
      </c>
      <c r="E166" s="26" t="n"/>
      <c r="F166" s="19" t="n"/>
      <c r="G166" s="27" t="n"/>
      <c r="H166" s="27" t="n"/>
      <c r="I166" s="27" t="n"/>
      <c r="J166" s="28">
        <f>IF($A166="","",IF('設定'!$B$10="四捨五入",ROUND(IF('設定'!$B$9="税込",N($G166)*10/110,N($G166)*10/100),0),IF('設定'!$B$10="切り上げ",ROUNDUP(IF('設定'!$B$9="税込",N($G166)*10/110,N($G166)*10/100),0),ROUNDDOWN(IF('設定'!$B$9="税込",N($G166)*10/110,N($G166)*10/100),0))))</f>
        <v/>
      </c>
      <c r="K166" s="28">
        <f>IF($A166="","",IF('設定'!$B$10="四捨五入",ROUND(IF('設定'!$B$9="税込",N($H166)*8/108,N($H166)*8/100),0),IF('設定'!$B$10="切り上げ",ROUNDUP(IF('設定'!$B$9="税込",N($H166)*8/108,N($H166)*8/100),0),ROUNDDOWN(IF('設定'!$B$9="税込",N($H166)*8/108,N($H166)*8/100),0))))</f>
        <v/>
      </c>
      <c r="L166" s="28">
        <f>IF($A166="","",N($G166)+N($H166)+N($I166)+IF('設定'!$B$9="税込",0,$J166+$K166))</f>
        <v/>
      </c>
      <c r="M166" s="29">
        <f>IF(OR($A166="",NOT(ISNUMBER($W166)),NOT(ISNUMBER($X166))),"",IF(OR(INDEX('得意先'!$D$5:$D$104,$W166)="",INDEX('得意先'!$E$5:$E$104,$W166)="",INDEX('得意先'!$F$5:$F$104,$W166)=""),"",IF(INDEX('得意先'!$F$5:$F$104,$W166)="末",DATE(YEAR($X166),(MONTH($X166)+IF(INDEX('得意先'!$D$5:$D$104,$W166)="末",0,IF(DAY($X166)&lt;=INDEX('得意先'!$D$5:$D$104,$W166),0,1))+N(INDEX('得意先'!$E$5:$E$104,$W166)))+1,0),DATE(YEAR($X166),(MONTH($X166)+IF(INDEX('得意先'!$D$5:$D$104,$W166)="末",0,IF(DAY($X166)&lt;=INDEX('得意先'!$D$5:$D$104,$W166),0,1))+N(INDEX('得意先'!$E$5:$E$104,$W166))),MIN(INDEX('得意先'!$F$5:$F$104,$W166),DAY(DATE(YEAR($X166),(MONTH($X166)+IF(INDEX('得意先'!$D$5:$D$104,$W166)="末",0,IF(DAY($X166)&lt;=INDEX('得意先'!$D$5:$D$104,$W166),0,1))+N(INDEX('得意先'!$E$5:$E$104,$W166)))+1,0)))))))</f>
        <v/>
      </c>
      <c r="N166" s="26" t="n"/>
      <c r="O166" s="29">
        <f>IF($A166="","",IF(ISNUMBER($N166),$N166,$M166))</f>
        <v/>
      </c>
      <c r="P166" s="28">
        <f>IF($A166="","",SUMIF('入金消込'!$F$5:$F$1004,$A166,'入金消込'!$G$5:$G$1004))</f>
        <v/>
      </c>
      <c r="Q166" s="28">
        <f>IF($A166="","",SUMIF('入金消込'!$F$5:$F$1004,$A166,'入金消込'!$H$5:$H$1004)+SUMIF('入金消込'!$F$5:$F$1004,$A166,'入金消込'!$I$5:$I$1004))</f>
        <v/>
      </c>
      <c r="R166" s="28">
        <f>IF($A166="","",$L166-$P166-$Q166)</f>
        <v/>
      </c>
      <c r="S166" s="30">
        <f>IF($A166="","",IF($R166=0,IF($L166=0,"請求額0","回収済"),IF($L166&lt;0,IF($R166&lt;0,"差し引き待ち","差し引きすぎ"),IF($R166&lt;0,"入金が多い",IF($P166+$Q166=0,"未入金","一部入金")))))</f>
        <v/>
      </c>
      <c r="T166" s="31">
        <f>IF(OR($A166="",N($R166)&lt;=0,NOT(ISNUMBER($O166))),"",IF($O166&lt;'設定'!$B$7,'設定'!$B$7-$O166,""))</f>
        <v/>
      </c>
      <c r="U166" s="30">
        <f>IF(OR($A166="",N($R166)&lt;=0),"",IF(NOT(ISNUMBER($O166)),'設定'!$B$22,IF($O166&gt;='設定'!$B$7,'設定'!$B$17,IF('設定'!$B$7-$O166&lt;='設定'!$B$12,'設定'!$B$18,IF('設定'!$B$7-$O166&lt;='設定'!$B$13,'設定'!$B$19,IF('設定'!$B$7-$O166&lt;='設定'!$B$14,'設定'!$B$20,'設定'!$B$21))))))</f>
        <v/>
      </c>
      <c r="V166" s="56" t="n"/>
      <c r="W166" s="32">
        <f>IF($C166="","",IFERROR(MATCH($C166,'得意先'!$B$5:$B$104,0),"なし"))</f>
        <v/>
      </c>
      <c r="X166" s="33">
        <f>IF($A166="","",IF(ISNUMBER($E166),$E166,IF(ISNUMBER($B166),$B166,"")))</f>
        <v/>
      </c>
      <c r="Y166" s="34">
        <f>IF($T166="","",$O166+ROW()/1000000)</f>
        <v/>
      </c>
      <c r="Z166" s="35">
        <f>IF(OR($A166="",$C166="",$C166&lt;&gt;'売掛帳'!$B$3,NOT(ISNUMBER($X166))),"",IF(AND($X166&gt;='売掛帳'!$Q$3,$X166&lt;='売掛帳'!$Q$4),$X166+ROW()/10000000,""))</f>
        <v/>
      </c>
    </row>
    <row r="167" ht="18" customHeight="1">
      <c r="A167" s="18" t="n"/>
      <c r="B167" s="26" t="n"/>
      <c r="C167" s="18" t="n"/>
      <c r="D167" s="20">
        <f>IF($W167="","",IF($W167="なし","※得意先にないコード",INDEX('得意先'!$C$5:$C$104,$W167)&amp;""))</f>
        <v/>
      </c>
      <c r="E167" s="26" t="n"/>
      <c r="F167" s="19" t="n"/>
      <c r="G167" s="27" t="n"/>
      <c r="H167" s="27" t="n"/>
      <c r="I167" s="27" t="n"/>
      <c r="J167" s="28">
        <f>IF($A167="","",IF('設定'!$B$10="四捨五入",ROUND(IF('設定'!$B$9="税込",N($G167)*10/110,N($G167)*10/100),0),IF('設定'!$B$10="切り上げ",ROUNDUP(IF('設定'!$B$9="税込",N($G167)*10/110,N($G167)*10/100),0),ROUNDDOWN(IF('設定'!$B$9="税込",N($G167)*10/110,N($G167)*10/100),0))))</f>
        <v/>
      </c>
      <c r="K167" s="28">
        <f>IF($A167="","",IF('設定'!$B$10="四捨五入",ROUND(IF('設定'!$B$9="税込",N($H167)*8/108,N($H167)*8/100),0),IF('設定'!$B$10="切り上げ",ROUNDUP(IF('設定'!$B$9="税込",N($H167)*8/108,N($H167)*8/100),0),ROUNDDOWN(IF('設定'!$B$9="税込",N($H167)*8/108,N($H167)*8/100),0))))</f>
        <v/>
      </c>
      <c r="L167" s="28">
        <f>IF($A167="","",N($G167)+N($H167)+N($I167)+IF('設定'!$B$9="税込",0,$J167+$K167))</f>
        <v/>
      </c>
      <c r="M167" s="29">
        <f>IF(OR($A167="",NOT(ISNUMBER($W167)),NOT(ISNUMBER($X167))),"",IF(OR(INDEX('得意先'!$D$5:$D$104,$W167)="",INDEX('得意先'!$E$5:$E$104,$W167)="",INDEX('得意先'!$F$5:$F$104,$W167)=""),"",IF(INDEX('得意先'!$F$5:$F$104,$W167)="末",DATE(YEAR($X167),(MONTH($X167)+IF(INDEX('得意先'!$D$5:$D$104,$W167)="末",0,IF(DAY($X167)&lt;=INDEX('得意先'!$D$5:$D$104,$W167),0,1))+N(INDEX('得意先'!$E$5:$E$104,$W167)))+1,0),DATE(YEAR($X167),(MONTH($X167)+IF(INDEX('得意先'!$D$5:$D$104,$W167)="末",0,IF(DAY($X167)&lt;=INDEX('得意先'!$D$5:$D$104,$W167),0,1))+N(INDEX('得意先'!$E$5:$E$104,$W167))),MIN(INDEX('得意先'!$F$5:$F$104,$W167),DAY(DATE(YEAR($X167),(MONTH($X167)+IF(INDEX('得意先'!$D$5:$D$104,$W167)="末",0,IF(DAY($X167)&lt;=INDEX('得意先'!$D$5:$D$104,$W167),0,1))+N(INDEX('得意先'!$E$5:$E$104,$W167)))+1,0)))))))</f>
        <v/>
      </c>
      <c r="N167" s="26" t="n"/>
      <c r="O167" s="29">
        <f>IF($A167="","",IF(ISNUMBER($N167),$N167,$M167))</f>
        <v/>
      </c>
      <c r="P167" s="28">
        <f>IF($A167="","",SUMIF('入金消込'!$F$5:$F$1004,$A167,'入金消込'!$G$5:$G$1004))</f>
        <v/>
      </c>
      <c r="Q167" s="28">
        <f>IF($A167="","",SUMIF('入金消込'!$F$5:$F$1004,$A167,'入金消込'!$H$5:$H$1004)+SUMIF('入金消込'!$F$5:$F$1004,$A167,'入金消込'!$I$5:$I$1004))</f>
        <v/>
      </c>
      <c r="R167" s="28">
        <f>IF($A167="","",$L167-$P167-$Q167)</f>
        <v/>
      </c>
      <c r="S167" s="30">
        <f>IF($A167="","",IF($R167=0,IF($L167=0,"請求額0","回収済"),IF($L167&lt;0,IF($R167&lt;0,"差し引き待ち","差し引きすぎ"),IF($R167&lt;0,"入金が多い",IF($P167+$Q167=0,"未入金","一部入金")))))</f>
        <v/>
      </c>
      <c r="T167" s="31">
        <f>IF(OR($A167="",N($R167)&lt;=0,NOT(ISNUMBER($O167))),"",IF($O167&lt;'設定'!$B$7,'設定'!$B$7-$O167,""))</f>
        <v/>
      </c>
      <c r="U167" s="30">
        <f>IF(OR($A167="",N($R167)&lt;=0),"",IF(NOT(ISNUMBER($O167)),'設定'!$B$22,IF($O167&gt;='設定'!$B$7,'設定'!$B$17,IF('設定'!$B$7-$O167&lt;='設定'!$B$12,'設定'!$B$18,IF('設定'!$B$7-$O167&lt;='設定'!$B$13,'設定'!$B$19,IF('設定'!$B$7-$O167&lt;='設定'!$B$14,'設定'!$B$20,'設定'!$B$21))))))</f>
        <v/>
      </c>
      <c r="V167" s="56" t="n"/>
      <c r="W167" s="32">
        <f>IF($C167="","",IFERROR(MATCH($C167,'得意先'!$B$5:$B$104,0),"なし"))</f>
        <v/>
      </c>
      <c r="X167" s="33">
        <f>IF($A167="","",IF(ISNUMBER($E167),$E167,IF(ISNUMBER($B167),$B167,"")))</f>
        <v/>
      </c>
      <c r="Y167" s="34">
        <f>IF($T167="","",$O167+ROW()/1000000)</f>
        <v/>
      </c>
      <c r="Z167" s="35">
        <f>IF(OR($A167="",$C167="",$C167&lt;&gt;'売掛帳'!$B$3,NOT(ISNUMBER($X167))),"",IF(AND($X167&gt;='売掛帳'!$Q$3,$X167&lt;='売掛帳'!$Q$4),$X167+ROW()/10000000,""))</f>
        <v/>
      </c>
    </row>
    <row r="168" ht="18" customHeight="1">
      <c r="A168" s="18" t="n"/>
      <c r="B168" s="26" t="n"/>
      <c r="C168" s="18" t="n"/>
      <c r="D168" s="20">
        <f>IF($W168="","",IF($W168="なし","※得意先にないコード",INDEX('得意先'!$C$5:$C$104,$W168)&amp;""))</f>
        <v/>
      </c>
      <c r="E168" s="26" t="n"/>
      <c r="F168" s="19" t="n"/>
      <c r="G168" s="27" t="n"/>
      <c r="H168" s="27" t="n"/>
      <c r="I168" s="27" t="n"/>
      <c r="J168" s="28">
        <f>IF($A168="","",IF('設定'!$B$10="四捨五入",ROUND(IF('設定'!$B$9="税込",N($G168)*10/110,N($G168)*10/100),0),IF('設定'!$B$10="切り上げ",ROUNDUP(IF('設定'!$B$9="税込",N($G168)*10/110,N($G168)*10/100),0),ROUNDDOWN(IF('設定'!$B$9="税込",N($G168)*10/110,N($G168)*10/100),0))))</f>
        <v/>
      </c>
      <c r="K168" s="28">
        <f>IF($A168="","",IF('設定'!$B$10="四捨五入",ROUND(IF('設定'!$B$9="税込",N($H168)*8/108,N($H168)*8/100),0),IF('設定'!$B$10="切り上げ",ROUNDUP(IF('設定'!$B$9="税込",N($H168)*8/108,N($H168)*8/100),0),ROUNDDOWN(IF('設定'!$B$9="税込",N($H168)*8/108,N($H168)*8/100),0))))</f>
        <v/>
      </c>
      <c r="L168" s="28">
        <f>IF($A168="","",N($G168)+N($H168)+N($I168)+IF('設定'!$B$9="税込",0,$J168+$K168))</f>
        <v/>
      </c>
      <c r="M168" s="29">
        <f>IF(OR($A168="",NOT(ISNUMBER($W168)),NOT(ISNUMBER($X168))),"",IF(OR(INDEX('得意先'!$D$5:$D$104,$W168)="",INDEX('得意先'!$E$5:$E$104,$W168)="",INDEX('得意先'!$F$5:$F$104,$W168)=""),"",IF(INDEX('得意先'!$F$5:$F$104,$W168)="末",DATE(YEAR($X168),(MONTH($X168)+IF(INDEX('得意先'!$D$5:$D$104,$W168)="末",0,IF(DAY($X168)&lt;=INDEX('得意先'!$D$5:$D$104,$W168),0,1))+N(INDEX('得意先'!$E$5:$E$104,$W168)))+1,0),DATE(YEAR($X168),(MONTH($X168)+IF(INDEX('得意先'!$D$5:$D$104,$W168)="末",0,IF(DAY($X168)&lt;=INDEX('得意先'!$D$5:$D$104,$W168),0,1))+N(INDEX('得意先'!$E$5:$E$104,$W168))),MIN(INDEX('得意先'!$F$5:$F$104,$W168),DAY(DATE(YEAR($X168),(MONTH($X168)+IF(INDEX('得意先'!$D$5:$D$104,$W168)="末",0,IF(DAY($X168)&lt;=INDEX('得意先'!$D$5:$D$104,$W168),0,1))+N(INDEX('得意先'!$E$5:$E$104,$W168)))+1,0)))))))</f>
        <v/>
      </c>
      <c r="N168" s="26" t="n"/>
      <c r="O168" s="29">
        <f>IF($A168="","",IF(ISNUMBER($N168),$N168,$M168))</f>
        <v/>
      </c>
      <c r="P168" s="28">
        <f>IF($A168="","",SUMIF('入金消込'!$F$5:$F$1004,$A168,'入金消込'!$G$5:$G$1004))</f>
        <v/>
      </c>
      <c r="Q168" s="28">
        <f>IF($A168="","",SUMIF('入金消込'!$F$5:$F$1004,$A168,'入金消込'!$H$5:$H$1004)+SUMIF('入金消込'!$F$5:$F$1004,$A168,'入金消込'!$I$5:$I$1004))</f>
        <v/>
      </c>
      <c r="R168" s="28">
        <f>IF($A168="","",$L168-$P168-$Q168)</f>
        <v/>
      </c>
      <c r="S168" s="30">
        <f>IF($A168="","",IF($R168=0,IF($L168=0,"請求額0","回収済"),IF($L168&lt;0,IF($R168&lt;0,"差し引き待ち","差し引きすぎ"),IF($R168&lt;0,"入金が多い",IF($P168+$Q168=0,"未入金","一部入金")))))</f>
        <v/>
      </c>
      <c r="T168" s="31">
        <f>IF(OR($A168="",N($R168)&lt;=0,NOT(ISNUMBER($O168))),"",IF($O168&lt;'設定'!$B$7,'設定'!$B$7-$O168,""))</f>
        <v/>
      </c>
      <c r="U168" s="30">
        <f>IF(OR($A168="",N($R168)&lt;=0),"",IF(NOT(ISNUMBER($O168)),'設定'!$B$22,IF($O168&gt;='設定'!$B$7,'設定'!$B$17,IF('設定'!$B$7-$O168&lt;='設定'!$B$12,'設定'!$B$18,IF('設定'!$B$7-$O168&lt;='設定'!$B$13,'設定'!$B$19,IF('設定'!$B$7-$O168&lt;='設定'!$B$14,'設定'!$B$20,'設定'!$B$21))))))</f>
        <v/>
      </c>
      <c r="V168" s="56" t="n"/>
      <c r="W168" s="32">
        <f>IF($C168="","",IFERROR(MATCH($C168,'得意先'!$B$5:$B$104,0),"なし"))</f>
        <v/>
      </c>
      <c r="X168" s="33">
        <f>IF($A168="","",IF(ISNUMBER($E168),$E168,IF(ISNUMBER($B168),$B168,"")))</f>
        <v/>
      </c>
      <c r="Y168" s="34">
        <f>IF($T168="","",$O168+ROW()/1000000)</f>
        <v/>
      </c>
      <c r="Z168" s="35">
        <f>IF(OR($A168="",$C168="",$C168&lt;&gt;'売掛帳'!$B$3,NOT(ISNUMBER($X168))),"",IF(AND($X168&gt;='売掛帳'!$Q$3,$X168&lt;='売掛帳'!$Q$4),$X168+ROW()/10000000,""))</f>
        <v/>
      </c>
    </row>
    <row r="169" ht="18" customHeight="1">
      <c r="A169" s="18" t="n"/>
      <c r="B169" s="26" t="n"/>
      <c r="C169" s="18" t="n"/>
      <c r="D169" s="20">
        <f>IF($W169="","",IF($W169="なし","※得意先にないコード",INDEX('得意先'!$C$5:$C$104,$W169)&amp;""))</f>
        <v/>
      </c>
      <c r="E169" s="26" t="n"/>
      <c r="F169" s="19" t="n"/>
      <c r="G169" s="27" t="n"/>
      <c r="H169" s="27" t="n"/>
      <c r="I169" s="27" t="n"/>
      <c r="J169" s="28">
        <f>IF($A169="","",IF('設定'!$B$10="四捨五入",ROUND(IF('設定'!$B$9="税込",N($G169)*10/110,N($G169)*10/100),0),IF('設定'!$B$10="切り上げ",ROUNDUP(IF('設定'!$B$9="税込",N($G169)*10/110,N($G169)*10/100),0),ROUNDDOWN(IF('設定'!$B$9="税込",N($G169)*10/110,N($G169)*10/100),0))))</f>
        <v/>
      </c>
      <c r="K169" s="28">
        <f>IF($A169="","",IF('設定'!$B$10="四捨五入",ROUND(IF('設定'!$B$9="税込",N($H169)*8/108,N($H169)*8/100),0),IF('設定'!$B$10="切り上げ",ROUNDUP(IF('設定'!$B$9="税込",N($H169)*8/108,N($H169)*8/100),0),ROUNDDOWN(IF('設定'!$B$9="税込",N($H169)*8/108,N($H169)*8/100),0))))</f>
        <v/>
      </c>
      <c r="L169" s="28">
        <f>IF($A169="","",N($G169)+N($H169)+N($I169)+IF('設定'!$B$9="税込",0,$J169+$K169))</f>
        <v/>
      </c>
      <c r="M169" s="29">
        <f>IF(OR($A169="",NOT(ISNUMBER($W169)),NOT(ISNUMBER($X169))),"",IF(OR(INDEX('得意先'!$D$5:$D$104,$W169)="",INDEX('得意先'!$E$5:$E$104,$W169)="",INDEX('得意先'!$F$5:$F$104,$W169)=""),"",IF(INDEX('得意先'!$F$5:$F$104,$W169)="末",DATE(YEAR($X169),(MONTH($X169)+IF(INDEX('得意先'!$D$5:$D$104,$W169)="末",0,IF(DAY($X169)&lt;=INDEX('得意先'!$D$5:$D$104,$W169),0,1))+N(INDEX('得意先'!$E$5:$E$104,$W169)))+1,0),DATE(YEAR($X169),(MONTH($X169)+IF(INDEX('得意先'!$D$5:$D$104,$W169)="末",0,IF(DAY($X169)&lt;=INDEX('得意先'!$D$5:$D$104,$W169),0,1))+N(INDEX('得意先'!$E$5:$E$104,$W169))),MIN(INDEX('得意先'!$F$5:$F$104,$W169),DAY(DATE(YEAR($X169),(MONTH($X169)+IF(INDEX('得意先'!$D$5:$D$104,$W169)="末",0,IF(DAY($X169)&lt;=INDEX('得意先'!$D$5:$D$104,$W169),0,1))+N(INDEX('得意先'!$E$5:$E$104,$W169)))+1,0)))))))</f>
        <v/>
      </c>
      <c r="N169" s="26" t="n"/>
      <c r="O169" s="29">
        <f>IF($A169="","",IF(ISNUMBER($N169),$N169,$M169))</f>
        <v/>
      </c>
      <c r="P169" s="28">
        <f>IF($A169="","",SUMIF('入金消込'!$F$5:$F$1004,$A169,'入金消込'!$G$5:$G$1004))</f>
        <v/>
      </c>
      <c r="Q169" s="28">
        <f>IF($A169="","",SUMIF('入金消込'!$F$5:$F$1004,$A169,'入金消込'!$H$5:$H$1004)+SUMIF('入金消込'!$F$5:$F$1004,$A169,'入金消込'!$I$5:$I$1004))</f>
        <v/>
      </c>
      <c r="R169" s="28">
        <f>IF($A169="","",$L169-$P169-$Q169)</f>
        <v/>
      </c>
      <c r="S169" s="30">
        <f>IF($A169="","",IF($R169=0,IF($L169=0,"請求額0","回収済"),IF($L169&lt;0,IF($R169&lt;0,"差し引き待ち","差し引きすぎ"),IF($R169&lt;0,"入金が多い",IF($P169+$Q169=0,"未入金","一部入金")))))</f>
        <v/>
      </c>
      <c r="T169" s="31">
        <f>IF(OR($A169="",N($R169)&lt;=0,NOT(ISNUMBER($O169))),"",IF($O169&lt;'設定'!$B$7,'設定'!$B$7-$O169,""))</f>
        <v/>
      </c>
      <c r="U169" s="30">
        <f>IF(OR($A169="",N($R169)&lt;=0),"",IF(NOT(ISNUMBER($O169)),'設定'!$B$22,IF($O169&gt;='設定'!$B$7,'設定'!$B$17,IF('設定'!$B$7-$O169&lt;='設定'!$B$12,'設定'!$B$18,IF('設定'!$B$7-$O169&lt;='設定'!$B$13,'設定'!$B$19,IF('設定'!$B$7-$O169&lt;='設定'!$B$14,'設定'!$B$20,'設定'!$B$21))))))</f>
        <v/>
      </c>
      <c r="V169" s="56" t="n"/>
      <c r="W169" s="32">
        <f>IF($C169="","",IFERROR(MATCH($C169,'得意先'!$B$5:$B$104,0),"なし"))</f>
        <v/>
      </c>
      <c r="X169" s="33">
        <f>IF($A169="","",IF(ISNUMBER($E169),$E169,IF(ISNUMBER($B169),$B169,"")))</f>
        <v/>
      </c>
      <c r="Y169" s="34">
        <f>IF($T169="","",$O169+ROW()/1000000)</f>
        <v/>
      </c>
      <c r="Z169" s="35">
        <f>IF(OR($A169="",$C169="",$C169&lt;&gt;'売掛帳'!$B$3,NOT(ISNUMBER($X169))),"",IF(AND($X169&gt;='売掛帳'!$Q$3,$X169&lt;='売掛帳'!$Q$4),$X169+ROW()/10000000,""))</f>
        <v/>
      </c>
    </row>
    <row r="170" ht="18" customHeight="1">
      <c r="A170" s="18" t="n"/>
      <c r="B170" s="26" t="n"/>
      <c r="C170" s="18" t="n"/>
      <c r="D170" s="20">
        <f>IF($W170="","",IF($W170="なし","※得意先にないコード",INDEX('得意先'!$C$5:$C$104,$W170)&amp;""))</f>
        <v/>
      </c>
      <c r="E170" s="26" t="n"/>
      <c r="F170" s="19" t="n"/>
      <c r="G170" s="27" t="n"/>
      <c r="H170" s="27" t="n"/>
      <c r="I170" s="27" t="n"/>
      <c r="J170" s="28">
        <f>IF($A170="","",IF('設定'!$B$10="四捨五入",ROUND(IF('設定'!$B$9="税込",N($G170)*10/110,N($G170)*10/100),0),IF('設定'!$B$10="切り上げ",ROUNDUP(IF('設定'!$B$9="税込",N($G170)*10/110,N($G170)*10/100),0),ROUNDDOWN(IF('設定'!$B$9="税込",N($G170)*10/110,N($G170)*10/100),0))))</f>
        <v/>
      </c>
      <c r="K170" s="28">
        <f>IF($A170="","",IF('設定'!$B$10="四捨五入",ROUND(IF('設定'!$B$9="税込",N($H170)*8/108,N($H170)*8/100),0),IF('設定'!$B$10="切り上げ",ROUNDUP(IF('設定'!$B$9="税込",N($H170)*8/108,N($H170)*8/100),0),ROUNDDOWN(IF('設定'!$B$9="税込",N($H170)*8/108,N($H170)*8/100),0))))</f>
        <v/>
      </c>
      <c r="L170" s="28">
        <f>IF($A170="","",N($G170)+N($H170)+N($I170)+IF('設定'!$B$9="税込",0,$J170+$K170))</f>
        <v/>
      </c>
      <c r="M170" s="29">
        <f>IF(OR($A170="",NOT(ISNUMBER($W170)),NOT(ISNUMBER($X170))),"",IF(OR(INDEX('得意先'!$D$5:$D$104,$W170)="",INDEX('得意先'!$E$5:$E$104,$W170)="",INDEX('得意先'!$F$5:$F$104,$W170)=""),"",IF(INDEX('得意先'!$F$5:$F$104,$W170)="末",DATE(YEAR($X170),(MONTH($X170)+IF(INDEX('得意先'!$D$5:$D$104,$W170)="末",0,IF(DAY($X170)&lt;=INDEX('得意先'!$D$5:$D$104,$W170),0,1))+N(INDEX('得意先'!$E$5:$E$104,$W170)))+1,0),DATE(YEAR($X170),(MONTH($X170)+IF(INDEX('得意先'!$D$5:$D$104,$W170)="末",0,IF(DAY($X170)&lt;=INDEX('得意先'!$D$5:$D$104,$W170),0,1))+N(INDEX('得意先'!$E$5:$E$104,$W170))),MIN(INDEX('得意先'!$F$5:$F$104,$W170),DAY(DATE(YEAR($X170),(MONTH($X170)+IF(INDEX('得意先'!$D$5:$D$104,$W170)="末",0,IF(DAY($X170)&lt;=INDEX('得意先'!$D$5:$D$104,$W170),0,1))+N(INDEX('得意先'!$E$5:$E$104,$W170)))+1,0)))))))</f>
        <v/>
      </c>
      <c r="N170" s="26" t="n"/>
      <c r="O170" s="29">
        <f>IF($A170="","",IF(ISNUMBER($N170),$N170,$M170))</f>
        <v/>
      </c>
      <c r="P170" s="28">
        <f>IF($A170="","",SUMIF('入金消込'!$F$5:$F$1004,$A170,'入金消込'!$G$5:$G$1004))</f>
        <v/>
      </c>
      <c r="Q170" s="28">
        <f>IF($A170="","",SUMIF('入金消込'!$F$5:$F$1004,$A170,'入金消込'!$H$5:$H$1004)+SUMIF('入金消込'!$F$5:$F$1004,$A170,'入金消込'!$I$5:$I$1004))</f>
        <v/>
      </c>
      <c r="R170" s="28">
        <f>IF($A170="","",$L170-$P170-$Q170)</f>
        <v/>
      </c>
      <c r="S170" s="30">
        <f>IF($A170="","",IF($R170=0,IF($L170=0,"請求額0","回収済"),IF($L170&lt;0,IF($R170&lt;0,"差し引き待ち","差し引きすぎ"),IF($R170&lt;0,"入金が多い",IF($P170+$Q170=0,"未入金","一部入金")))))</f>
        <v/>
      </c>
      <c r="T170" s="31">
        <f>IF(OR($A170="",N($R170)&lt;=0,NOT(ISNUMBER($O170))),"",IF($O170&lt;'設定'!$B$7,'設定'!$B$7-$O170,""))</f>
        <v/>
      </c>
      <c r="U170" s="30">
        <f>IF(OR($A170="",N($R170)&lt;=0),"",IF(NOT(ISNUMBER($O170)),'設定'!$B$22,IF($O170&gt;='設定'!$B$7,'設定'!$B$17,IF('設定'!$B$7-$O170&lt;='設定'!$B$12,'設定'!$B$18,IF('設定'!$B$7-$O170&lt;='設定'!$B$13,'設定'!$B$19,IF('設定'!$B$7-$O170&lt;='設定'!$B$14,'設定'!$B$20,'設定'!$B$21))))))</f>
        <v/>
      </c>
      <c r="V170" s="56" t="n"/>
      <c r="W170" s="32">
        <f>IF($C170="","",IFERROR(MATCH($C170,'得意先'!$B$5:$B$104,0),"なし"))</f>
        <v/>
      </c>
      <c r="X170" s="33">
        <f>IF($A170="","",IF(ISNUMBER($E170),$E170,IF(ISNUMBER($B170),$B170,"")))</f>
        <v/>
      </c>
      <c r="Y170" s="34">
        <f>IF($T170="","",$O170+ROW()/1000000)</f>
        <v/>
      </c>
      <c r="Z170" s="35">
        <f>IF(OR($A170="",$C170="",$C170&lt;&gt;'売掛帳'!$B$3,NOT(ISNUMBER($X170))),"",IF(AND($X170&gt;='売掛帳'!$Q$3,$X170&lt;='売掛帳'!$Q$4),$X170+ROW()/10000000,""))</f>
        <v/>
      </c>
    </row>
    <row r="171" ht="18" customHeight="1">
      <c r="A171" s="18" t="n"/>
      <c r="B171" s="26" t="n"/>
      <c r="C171" s="18" t="n"/>
      <c r="D171" s="20">
        <f>IF($W171="","",IF($W171="なし","※得意先にないコード",INDEX('得意先'!$C$5:$C$104,$W171)&amp;""))</f>
        <v/>
      </c>
      <c r="E171" s="26" t="n"/>
      <c r="F171" s="19" t="n"/>
      <c r="G171" s="27" t="n"/>
      <c r="H171" s="27" t="n"/>
      <c r="I171" s="27" t="n"/>
      <c r="J171" s="28">
        <f>IF($A171="","",IF('設定'!$B$10="四捨五入",ROUND(IF('設定'!$B$9="税込",N($G171)*10/110,N($G171)*10/100),0),IF('設定'!$B$10="切り上げ",ROUNDUP(IF('設定'!$B$9="税込",N($G171)*10/110,N($G171)*10/100),0),ROUNDDOWN(IF('設定'!$B$9="税込",N($G171)*10/110,N($G171)*10/100),0))))</f>
        <v/>
      </c>
      <c r="K171" s="28">
        <f>IF($A171="","",IF('設定'!$B$10="四捨五入",ROUND(IF('設定'!$B$9="税込",N($H171)*8/108,N($H171)*8/100),0),IF('設定'!$B$10="切り上げ",ROUNDUP(IF('設定'!$B$9="税込",N($H171)*8/108,N($H171)*8/100),0),ROUNDDOWN(IF('設定'!$B$9="税込",N($H171)*8/108,N($H171)*8/100),0))))</f>
        <v/>
      </c>
      <c r="L171" s="28">
        <f>IF($A171="","",N($G171)+N($H171)+N($I171)+IF('設定'!$B$9="税込",0,$J171+$K171))</f>
        <v/>
      </c>
      <c r="M171" s="29">
        <f>IF(OR($A171="",NOT(ISNUMBER($W171)),NOT(ISNUMBER($X171))),"",IF(OR(INDEX('得意先'!$D$5:$D$104,$W171)="",INDEX('得意先'!$E$5:$E$104,$W171)="",INDEX('得意先'!$F$5:$F$104,$W171)=""),"",IF(INDEX('得意先'!$F$5:$F$104,$W171)="末",DATE(YEAR($X171),(MONTH($X171)+IF(INDEX('得意先'!$D$5:$D$104,$W171)="末",0,IF(DAY($X171)&lt;=INDEX('得意先'!$D$5:$D$104,$W171),0,1))+N(INDEX('得意先'!$E$5:$E$104,$W171)))+1,0),DATE(YEAR($X171),(MONTH($X171)+IF(INDEX('得意先'!$D$5:$D$104,$W171)="末",0,IF(DAY($X171)&lt;=INDEX('得意先'!$D$5:$D$104,$W171),0,1))+N(INDEX('得意先'!$E$5:$E$104,$W171))),MIN(INDEX('得意先'!$F$5:$F$104,$W171),DAY(DATE(YEAR($X171),(MONTH($X171)+IF(INDEX('得意先'!$D$5:$D$104,$W171)="末",0,IF(DAY($X171)&lt;=INDEX('得意先'!$D$5:$D$104,$W171),0,1))+N(INDEX('得意先'!$E$5:$E$104,$W171)))+1,0)))))))</f>
        <v/>
      </c>
      <c r="N171" s="26" t="n"/>
      <c r="O171" s="29">
        <f>IF($A171="","",IF(ISNUMBER($N171),$N171,$M171))</f>
        <v/>
      </c>
      <c r="P171" s="28">
        <f>IF($A171="","",SUMIF('入金消込'!$F$5:$F$1004,$A171,'入金消込'!$G$5:$G$1004))</f>
        <v/>
      </c>
      <c r="Q171" s="28">
        <f>IF($A171="","",SUMIF('入金消込'!$F$5:$F$1004,$A171,'入金消込'!$H$5:$H$1004)+SUMIF('入金消込'!$F$5:$F$1004,$A171,'入金消込'!$I$5:$I$1004))</f>
        <v/>
      </c>
      <c r="R171" s="28">
        <f>IF($A171="","",$L171-$P171-$Q171)</f>
        <v/>
      </c>
      <c r="S171" s="30">
        <f>IF($A171="","",IF($R171=0,IF($L171=0,"請求額0","回収済"),IF($L171&lt;0,IF($R171&lt;0,"差し引き待ち","差し引きすぎ"),IF($R171&lt;0,"入金が多い",IF($P171+$Q171=0,"未入金","一部入金")))))</f>
        <v/>
      </c>
      <c r="T171" s="31">
        <f>IF(OR($A171="",N($R171)&lt;=0,NOT(ISNUMBER($O171))),"",IF($O171&lt;'設定'!$B$7,'設定'!$B$7-$O171,""))</f>
        <v/>
      </c>
      <c r="U171" s="30">
        <f>IF(OR($A171="",N($R171)&lt;=0),"",IF(NOT(ISNUMBER($O171)),'設定'!$B$22,IF($O171&gt;='設定'!$B$7,'設定'!$B$17,IF('設定'!$B$7-$O171&lt;='設定'!$B$12,'設定'!$B$18,IF('設定'!$B$7-$O171&lt;='設定'!$B$13,'設定'!$B$19,IF('設定'!$B$7-$O171&lt;='設定'!$B$14,'設定'!$B$20,'設定'!$B$21))))))</f>
        <v/>
      </c>
      <c r="V171" s="56" t="n"/>
      <c r="W171" s="32">
        <f>IF($C171="","",IFERROR(MATCH($C171,'得意先'!$B$5:$B$104,0),"なし"))</f>
        <v/>
      </c>
      <c r="X171" s="33">
        <f>IF($A171="","",IF(ISNUMBER($E171),$E171,IF(ISNUMBER($B171),$B171,"")))</f>
        <v/>
      </c>
      <c r="Y171" s="34">
        <f>IF($T171="","",$O171+ROW()/1000000)</f>
        <v/>
      </c>
      <c r="Z171" s="35">
        <f>IF(OR($A171="",$C171="",$C171&lt;&gt;'売掛帳'!$B$3,NOT(ISNUMBER($X171))),"",IF(AND($X171&gt;='売掛帳'!$Q$3,$X171&lt;='売掛帳'!$Q$4),$X171+ROW()/10000000,""))</f>
        <v/>
      </c>
    </row>
    <row r="172" ht="18" customHeight="1">
      <c r="A172" s="18" t="n"/>
      <c r="B172" s="26" t="n"/>
      <c r="C172" s="18" t="n"/>
      <c r="D172" s="20">
        <f>IF($W172="","",IF($W172="なし","※得意先にないコード",INDEX('得意先'!$C$5:$C$104,$W172)&amp;""))</f>
        <v/>
      </c>
      <c r="E172" s="26" t="n"/>
      <c r="F172" s="19" t="n"/>
      <c r="G172" s="27" t="n"/>
      <c r="H172" s="27" t="n"/>
      <c r="I172" s="27" t="n"/>
      <c r="J172" s="28">
        <f>IF($A172="","",IF('設定'!$B$10="四捨五入",ROUND(IF('設定'!$B$9="税込",N($G172)*10/110,N($G172)*10/100),0),IF('設定'!$B$10="切り上げ",ROUNDUP(IF('設定'!$B$9="税込",N($G172)*10/110,N($G172)*10/100),0),ROUNDDOWN(IF('設定'!$B$9="税込",N($G172)*10/110,N($G172)*10/100),0))))</f>
        <v/>
      </c>
      <c r="K172" s="28">
        <f>IF($A172="","",IF('設定'!$B$10="四捨五入",ROUND(IF('設定'!$B$9="税込",N($H172)*8/108,N($H172)*8/100),0),IF('設定'!$B$10="切り上げ",ROUNDUP(IF('設定'!$B$9="税込",N($H172)*8/108,N($H172)*8/100),0),ROUNDDOWN(IF('設定'!$B$9="税込",N($H172)*8/108,N($H172)*8/100),0))))</f>
        <v/>
      </c>
      <c r="L172" s="28">
        <f>IF($A172="","",N($G172)+N($H172)+N($I172)+IF('設定'!$B$9="税込",0,$J172+$K172))</f>
        <v/>
      </c>
      <c r="M172" s="29">
        <f>IF(OR($A172="",NOT(ISNUMBER($W172)),NOT(ISNUMBER($X172))),"",IF(OR(INDEX('得意先'!$D$5:$D$104,$W172)="",INDEX('得意先'!$E$5:$E$104,$W172)="",INDEX('得意先'!$F$5:$F$104,$W172)=""),"",IF(INDEX('得意先'!$F$5:$F$104,$W172)="末",DATE(YEAR($X172),(MONTH($X172)+IF(INDEX('得意先'!$D$5:$D$104,$W172)="末",0,IF(DAY($X172)&lt;=INDEX('得意先'!$D$5:$D$104,$W172),0,1))+N(INDEX('得意先'!$E$5:$E$104,$W172)))+1,0),DATE(YEAR($X172),(MONTH($X172)+IF(INDEX('得意先'!$D$5:$D$104,$W172)="末",0,IF(DAY($X172)&lt;=INDEX('得意先'!$D$5:$D$104,$W172),0,1))+N(INDEX('得意先'!$E$5:$E$104,$W172))),MIN(INDEX('得意先'!$F$5:$F$104,$W172),DAY(DATE(YEAR($X172),(MONTH($X172)+IF(INDEX('得意先'!$D$5:$D$104,$W172)="末",0,IF(DAY($X172)&lt;=INDEX('得意先'!$D$5:$D$104,$W172),0,1))+N(INDEX('得意先'!$E$5:$E$104,$W172)))+1,0)))))))</f>
        <v/>
      </c>
      <c r="N172" s="26" t="n"/>
      <c r="O172" s="29">
        <f>IF($A172="","",IF(ISNUMBER($N172),$N172,$M172))</f>
        <v/>
      </c>
      <c r="P172" s="28">
        <f>IF($A172="","",SUMIF('入金消込'!$F$5:$F$1004,$A172,'入金消込'!$G$5:$G$1004))</f>
        <v/>
      </c>
      <c r="Q172" s="28">
        <f>IF($A172="","",SUMIF('入金消込'!$F$5:$F$1004,$A172,'入金消込'!$H$5:$H$1004)+SUMIF('入金消込'!$F$5:$F$1004,$A172,'入金消込'!$I$5:$I$1004))</f>
        <v/>
      </c>
      <c r="R172" s="28">
        <f>IF($A172="","",$L172-$P172-$Q172)</f>
        <v/>
      </c>
      <c r="S172" s="30">
        <f>IF($A172="","",IF($R172=0,IF($L172=0,"請求額0","回収済"),IF($L172&lt;0,IF($R172&lt;0,"差し引き待ち","差し引きすぎ"),IF($R172&lt;0,"入金が多い",IF($P172+$Q172=0,"未入金","一部入金")))))</f>
        <v/>
      </c>
      <c r="T172" s="31">
        <f>IF(OR($A172="",N($R172)&lt;=0,NOT(ISNUMBER($O172))),"",IF($O172&lt;'設定'!$B$7,'設定'!$B$7-$O172,""))</f>
        <v/>
      </c>
      <c r="U172" s="30">
        <f>IF(OR($A172="",N($R172)&lt;=0),"",IF(NOT(ISNUMBER($O172)),'設定'!$B$22,IF($O172&gt;='設定'!$B$7,'設定'!$B$17,IF('設定'!$B$7-$O172&lt;='設定'!$B$12,'設定'!$B$18,IF('設定'!$B$7-$O172&lt;='設定'!$B$13,'設定'!$B$19,IF('設定'!$B$7-$O172&lt;='設定'!$B$14,'設定'!$B$20,'設定'!$B$21))))))</f>
        <v/>
      </c>
      <c r="V172" s="56" t="n"/>
      <c r="W172" s="32">
        <f>IF($C172="","",IFERROR(MATCH($C172,'得意先'!$B$5:$B$104,0),"なし"))</f>
        <v/>
      </c>
      <c r="X172" s="33">
        <f>IF($A172="","",IF(ISNUMBER($E172),$E172,IF(ISNUMBER($B172),$B172,"")))</f>
        <v/>
      </c>
      <c r="Y172" s="34">
        <f>IF($T172="","",$O172+ROW()/1000000)</f>
        <v/>
      </c>
      <c r="Z172" s="35">
        <f>IF(OR($A172="",$C172="",$C172&lt;&gt;'売掛帳'!$B$3,NOT(ISNUMBER($X172))),"",IF(AND($X172&gt;='売掛帳'!$Q$3,$X172&lt;='売掛帳'!$Q$4),$X172+ROW()/10000000,""))</f>
        <v/>
      </c>
    </row>
    <row r="173" ht="18" customHeight="1">
      <c r="A173" s="18" t="n"/>
      <c r="B173" s="26" t="n"/>
      <c r="C173" s="18" t="n"/>
      <c r="D173" s="20">
        <f>IF($W173="","",IF($W173="なし","※得意先にないコード",INDEX('得意先'!$C$5:$C$104,$W173)&amp;""))</f>
        <v/>
      </c>
      <c r="E173" s="26" t="n"/>
      <c r="F173" s="19" t="n"/>
      <c r="G173" s="27" t="n"/>
      <c r="H173" s="27" t="n"/>
      <c r="I173" s="27" t="n"/>
      <c r="J173" s="28">
        <f>IF($A173="","",IF('設定'!$B$10="四捨五入",ROUND(IF('設定'!$B$9="税込",N($G173)*10/110,N($G173)*10/100),0),IF('設定'!$B$10="切り上げ",ROUNDUP(IF('設定'!$B$9="税込",N($G173)*10/110,N($G173)*10/100),0),ROUNDDOWN(IF('設定'!$B$9="税込",N($G173)*10/110,N($G173)*10/100),0))))</f>
        <v/>
      </c>
      <c r="K173" s="28">
        <f>IF($A173="","",IF('設定'!$B$10="四捨五入",ROUND(IF('設定'!$B$9="税込",N($H173)*8/108,N($H173)*8/100),0),IF('設定'!$B$10="切り上げ",ROUNDUP(IF('設定'!$B$9="税込",N($H173)*8/108,N($H173)*8/100),0),ROUNDDOWN(IF('設定'!$B$9="税込",N($H173)*8/108,N($H173)*8/100),0))))</f>
        <v/>
      </c>
      <c r="L173" s="28">
        <f>IF($A173="","",N($G173)+N($H173)+N($I173)+IF('設定'!$B$9="税込",0,$J173+$K173))</f>
        <v/>
      </c>
      <c r="M173" s="29">
        <f>IF(OR($A173="",NOT(ISNUMBER($W173)),NOT(ISNUMBER($X173))),"",IF(OR(INDEX('得意先'!$D$5:$D$104,$W173)="",INDEX('得意先'!$E$5:$E$104,$W173)="",INDEX('得意先'!$F$5:$F$104,$W173)=""),"",IF(INDEX('得意先'!$F$5:$F$104,$W173)="末",DATE(YEAR($X173),(MONTH($X173)+IF(INDEX('得意先'!$D$5:$D$104,$W173)="末",0,IF(DAY($X173)&lt;=INDEX('得意先'!$D$5:$D$104,$W173),0,1))+N(INDEX('得意先'!$E$5:$E$104,$W173)))+1,0),DATE(YEAR($X173),(MONTH($X173)+IF(INDEX('得意先'!$D$5:$D$104,$W173)="末",0,IF(DAY($X173)&lt;=INDEX('得意先'!$D$5:$D$104,$W173),0,1))+N(INDEX('得意先'!$E$5:$E$104,$W173))),MIN(INDEX('得意先'!$F$5:$F$104,$W173),DAY(DATE(YEAR($X173),(MONTH($X173)+IF(INDEX('得意先'!$D$5:$D$104,$W173)="末",0,IF(DAY($X173)&lt;=INDEX('得意先'!$D$5:$D$104,$W173),0,1))+N(INDEX('得意先'!$E$5:$E$104,$W173)))+1,0)))))))</f>
        <v/>
      </c>
      <c r="N173" s="26" t="n"/>
      <c r="O173" s="29">
        <f>IF($A173="","",IF(ISNUMBER($N173),$N173,$M173))</f>
        <v/>
      </c>
      <c r="P173" s="28">
        <f>IF($A173="","",SUMIF('入金消込'!$F$5:$F$1004,$A173,'入金消込'!$G$5:$G$1004))</f>
        <v/>
      </c>
      <c r="Q173" s="28">
        <f>IF($A173="","",SUMIF('入金消込'!$F$5:$F$1004,$A173,'入金消込'!$H$5:$H$1004)+SUMIF('入金消込'!$F$5:$F$1004,$A173,'入金消込'!$I$5:$I$1004))</f>
        <v/>
      </c>
      <c r="R173" s="28">
        <f>IF($A173="","",$L173-$P173-$Q173)</f>
        <v/>
      </c>
      <c r="S173" s="30">
        <f>IF($A173="","",IF($R173=0,IF($L173=0,"請求額0","回収済"),IF($L173&lt;0,IF($R173&lt;0,"差し引き待ち","差し引きすぎ"),IF($R173&lt;0,"入金が多い",IF($P173+$Q173=0,"未入金","一部入金")))))</f>
        <v/>
      </c>
      <c r="T173" s="31">
        <f>IF(OR($A173="",N($R173)&lt;=0,NOT(ISNUMBER($O173))),"",IF($O173&lt;'設定'!$B$7,'設定'!$B$7-$O173,""))</f>
        <v/>
      </c>
      <c r="U173" s="30">
        <f>IF(OR($A173="",N($R173)&lt;=0),"",IF(NOT(ISNUMBER($O173)),'設定'!$B$22,IF($O173&gt;='設定'!$B$7,'設定'!$B$17,IF('設定'!$B$7-$O173&lt;='設定'!$B$12,'設定'!$B$18,IF('設定'!$B$7-$O173&lt;='設定'!$B$13,'設定'!$B$19,IF('設定'!$B$7-$O173&lt;='設定'!$B$14,'設定'!$B$20,'設定'!$B$21))))))</f>
        <v/>
      </c>
      <c r="V173" s="56" t="n"/>
      <c r="W173" s="32">
        <f>IF($C173="","",IFERROR(MATCH($C173,'得意先'!$B$5:$B$104,0),"なし"))</f>
        <v/>
      </c>
      <c r="X173" s="33">
        <f>IF($A173="","",IF(ISNUMBER($E173),$E173,IF(ISNUMBER($B173),$B173,"")))</f>
        <v/>
      </c>
      <c r="Y173" s="34">
        <f>IF($T173="","",$O173+ROW()/1000000)</f>
        <v/>
      </c>
      <c r="Z173" s="35">
        <f>IF(OR($A173="",$C173="",$C173&lt;&gt;'売掛帳'!$B$3,NOT(ISNUMBER($X173))),"",IF(AND($X173&gt;='売掛帳'!$Q$3,$X173&lt;='売掛帳'!$Q$4),$X173+ROW()/10000000,""))</f>
        <v/>
      </c>
    </row>
    <row r="174" ht="18" customHeight="1">
      <c r="A174" s="18" t="n"/>
      <c r="B174" s="26" t="n"/>
      <c r="C174" s="18" t="n"/>
      <c r="D174" s="20">
        <f>IF($W174="","",IF($W174="なし","※得意先にないコード",INDEX('得意先'!$C$5:$C$104,$W174)&amp;""))</f>
        <v/>
      </c>
      <c r="E174" s="26" t="n"/>
      <c r="F174" s="19" t="n"/>
      <c r="G174" s="27" t="n"/>
      <c r="H174" s="27" t="n"/>
      <c r="I174" s="27" t="n"/>
      <c r="J174" s="28">
        <f>IF($A174="","",IF('設定'!$B$10="四捨五入",ROUND(IF('設定'!$B$9="税込",N($G174)*10/110,N($G174)*10/100),0),IF('設定'!$B$10="切り上げ",ROUNDUP(IF('設定'!$B$9="税込",N($G174)*10/110,N($G174)*10/100),0),ROUNDDOWN(IF('設定'!$B$9="税込",N($G174)*10/110,N($G174)*10/100),0))))</f>
        <v/>
      </c>
      <c r="K174" s="28">
        <f>IF($A174="","",IF('設定'!$B$10="四捨五入",ROUND(IF('設定'!$B$9="税込",N($H174)*8/108,N($H174)*8/100),0),IF('設定'!$B$10="切り上げ",ROUNDUP(IF('設定'!$B$9="税込",N($H174)*8/108,N($H174)*8/100),0),ROUNDDOWN(IF('設定'!$B$9="税込",N($H174)*8/108,N($H174)*8/100),0))))</f>
        <v/>
      </c>
      <c r="L174" s="28">
        <f>IF($A174="","",N($G174)+N($H174)+N($I174)+IF('設定'!$B$9="税込",0,$J174+$K174))</f>
        <v/>
      </c>
      <c r="M174" s="29">
        <f>IF(OR($A174="",NOT(ISNUMBER($W174)),NOT(ISNUMBER($X174))),"",IF(OR(INDEX('得意先'!$D$5:$D$104,$W174)="",INDEX('得意先'!$E$5:$E$104,$W174)="",INDEX('得意先'!$F$5:$F$104,$W174)=""),"",IF(INDEX('得意先'!$F$5:$F$104,$W174)="末",DATE(YEAR($X174),(MONTH($X174)+IF(INDEX('得意先'!$D$5:$D$104,$W174)="末",0,IF(DAY($X174)&lt;=INDEX('得意先'!$D$5:$D$104,$W174),0,1))+N(INDEX('得意先'!$E$5:$E$104,$W174)))+1,0),DATE(YEAR($X174),(MONTH($X174)+IF(INDEX('得意先'!$D$5:$D$104,$W174)="末",0,IF(DAY($X174)&lt;=INDEX('得意先'!$D$5:$D$104,$W174),0,1))+N(INDEX('得意先'!$E$5:$E$104,$W174))),MIN(INDEX('得意先'!$F$5:$F$104,$W174),DAY(DATE(YEAR($X174),(MONTH($X174)+IF(INDEX('得意先'!$D$5:$D$104,$W174)="末",0,IF(DAY($X174)&lt;=INDEX('得意先'!$D$5:$D$104,$W174),0,1))+N(INDEX('得意先'!$E$5:$E$104,$W174)))+1,0)))))))</f>
        <v/>
      </c>
      <c r="N174" s="26" t="n"/>
      <c r="O174" s="29">
        <f>IF($A174="","",IF(ISNUMBER($N174),$N174,$M174))</f>
        <v/>
      </c>
      <c r="P174" s="28">
        <f>IF($A174="","",SUMIF('入金消込'!$F$5:$F$1004,$A174,'入金消込'!$G$5:$G$1004))</f>
        <v/>
      </c>
      <c r="Q174" s="28">
        <f>IF($A174="","",SUMIF('入金消込'!$F$5:$F$1004,$A174,'入金消込'!$H$5:$H$1004)+SUMIF('入金消込'!$F$5:$F$1004,$A174,'入金消込'!$I$5:$I$1004))</f>
        <v/>
      </c>
      <c r="R174" s="28">
        <f>IF($A174="","",$L174-$P174-$Q174)</f>
        <v/>
      </c>
      <c r="S174" s="30">
        <f>IF($A174="","",IF($R174=0,IF($L174=0,"請求額0","回収済"),IF($L174&lt;0,IF($R174&lt;0,"差し引き待ち","差し引きすぎ"),IF($R174&lt;0,"入金が多い",IF($P174+$Q174=0,"未入金","一部入金")))))</f>
        <v/>
      </c>
      <c r="T174" s="31">
        <f>IF(OR($A174="",N($R174)&lt;=0,NOT(ISNUMBER($O174))),"",IF($O174&lt;'設定'!$B$7,'設定'!$B$7-$O174,""))</f>
        <v/>
      </c>
      <c r="U174" s="30">
        <f>IF(OR($A174="",N($R174)&lt;=0),"",IF(NOT(ISNUMBER($O174)),'設定'!$B$22,IF($O174&gt;='設定'!$B$7,'設定'!$B$17,IF('設定'!$B$7-$O174&lt;='設定'!$B$12,'設定'!$B$18,IF('設定'!$B$7-$O174&lt;='設定'!$B$13,'設定'!$B$19,IF('設定'!$B$7-$O174&lt;='設定'!$B$14,'設定'!$B$20,'設定'!$B$21))))))</f>
        <v/>
      </c>
      <c r="V174" s="56" t="n"/>
      <c r="W174" s="32">
        <f>IF($C174="","",IFERROR(MATCH($C174,'得意先'!$B$5:$B$104,0),"なし"))</f>
        <v/>
      </c>
      <c r="X174" s="33">
        <f>IF($A174="","",IF(ISNUMBER($E174),$E174,IF(ISNUMBER($B174),$B174,"")))</f>
        <v/>
      </c>
      <c r="Y174" s="34">
        <f>IF($T174="","",$O174+ROW()/1000000)</f>
        <v/>
      </c>
      <c r="Z174" s="35">
        <f>IF(OR($A174="",$C174="",$C174&lt;&gt;'売掛帳'!$B$3,NOT(ISNUMBER($X174))),"",IF(AND($X174&gt;='売掛帳'!$Q$3,$X174&lt;='売掛帳'!$Q$4),$X174+ROW()/10000000,""))</f>
        <v/>
      </c>
    </row>
    <row r="175" ht="18" customHeight="1">
      <c r="A175" s="18" t="n"/>
      <c r="B175" s="26" t="n"/>
      <c r="C175" s="18" t="n"/>
      <c r="D175" s="20">
        <f>IF($W175="","",IF($W175="なし","※得意先にないコード",INDEX('得意先'!$C$5:$C$104,$W175)&amp;""))</f>
        <v/>
      </c>
      <c r="E175" s="26" t="n"/>
      <c r="F175" s="19" t="n"/>
      <c r="G175" s="27" t="n"/>
      <c r="H175" s="27" t="n"/>
      <c r="I175" s="27" t="n"/>
      <c r="J175" s="28">
        <f>IF($A175="","",IF('設定'!$B$10="四捨五入",ROUND(IF('設定'!$B$9="税込",N($G175)*10/110,N($G175)*10/100),0),IF('設定'!$B$10="切り上げ",ROUNDUP(IF('設定'!$B$9="税込",N($G175)*10/110,N($G175)*10/100),0),ROUNDDOWN(IF('設定'!$B$9="税込",N($G175)*10/110,N($G175)*10/100),0))))</f>
        <v/>
      </c>
      <c r="K175" s="28">
        <f>IF($A175="","",IF('設定'!$B$10="四捨五入",ROUND(IF('設定'!$B$9="税込",N($H175)*8/108,N($H175)*8/100),0),IF('設定'!$B$10="切り上げ",ROUNDUP(IF('設定'!$B$9="税込",N($H175)*8/108,N($H175)*8/100),0),ROUNDDOWN(IF('設定'!$B$9="税込",N($H175)*8/108,N($H175)*8/100),0))))</f>
        <v/>
      </c>
      <c r="L175" s="28">
        <f>IF($A175="","",N($G175)+N($H175)+N($I175)+IF('設定'!$B$9="税込",0,$J175+$K175))</f>
        <v/>
      </c>
      <c r="M175" s="29">
        <f>IF(OR($A175="",NOT(ISNUMBER($W175)),NOT(ISNUMBER($X175))),"",IF(OR(INDEX('得意先'!$D$5:$D$104,$W175)="",INDEX('得意先'!$E$5:$E$104,$W175)="",INDEX('得意先'!$F$5:$F$104,$W175)=""),"",IF(INDEX('得意先'!$F$5:$F$104,$W175)="末",DATE(YEAR($X175),(MONTH($X175)+IF(INDEX('得意先'!$D$5:$D$104,$W175)="末",0,IF(DAY($X175)&lt;=INDEX('得意先'!$D$5:$D$104,$W175),0,1))+N(INDEX('得意先'!$E$5:$E$104,$W175)))+1,0),DATE(YEAR($X175),(MONTH($X175)+IF(INDEX('得意先'!$D$5:$D$104,$W175)="末",0,IF(DAY($X175)&lt;=INDEX('得意先'!$D$5:$D$104,$W175),0,1))+N(INDEX('得意先'!$E$5:$E$104,$W175))),MIN(INDEX('得意先'!$F$5:$F$104,$W175),DAY(DATE(YEAR($X175),(MONTH($X175)+IF(INDEX('得意先'!$D$5:$D$104,$W175)="末",0,IF(DAY($X175)&lt;=INDEX('得意先'!$D$5:$D$104,$W175),0,1))+N(INDEX('得意先'!$E$5:$E$104,$W175)))+1,0)))))))</f>
        <v/>
      </c>
      <c r="N175" s="26" t="n"/>
      <c r="O175" s="29">
        <f>IF($A175="","",IF(ISNUMBER($N175),$N175,$M175))</f>
        <v/>
      </c>
      <c r="P175" s="28">
        <f>IF($A175="","",SUMIF('入金消込'!$F$5:$F$1004,$A175,'入金消込'!$G$5:$G$1004))</f>
        <v/>
      </c>
      <c r="Q175" s="28">
        <f>IF($A175="","",SUMIF('入金消込'!$F$5:$F$1004,$A175,'入金消込'!$H$5:$H$1004)+SUMIF('入金消込'!$F$5:$F$1004,$A175,'入金消込'!$I$5:$I$1004))</f>
        <v/>
      </c>
      <c r="R175" s="28">
        <f>IF($A175="","",$L175-$P175-$Q175)</f>
        <v/>
      </c>
      <c r="S175" s="30">
        <f>IF($A175="","",IF($R175=0,IF($L175=0,"請求額0","回収済"),IF($L175&lt;0,IF($R175&lt;0,"差し引き待ち","差し引きすぎ"),IF($R175&lt;0,"入金が多い",IF($P175+$Q175=0,"未入金","一部入金")))))</f>
        <v/>
      </c>
      <c r="T175" s="31">
        <f>IF(OR($A175="",N($R175)&lt;=0,NOT(ISNUMBER($O175))),"",IF($O175&lt;'設定'!$B$7,'設定'!$B$7-$O175,""))</f>
        <v/>
      </c>
      <c r="U175" s="30">
        <f>IF(OR($A175="",N($R175)&lt;=0),"",IF(NOT(ISNUMBER($O175)),'設定'!$B$22,IF($O175&gt;='設定'!$B$7,'設定'!$B$17,IF('設定'!$B$7-$O175&lt;='設定'!$B$12,'設定'!$B$18,IF('設定'!$B$7-$O175&lt;='設定'!$B$13,'設定'!$B$19,IF('設定'!$B$7-$O175&lt;='設定'!$B$14,'設定'!$B$20,'設定'!$B$21))))))</f>
        <v/>
      </c>
      <c r="V175" s="56" t="n"/>
      <c r="W175" s="32">
        <f>IF($C175="","",IFERROR(MATCH($C175,'得意先'!$B$5:$B$104,0),"なし"))</f>
        <v/>
      </c>
      <c r="X175" s="33">
        <f>IF($A175="","",IF(ISNUMBER($E175),$E175,IF(ISNUMBER($B175),$B175,"")))</f>
        <v/>
      </c>
      <c r="Y175" s="34">
        <f>IF($T175="","",$O175+ROW()/1000000)</f>
        <v/>
      </c>
      <c r="Z175" s="35">
        <f>IF(OR($A175="",$C175="",$C175&lt;&gt;'売掛帳'!$B$3,NOT(ISNUMBER($X175))),"",IF(AND($X175&gt;='売掛帳'!$Q$3,$X175&lt;='売掛帳'!$Q$4),$X175+ROW()/10000000,""))</f>
        <v/>
      </c>
    </row>
    <row r="176" ht="18" customHeight="1">
      <c r="A176" s="18" t="n"/>
      <c r="B176" s="26" t="n"/>
      <c r="C176" s="18" t="n"/>
      <c r="D176" s="20">
        <f>IF($W176="","",IF($W176="なし","※得意先にないコード",INDEX('得意先'!$C$5:$C$104,$W176)&amp;""))</f>
        <v/>
      </c>
      <c r="E176" s="26" t="n"/>
      <c r="F176" s="19" t="n"/>
      <c r="G176" s="27" t="n"/>
      <c r="H176" s="27" t="n"/>
      <c r="I176" s="27" t="n"/>
      <c r="J176" s="28">
        <f>IF($A176="","",IF('設定'!$B$10="四捨五入",ROUND(IF('設定'!$B$9="税込",N($G176)*10/110,N($G176)*10/100),0),IF('設定'!$B$10="切り上げ",ROUNDUP(IF('設定'!$B$9="税込",N($G176)*10/110,N($G176)*10/100),0),ROUNDDOWN(IF('設定'!$B$9="税込",N($G176)*10/110,N($G176)*10/100),0))))</f>
        <v/>
      </c>
      <c r="K176" s="28">
        <f>IF($A176="","",IF('設定'!$B$10="四捨五入",ROUND(IF('設定'!$B$9="税込",N($H176)*8/108,N($H176)*8/100),0),IF('設定'!$B$10="切り上げ",ROUNDUP(IF('設定'!$B$9="税込",N($H176)*8/108,N($H176)*8/100),0),ROUNDDOWN(IF('設定'!$B$9="税込",N($H176)*8/108,N($H176)*8/100),0))))</f>
        <v/>
      </c>
      <c r="L176" s="28">
        <f>IF($A176="","",N($G176)+N($H176)+N($I176)+IF('設定'!$B$9="税込",0,$J176+$K176))</f>
        <v/>
      </c>
      <c r="M176" s="29">
        <f>IF(OR($A176="",NOT(ISNUMBER($W176)),NOT(ISNUMBER($X176))),"",IF(OR(INDEX('得意先'!$D$5:$D$104,$W176)="",INDEX('得意先'!$E$5:$E$104,$W176)="",INDEX('得意先'!$F$5:$F$104,$W176)=""),"",IF(INDEX('得意先'!$F$5:$F$104,$W176)="末",DATE(YEAR($X176),(MONTH($X176)+IF(INDEX('得意先'!$D$5:$D$104,$W176)="末",0,IF(DAY($X176)&lt;=INDEX('得意先'!$D$5:$D$104,$W176),0,1))+N(INDEX('得意先'!$E$5:$E$104,$W176)))+1,0),DATE(YEAR($X176),(MONTH($X176)+IF(INDEX('得意先'!$D$5:$D$104,$W176)="末",0,IF(DAY($X176)&lt;=INDEX('得意先'!$D$5:$D$104,$W176),0,1))+N(INDEX('得意先'!$E$5:$E$104,$W176))),MIN(INDEX('得意先'!$F$5:$F$104,$W176),DAY(DATE(YEAR($X176),(MONTH($X176)+IF(INDEX('得意先'!$D$5:$D$104,$W176)="末",0,IF(DAY($X176)&lt;=INDEX('得意先'!$D$5:$D$104,$W176),0,1))+N(INDEX('得意先'!$E$5:$E$104,$W176)))+1,0)))))))</f>
        <v/>
      </c>
      <c r="N176" s="26" t="n"/>
      <c r="O176" s="29">
        <f>IF($A176="","",IF(ISNUMBER($N176),$N176,$M176))</f>
        <v/>
      </c>
      <c r="P176" s="28">
        <f>IF($A176="","",SUMIF('入金消込'!$F$5:$F$1004,$A176,'入金消込'!$G$5:$G$1004))</f>
        <v/>
      </c>
      <c r="Q176" s="28">
        <f>IF($A176="","",SUMIF('入金消込'!$F$5:$F$1004,$A176,'入金消込'!$H$5:$H$1004)+SUMIF('入金消込'!$F$5:$F$1004,$A176,'入金消込'!$I$5:$I$1004))</f>
        <v/>
      </c>
      <c r="R176" s="28">
        <f>IF($A176="","",$L176-$P176-$Q176)</f>
        <v/>
      </c>
      <c r="S176" s="30">
        <f>IF($A176="","",IF($R176=0,IF($L176=0,"請求額0","回収済"),IF($L176&lt;0,IF($R176&lt;0,"差し引き待ち","差し引きすぎ"),IF($R176&lt;0,"入金が多い",IF($P176+$Q176=0,"未入金","一部入金")))))</f>
        <v/>
      </c>
      <c r="T176" s="31">
        <f>IF(OR($A176="",N($R176)&lt;=0,NOT(ISNUMBER($O176))),"",IF($O176&lt;'設定'!$B$7,'設定'!$B$7-$O176,""))</f>
        <v/>
      </c>
      <c r="U176" s="30">
        <f>IF(OR($A176="",N($R176)&lt;=0),"",IF(NOT(ISNUMBER($O176)),'設定'!$B$22,IF($O176&gt;='設定'!$B$7,'設定'!$B$17,IF('設定'!$B$7-$O176&lt;='設定'!$B$12,'設定'!$B$18,IF('設定'!$B$7-$O176&lt;='設定'!$B$13,'設定'!$B$19,IF('設定'!$B$7-$O176&lt;='設定'!$B$14,'設定'!$B$20,'設定'!$B$21))))))</f>
        <v/>
      </c>
      <c r="V176" s="56" t="n"/>
      <c r="W176" s="32">
        <f>IF($C176="","",IFERROR(MATCH($C176,'得意先'!$B$5:$B$104,0),"なし"))</f>
        <v/>
      </c>
      <c r="X176" s="33">
        <f>IF($A176="","",IF(ISNUMBER($E176),$E176,IF(ISNUMBER($B176),$B176,"")))</f>
        <v/>
      </c>
      <c r="Y176" s="34">
        <f>IF($T176="","",$O176+ROW()/1000000)</f>
        <v/>
      </c>
      <c r="Z176" s="35">
        <f>IF(OR($A176="",$C176="",$C176&lt;&gt;'売掛帳'!$B$3,NOT(ISNUMBER($X176))),"",IF(AND($X176&gt;='売掛帳'!$Q$3,$X176&lt;='売掛帳'!$Q$4),$X176+ROW()/10000000,""))</f>
        <v/>
      </c>
    </row>
    <row r="177" ht="18" customHeight="1">
      <c r="A177" s="18" t="n"/>
      <c r="B177" s="26" t="n"/>
      <c r="C177" s="18" t="n"/>
      <c r="D177" s="20">
        <f>IF($W177="","",IF($W177="なし","※得意先にないコード",INDEX('得意先'!$C$5:$C$104,$W177)&amp;""))</f>
        <v/>
      </c>
      <c r="E177" s="26" t="n"/>
      <c r="F177" s="19" t="n"/>
      <c r="G177" s="27" t="n"/>
      <c r="H177" s="27" t="n"/>
      <c r="I177" s="27" t="n"/>
      <c r="J177" s="28">
        <f>IF($A177="","",IF('設定'!$B$10="四捨五入",ROUND(IF('設定'!$B$9="税込",N($G177)*10/110,N($G177)*10/100),0),IF('設定'!$B$10="切り上げ",ROUNDUP(IF('設定'!$B$9="税込",N($G177)*10/110,N($G177)*10/100),0),ROUNDDOWN(IF('設定'!$B$9="税込",N($G177)*10/110,N($G177)*10/100),0))))</f>
        <v/>
      </c>
      <c r="K177" s="28">
        <f>IF($A177="","",IF('設定'!$B$10="四捨五入",ROUND(IF('設定'!$B$9="税込",N($H177)*8/108,N($H177)*8/100),0),IF('設定'!$B$10="切り上げ",ROUNDUP(IF('設定'!$B$9="税込",N($H177)*8/108,N($H177)*8/100),0),ROUNDDOWN(IF('設定'!$B$9="税込",N($H177)*8/108,N($H177)*8/100),0))))</f>
        <v/>
      </c>
      <c r="L177" s="28">
        <f>IF($A177="","",N($G177)+N($H177)+N($I177)+IF('設定'!$B$9="税込",0,$J177+$K177))</f>
        <v/>
      </c>
      <c r="M177" s="29">
        <f>IF(OR($A177="",NOT(ISNUMBER($W177)),NOT(ISNUMBER($X177))),"",IF(OR(INDEX('得意先'!$D$5:$D$104,$W177)="",INDEX('得意先'!$E$5:$E$104,$W177)="",INDEX('得意先'!$F$5:$F$104,$W177)=""),"",IF(INDEX('得意先'!$F$5:$F$104,$W177)="末",DATE(YEAR($X177),(MONTH($X177)+IF(INDEX('得意先'!$D$5:$D$104,$W177)="末",0,IF(DAY($X177)&lt;=INDEX('得意先'!$D$5:$D$104,$W177),0,1))+N(INDEX('得意先'!$E$5:$E$104,$W177)))+1,0),DATE(YEAR($X177),(MONTH($X177)+IF(INDEX('得意先'!$D$5:$D$104,$W177)="末",0,IF(DAY($X177)&lt;=INDEX('得意先'!$D$5:$D$104,$W177),0,1))+N(INDEX('得意先'!$E$5:$E$104,$W177))),MIN(INDEX('得意先'!$F$5:$F$104,$W177),DAY(DATE(YEAR($X177),(MONTH($X177)+IF(INDEX('得意先'!$D$5:$D$104,$W177)="末",0,IF(DAY($X177)&lt;=INDEX('得意先'!$D$5:$D$104,$W177),0,1))+N(INDEX('得意先'!$E$5:$E$104,$W177)))+1,0)))))))</f>
        <v/>
      </c>
      <c r="N177" s="26" t="n"/>
      <c r="O177" s="29">
        <f>IF($A177="","",IF(ISNUMBER($N177),$N177,$M177))</f>
        <v/>
      </c>
      <c r="P177" s="28">
        <f>IF($A177="","",SUMIF('入金消込'!$F$5:$F$1004,$A177,'入金消込'!$G$5:$G$1004))</f>
        <v/>
      </c>
      <c r="Q177" s="28">
        <f>IF($A177="","",SUMIF('入金消込'!$F$5:$F$1004,$A177,'入金消込'!$H$5:$H$1004)+SUMIF('入金消込'!$F$5:$F$1004,$A177,'入金消込'!$I$5:$I$1004))</f>
        <v/>
      </c>
      <c r="R177" s="28">
        <f>IF($A177="","",$L177-$P177-$Q177)</f>
        <v/>
      </c>
      <c r="S177" s="30">
        <f>IF($A177="","",IF($R177=0,IF($L177=0,"請求額0","回収済"),IF($L177&lt;0,IF($R177&lt;0,"差し引き待ち","差し引きすぎ"),IF($R177&lt;0,"入金が多い",IF($P177+$Q177=0,"未入金","一部入金")))))</f>
        <v/>
      </c>
      <c r="T177" s="31">
        <f>IF(OR($A177="",N($R177)&lt;=0,NOT(ISNUMBER($O177))),"",IF($O177&lt;'設定'!$B$7,'設定'!$B$7-$O177,""))</f>
        <v/>
      </c>
      <c r="U177" s="30">
        <f>IF(OR($A177="",N($R177)&lt;=0),"",IF(NOT(ISNUMBER($O177)),'設定'!$B$22,IF($O177&gt;='設定'!$B$7,'設定'!$B$17,IF('設定'!$B$7-$O177&lt;='設定'!$B$12,'設定'!$B$18,IF('設定'!$B$7-$O177&lt;='設定'!$B$13,'設定'!$B$19,IF('設定'!$B$7-$O177&lt;='設定'!$B$14,'設定'!$B$20,'設定'!$B$21))))))</f>
        <v/>
      </c>
      <c r="V177" s="56" t="n"/>
      <c r="W177" s="32">
        <f>IF($C177="","",IFERROR(MATCH($C177,'得意先'!$B$5:$B$104,0),"なし"))</f>
        <v/>
      </c>
      <c r="X177" s="33">
        <f>IF($A177="","",IF(ISNUMBER($E177),$E177,IF(ISNUMBER($B177),$B177,"")))</f>
        <v/>
      </c>
      <c r="Y177" s="34">
        <f>IF($T177="","",$O177+ROW()/1000000)</f>
        <v/>
      </c>
      <c r="Z177" s="35">
        <f>IF(OR($A177="",$C177="",$C177&lt;&gt;'売掛帳'!$B$3,NOT(ISNUMBER($X177))),"",IF(AND($X177&gt;='売掛帳'!$Q$3,$X177&lt;='売掛帳'!$Q$4),$X177+ROW()/10000000,""))</f>
        <v/>
      </c>
    </row>
    <row r="178" ht="18" customHeight="1">
      <c r="A178" s="18" t="n"/>
      <c r="B178" s="26" t="n"/>
      <c r="C178" s="18" t="n"/>
      <c r="D178" s="20">
        <f>IF($W178="","",IF($W178="なし","※得意先にないコード",INDEX('得意先'!$C$5:$C$104,$W178)&amp;""))</f>
        <v/>
      </c>
      <c r="E178" s="26" t="n"/>
      <c r="F178" s="19" t="n"/>
      <c r="G178" s="27" t="n"/>
      <c r="H178" s="27" t="n"/>
      <c r="I178" s="27" t="n"/>
      <c r="J178" s="28">
        <f>IF($A178="","",IF('設定'!$B$10="四捨五入",ROUND(IF('設定'!$B$9="税込",N($G178)*10/110,N($G178)*10/100),0),IF('設定'!$B$10="切り上げ",ROUNDUP(IF('設定'!$B$9="税込",N($G178)*10/110,N($G178)*10/100),0),ROUNDDOWN(IF('設定'!$B$9="税込",N($G178)*10/110,N($G178)*10/100),0))))</f>
        <v/>
      </c>
      <c r="K178" s="28">
        <f>IF($A178="","",IF('設定'!$B$10="四捨五入",ROUND(IF('設定'!$B$9="税込",N($H178)*8/108,N($H178)*8/100),0),IF('設定'!$B$10="切り上げ",ROUNDUP(IF('設定'!$B$9="税込",N($H178)*8/108,N($H178)*8/100),0),ROUNDDOWN(IF('設定'!$B$9="税込",N($H178)*8/108,N($H178)*8/100),0))))</f>
        <v/>
      </c>
      <c r="L178" s="28">
        <f>IF($A178="","",N($G178)+N($H178)+N($I178)+IF('設定'!$B$9="税込",0,$J178+$K178))</f>
        <v/>
      </c>
      <c r="M178" s="29">
        <f>IF(OR($A178="",NOT(ISNUMBER($W178)),NOT(ISNUMBER($X178))),"",IF(OR(INDEX('得意先'!$D$5:$D$104,$W178)="",INDEX('得意先'!$E$5:$E$104,$W178)="",INDEX('得意先'!$F$5:$F$104,$W178)=""),"",IF(INDEX('得意先'!$F$5:$F$104,$W178)="末",DATE(YEAR($X178),(MONTH($X178)+IF(INDEX('得意先'!$D$5:$D$104,$W178)="末",0,IF(DAY($X178)&lt;=INDEX('得意先'!$D$5:$D$104,$W178),0,1))+N(INDEX('得意先'!$E$5:$E$104,$W178)))+1,0),DATE(YEAR($X178),(MONTH($X178)+IF(INDEX('得意先'!$D$5:$D$104,$W178)="末",0,IF(DAY($X178)&lt;=INDEX('得意先'!$D$5:$D$104,$W178),0,1))+N(INDEX('得意先'!$E$5:$E$104,$W178))),MIN(INDEX('得意先'!$F$5:$F$104,$W178),DAY(DATE(YEAR($X178),(MONTH($X178)+IF(INDEX('得意先'!$D$5:$D$104,$W178)="末",0,IF(DAY($X178)&lt;=INDEX('得意先'!$D$5:$D$104,$W178),0,1))+N(INDEX('得意先'!$E$5:$E$104,$W178)))+1,0)))))))</f>
        <v/>
      </c>
      <c r="N178" s="26" t="n"/>
      <c r="O178" s="29">
        <f>IF($A178="","",IF(ISNUMBER($N178),$N178,$M178))</f>
        <v/>
      </c>
      <c r="P178" s="28">
        <f>IF($A178="","",SUMIF('入金消込'!$F$5:$F$1004,$A178,'入金消込'!$G$5:$G$1004))</f>
        <v/>
      </c>
      <c r="Q178" s="28">
        <f>IF($A178="","",SUMIF('入金消込'!$F$5:$F$1004,$A178,'入金消込'!$H$5:$H$1004)+SUMIF('入金消込'!$F$5:$F$1004,$A178,'入金消込'!$I$5:$I$1004))</f>
        <v/>
      </c>
      <c r="R178" s="28">
        <f>IF($A178="","",$L178-$P178-$Q178)</f>
        <v/>
      </c>
      <c r="S178" s="30">
        <f>IF($A178="","",IF($R178=0,IF($L178=0,"請求額0","回収済"),IF($L178&lt;0,IF($R178&lt;0,"差し引き待ち","差し引きすぎ"),IF($R178&lt;0,"入金が多い",IF($P178+$Q178=0,"未入金","一部入金")))))</f>
        <v/>
      </c>
      <c r="T178" s="31">
        <f>IF(OR($A178="",N($R178)&lt;=0,NOT(ISNUMBER($O178))),"",IF($O178&lt;'設定'!$B$7,'設定'!$B$7-$O178,""))</f>
        <v/>
      </c>
      <c r="U178" s="30">
        <f>IF(OR($A178="",N($R178)&lt;=0),"",IF(NOT(ISNUMBER($O178)),'設定'!$B$22,IF($O178&gt;='設定'!$B$7,'設定'!$B$17,IF('設定'!$B$7-$O178&lt;='設定'!$B$12,'設定'!$B$18,IF('設定'!$B$7-$O178&lt;='設定'!$B$13,'設定'!$B$19,IF('設定'!$B$7-$O178&lt;='設定'!$B$14,'設定'!$B$20,'設定'!$B$21))))))</f>
        <v/>
      </c>
      <c r="V178" s="56" t="n"/>
      <c r="W178" s="32">
        <f>IF($C178="","",IFERROR(MATCH($C178,'得意先'!$B$5:$B$104,0),"なし"))</f>
        <v/>
      </c>
      <c r="X178" s="33">
        <f>IF($A178="","",IF(ISNUMBER($E178),$E178,IF(ISNUMBER($B178),$B178,"")))</f>
        <v/>
      </c>
      <c r="Y178" s="34">
        <f>IF($T178="","",$O178+ROW()/1000000)</f>
        <v/>
      </c>
      <c r="Z178" s="35">
        <f>IF(OR($A178="",$C178="",$C178&lt;&gt;'売掛帳'!$B$3,NOT(ISNUMBER($X178))),"",IF(AND($X178&gt;='売掛帳'!$Q$3,$X178&lt;='売掛帳'!$Q$4),$X178+ROW()/10000000,""))</f>
        <v/>
      </c>
    </row>
    <row r="179" ht="18" customHeight="1">
      <c r="A179" s="18" t="n"/>
      <c r="B179" s="26" t="n"/>
      <c r="C179" s="18" t="n"/>
      <c r="D179" s="20">
        <f>IF($W179="","",IF($W179="なし","※得意先にないコード",INDEX('得意先'!$C$5:$C$104,$W179)&amp;""))</f>
        <v/>
      </c>
      <c r="E179" s="26" t="n"/>
      <c r="F179" s="19" t="n"/>
      <c r="G179" s="27" t="n"/>
      <c r="H179" s="27" t="n"/>
      <c r="I179" s="27" t="n"/>
      <c r="J179" s="28">
        <f>IF($A179="","",IF('設定'!$B$10="四捨五入",ROUND(IF('設定'!$B$9="税込",N($G179)*10/110,N($G179)*10/100),0),IF('設定'!$B$10="切り上げ",ROUNDUP(IF('設定'!$B$9="税込",N($G179)*10/110,N($G179)*10/100),0),ROUNDDOWN(IF('設定'!$B$9="税込",N($G179)*10/110,N($G179)*10/100),0))))</f>
        <v/>
      </c>
      <c r="K179" s="28">
        <f>IF($A179="","",IF('設定'!$B$10="四捨五入",ROUND(IF('設定'!$B$9="税込",N($H179)*8/108,N($H179)*8/100),0),IF('設定'!$B$10="切り上げ",ROUNDUP(IF('設定'!$B$9="税込",N($H179)*8/108,N($H179)*8/100),0),ROUNDDOWN(IF('設定'!$B$9="税込",N($H179)*8/108,N($H179)*8/100),0))))</f>
        <v/>
      </c>
      <c r="L179" s="28">
        <f>IF($A179="","",N($G179)+N($H179)+N($I179)+IF('設定'!$B$9="税込",0,$J179+$K179))</f>
        <v/>
      </c>
      <c r="M179" s="29">
        <f>IF(OR($A179="",NOT(ISNUMBER($W179)),NOT(ISNUMBER($X179))),"",IF(OR(INDEX('得意先'!$D$5:$D$104,$W179)="",INDEX('得意先'!$E$5:$E$104,$W179)="",INDEX('得意先'!$F$5:$F$104,$W179)=""),"",IF(INDEX('得意先'!$F$5:$F$104,$W179)="末",DATE(YEAR($X179),(MONTH($X179)+IF(INDEX('得意先'!$D$5:$D$104,$W179)="末",0,IF(DAY($X179)&lt;=INDEX('得意先'!$D$5:$D$104,$W179),0,1))+N(INDEX('得意先'!$E$5:$E$104,$W179)))+1,0),DATE(YEAR($X179),(MONTH($X179)+IF(INDEX('得意先'!$D$5:$D$104,$W179)="末",0,IF(DAY($X179)&lt;=INDEX('得意先'!$D$5:$D$104,$W179),0,1))+N(INDEX('得意先'!$E$5:$E$104,$W179))),MIN(INDEX('得意先'!$F$5:$F$104,$W179),DAY(DATE(YEAR($X179),(MONTH($X179)+IF(INDEX('得意先'!$D$5:$D$104,$W179)="末",0,IF(DAY($X179)&lt;=INDEX('得意先'!$D$5:$D$104,$W179),0,1))+N(INDEX('得意先'!$E$5:$E$104,$W179)))+1,0)))))))</f>
        <v/>
      </c>
      <c r="N179" s="26" t="n"/>
      <c r="O179" s="29">
        <f>IF($A179="","",IF(ISNUMBER($N179),$N179,$M179))</f>
        <v/>
      </c>
      <c r="P179" s="28">
        <f>IF($A179="","",SUMIF('入金消込'!$F$5:$F$1004,$A179,'入金消込'!$G$5:$G$1004))</f>
        <v/>
      </c>
      <c r="Q179" s="28">
        <f>IF($A179="","",SUMIF('入金消込'!$F$5:$F$1004,$A179,'入金消込'!$H$5:$H$1004)+SUMIF('入金消込'!$F$5:$F$1004,$A179,'入金消込'!$I$5:$I$1004))</f>
        <v/>
      </c>
      <c r="R179" s="28">
        <f>IF($A179="","",$L179-$P179-$Q179)</f>
        <v/>
      </c>
      <c r="S179" s="30">
        <f>IF($A179="","",IF($R179=0,IF($L179=0,"請求額0","回収済"),IF($L179&lt;0,IF($R179&lt;0,"差し引き待ち","差し引きすぎ"),IF($R179&lt;0,"入金が多い",IF($P179+$Q179=0,"未入金","一部入金")))))</f>
        <v/>
      </c>
      <c r="T179" s="31">
        <f>IF(OR($A179="",N($R179)&lt;=0,NOT(ISNUMBER($O179))),"",IF($O179&lt;'設定'!$B$7,'設定'!$B$7-$O179,""))</f>
        <v/>
      </c>
      <c r="U179" s="30">
        <f>IF(OR($A179="",N($R179)&lt;=0),"",IF(NOT(ISNUMBER($O179)),'設定'!$B$22,IF($O179&gt;='設定'!$B$7,'設定'!$B$17,IF('設定'!$B$7-$O179&lt;='設定'!$B$12,'設定'!$B$18,IF('設定'!$B$7-$O179&lt;='設定'!$B$13,'設定'!$B$19,IF('設定'!$B$7-$O179&lt;='設定'!$B$14,'設定'!$B$20,'設定'!$B$21))))))</f>
        <v/>
      </c>
      <c r="V179" s="56" t="n"/>
      <c r="W179" s="32">
        <f>IF($C179="","",IFERROR(MATCH($C179,'得意先'!$B$5:$B$104,0),"なし"))</f>
        <v/>
      </c>
      <c r="X179" s="33">
        <f>IF($A179="","",IF(ISNUMBER($E179),$E179,IF(ISNUMBER($B179),$B179,"")))</f>
        <v/>
      </c>
      <c r="Y179" s="34">
        <f>IF($T179="","",$O179+ROW()/1000000)</f>
        <v/>
      </c>
      <c r="Z179" s="35">
        <f>IF(OR($A179="",$C179="",$C179&lt;&gt;'売掛帳'!$B$3,NOT(ISNUMBER($X179))),"",IF(AND($X179&gt;='売掛帳'!$Q$3,$X179&lt;='売掛帳'!$Q$4),$X179+ROW()/10000000,""))</f>
        <v/>
      </c>
    </row>
    <row r="180" ht="18" customHeight="1">
      <c r="A180" s="18" t="n"/>
      <c r="B180" s="26" t="n"/>
      <c r="C180" s="18" t="n"/>
      <c r="D180" s="20">
        <f>IF($W180="","",IF($W180="なし","※得意先にないコード",INDEX('得意先'!$C$5:$C$104,$W180)&amp;""))</f>
        <v/>
      </c>
      <c r="E180" s="26" t="n"/>
      <c r="F180" s="19" t="n"/>
      <c r="G180" s="27" t="n"/>
      <c r="H180" s="27" t="n"/>
      <c r="I180" s="27" t="n"/>
      <c r="J180" s="28">
        <f>IF($A180="","",IF('設定'!$B$10="四捨五入",ROUND(IF('設定'!$B$9="税込",N($G180)*10/110,N($G180)*10/100),0),IF('設定'!$B$10="切り上げ",ROUNDUP(IF('設定'!$B$9="税込",N($G180)*10/110,N($G180)*10/100),0),ROUNDDOWN(IF('設定'!$B$9="税込",N($G180)*10/110,N($G180)*10/100),0))))</f>
        <v/>
      </c>
      <c r="K180" s="28">
        <f>IF($A180="","",IF('設定'!$B$10="四捨五入",ROUND(IF('設定'!$B$9="税込",N($H180)*8/108,N($H180)*8/100),0),IF('設定'!$B$10="切り上げ",ROUNDUP(IF('設定'!$B$9="税込",N($H180)*8/108,N($H180)*8/100),0),ROUNDDOWN(IF('設定'!$B$9="税込",N($H180)*8/108,N($H180)*8/100),0))))</f>
        <v/>
      </c>
      <c r="L180" s="28">
        <f>IF($A180="","",N($G180)+N($H180)+N($I180)+IF('設定'!$B$9="税込",0,$J180+$K180))</f>
        <v/>
      </c>
      <c r="M180" s="29">
        <f>IF(OR($A180="",NOT(ISNUMBER($W180)),NOT(ISNUMBER($X180))),"",IF(OR(INDEX('得意先'!$D$5:$D$104,$W180)="",INDEX('得意先'!$E$5:$E$104,$W180)="",INDEX('得意先'!$F$5:$F$104,$W180)=""),"",IF(INDEX('得意先'!$F$5:$F$104,$W180)="末",DATE(YEAR($X180),(MONTH($X180)+IF(INDEX('得意先'!$D$5:$D$104,$W180)="末",0,IF(DAY($X180)&lt;=INDEX('得意先'!$D$5:$D$104,$W180),0,1))+N(INDEX('得意先'!$E$5:$E$104,$W180)))+1,0),DATE(YEAR($X180),(MONTH($X180)+IF(INDEX('得意先'!$D$5:$D$104,$W180)="末",0,IF(DAY($X180)&lt;=INDEX('得意先'!$D$5:$D$104,$W180),0,1))+N(INDEX('得意先'!$E$5:$E$104,$W180))),MIN(INDEX('得意先'!$F$5:$F$104,$W180),DAY(DATE(YEAR($X180),(MONTH($X180)+IF(INDEX('得意先'!$D$5:$D$104,$W180)="末",0,IF(DAY($X180)&lt;=INDEX('得意先'!$D$5:$D$104,$W180),0,1))+N(INDEX('得意先'!$E$5:$E$104,$W180)))+1,0)))))))</f>
        <v/>
      </c>
      <c r="N180" s="26" t="n"/>
      <c r="O180" s="29">
        <f>IF($A180="","",IF(ISNUMBER($N180),$N180,$M180))</f>
        <v/>
      </c>
      <c r="P180" s="28">
        <f>IF($A180="","",SUMIF('入金消込'!$F$5:$F$1004,$A180,'入金消込'!$G$5:$G$1004))</f>
        <v/>
      </c>
      <c r="Q180" s="28">
        <f>IF($A180="","",SUMIF('入金消込'!$F$5:$F$1004,$A180,'入金消込'!$H$5:$H$1004)+SUMIF('入金消込'!$F$5:$F$1004,$A180,'入金消込'!$I$5:$I$1004))</f>
        <v/>
      </c>
      <c r="R180" s="28">
        <f>IF($A180="","",$L180-$P180-$Q180)</f>
        <v/>
      </c>
      <c r="S180" s="30">
        <f>IF($A180="","",IF($R180=0,IF($L180=0,"請求額0","回収済"),IF($L180&lt;0,IF($R180&lt;0,"差し引き待ち","差し引きすぎ"),IF($R180&lt;0,"入金が多い",IF($P180+$Q180=0,"未入金","一部入金")))))</f>
        <v/>
      </c>
      <c r="T180" s="31">
        <f>IF(OR($A180="",N($R180)&lt;=0,NOT(ISNUMBER($O180))),"",IF($O180&lt;'設定'!$B$7,'設定'!$B$7-$O180,""))</f>
        <v/>
      </c>
      <c r="U180" s="30">
        <f>IF(OR($A180="",N($R180)&lt;=0),"",IF(NOT(ISNUMBER($O180)),'設定'!$B$22,IF($O180&gt;='設定'!$B$7,'設定'!$B$17,IF('設定'!$B$7-$O180&lt;='設定'!$B$12,'設定'!$B$18,IF('設定'!$B$7-$O180&lt;='設定'!$B$13,'設定'!$B$19,IF('設定'!$B$7-$O180&lt;='設定'!$B$14,'設定'!$B$20,'設定'!$B$21))))))</f>
        <v/>
      </c>
      <c r="V180" s="56" t="n"/>
      <c r="W180" s="32">
        <f>IF($C180="","",IFERROR(MATCH($C180,'得意先'!$B$5:$B$104,0),"なし"))</f>
        <v/>
      </c>
      <c r="X180" s="33">
        <f>IF($A180="","",IF(ISNUMBER($E180),$E180,IF(ISNUMBER($B180),$B180,"")))</f>
        <v/>
      </c>
      <c r="Y180" s="34">
        <f>IF($T180="","",$O180+ROW()/1000000)</f>
        <v/>
      </c>
      <c r="Z180" s="35">
        <f>IF(OR($A180="",$C180="",$C180&lt;&gt;'売掛帳'!$B$3,NOT(ISNUMBER($X180))),"",IF(AND($X180&gt;='売掛帳'!$Q$3,$X180&lt;='売掛帳'!$Q$4),$X180+ROW()/10000000,""))</f>
        <v/>
      </c>
    </row>
    <row r="181" ht="18" customHeight="1">
      <c r="A181" s="18" t="n"/>
      <c r="B181" s="26" t="n"/>
      <c r="C181" s="18" t="n"/>
      <c r="D181" s="20">
        <f>IF($W181="","",IF($W181="なし","※得意先にないコード",INDEX('得意先'!$C$5:$C$104,$W181)&amp;""))</f>
        <v/>
      </c>
      <c r="E181" s="26" t="n"/>
      <c r="F181" s="19" t="n"/>
      <c r="G181" s="27" t="n"/>
      <c r="H181" s="27" t="n"/>
      <c r="I181" s="27" t="n"/>
      <c r="J181" s="28">
        <f>IF($A181="","",IF('設定'!$B$10="四捨五入",ROUND(IF('設定'!$B$9="税込",N($G181)*10/110,N($G181)*10/100),0),IF('設定'!$B$10="切り上げ",ROUNDUP(IF('設定'!$B$9="税込",N($G181)*10/110,N($G181)*10/100),0),ROUNDDOWN(IF('設定'!$B$9="税込",N($G181)*10/110,N($G181)*10/100),0))))</f>
        <v/>
      </c>
      <c r="K181" s="28">
        <f>IF($A181="","",IF('設定'!$B$10="四捨五入",ROUND(IF('設定'!$B$9="税込",N($H181)*8/108,N($H181)*8/100),0),IF('設定'!$B$10="切り上げ",ROUNDUP(IF('設定'!$B$9="税込",N($H181)*8/108,N($H181)*8/100),0),ROUNDDOWN(IF('設定'!$B$9="税込",N($H181)*8/108,N($H181)*8/100),0))))</f>
        <v/>
      </c>
      <c r="L181" s="28">
        <f>IF($A181="","",N($G181)+N($H181)+N($I181)+IF('設定'!$B$9="税込",0,$J181+$K181))</f>
        <v/>
      </c>
      <c r="M181" s="29">
        <f>IF(OR($A181="",NOT(ISNUMBER($W181)),NOT(ISNUMBER($X181))),"",IF(OR(INDEX('得意先'!$D$5:$D$104,$W181)="",INDEX('得意先'!$E$5:$E$104,$W181)="",INDEX('得意先'!$F$5:$F$104,$W181)=""),"",IF(INDEX('得意先'!$F$5:$F$104,$W181)="末",DATE(YEAR($X181),(MONTH($X181)+IF(INDEX('得意先'!$D$5:$D$104,$W181)="末",0,IF(DAY($X181)&lt;=INDEX('得意先'!$D$5:$D$104,$W181),0,1))+N(INDEX('得意先'!$E$5:$E$104,$W181)))+1,0),DATE(YEAR($X181),(MONTH($X181)+IF(INDEX('得意先'!$D$5:$D$104,$W181)="末",0,IF(DAY($X181)&lt;=INDEX('得意先'!$D$5:$D$104,$W181),0,1))+N(INDEX('得意先'!$E$5:$E$104,$W181))),MIN(INDEX('得意先'!$F$5:$F$104,$W181),DAY(DATE(YEAR($X181),(MONTH($X181)+IF(INDEX('得意先'!$D$5:$D$104,$W181)="末",0,IF(DAY($X181)&lt;=INDEX('得意先'!$D$5:$D$104,$W181),0,1))+N(INDEX('得意先'!$E$5:$E$104,$W181)))+1,0)))))))</f>
        <v/>
      </c>
      <c r="N181" s="26" t="n"/>
      <c r="O181" s="29">
        <f>IF($A181="","",IF(ISNUMBER($N181),$N181,$M181))</f>
        <v/>
      </c>
      <c r="P181" s="28">
        <f>IF($A181="","",SUMIF('入金消込'!$F$5:$F$1004,$A181,'入金消込'!$G$5:$G$1004))</f>
        <v/>
      </c>
      <c r="Q181" s="28">
        <f>IF($A181="","",SUMIF('入金消込'!$F$5:$F$1004,$A181,'入金消込'!$H$5:$H$1004)+SUMIF('入金消込'!$F$5:$F$1004,$A181,'入金消込'!$I$5:$I$1004))</f>
        <v/>
      </c>
      <c r="R181" s="28">
        <f>IF($A181="","",$L181-$P181-$Q181)</f>
        <v/>
      </c>
      <c r="S181" s="30">
        <f>IF($A181="","",IF($R181=0,IF($L181=0,"請求額0","回収済"),IF($L181&lt;0,IF($R181&lt;0,"差し引き待ち","差し引きすぎ"),IF($R181&lt;0,"入金が多い",IF($P181+$Q181=0,"未入金","一部入金")))))</f>
        <v/>
      </c>
      <c r="T181" s="31">
        <f>IF(OR($A181="",N($R181)&lt;=0,NOT(ISNUMBER($O181))),"",IF($O181&lt;'設定'!$B$7,'設定'!$B$7-$O181,""))</f>
        <v/>
      </c>
      <c r="U181" s="30">
        <f>IF(OR($A181="",N($R181)&lt;=0),"",IF(NOT(ISNUMBER($O181)),'設定'!$B$22,IF($O181&gt;='設定'!$B$7,'設定'!$B$17,IF('設定'!$B$7-$O181&lt;='設定'!$B$12,'設定'!$B$18,IF('設定'!$B$7-$O181&lt;='設定'!$B$13,'設定'!$B$19,IF('設定'!$B$7-$O181&lt;='設定'!$B$14,'設定'!$B$20,'設定'!$B$21))))))</f>
        <v/>
      </c>
      <c r="V181" s="56" t="n"/>
      <c r="W181" s="32">
        <f>IF($C181="","",IFERROR(MATCH($C181,'得意先'!$B$5:$B$104,0),"なし"))</f>
        <v/>
      </c>
      <c r="X181" s="33">
        <f>IF($A181="","",IF(ISNUMBER($E181),$E181,IF(ISNUMBER($B181),$B181,"")))</f>
        <v/>
      </c>
      <c r="Y181" s="34">
        <f>IF($T181="","",$O181+ROW()/1000000)</f>
        <v/>
      </c>
      <c r="Z181" s="35">
        <f>IF(OR($A181="",$C181="",$C181&lt;&gt;'売掛帳'!$B$3,NOT(ISNUMBER($X181))),"",IF(AND($X181&gt;='売掛帳'!$Q$3,$X181&lt;='売掛帳'!$Q$4),$X181+ROW()/10000000,""))</f>
        <v/>
      </c>
    </row>
    <row r="182" ht="18" customHeight="1">
      <c r="A182" s="18" t="n"/>
      <c r="B182" s="26" t="n"/>
      <c r="C182" s="18" t="n"/>
      <c r="D182" s="20">
        <f>IF($W182="","",IF($W182="なし","※得意先にないコード",INDEX('得意先'!$C$5:$C$104,$W182)&amp;""))</f>
        <v/>
      </c>
      <c r="E182" s="26" t="n"/>
      <c r="F182" s="19" t="n"/>
      <c r="G182" s="27" t="n"/>
      <c r="H182" s="27" t="n"/>
      <c r="I182" s="27" t="n"/>
      <c r="J182" s="28">
        <f>IF($A182="","",IF('設定'!$B$10="四捨五入",ROUND(IF('設定'!$B$9="税込",N($G182)*10/110,N($G182)*10/100),0),IF('設定'!$B$10="切り上げ",ROUNDUP(IF('設定'!$B$9="税込",N($G182)*10/110,N($G182)*10/100),0),ROUNDDOWN(IF('設定'!$B$9="税込",N($G182)*10/110,N($G182)*10/100),0))))</f>
        <v/>
      </c>
      <c r="K182" s="28">
        <f>IF($A182="","",IF('設定'!$B$10="四捨五入",ROUND(IF('設定'!$B$9="税込",N($H182)*8/108,N($H182)*8/100),0),IF('設定'!$B$10="切り上げ",ROUNDUP(IF('設定'!$B$9="税込",N($H182)*8/108,N($H182)*8/100),0),ROUNDDOWN(IF('設定'!$B$9="税込",N($H182)*8/108,N($H182)*8/100),0))))</f>
        <v/>
      </c>
      <c r="L182" s="28">
        <f>IF($A182="","",N($G182)+N($H182)+N($I182)+IF('設定'!$B$9="税込",0,$J182+$K182))</f>
        <v/>
      </c>
      <c r="M182" s="29">
        <f>IF(OR($A182="",NOT(ISNUMBER($W182)),NOT(ISNUMBER($X182))),"",IF(OR(INDEX('得意先'!$D$5:$D$104,$W182)="",INDEX('得意先'!$E$5:$E$104,$W182)="",INDEX('得意先'!$F$5:$F$104,$W182)=""),"",IF(INDEX('得意先'!$F$5:$F$104,$W182)="末",DATE(YEAR($X182),(MONTH($X182)+IF(INDEX('得意先'!$D$5:$D$104,$W182)="末",0,IF(DAY($X182)&lt;=INDEX('得意先'!$D$5:$D$104,$W182),0,1))+N(INDEX('得意先'!$E$5:$E$104,$W182)))+1,0),DATE(YEAR($X182),(MONTH($X182)+IF(INDEX('得意先'!$D$5:$D$104,$W182)="末",0,IF(DAY($X182)&lt;=INDEX('得意先'!$D$5:$D$104,$W182),0,1))+N(INDEX('得意先'!$E$5:$E$104,$W182))),MIN(INDEX('得意先'!$F$5:$F$104,$W182),DAY(DATE(YEAR($X182),(MONTH($X182)+IF(INDEX('得意先'!$D$5:$D$104,$W182)="末",0,IF(DAY($X182)&lt;=INDEX('得意先'!$D$5:$D$104,$W182),0,1))+N(INDEX('得意先'!$E$5:$E$104,$W182)))+1,0)))))))</f>
        <v/>
      </c>
      <c r="N182" s="26" t="n"/>
      <c r="O182" s="29">
        <f>IF($A182="","",IF(ISNUMBER($N182),$N182,$M182))</f>
        <v/>
      </c>
      <c r="P182" s="28">
        <f>IF($A182="","",SUMIF('入金消込'!$F$5:$F$1004,$A182,'入金消込'!$G$5:$G$1004))</f>
        <v/>
      </c>
      <c r="Q182" s="28">
        <f>IF($A182="","",SUMIF('入金消込'!$F$5:$F$1004,$A182,'入金消込'!$H$5:$H$1004)+SUMIF('入金消込'!$F$5:$F$1004,$A182,'入金消込'!$I$5:$I$1004))</f>
        <v/>
      </c>
      <c r="R182" s="28">
        <f>IF($A182="","",$L182-$P182-$Q182)</f>
        <v/>
      </c>
      <c r="S182" s="30">
        <f>IF($A182="","",IF($R182=0,IF($L182=0,"請求額0","回収済"),IF($L182&lt;0,IF($R182&lt;0,"差し引き待ち","差し引きすぎ"),IF($R182&lt;0,"入金が多い",IF($P182+$Q182=0,"未入金","一部入金")))))</f>
        <v/>
      </c>
      <c r="T182" s="31">
        <f>IF(OR($A182="",N($R182)&lt;=0,NOT(ISNUMBER($O182))),"",IF($O182&lt;'設定'!$B$7,'設定'!$B$7-$O182,""))</f>
        <v/>
      </c>
      <c r="U182" s="30">
        <f>IF(OR($A182="",N($R182)&lt;=0),"",IF(NOT(ISNUMBER($O182)),'設定'!$B$22,IF($O182&gt;='設定'!$B$7,'設定'!$B$17,IF('設定'!$B$7-$O182&lt;='設定'!$B$12,'設定'!$B$18,IF('設定'!$B$7-$O182&lt;='設定'!$B$13,'設定'!$B$19,IF('設定'!$B$7-$O182&lt;='設定'!$B$14,'設定'!$B$20,'設定'!$B$21))))))</f>
        <v/>
      </c>
      <c r="V182" s="56" t="n"/>
      <c r="W182" s="32">
        <f>IF($C182="","",IFERROR(MATCH($C182,'得意先'!$B$5:$B$104,0),"なし"))</f>
        <v/>
      </c>
      <c r="X182" s="33">
        <f>IF($A182="","",IF(ISNUMBER($E182),$E182,IF(ISNUMBER($B182),$B182,"")))</f>
        <v/>
      </c>
      <c r="Y182" s="34">
        <f>IF($T182="","",$O182+ROW()/1000000)</f>
        <v/>
      </c>
      <c r="Z182" s="35">
        <f>IF(OR($A182="",$C182="",$C182&lt;&gt;'売掛帳'!$B$3,NOT(ISNUMBER($X182))),"",IF(AND($X182&gt;='売掛帳'!$Q$3,$X182&lt;='売掛帳'!$Q$4),$X182+ROW()/10000000,""))</f>
        <v/>
      </c>
    </row>
    <row r="183" ht="18" customHeight="1">
      <c r="A183" s="18" t="n"/>
      <c r="B183" s="26" t="n"/>
      <c r="C183" s="18" t="n"/>
      <c r="D183" s="20">
        <f>IF($W183="","",IF($W183="なし","※得意先にないコード",INDEX('得意先'!$C$5:$C$104,$W183)&amp;""))</f>
        <v/>
      </c>
      <c r="E183" s="26" t="n"/>
      <c r="F183" s="19" t="n"/>
      <c r="G183" s="27" t="n"/>
      <c r="H183" s="27" t="n"/>
      <c r="I183" s="27" t="n"/>
      <c r="J183" s="28">
        <f>IF($A183="","",IF('設定'!$B$10="四捨五入",ROUND(IF('設定'!$B$9="税込",N($G183)*10/110,N($G183)*10/100),0),IF('設定'!$B$10="切り上げ",ROUNDUP(IF('設定'!$B$9="税込",N($G183)*10/110,N($G183)*10/100),0),ROUNDDOWN(IF('設定'!$B$9="税込",N($G183)*10/110,N($G183)*10/100),0))))</f>
        <v/>
      </c>
      <c r="K183" s="28">
        <f>IF($A183="","",IF('設定'!$B$10="四捨五入",ROUND(IF('設定'!$B$9="税込",N($H183)*8/108,N($H183)*8/100),0),IF('設定'!$B$10="切り上げ",ROUNDUP(IF('設定'!$B$9="税込",N($H183)*8/108,N($H183)*8/100),0),ROUNDDOWN(IF('設定'!$B$9="税込",N($H183)*8/108,N($H183)*8/100),0))))</f>
        <v/>
      </c>
      <c r="L183" s="28">
        <f>IF($A183="","",N($G183)+N($H183)+N($I183)+IF('設定'!$B$9="税込",0,$J183+$K183))</f>
        <v/>
      </c>
      <c r="M183" s="29">
        <f>IF(OR($A183="",NOT(ISNUMBER($W183)),NOT(ISNUMBER($X183))),"",IF(OR(INDEX('得意先'!$D$5:$D$104,$W183)="",INDEX('得意先'!$E$5:$E$104,$W183)="",INDEX('得意先'!$F$5:$F$104,$W183)=""),"",IF(INDEX('得意先'!$F$5:$F$104,$W183)="末",DATE(YEAR($X183),(MONTH($X183)+IF(INDEX('得意先'!$D$5:$D$104,$W183)="末",0,IF(DAY($X183)&lt;=INDEX('得意先'!$D$5:$D$104,$W183),0,1))+N(INDEX('得意先'!$E$5:$E$104,$W183)))+1,0),DATE(YEAR($X183),(MONTH($X183)+IF(INDEX('得意先'!$D$5:$D$104,$W183)="末",0,IF(DAY($X183)&lt;=INDEX('得意先'!$D$5:$D$104,$W183),0,1))+N(INDEX('得意先'!$E$5:$E$104,$W183))),MIN(INDEX('得意先'!$F$5:$F$104,$W183),DAY(DATE(YEAR($X183),(MONTH($X183)+IF(INDEX('得意先'!$D$5:$D$104,$W183)="末",0,IF(DAY($X183)&lt;=INDEX('得意先'!$D$5:$D$104,$W183),0,1))+N(INDEX('得意先'!$E$5:$E$104,$W183)))+1,0)))))))</f>
        <v/>
      </c>
      <c r="N183" s="26" t="n"/>
      <c r="O183" s="29">
        <f>IF($A183="","",IF(ISNUMBER($N183),$N183,$M183))</f>
        <v/>
      </c>
      <c r="P183" s="28">
        <f>IF($A183="","",SUMIF('入金消込'!$F$5:$F$1004,$A183,'入金消込'!$G$5:$G$1004))</f>
        <v/>
      </c>
      <c r="Q183" s="28">
        <f>IF($A183="","",SUMIF('入金消込'!$F$5:$F$1004,$A183,'入金消込'!$H$5:$H$1004)+SUMIF('入金消込'!$F$5:$F$1004,$A183,'入金消込'!$I$5:$I$1004))</f>
        <v/>
      </c>
      <c r="R183" s="28">
        <f>IF($A183="","",$L183-$P183-$Q183)</f>
        <v/>
      </c>
      <c r="S183" s="30">
        <f>IF($A183="","",IF($R183=0,IF($L183=0,"請求額0","回収済"),IF($L183&lt;0,IF($R183&lt;0,"差し引き待ち","差し引きすぎ"),IF($R183&lt;0,"入金が多い",IF($P183+$Q183=0,"未入金","一部入金")))))</f>
        <v/>
      </c>
      <c r="T183" s="31">
        <f>IF(OR($A183="",N($R183)&lt;=0,NOT(ISNUMBER($O183))),"",IF($O183&lt;'設定'!$B$7,'設定'!$B$7-$O183,""))</f>
        <v/>
      </c>
      <c r="U183" s="30">
        <f>IF(OR($A183="",N($R183)&lt;=0),"",IF(NOT(ISNUMBER($O183)),'設定'!$B$22,IF($O183&gt;='設定'!$B$7,'設定'!$B$17,IF('設定'!$B$7-$O183&lt;='設定'!$B$12,'設定'!$B$18,IF('設定'!$B$7-$O183&lt;='設定'!$B$13,'設定'!$B$19,IF('設定'!$B$7-$O183&lt;='設定'!$B$14,'設定'!$B$20,'設定'!$B$21))))))</f>
        <v/>
      </c>
      <c r="V183" s="56" t="n"/>
      <c r="W183" s="32">
        <f>IF($C183="","",IFERROR(MATCH($C183,'得意先'!$B$5:$B$104,0),"なし"))</f>
        <v/>
      </c>
      <c r="X183" s="33">
        <f>IF($A183="","",IF(ISNUMBER($E183),$E183,IF(ISNUMBER($B183),$B183,"")))</f>
        <v/>
      </c>
      <c r="Y183" s="34">
        <f>IF($T183="","",$O183+ROW()/1000000)</f>
        <v/>
      </c>
      <c r="Z183" s="35">
        <f>IF(OR($A183="",$C183="",$C183&lt;&gt;'売掛帳'!$B$3,NOT(ISNUMBER($X183))),"",IF(AND($X183&gt;='売掛帳'!$Q$3,$X183&lt;='売掛帳'!$Q$4),$X183+ROW()/10000000,""))</f>
        <v/>
      </c>
    </row>
    <row r="184" ht="18" customHeight="1">
      <c r="A184" s="18" t="n"/>
      <c r="B184" s="26" t="n"/>
      <c r="C184" s="18" t="n"/>
      <c r="D184" s="20">
        <f>IF($W184="","",IF($W184="なし","※得意先にないコード",INDEX('得意先'!$C$5:$C$104,$W184)&amp;""))</f>
        <v/>
      </c>
      <c r="E184" s="26" t="n"/>
      <c r="F184" s="19" t="n"/>
      <c r="G184" s="27" t="n"/>
      <c r="H184" s="27" t="n"/>
      <c r="I184" s="27" t="n"/>
      <c r="J184" s="28">
        <f>IF($A184="","",IF('設定'!$B$10="四捨五入",ROUND(IF('設定'!$B$9="税込",N($G184)*10/110,N($G184)*10/100),0),IF('設定'!$B$10="切り上げ",ROUNDUP(IF('設定'!$B$9="税込",N($G184)*10/110,N($G184)*10/100),0),ROUNDDOWN(IF('設定'!$B$9="税込",N($G184)*10/110,N($G184)*10/100),0))))</f>
        <v/>
      </c>
      <c r="K184" s="28">
        <f>IF($A184="","",IF('設定'!$B$10="四捨五入",ROUND(IF('設定'!$B$9="税込",N($H184)*8/108,N($H184)*8/100),0),IF('設定'!$B$10="切り上げ",ROUNDUP(IF('設定'!$B$9="税込",N($H184)*8/108,N($H184)*8/100),0),ROUNDDOWN(IF('設定'!$B$9="税込",N($H184)*8/108,N($H184)*8/100),0))))</f>
        <v/>
      </c>
      <c r="L184" s="28">
        <f>IF($A184="","",N($G184)+N($H184)+N($I184)+IF('設定'!$B$9="税込",0,$J184+$K184))</f>
        <v/>
      </c>
      <c r="M184" s="29">
        <f>IF(OR($A184="",NOT(ISNUMBER($W184)),NOT(ISNUMBER($X184))),"",IF(OR(INDEX('得意先'!$D$5:$D$104,$W184)="",INDEX('得意先'!$E$5:$E$104,$W184)="",INDEX('得意先'!$F$5:$F$104,$W184)=""),"",IF(INDEX('得意先'!$F$5:$F$104,$W184)="末",DATE(YEAR($X184),(MONTH($X184)+IF(INDEX('得意先'!$D$5:$D$104,$W184)="末",0,IF(DAY($X184)&lt;=INDEX('得意先'!$D$5:$D$104,$W184),0,1))+N(INDEX('得意先'!$E$5:$E$104,$W184)))+1,0),DATE(YEAR($X184),(MONTH($X184)+IF(INDEX('得意先'!$D$5:$D$104,$W184)="末",0,IF(DAY($X184)&lt;=INDEX('得意先'!$D$5:$D$104,$W184),0,1))+N(INDEX('得意先'!$E$5:$E$104,$W184))),MIN(INDEX('得意先'!$F$5:$F$104,$W184),DAY(DATE(YEAR($X184),(MONTH($X184)+IF(INDEX('得意先'!$D$5:$D$104,$W184)="末",0,IF(DAY($X184)&lt;=INDEX('得意先'!$D$5:$D$104,$W184),0,1))+N(INDEX('得意先'!$E$5:$E$104,$W184)))+1,0)))))))</f>
        <v/>
      </c>
      <c r="N184" s="26" t="n"/>
      <c r="O184" s="29">
        <f>IF($A184="","",IF(ISNUMBER($N184),$N184,$M184))</f>
        <v/>
      </c>
      <c r="P184" s="28">
        <f>IF($A184="","",SUMIF('入金消込'!$F$5:$F$1004,$A184,'入金消込'!$G$5:$G$1004))</f>
        <v/>
      </c>
      <c r="Q184" s="28">
        <f>IF($A184="","",SUMIF('入金消込'!$F$5:$F$1004,$A184,'入金消込'!$H$5:$H$1004)+SUMIF('入金消込'!$F$5:$F$1004,$A184,'入金消込'!$I$5:$I$1004))</f>
        <v/>
      </c>
      <c r="R184" s="28">
        <f>IF($A184="","",$L184-$P184-$Q184)</f>
        <v/>
      </c>
      <c r="S184" s="30">
        <f>IF($A184="","",IF($R184=0,IF($L184=0,"請求額0","回収済"),IF($L184&lt;0,IF($R184&lt;0,"差し引き待ち","差し引きすぎ"),IF($R184&lt;0,"入金が多い",IF($P184+$Q184=0,"未入金","一部入金")))))</f>
        <v/>
      </c>
      <c r="T184" s="31">
        <f>IF(OR($A184="",N($R184)&lt;=0,NOT(ISNUMBER($O184))),"",IF($O184&lt;'設定'!$B$7,'設定'!$B$7-$O184,""))</f>
        <v/>
      </c>
      <c r="U184" s="30">
        <f>IF(OR($A184="",N($R184)&lt;=0),"",IF(NOT(ISNUMBER($O184)),'設定'!$B$22,IF($O184&gt;='設定'!$B$7,'設定'!$B$17,IF('設定'!$B$7-$O184&lt;='設定'!$B$12,'設定'!$B$18,IF('設定'!$B$7-$O184&lt;='設定'!$B$13,'設定'!$B$19,IF('設定'!$B$7-$O184&lt;='設定'!$B$14,'設定'!$B$20,'設定'!$B$21))))))</f>
        <v/>
      </c>
      <c r="V184" s="56" t="n"/>
      <c r="W184" s="32">
        <f>IF($C184="","",IFERROR(MATCH($C184,'得意先'!$B$5:$B$104,0),"なし"))</f>
        <v/>
      </c>
      <c r="X184" s="33">
        <f>IF($A184="","",IF(ISNUMBER($E184),$E184,IF(ISNUMBER($B184),$B184,"")))</f>
        <v/>
      </c>
      <c r="Y184" s="34">
        <f>IF($T184="","",$O184+ROW()/1000000)</f>
        <v/>
      </c>
      <c r="Z184" s="35">
        <f>IF(OR($A184="",$C184="",$C184&lt;&gt;'売掛帳'!$B$3,NOT(ISNUMBER($X184))),"",IF(AND($X184&gt;='売掛帳'!$Q$3,$X184&lt;='売掛帳'!$Q$4),$X184+ROW()/10000000,""))</f>
        <v/>
      </c>
    </row>
    <row r="185" ht="18" customHeight="1">
      <c r="A185" s="18" t="n"/>
      <c r="B185" s="26" t="n"/>
      <c r="C185" s="18" t="n"/>
      <c r="D185" s="20">
        <f>IF($W185="","",IF($W185="なし","※得意先にないコード",INDEX('得意先'!$C$5:$C$104,$W185)&amp;""))</f>
        <v/>
      </c>
      <c r="E185" s="26" t="n"/>
      <c r="F185" s="19" t="n"/>
      <c r="G185" s="27" t="n"/>
      <c r="H185" s="27" t="n"/>
      <c r="I185" s="27" t="n"/>
      <c r="J185" s="28">
        <f>IF($A185="","",IF('設定'!$B$10="四捨五入",ROUND(IF('設定'!$B$9="税込",N($G185)*10/110,N($G185)*10/100),0),IF('設定'!$B$10="切り上げ",ROUNDUP(IF('設定'!$B$9="税込",N($G185)*10/110,N($G185)*10/100),0),ROUNDDOWN(IF('設定'!$B$9="税込",N($G185)*10/110,N($G185)*10/100),0))))</f>
        <v/>
      </c>
      <c r="K185" s="28">
        <f>IF($A185="","",IF('設定'!$B$10="四捨五入",ROUND(IF('設定'!$B$9="税込",N($H185)*8/108,N($H185)*8/100),0),IF('設定'!$B$10="切り上げ",ROUNDUP(IF('設定'!$B$9="税込",N($H185)*8/108,N($H185)*8/100),0),ROUNDDOWN(IF('設定'!$B$9="税込",N($H185)*8/108,N($H185)*8/100),0))))</f>
        <v/>
      </c>
      <c r="L185" s="28">
        <f>IF($A185="","",N($G185)+N($H185)+N($I185)+IF('設定'!$B$9="税込",0,$J185+$K185))</f>
        <v/>
      </c>
      <c r="M185" s="29">
        <f>IF(OR($A185="",NOT(ISNUMBER($W185)),NOT(ISNUMBER($X185))),"",IF(OR(INDEX('得意先'!$D$5:$D$104,$W185)="",INDEX('得意先'!$E$5:$E$104,$W185)="",INDEX('得意先'!$F$5:$F$104,$W185)=""),"",IF(INDEX('得意先'!$F$5:$F$104,$W185)="末",DATE(YEAR($X185),(MONTH($X185)+IF(INDEX('得意先'!$D$5:$D$104,$W185)="末",0,IF(DAY($X185)&lt;=INDEX('得意先'!$D$5:$D$104,$W185),0,1))+N(INDEX('得意先'!$E$5:$E$104,$W185)))+1,0),DATE(YEAR($X185),(MONTH($X185)+IF(INDEX('得意先'!$D$5:$D$104,$W185)="末",0,IF(DAY($X185)&lt;=INDEX('得意先'!$D$5:$D$104,$W185),0,1))+N(INDEX('得意先'!$E$5:$E$104,$W185))),MIN(INDEX('得意先'!$F$5:$F$104,$W185),DAY(DATE(YEAR($X185),(MONTH($X185)+IF(INDEX('得意先'!$D$5:$D$104,$W185)="末",0,IF(DAY($X185)&lt;=INDEX('得意先'!$D$5:$D$104,$W185),0,1))+N(INDEX('得意先'!$E$5:$E$104,$W185)))+1,0)))))))</f>
        <v/>
      </c>
      <c r="N185" s="26" t="n"/>
      <c r="O185" s="29">
        <f>IF($A185="","",IF(ISNUMBER($N185),$N185,$M185))</f>
        <v/>
      </c>
      <c r="P185" s="28">
        <f>IF($A185="","",SUMIF('入金消込'!$F$5:$F$1004,$A185,'入金消込'!$G$5:$G$1004))</f>
        <v/>
      </c>
      <c r="Q185" s="28">
        <f>IF($A185="","",SUMIF('入金消込'!$F$5:$F$1004,$A185,'入金消込'!$H$5:$H$1004)+SUMIF('入金消込'!$F$5:$F$1004,$A185,'入金消込'!$I$5:$I$1004))</f>
        <v/>
      </c>
      <c r="R185" s="28">
        <f>IF($A185="","",$L185-$P185-$Q185)</f>
        <v/>
      </c>
      <c r="S185" s="30">
        <f>IF($A185="","",IF($R185=0,IF($L185=0,"請求額0","回収済"),IF($L185&lt;0,IF($R185&lt;0,"差し引き待ち","差し引きすぎ"),IF($R185&lt;0,"入金が多い",IF($P185+$Q185=0,"未入金","一部入金")))))</f>
        <v/>
      </c>
      <c r="T185" s="31">
        <f>IF(OR($A185="",N($R185)&lt;=0,NOT(ISNUMBER($O185))),"",IF($O185&lt;'設定'!$B$7,'設定'!$B$7-$O185,""))</f>
        <v/>
      </c>
      <c r="U185" s="30">
        <f>IF(OR($A185="",N($R185)&lt;=0),"",IF(NOT(ISNUMBER($O185)),'設定'!$B$22,IF($O185&gt;='設定'!$B$7,'設定'!$B$17,IF('設定'!$B$7-$O185&lt;='設定'!$B$12,'設定'!$B$18,IF('設定'!$B$7-$O185&lt;='設定'!$B$13,'設定'!$B$19,IF('設定'!$B$7-$O185&lt;='設定'!$B$14,'設定'!$B$20,'設定'!$B$21))))))</f>
        <v/>
      </c>
      <c r="V185" s="56" t="n"/>
      <c r="W185" s="32">
        <f>IF($C185="","",IFERROR(MATCH($C185,'得意先'!$B$5:$B$104,0),"なし"))</f>
        <v/>
      </c>
      <c r="X185" s="33">
        <f>IF($A185="","",IF(ISNUMBER($E185),$E185,IF(ISNUMBER($B185),$B185,"")))</f>
        <v/>
      </c>
      <c r="Y185" s="34">
        <f>IF($T185="","",$O185+ROW()/1000000)</f>
        <v/>
      </c>
      <c r="Z185" s="35">
        <f>IF(OR($A185="",$C185="",$C185&lt;&gt;'売掛帳'!$B$3,NOT(ISNUMBER($X185))),"",IF(AND($X185&gt;='売掛帳'!$Q$3,$X185&lt;='売掛帳'!$Q$4),$X185+ROW()/10000000,""))</f>
        <v/>
      </c>
    </row>
    <row r="186" ht="18" customHeight="1">
      <c r="A186" s="18" t="n"/>
      <c r="B186" s="26" t="n"/>
      <c r="C186" s="18" t="n"/>
      <c r="D186" s="20">
        <f>IF($W186="","",IF($W186="なし","※得意先にないコード",INDEX('得意先'!$C$5:$C$104,$W186)&amp;""))</f>
        <v/>
      </c>
      <c r="E186" s="26" t="n"/>
      <c r="F186" s="19" t="n"/>
      <c r="G186" s="27" t="n"/>
      <c r="H186" s="27" t="n"/>
      <c r="I186" s="27" t="n"/>
      <c r="J186" s="28">
        <f>IF($A186="","",IF('設定'!$B$10="四捨五入",ROUND(IF('設定'!$B$9="税込",N($G186)*10/110,N($G186)*10/100),0),IF('設定'!$B$10="切り上げ",ROUNDUP(IF('設定'!$B$9="税込",N($G186)*10/110,N($G186)*10/100),0),ROUNDDOWN(IF('設定'!$B$9="税込",N($G186)*10/110,N($G186)*10/100),0))))</f>
        <v/>
      </c>
      <c r="K186" s="28">
        <f>IF($A186="","",IF('設定'!$B$10="四捨五入",ROUND(IF('設定'!$B$9="税込",N($H186)*8/108,N($H186)*8/100),0),IF('設定'!$B$10="切り上げ",ROUNDUP(IF('設定'!$B$9="税込",N($H186)*8/108,N($H186)*8/100),0),ROUNDDOWN(IF('設定'!$B$9="税込",N($H186)*8/108,N($H186)*8/100),0))))</f>
        <v/>
      </c>
      <c r="L186" s="28">
        <f>IF($A186="","",N($G186)+N($H186)+N($I186)+IF('設定'!$B$9="税込",0,$J186+$K186))</f>
        <v/>
      </c>
      <c r="M186" s="29">
        <f>IF(OR($A186="",NOT(ISNUMBER($W186)),NOT(ISNUMBER($X186))),"",IF(OR(INDEX('得意先'!$D$5:$D$104,$W186)="",INDEX('得意先'!$E$5:$E$104,$W186)="",INDEX('得意先'!$F$5:$F$104,$W186)=""),"",IF(INDEX('得意先'!$F$5:$F$104,$W186)="末",DATE(YEAR($X186),(MONTH($X186)+IF(INDEX('得意先'!$D$5:$D$104,$W186)="末",0,IF(DAY($X186)&lt;=INDEX('得意先'!$D$5:$D$104,$W186),0,1))+N(INDEX('得意先'!$E$5:$E$104,$W186)))+1,0),DATE(YEAR($X186),(MONTH($X186)+IF(INDEX('得意先'!$D$5:$D$104,$W186)="末",0,IF(DAY($X186)&lt;=INDEX('得意先'!$D$5:$D$104,$W186),0,1))+N(INDEX('得意先'!$E$5:$E$104,$W186))),MIN(INDEX('得意先'!$F$5:$F$104,$W186),DAY(DATE(YEAR($X186),(MONTH($X186)+IF(INDEX('得意先'!$D$5:$D$104,$W186)="末",0,IF(DAY($X186)&lt;=INDEX('得意先'!$D$5:$D$104,$W186),0,1))+N(INDEX('得意先'!$E$5:$E$104,$W186)))+1,0)))))))</f>
        <v/>
      </c>
      <c r="N186" s="26" t="n"/>
      <c r="O186" s="29">
        <f>IF($A186="","",IF(ISNUMBER($N186),$N186,$M186))</f>
        <v/>
      </c>
      <c r="P186" s="28">
        <f>IF($A186="","",SUMIF('入金消込'!$F$5:$F$1004,$A186,'入金消込'!$G$5:$G$1004))</f>
        <v/>
      </c>
      <c r="Q186" s="28">
        <f>IF($A186="","",SUMIF('入金消込'!$F$5:$F$1004,$A186,'入金消込'!$H$5:$H$1004)+SUMIF('入金消込'!$F$5:$F$1004,$A186,'入金消込'!$I$5:$I$1004))</f>
        <v/>
      </c>
      <c r="R186" s="28">
        <f>IF($A186="","",$L186-$P186-$Q186)</f>
        <v/>
      </c>
      <c r="S186" s="30">
        <f>IF($A186="","",IF($R186=0,IF($L186=0,"請求額0","回収済"),IF($L186&lt;0,IF($R186&lt;0,"差し引き待ち","差し引きすぎ"),IF($R186&lt;0,"入金が多い",IF($P186+$Q186=0,"未入金","一部入金")))))</f>
        <v/>
      </c>
      <c r="T186" s="31">
        <f>IF(OR($A186="",N($R186)&lt;=0,NOT(ISNUMBER($O186))),"",IF($O186&lt;'設定'!$B$7,'設定'!$B$7-$O186,""))</f>
        <v/>
      </c>
      <c r="U186" s="30">
        <f>IF(OR($A186="",N($R186)&lt;=0),"",IF(NOT(ISNUMBER($O186)),'設定'!$B$22,IF($O186&gt;='設定'!$B$7,'設定'!$B$17,IF('設定'!$B$7-$O186&lt;='設定'!$B$12,'設定'!$B$18,IF('設定'!$B$7-$O186&lt;='設定'!$B$13,'設定'!$B$19,IF('設定'!$B$7-$O186&lt;='設定'!$B$14,'設定'!$B$20,'設定'!$B$21))))))</f>
        <v/>
      </c>
      <c r="V186" s="56" t="n"/>
      <c r="W186" s="32">
        <f>IF($C186="","",IFERROR(MATCH($C186,'得意先'!$B$5:$B$104,0),"なし"))</f>
        <v/>
      </c>
      <c r="X186" s="33">
        <f>IF($A186="","",IF(ISNUMBER($E186),$E186,IF(ISNUMBER($B186),$B186,"")))</f>
        <v/>
      </c>
      <c r="Y186" s="34">
        <f>IF($T186="","",$O186+ROW()/1000000)</f>
        <v/>
      </c>
      <c r="Z186" s="35">
        <f>IF(OR($A186="",$C186="",$C186&lt;&gt;'売掛帳'!$B$3,NOT(ISNUMBER($X186))),"",IF(AND($X186&gt;='売掛帳'!$Q$3,$X186&lt;='売掛帳'!$Q$4),$X186+ROW()/10000000,""))</f>
        <v/>
      </c>
    </row>
    <row r="187" ht="18" customHeight="1">
      <c r="A187" s="18" t="n"/>
      <c r="B187" s="26" t="n"/>
      <c r="C187" s="18" t="n"/>
      <c r="D187" s="20">
        <f>IF($W187="","",IF($W187="なし","※得意先にないコード",INDEX('得意先'!$C$5:$C$104,$W187)&amp;""))</f>
        <v/>
      </c>
      <c r="E187" s="26" t="n"/>
      <c r="F187" s="19" t="n"/>
      <c r="G187" s="27" t="n"/>
      <c r="H187" s="27" t="n"/>
      <c r="I187" s="27" t="n"/>
      <c r="J187" s="28">
        <f>IF($A187="","",IF('設定'!$B$10="四捨五入",ROUND(IF('設定'!$B$9="税込",N($G187)*10/110,N($G187)*10/100),0),IF('設定'!$B$10="切り上げ",ROUNDUP(IF('設定'!$B$9="税込",N($G187)*10/110,N($G187)*10/100),0),ROUNDDOWN(IF('設定'!$B$9="税込",N($G187)*10/110,N($G187)*10/100),0))))</f>
        <v/>
      </c>
      <c r="K187" s="28">
        <f>IF($A187="","",IF('設定'!$B$10="四捨五入",ROUND(IF('設定'!$B$9="税込",N($H187)*8/108,N($H187)*8/100),0),IF('設定'!$B$10="切り上げ",ROUNDUP(IF('設定'!$B$9="税込",N($H187)*8/108,N($H187)*8/100),0),ROUNDDOWN(IF('設定'!$B$9="税込",N($H187)*8/108,N($H187)*8/100),0))))</f>
        <v/>
      </c>
      <c r="L187" s="28">
        <f>IF($A187="","",N($G187)+N($H187)+N($I187)+IF('設定'!$B$9="税込",0,$J187+$K187))</f>
        <v/>
      </c>
      <c r="M187" s="29">
        <f>IF(OR($A187="",NOT(ISNUMBER($W187)),NOT(ISNUMBER($X187))),"",IF(OR(INDEX('得意先'!$D$5:$D$104,$W187)="",INDEX('得意先'!$E$5:$E$104,$W187)="",INDEX('得意先'!$F$5:$F$104,$W187)=""),"",IF(INDEX('得意先'!$F$5:$F$104,$W187)="末",DATE(YEAR($X187),(MONTH($X187)+IF(INDEX('得意先'!$D$5:$D$104,$W187)="末",0,IF(DAY($X187)&lt;=INDEX('得意先'!$D$5:$D$104,$W187),0,1))+N(INDEX('得意先'!$E$5:$E$104,$W187)))+1,0),DATE(YEAR($X187),(MONTH($X187)+IF(INDEX('得意先'!$D$5:$D$104,$W187)="末",0,IF(DAY($X187)&lt;=INDEX('得意先'!$D$5:$D$104,$W187),0,1))+N(INDEX('得意先'!$E$5:$E$104,$W187))),MIN(INDEX('得意先'!$F$5:$F$104,$W187),DAY(DATE(YEAR($X187),(MONTH($X187)+IF(INDEX('得意先'!$D$5:$D$104,$W187)="末",0,IF(DAY($X187)&lt;=INDEX('得意先'!$D$5:$D$104,$W187),0,1))+N(INDEX('得意先'!$E$5:$E$104,$W187)))+1,0)))))))</f>
        <v/>
      </c>
      <c r="N187" s="26" t="n"/>
      <c r="O187" s="29">
        <f>IF($A187="","",IF(ISNUMBER($N187),$N187,$M187))</f>
        <v/>
      </c>
      <c r="P187" s="28">
        <f>IF($A187="","",SUMIF('入金消込'!$F$5:$F$1004,$A187,'入金消込'!$G$5:$G$1004))</f>
        <v/>
      </c>
      <c r="Q187" s="28">
        <f>IF($A187="","",SUMIF('入金消込'!$F$5:$F$1004,$A187,'入金消込'!$H$5:$H$1004)+SUMIF('入金消込'!$F$5:$F$1004,$A187,'入金消込'!$I$5:$I$1004))</f>
        <v/>
      </c>
      <c r="R187" s="28">
        <f>IF($A187="","",$L187-$P187-$Q187)</f>
        <v/>
      </c>
      <c r="S187" s="30">
        <f>IF($A187="","",IF($R187=0,IF($L187=0,"請求額0","回収済"),IF($L187&lt;0,IF($R187&lt;0,"差し引き待ち","差し引きすぎ"),IF($R187&lt;0,"入金が多い",IF($P187+$Q187=0,"未入金","一部入金")))))</f>
        <v/>
      </c>
      <c r="T187" s="31">
        <f>IF(OR($A187="",N($R187)&lt;=0,NOT(ISNUMBER($O187))),"",IF($O187&lt;'設定'!$B$7,'設定'!$B$7-$O187,""))</f>
        <v/>
      </c>
      <c r="U187" s="30">
        <f>IF(OR($A187="",N($R187)&lt;=0),"",IF(NOT(ISNUMBER($O187)),'設定'!$B$22,IF($O187&gt;='設定'!$B$7,'設定'!$B$17,IF('設定'!$B$7-$O187&lt;='設定'!$B$12,'設定'!$B$18,IF('設定'!$B$7-$O187&lt;='設定'!$B$13,'設定'!$B$19,IF('設定'!$B$7-$O187&lt;='設定'!$B$14,'設定'!$B$20,'設定'!$B$21))))))</f>
        <v/>
      </c>
      <c r="V187" s="56" t="n"/>
      <c r="W187" s="32">
        <f>IF($C187="","",IFERROR(MATCH($C187,'得意先'!$B$5:$B$104,0),"なし"))</f>
        <v/>
      </c>
      <c r="X187" s="33">
        <f>IF($A187="","",IF(ISNUMBER($E187),$E187,IF(ISNUMBER($B187),$B187,"")))</f>
        <v/>
      </c>
      <c r="Y187" s="34">
        <f>IF($T187="","",$O187+ROW()/1000000)</f>
        <v/>
      </c>
      <c r="Z187" s="35">
        <f>IF(OR($A187="",$C187="",$C187&lt;&gt;'売掛帳'!$B$3,NOT(ISNUMBER($X187))),"",IF(AND($X187&gt;='売掛帳'!$Q$3,$X187&lt;='売掛帳'!$Q$4),$X187+ROW()/10000000,""))</f>
        <v/>
      </c>
    </row>
    <row r="188" ht="18" customHeight="1">
      <c r="A188" s="18" t="n"/>
      <c r="B188" s="26" t="n"/>
      <c r="C188" s="18" t="n"/>
      <c r="D188" s="20">
        <f>IF($W188="","",IF($W188="なし","※得意先にないコード",INDEX('得意先'!$C$5:$C$104,$W188)&amp;""))</f>
        <v/>
      </c>
      <c r="E188" s="26" t="n"/>
      <c r="F188" s="19" t="n"/>
      <c r="G188" s="27" t="n"/>
      <c r="H188" s="27" t="n"/>
      <c r="I188" s="27" t="n"/>
      <c r="J188" s="28">
        <f>IF($A188="","",IF('設定'!$B$10="四捨五入",ROUND(IF('設定'!$B$9="税込",N($G188)*10/110,N($G188)*10/100),0),IF('設定'!$B$10="切り上げ",ROUNDUP(IF('設定'!$B$9="税込",N($G188)*10/110,N($G188)*10/100),0),ROUNDDOWN(IF('設定'!$B$9="税込",N($G188)*10/110,N($G188)*10/100),0))))</f>
        <v/>
      </c>
      <c r="K188" s="28">
        <f>IF($A188="","",IF('設定'!$B$10="四捨五入",ROUND(IF('設定'!$B$9="税込",N($H188)*8/108,N($H188)*8/100),0),IF('設定'!$B$10="切り上げ",ROUNDUP(IF('設定'!$B$9="税込",N($H188)*8/108,N($H188)*8/100),0),ROUNDDOWN(IF('設定'!$B$9="税込",N($H188)*8/108,N($H188)*8/100),0))))</f>
        <v/>
      </c>
      <c r="L188" s="28">
        <f>IF($A188="","",N($G188)+N($H188)+N($I188)+IF('設定'!$B$9="税込",0,$J188+$K188))</f>
        <v/>
      </c>
      <c r="M188" s="29">
        <f>IF(OR($A188="",NOT(ISNUMBER($W188)),NOT(ISNUMBER($X188))),"",IF(OR(INDEX('得意先'!$D$5:$D$104,$W188)="",INDEX('得意先'!$E$5:$E$104,$W188)="",INDEX('得意先'!$F$5:$F$104,$W188)=""),"",IF(INDEX('得意先'!$F$5:$F$104,$W188)="末",DATE(YEAR($X188),(MONTH($X188)+IF(INDEX('得意先'!$D$5:$D$104,$W188)="末",0,IF(DAY($X188)&lt;=INDEX('得意先'!$D$5:$D$104,$W188),0,1))+N(INDEX('得意先'!$E$5:$E$104,$W188)))+1,0),DATE(YEAR($X188),(MONTH($X188)+IF(INDEX('得意先'!$D$5:$D$104,$W188)="末",0,IF(DAY($X188)&lt;=INDEX('得意先'!$D$5:$D$104,$W188),0,1))+N(INDEX('得意先'!$E$5:$E$104,$W188))),MIN(INDEX('得意先'!$F$5:$F$104,$W188),DAY(DATE(YEAR($X188),(MONTH($X188)+IF(INDEX('得意先'!$D$5:$D$104,$W188)="末",0,IF(DAY($X188)&lt;=INDEX('得意先'!$D$5:$D$104,$W188),0,1))+N(INDEX('得意先'!$E$5:$E$104,$W188)))+1,0)))))))</f>
        <v/>
      </c>
      <c r="N188" s="26" t="n"/>
      <c r="O188" s="29">
        <f>IF($A188="","",IF(ISNUMBER($N188),$N188,$M188))</f>
        <v/>
      </c>
      <c r="P188" s="28">
        <f>IF($A188="","",SUMIF('入金消込'!$F$5:$F$1004,$A188,'入金消込'!$G$5:$G$1004))</f>
        <v/>
      </c>
      <c r="Q188" s="28">
        <f>IF($A188="","",SUMIF('入金消込'!$F$5:$F$1004,$A188,'入金消込'!$H$5:$H$1004)+SUMIF('入金消込'!$F$5:$F$1004,$A188,'入金消込'!$I$5:$I$1004))</f>
        <v/>
      </c>
      <c r="R188" s="28">
        <f>IF($A188="","",$L188-$P188-$Q188)</f>
        <v/>
      </c>
      <c r="S188" s="30">
        <f>IF($A188="","",IF($R188=0,IF($L188=0,"請求額0","回収済"),IF($L188&lt;0,IF($R188&lt;0,"差し引き待ち","差し引きすぎ"),IF($R188&lt;0,"入金が多い",IF($P188+$Q188=0,"未入金","一部入金")))))</f>
        <v/>
      </c>
      <c r="T188" s="31">
        <f>IF(OR($A188="",N($R188)&lt;=0,NOT(ISNUMBER($O188))),"",IF($O188&lt;'設定'!$B$7,'設定'!$B$7-$O188,""))</f>
        <v/>
      </c>
      <c r="U188" s="30">
        <f>IF(OR($A188="",N($R188)&lt;=0),"",IF(NOT(ISNUMBER($O188)),'設定'!$B$22,IF($O188&gt;='設定'!$B$7,'設定'!$B$17,IF('設定'!$B$7-$O188&lt;='設定'!$B$12,'設定'!$B$18,IF('設定'!$B$7-$O188&lt;='設定'!$B$13,'設定'!$B$19,IF('設定'!$B$7-$O188&lt;='設定'!$B$14,'設定'!$B$20,'設定'!$B$21))))))</f>
        <v/>
      </c>
      <c r="V188" s="56" t="n"/>
      <c r="W188" s="32">
        <f>IF($C188="","",IFERROR(MATCH($C188,'得意先'!$B$5:$B$104,0),"なし"))</f>
        <v/>
      </c>
      <c r="X188" s="33">
        <f>IF($A188="","",IF(ISNUMBER($E188),$E188,IF(ISNUMBER($B188),$B188,"")))</f>
        <v/>
      </c>
      <c r="Y188" s="34">
        <f>IF($T188="","",$O188+ROW()/1000000)</f>
        <v/>
      </c>
      <c r="Z188" s="35">
        <f>IF(OR($A188="",$C188="",$C188&lt;&gt;'売掛帳'!$B$3,NOT(ISNUMBER($X188))),"",IF(AND($X188&gt;='売掛帳'!$Q$3,$X188&lt;='売掛帳'!$Q$4),$X188+ROW()/10000000,""))</f>
        <v/>
      </c>
    </row>
    <row r="189" ht="18" customHeight="1">
      <c r="A189" s="18" t="n"/>
      <c r="B189" s="26" t="n"/>
      <c r="C189" s="18" t="n"/>
      <c r="D189" s="20">
        <f>IF($W189="","",IF($W189="なし","※得意先にないコード",INDEX('得意先'!$C$5:$C$104,$W189)&amp;""))</f>
        <v/>
      </c>
      <c r="E189" s="26" t="n"/>
      <c r="F189" s="19" t="n"/>
      <c r="G189" s="27" t="n"/>
      <c r="H189" s="27" t="n"/>
      <c r="I189" s="27" t="n"/>
      <c r="J189" s="28">
        <f>IF($A189="","",IF('設定'!$B$10="四捨五入",ROUND(IF('設定'!$B$9="税込",N($G189)*10/110,N($G189)*10/100),0),IF('設定'!$B$10="切り上げ",ROUNDUP(IF('設定'!$B$9="税込",N($G189)*10/110,N($G189)*10/100),0),ROUNDDOWN(IF('設定'!$B$9="税込",N($G189)*10/110,N($G189)*10/100),0))))</f>
        <v/>
      </c>
      <c r="K189" s="28">
        <f>IF($A189="","",IF('設定'!$B$10="四捨五入",ROUND(IF('設定'!$B$9="税込",N($H189)*8/108,N($H189)*8/100),0),IF('設定'!$B$10="切り上げ",ROUNDUP(IF('設定'!$B$9="税込",N($H189)*8/108,N($H189)*8/100),0),ROUNDDOWN(IF('設定'!$B$9="税込",N($H189)*8/108,N($H189)*8/100),0))))</f>
        <v/>
      </c>
      <c r="L189" s="28">
        <f>IF($A189="","",N($G189)+N($H189)+N($I189)+IF('設定'!$B$9="税込",0,$J189+$K189))</f>
        <v/>
      </c>
      <c r="M189" s="29">
        <f>IF(OR($A189="",NOT(ISNUMBER($W189)),NOT(ISNUMBER($X189))),"",IF(OR(INDEX('得意先'!$D$5:$D$104,$W189)="",INDEX('得意先'!$E$5:$E$104,$W189)="",INDEX('得意先'!$F$5:$F$104,$W189)=""),"",IF(INDEX('得意先'!$F$5:$F$104,$W189)="末",DATE(YEAR($X189),(MONTH($X189)+IF(INDEX('得意先'!$D$5:$D$104,$W189)="末",0,IF(DAY($X189)&lt;=INDEX('得意先'!$D$5:$D$104,$W189),0,1))+N(INDEX('得意先'!$E$5:$E$104,$W189)))+1,0),DATE(YEAR($X189),(MONTH($X189)+IF(INDEX('得意先'!$D$5:$D$104,$W189)="末",0,IF(DAY($X189)&lt;=INDEX('得意先'!$D$5:$D$104,$W189),0,1))+N(INDEX('得意先'!$E$5:$E$104,$W189))),MIN(INDEX('得意先'!$F$5:$F$104,$W189),DAY(DATE(YEAR($X189),(MONTH($X189)+IF(INDEX('得意先'!$D$5:$D$104,$W189)="末",0,IF(DAY($X189)&lt;=INDEX('得意先'!$D$5:$D$104,$W189),0,1))+N(INDEX('得意先'!$E$5:$E$104,$W189)))+1,0)))))))</f>
        <v/>
      </c>
      <c r="N189" s="26" t="n"/>
      <c r="O189" s="29">
        <f>IF($A189="","",IF(ISNUMBER($N189),$N189,$M189))</f>
        <v/>
      </c>
      <c r="P189" s="28">
        <f>IF($A189="","",SUMIF('入金消込'!$F$5:$F$1004,$A189,'入金消込'!$G$5:$G$1004))</f>
        <v/>
      </c>
      <c r="Q189" s="28">
        <f>IF($A189="","",SUMIF('入金消込'!$F$5:$F$1004,$A189,'入金消込'!$H$5:$H$1004)+SUMIF('入金消込'!$F$5:$F$1004,$A189,'入金消込'!$I$5:$I$1004))</f>
        <v/>
      </c>
      <c r="R189" s="28">
        <f>IF($A189="","",$L189-$P189-$Q189)</f>
        <v/>
      </c>
      <c r="S189" s="30">
        <f>IF($A189="","",IF($R189=0,IF($L189=0,"請求額0","回収済"),IF($L189&lt;0,IF($R189&lt;0,"差し引き待ち","差し引きすぎ"),IF($R189&lt;0,"入金が多い",IF($P189+$Q189=0,"未入金","一部入金")))))</f>
        <v/>
      </c>
      <c r="T189" s="31">
        <f>IF(OR($A189="",N($R189)&lt;=0,NOT(ISNUMBER($O189))),"",IF($O189&lt;'設定'!$B$7,'設定'!$B$7-$O189,""))</f>
        <v/>
      </c>
      <c r="U189" s="30">
        <f>IF(OR($A189="",N($R189)&lt;=0),"",IF(NOT(ISNUMBER($O189)),'設定'!$B$22,IF($O189&gt;='設定'!$B$7,'設定'!$B$17,IF('設定'!$B$7-$O189&lt;='設定'!$B$12,'設定'!$B$18,IF('設定'!$B$7-$O189&lt;='設定'!$B$13,'設定'!$B$19,IF('設定'!$B$7-$O189&lt;='設定'!$B$14,'設定'!$B$20,'設定'!$B$21))))))</f>
        <v/>
      </c>
      <c r="V189" s="56" t="n"/>
      <c r="W189" s="32">
        <f>IF($C189="","",IFERROR(MATCH($C189,'得意先'!$B$5:$B$104,0),"なし"))</f>
        <v/>
      </c>
      <c r="X189" s="33">
        <f>IF($A189="","",IF(ISNUMBER($E189),$E189,IF(ISNUMBER($B189),$B189,"")))</f>
        <v/>
      </c>
      <c r="Y189" s="34">
        <f>IF($T189="","",$O189+ROW()/1000000)</f>
        <v/>
      </c>
      <c r="Z189" s="35">
        <f>IF(OR($A189="",$C189="",$C189&lt;&gt;'売掛帳'!$B$3,NOT(ISNUMBER($X189))),"",IF(AND($X189&gt;='売掛帳'!$Q$3,$X189&lt;='売掛帳'!$Q$4),$X189+ROW()/10000000,""))</f>
        <v/>
      </c>
    </row>
    <row r="190" ht="18" customHeight="1">
      <c r="A190" s="18" t="n"/>
      <c r="B190" s="26" t="n"/>
      <c r="C190" s="18" t="n"/>
      <c r="D190" s="20">
        <f>IF($W190="","",IF($W190="なし","※得意先にないコード",INDEX('得意先'!$C$5:$C$104,$W190)&amp;""))</f>
        <v/>
      </c>
      <c r="E190" s="26" t="n"/>
      <c r="F190" s="19" t="n"/>
      <c r="G190" s="27" t="n"/>
      <c r="H190" s="27" t="n"/>
      <c r="I190" s="27" t="n"/>
      <c r="J190" s="28">
        <f>IF($A190="","",IF('設定'!$B$10="四捨五入",ROUND(IF('設定'!$B$9="税込",N($G190)*10/110,N($G190)*10/100),0),IF('設定'!$B$10="切り上げ",ROUNDUP(IF('設定'!$B$9="税込",N($G190)*10/110,N($G190)*10/100),0),ROUNDDOWN(IF('設定'!$B$9="税込",N($G190)*10/110,N($G190)*10/100),0))))</f>
        <v/>
      </c>
      <c r="K190" s="28">
        <f>IF($A190="","",IF('設定'!$B$10="四捨五入",ROUND(IF('設定'!$B$9="税込",N($H190)*8/108,N($H190)*8/100),0),IF('設定'!$B$10="切り上げ",ROUNDUP(IF('設定'!$B$9="税込",N($H190)*8/108,N($H190)*8/100),0),ROUNDDOWN(IF('設定'!$B$9="税込",N($H190)*8/108,N($H190)*8/100),0))))</f>
        <v/>
      </c>
      <c r="L190" s="28">
        <f>IF($A190="","",N($G190)+N($H190)+N($I190)+IF('設定'!$B$9="税込",0,$J190+$K190))</f>
        <v/>
      </c>
      <c r="M190" s="29">
        <f>IF(OR($A190="",NOT(ISNUMBER($W190)),NOT(ISNUMBER($X190))),"",IF(OR(INDEX('得意先'!$D$5:$D$104,$W190)="",INDEX('得意先'!$E$5:$E$104,$W190)="",INDEX('得意先'!$F$5:$F$104,$W190)=""),"",IF(INDEX('得意先'!$F$5:$F$104,$W190)="末",DATE(YEAR($X190),(MONTH($X190)+IF(INDEX('得意先'!$D$5:$D$104,$W190)="末",0,IF(DAY($X190)&lt;=INDEX('得意先'!$D$5:$D$104,$W190),0,1))+N(INDEX('得意先'!$E$5:$E$104,$W190)))+1,0),DATE(YEAR($X190),(MONTH($X190)+IF(INDEX('得意先'!$D$5:$D$104,$W190)="末",0,IF(DAY($X190)&lt;=INDEX('得意先'!$D$5:$D$104,$W190),0,1))+N(INDEX('得意先'!$E$5:$E$104,$W190))),MIN(INDEX('得意先'!$F$5:$F$104,$W190),DAY(DATE(YEAR($X190),(MONTH($X190)+IF(INDEX('得意先'!$D$5:$D$104,$W190)="末",0,IF(DAY($X190)&lt;=INDEX('得意先'!$D$5:$D$104,$W190),0,1))+N(INDEX('得意先'!$E$5:$E$104,$W190)))+1,0)))))))</f>
        <v/>
      </c>
      <c r="N190" s="26" t="n"/>
      <c r="O190" s="29">
        <f>IF($A190="","",IF(ISNUMBER($N190),$N190,$M190))</f>
        <v/>
      </c>
      <c r="P190" s="28">
        <f>IF($A190="","",SUMIF('入金消込'!$F$5:$F$1004,$A190,'入金消込'!$G$5:$G$1004))</f>
        <v/>
      </c>
      <c r="Q190" s="28">
        <f>IF($A190="","",SUMIF('入金消込'!$F$5:$F$1004,$A190,'入金消込'!$H$5:$H$1004)+SUMIF('入金消込'!$F$5:$F$1004,$A190,'入金消込'!$I$5:$I$1004))</f>
        <v/>
      </c>
      <c r="R190" s="28">
        <f>IF($A190="","",$L190-$P190-$Q190)</f>
        <v/>
      </c>
      <c r="S190" s="30">
        <f>IF($A190="","",IF($R190=0,IF($L190=0,"請求額0","回収済"),IF($L190&lt;0,IF($R190&lt;0,"差し引き待ち","差し引きすぎ"),IF($R190&lt;0,"入金が多い",IF($P190+$Q190=0,"未入金","一部入金")))))</f>
        <v/>
      </c>
      <c r="T190" s="31">
        <f>IF(OR($A190="",N($R190)&lt;=0,NOT(ISNUMBER($O190))),"",IF($O190&lt;'設定'!$B$7,'設定'!$B$7-$O190,""))</f>
        <v/>
      </c>
      <c r="U190" s="30">
        <f>IF(OR($A190="",N($R190)&lt;=0),"",IF(NOT(ISNUMBER($O190)),'設定'!$B$22,IF($O190&gt;='設定'!$B$7,'設定'!$B$17,IF('設定'!$B$7-$O190&lt;='設定'!$B$12,'設定'!$B$18,IF('設定'!$B$7-$O190&lt;='設定'!$B$13,'設定'!$B$19,IF('設定'!$B$7-$O190&lt;='設定'!$B$14,'設定'!$B$20,'設定'!$B$21))))))</f>
        <v/>
      </c>
      <c r="V190" s="56" t="n"/>
      <c r="W190" s="32">
        <f>IF($C190="","",IFERROR(MATCH($C190,'得意先'!$B$5:$B$104,0),"なし"))</f>
        <v/>
      </c>
      <c r="X190" s="33">
        <f>IF($A190="","",IF(ISNUMBER($E190),$E190,IF(ISNUMBER($B190),$B190,"")))</f>
        <v/>
      </c>
      <c r="Y190" s="34">
        <f>IF($T190="","",$O190+ROW()/1000000)</f>
        <v/>
      </c>
      <c r="Z190" s="35">
        <f>IF(OR($A190="",$C190="",$C190&lt;&gt;'売掛帳'!$B$3,NOT(ISNUMBER($X190))),"",IF(AND($X190&gt;='売掛帳'!$Q$3,$X190&lt;='売掛帳'!$Q$4),$X190+ROW()/10000000,""))</f>
        <v/>
      </c>
    </row>
    <row r="191" ht="18" customHeight="1">
      <c r="A191" s="18" t="n"/>
      <c r="B191" s="26" t="n"/>
      <c r="C191" s="18" t="n"/>
      <c r="D191" s="20">
        <f>IF($W191="","",IF($W191="なし","※得意先にないコード",INDEX('得意先'!$C$5:$C$104,$W191)&amp;""))</f>
        <v/>
      </c>
      <c r="E191" s="26" t="n"/>
      <c r="F191" s="19" t="n"/>
      <c r="G191" s="27" t="n"/>
      <c r="H191" s="27" t="n"/>
      <c r="I191" s="27" t="n"/>
      <c r="J191" s="28">
        <f>IF($A191="","",IF('設定'!$B$10="四捨五入",ROUND(IF('設定'!$B$9="税込",N($G191)*10/110,N($G191)*10/100),0),IF('設定'!$B$10="切り上げ",ROUNDUP(IF('設定'!$B$9="税込",N($G191)*10/110,N($G191)*10/100),0),ROUNDDOWN(IF('設定'!$B$9="税込",N($G191)*10/110,N($G191)*10/100),0))))</f>
        <v/>
      </c>
      <c r="K191" s="28">
        <f>IF($A191="","",IF('設定'!$B$10="四捨五入",ROUND(IF('設定'!$B$9="税込",N($H191)*8/108,N($H191)*8/100),0),IF('設定'!$B$10="切り上げ",ROUNDUP(IF('設定'!$B$9="税込",N($H191)*8/108,N($H191)*8/100),0),ROUNDDOWN(IF('設定'!$B$9="税込",N($H191)*8/108,N($H191)*8/100),0))))</f>
        <v/>
      </c>
      <c r="L191" s="28">
        <f>IF($A191="","",N($G191)+N($H191)+N($I191)+IF('設定'!$B$9="税込",0,$J191+$K191))</f>
        <v/>
      </c>
      <c r="M191" s="29">
        <f>IF(OR($A191="",NOT(ISNUMBER($W191)),NOT(ISNUMBER($X191))),"",IF(OR(INDEX('得意先'!$D$5:$D$104,$W191)="",INDEX('得意先'!$E$5:$E$104,$W191)="",INDEX('得意先'!$F$5:$F$104,$W191)=""),"",IF(INDEX('得意先'!$F$5:$F$104,$W191)="末",DATE(YEAR($X191),(MONTH($X191)+IF(INDEX('得意先'!$D$5:$D$104,$W191)="末",0,IF(DAY($X191)&lt;=INDEX('得意先'!$D$5:$D$104,$W191),0,1))+N(INDEX('得意先'!$E$5:$E$104,$W191)))+1,0),DATE(YEAR($X191),(MONTH($X191)+IF(INDEX('得意先'!$D$5:$D$104,$W191)="末",0,IF(DAY($X191)&lt;=INDEX('得意先'!$D$5:$D$104,$W191),0,1))+N(INDEX('得意先'!$E$5:$E$104,$W191))),MIN(INDEX('得意先'!$F$5:$F$104,$W191),DAY(DATE(YEAR($X191),(MONTH($X191)+IF(INDEX('得意先'!$D$5:$D$104,$W191)="末",0,IF(DAY($X191)&lt;=INDEX('得意先'!$D$5:$D$104,$W191),0,1))+N(INDEX('得意先'!$E$5:$E$104,$W191)))+1,0)))))))</f>
        <v/>
      </c>
      <c r="N191" s="26" t="n"/>
      <c r="O191" s="29">
        <f>IF($A191="","",IF(ISNUMBER($N191),$N191,$M191))</f>
        <v/>
      </c>
      <c r="P191" s="28">
        <f>IF($A191="","",SUMIF('入金消込'!$F$5:$F$1004,$A191,'入金消込'!$G$5:$G$1004))</f>
        <v/>
      </c>
      <c r="Q191" s="28">
        <f>IF($A191="","",SUMIF('入金消込'!$F$5:$F$1004,$A191,'入金消込'!$H$5:$H$1004)+SUMIF('入金消込'!$F$5:$F$1004,$A191,'入金消込'!$I$5:$I$1004))</f>
        <v/>
      </c>
      <c r="R191" s="28">
        <f>IF($A191="","",$L191-$P191-$Q191)</f>
        <v/>
      </c>
      <c r="S191" s="30">
        <f>IF($A191="","",IF($R191=0,IF($L191=0,"請求額0","回収済"),IF($L191&lt;0,IF($R191&lt;0,"差し引き待ち","差し引きすぎ"),IF($R191&lt;0,"入金が多い",IF($P191+$Q191=0,"未入金","一部入金")))))</f>
        <v/>
      </c>
      <c r="T191" s="31">
        <f>IF(OR($A191="",N($R191)&lt;=0,NOT(ISNUMBER($O191))),"",IF($O191&lt;'設定'!$B$7,'設定'!$B$7-$O191,""))</f>
        <v/>
      </c>
      <c r="U191" s="30">
        <f>IF(OR($A191="",N($R191)&lt;=0),"",IF(NOT(ISNUMBER($O191)),'設定'!$B$22,IF($O191&gt;='設定'!$B$7,'設定'!$B$17,IF('設定'!$B$7-$O191&lt;='設定'!$B$12,'設定'!$B$18,IF('設定'!$B$7-$O191&lt;='設定'!$B$13,'設定'!$B$19,IF('設定'!$B$7-$O191&lt;='設定'!$B$14,'設定'!$B$20,'設定'!$B$21))))))</f>
        <v/>
      </c>
      <c r="V191" s="56" t="n"/>
      <c r="W191" s="32">
        <f>IF($C191="","",IFERROR(MATCH($C191,'得意先'!$B$5:$B$104,0),"なし"))</f>
        <v/>
      </c>
      <c r="X191" s="33">
        <f>IF($A191="","",IF(ISNUMBER($E191),$E191,IF(ISNUMBER($B191),$B191,"")))</f>
        <v/>
      </c>
      <c r="Y191" s="34">
        <f>IF($T191="","",$O191+ROW()/1000000)</f>
        <v/>
      </c>
      <c r="Z191" s="35">
        <f>IF(OR($A191="",$C191="",$C191&lt;&gt;'売掛帳'!$B$3,NOT(ISNUMBER($X191))),"",IF(AND($X191&gt;='売掛帳'!$Q$3,$X191&lt;='売掛帳'!$Q$4),$X191+ROW()/10000000,""))</f>
        <v/>
      </c>
    </row>
    <row r="192" ht="18" customHeight="1">
      <c r="A192" s="18" t="n"/>
      <c r="B192" s="26" t="n"/>
      <c r="C192" s="18" t="n"/>
      <c r="D192" s="20">
        <f>IF($W192="","",IF($W192="なし","※得意先にないコード",INDEX('得意先'!$C$5:$C$104,$W192)&amp;""))</f>
        <v/>
      </c>
      <c r="E192" s="26" t="n"/>
      <c r="F192" s="19" t="n"/>
      <c r="G192" s="27" t="n"/>
      <c r="H192" s="27" t="n"/>
      <c r="I192" s="27" t="n"/>
      <c r="J192" s="28">
        <f>IF($A192="","",IF('設定'!$B$10="四捨五入",ROUND(IF('設定'!$B$9="税込",N($G192)*10/110,N($G192)*10/100),0),IF('設定'!$B$10="切り上げ",ROUNDUP(IF('設定'!$B$9="税込",N($G192)*10/110,N($G192)*10/100),0),ROUNDDOWN(IF('設定'!$B$9="税込",N($G192)*10/110,N($G192)*10/100),0))))</f>
        <v/>
      </c>
      <c r="K192" s="28">
        <f>IF($A192="","",IF('設定'!$B$10="四捨五入",ROUND(IF('設定'!$B$9="税込",N($H192)*8/108,N($H192)*8/100),0),IF('設定'!$B$10="切り上げ",ROUNDUP(IF('設定'!$B$9="税込",N($H192)*8/108,N($H192)*8/100),0),ROUNDDOWN(IF('設定'!$B$9="税込",N($H192)*8/108,N($H192)*8/100),0))))</f>
        <v/>
      </c>
      <c r="L192" s="28">
        <f>IF($A192="","",N($G192)+N($H192)+N($I192)+IF('設定'!$B$9="税込",0,$J192+$K192))</f>
        <v/>
      </c>
      <c r="M192" s="29">
        <f>IF(OR($A192="",NOT(ISNUMBER($W192)),NOT(ISNUMBER($X192))),"",IF(OR(INDEX('得意先'!$D$5:$D$104,$W192)="",INDEX('得意先'!$E$5:$E$104,$W192)="",INDEX('得意先'!$F$5:$F$104,$W192)=""),"",IF(INDEX('得意先'!$F$5:$F$104,$W192)="末",DATE(YEAR($X192),(MONTH($X192)+IF(INDEX('得意先'!$D$5:$D$104,$W192)="末",0,IF(DAY($X192)&lt;=INDEX('得意先'!$D$5:$D$104,$W192),0,1))+N(INDEX('得意先'!$E$5:$E$104,$W192)))+1,0),DATE(YEAR($X192),(MONTH($X192)+IF(INDEX('得意先'!$D$5:$D$104,$W192)="末",0,IF(DAY($X192)&lt;=INDEX('得意先'!$D$5:$D$104,$W192),0,1))+N(INDEX('得意先'!$E$5:$E$104,$W192))),MIN(INDEX('得意先'!$F$5:$F$104,$W192),DAY(DATE(YEAR($X192),(MONTH($X192)+IF(INDEX('得意先'!$D$5:$D$104,$W192)="末",0,IF(DAY($X192)&lt;=INDEX('得意先'!$D$5:$D$104,$W192),0,1))+N(INDEX('得意先'!$E$5:$E$104,$W192)))+1,0)))))))</f>
        <v/>
      </c>
      <c r="N192" s="26" t="n"/>
      <c r="O192" s="29">
        <f>IF($A192="","",IF(ISNUMBER($N192),$N192,$M192))</f>
        <v/>
      </c>
      <c r="P192" s="28">
        <f>IF($A192="","",SUMIF('入金消込'!$F$5:$F$1004,$A192,'入金消込'!$G$5:$G$1004))</f>
        <v/>
      </c>
      <c r="Q192" s="28">
        <f>IF($A192="","",SUMIF('入金消込'!$F$5:$F$1004,$A192,'入金消込'!$H$5:$H$1004)+SUMIF('入金消込'!$F$5:$F$1004,$A192,'入金消込'!$I$5:$I$1004))</f>
        <v/>
      </c>
      <c r="R192" s="28">
        <f>IF($A192="","",$L192-$P192-$Q192)</f>
        <v/>
      </c>
      <c r="S192" s="30">
        <f>IF($A192="","",IF($R192=0,IF($L192=0,"請求額0","回収済"),IF($L192&lt;0,IF($R192&lt;0,"差し引き待ち","差し引きすぎ"),IF($R192&lt;0,"入金が多い",IF($P192+$Q192=0,"未入金","一部入金")))))</f>
        <v/>
      </c>
      <c r="T192" s="31">
        <f>IF(OR($A192="",N($R192)&lt;=0,NOT(ISNUMBER($O192))),"",IF($O192&lt;'設定'!$B$7,'設定'!$B$7-$O192,""))</f>
        <v/>
      </c>
      <c r="U192" s="30">
        <f>IF(OR($A192="",N($R192)&lt;=0),"",IF(NOT(ISNUMBER($O192)),'設定'!$B$22,IF($O192&gt;='設定'!$B$7,'設定'!$B$17,IF('設定'!$B$7-$O192&lt;='設定'!$B$12,'設定'!$B$18,IF('設定'!$B$7-$O192&lt;='設定'!$B$13,'設定'!$B$19,IF('設定'!$B$7-$O192&lt;='設定'!$B$14,'設定'!$B$20,'設定'!$B$21))))))</f>
        <v/>
      </c>
      <c r="V192" s="56" t="n"/>
      <c r="W192" s="32">
        <f>IF($C192="","",IFERROR(MATCH($C192,'得意先'!$B$5:$B$104,0),"なし"))</f>
        <v/>
      </c>
      <c r="X192" s="33">
        <f>IF($A192="","",IF(ISNUMBER($E192),$E192,IF(ISNUMBER($B192),$B192,"")))</f>
        <v/>
      </c>
      <c r="Y192" s="34">
        <f>IF($T192="","",$O192+ROW()/1000000)</f>
        <v/>
      </c>
      <c r="Z192" s="35">
        <f>IF(OR($A192="",$C192="",$C192&lt;&gt;'売掛帳'!$B$3,NOT(ISNUMBER($X192))),"",IF(AND($X192&gt;='売掛帳'!$Q$3,$X192&lt;='売掛帳'!$Q$4),$X192+ROW()/10000000,""))</f>
        <v/>
      </c>
    </row>
    <row r="193" ht="18" customHeight="1">
      <c r="A193" s="18" t="n"/>
      <c r="B193" s="26" t="n"/>
      <c r="C193" s="18" t="n"/>
      <c r="D193" s="20">
        <f>IF($W193="","",IF($W193="なし","※得意先にないコード",INDEX('得意先'!$C$5:$C$104,$W193)&amp;""))</f>
        <v/>
      </c>
      <c r="E193" s="26" t="n"/>
      <c r="F193" s="19" t="n"/>
      <c r="G193" s="27" t="n"/>
      <c r="H193" s="27" t="n"/>
      <c r="I193" s="27" t="n"/>
      <c r="J193" s="28">
        <f>IF($A193="","",IF('設定'!$B$10="四捨五入",ROUND(IF('設定'!$B$9="税込",N($G193)*10/110,N($G193)*10/100),0),IF('設定'!$B$10="切り上げ",ROUNDUP(IF('設定'!$B$9="税込",N($G193)*10/110,N($G193)*10/100),0),ROUNDDOWN(IF('設定'!$B$9="税込",N($G193)*10/110,N($G193)*10/100),0))))</f>
        <v/>
      </c>
      <c r="K193" s="28">
        <f>IF($A193="","",IF('設定'!$B$10="四捨五入",ROUND(IF('設定'!$B$9="税込",N($H193)*8/108,N($H193)*8/100),0),IF('設定'!$B$10="切り上げ",ROUNDUP(IF('設定'!$B$9="税込",N($H193)*8/108,N($H193)*8/100),0),ROUNDDOWN(IF('設定'!$B$9="税込",N($H193)*8/108,N($H193)*8/100),0))))</f>
        <v/>
      </c>
      <c r="L193" s="28">
        <f>IF($A193="","",N($G193)+N($H193)+N($I193)+IF('設定'!$B$9="税込",0,$J193+$K193))</f>
        <v/>
      </c>
      <c r="M193" s="29">
        <f>IF(OR($A193="",NOT(ISNUMBER($W193)),NOT(ISNUMBER($X193))),"",IF(OR(INDEX('得意先'!$D$5:$D$104,$W193)="",INDEX('得意先'!$E$5:$E$104,$W193)="",INDEX('得意先'!$F$5:$F$104,$W193)=""),"",IF(INDEX('得意先'!$F$5:$F$104,$W193)="末",DATE(YEAR($X193),(MONTH($X193)+IF(INDEX('得意先'!$D$5:$D$104,$W193)="末",0,IF(DAY($X193)&lt;=INDEX('得意先'!$D$5:$D$104,$W193),0,1))+N(INDEX('得意先'!$E$5:$E$104,$W193)))+1,0),DATE(YEAR($X193),(MONTH($X193)+IF(INDEX('得意先'!$D$5:$D$104,$W193)="末",0,IF(DAY($X193)&lt;=INDEX('得意先'!$D$5:$D$104,$W193),0,1))+N(INDEX('得意先'!$E$5:$E$104,$W193))),MIN(INDEX('得意先'!$F$5:$F$104,$W193),DAY(DATE(YEAR($X193),(MONTH($X193)+IF(INDEX('得意先'!$D$5:$D$104,$W193)="末",0,IF(DAY($X193)&lt;=INDEX('得意先'!$D$5:$D$104,$W193),0,1))+N(INDEX('得意先'!$E$5:$E$104,$W193)))+1,0)))))))</f>
        <v/>
      </c>
      <c r="N193" s="26" t="n"/>
      <c r="O193" s="29">
        <f>IF($A193="","",IF(ISNUMBER($N193),$N193,$M193))</f>
        <v/>
      </c>
      <c r="P193" s="28">
        <f>IF($A193="","",SUMIF('入金消込'!$F$5:$F$1004,$A193,'入金消込'!$G$5:$G$1004))</f>
        <v/>
      </c>
      <c r="Q193" s="28">
        <f>IF($A193="","",SUMIF('入金消込'!$F$5:$F$1004,$A193,'入金消込'!$H$5:$H$1004)+SUMIF('入金消込'!$F$5:$F$1004,$A193,'入金消込'!$I$5:$I$1004))</f>
        <v/>
      </c>
      <c r="R193" s="28">
        <f>IF($A193="","",$L193-$P193-$Q193)</f>
        <v/>
      </c>
      <c r="S193" s="30">
        <f>IF($A193="","",IF($R193=0,IF($L193=0,"請求額0","回収済"),IF($L193&lt;0,IF($R193&lt;0,"差し引き待ち","差し引きすぎ"),IF($R193&lt;0,"入金が多い",IF($P193+$Q193=0,"未入金","一部入金")))))</f>
        <v/>
      </c>
      <c r="T193" s="31">
        <f>IF(OR($A193="",N($R193)&lt;=0,NOT(ISNUMBER($O193))),"",IF($O193&lt;'設定'!$B$7,'設定'!$B$7-$O193,""))</f>
        <v/>
      </c>
      <c r="U193" s="30">
        <f>IF(OR($A193="",N($R193)&lt;=0),"",IF(NOT(ISNUMBER($O193)),'設定'!$B$22,IF($O193&gt;='設定'!$B$7,'設定'!$B$17,IF('設定'!$B$7-$O193&lt;='設定'!$B$12,'設定'!$B$18,IF('設定'!$B$7-$O193&lt;='設定'!$B$13,'設定'!$B$19,IF('設定'!$B$7-$O193&lt;='設定'!$B$14,'設定'!$B$20,'設定'!$B$21))))))</f>
        <v/>
      </c>
      <c r="V193" s="56" t="n"/>
      <c r="W193" s="32">
        <f>IF($C193="","",IFERROR(MATCH($C193,'得意先'!$B$5:$B$104,0),"なし"))</f>
        <v/>
      </c>
      <c r="X193" s="33">
        <f>IF($A193="","",IF(ISNUMBER($E193),$E193,IF(ISNUMBER($B193),$B193,"")))</f>
        <v/>
      </c>
      <c r="Y193" s="34">
        <f>IF($T193="","",$O193+ROW()/1000000)</f>
        <v/>
      </c>
      <c r="Z193" s="35">
        <f>IF(OR($A193="",$C193="",$C193&lt;&gt;'売掛帳'!$B$3,NOT(ISNUMBER($X193))),"",IF(AND($X193&gt;='売掛帳'!$Q$3,$X193&lt;='売掛帳'!$Q$4),$X193+ROW()/10000000,""))</f>
        <v/>
      </c>
    </row>
    <row r="194" ht="18" customHeight="1">
      <c r="A194" s="18" t="n"/>
      <c r="B194" s="26" t="n"/>
      <c r="C194" s="18" t="n"/>
      <c r="D194" s="20">
        <f>IF($W194="","",IF($W194="なし","※得意先にないコード",INDEX('得意先'!$C$5:$C$104,$W194)&amp;""))</f>
        <v/>
      </c>
      <c r="E194" s="26" t="n"/>
      <c r="F194" s="19" t="n"/>
      <c r="G194" s="27" t="n"/>
      <c r="H194" s="27" t="n"/>
      <c r="I194" s="27" t="n"/>
      <c r="J194" s="28">
        <f>IF($A194="","",IF('設定'!$B$10="四捨五入",ROUND(IF('設定'!$B$9="税込",N($G194)*10/110,N($G194)*10/100),0),IF('設定'!$B$10="切り上げ",ROUNDUP(IF('設定'!$B$9="税込",N($G194)*10/110,N($G194)*10/100),0),ROUNDDOWN(IF('設定'!$B$9="税込",N($G194)*10/110,N($G194)*10/100),0))))</f>
        <v/>
      </c>
      <c r="K194" s="28">
        <f>IF($A194="","",IF('設定'!$B$10="四捨五入",ROUND(IF('設定'!$B$9="税込",N($H194)*8/108,N($H194)*8/100),0),IF('設定'!$B$10="切り上げ",ROUNDUP(IF('設定'!$B$9="税込",N($H194)*8/108,N($H194)*8/100),0),ROUNDDOWN(IF('設定'!$B$9="税込",N($H194)*8/108,N($H194)*8/100),0))))</f>
        <v/>
      </c>
      <c r="L194" s="28">
        <f>IF($A194="","",N($G194)+N($H194)+N($I194)+IF('設定'!$B$9="税込",0,$J194+$K194))</f>
        <v/>
      </c>
      <c r="M194" s="29">
        <f>IF(OR($A194="",NOT(ISNUMBER($W194)),NOT(ISNUMBER($X194))),"",IF(OR(INDEX('得意先'!$D$5:$D$104,$W194)="",INDEX('得意先'!$E$5:$E$104,$W194)="",INDEX('得意先'!$F$5:$F$104,$W194)=""),"",IF(INDEX('得意先'!$F$5:$F$104,$W194)="末",DATE(YEAR($X194),(MONTH($X194)+IF(INDEX('得意先'!$D$5:$D$104,$W194)="末",0,IF(DAY($X194)&lt;=INDEX('得意先'!$D$5:$D$104,$W194),0,1))+N(INDEX('得意先'!$E$5:$E$104,$W194)))+1,0),DATE(YEAR($X194),(MONTH($X194)+IF(INDEX('得意先'!$D$5:$D$104,$W194)="末",0,IF(DAY($X194)&lt;=INDEX('得意先'!$D$5:$D$104,$W194),0,1))+N(INDEX('得意先'!$E$5:$E$104,$W194))),MIN(INDEX('得意先'!$F$5:$F$104,$W194),DAY(DATE(YEAR($X194),(MONTH($X194)+IF(INDEX('得意先'!$D$5:$D$104,$W194)="末",0,IF(DAY($X194)&lt;=INDEX('得意先'!$D$5:$D$104,$W194),0,1))+N(INDEX('得意先'!$E$5:$E$104,$W194)))+1,0)))))))</f>
        <v/>
      </c>
      <c r="N194" s="26" t="n"/>
      <c r="O194" s="29">
        <f>IF($A194="","",IF(ISNUMBER($N194),$N194,$M194))</f>
        <v/>
      </c>
      <c r="P194" s="28">
        <f>IF($A194="","",SUMIF('入金消込'!$F$5:$F$1004,$A194,'入金消込'!$G$5:$G$1004))</f>
        <v/>
      </c>
      <c r="Q194" s="28">
        <f>IF($A194="","",SUMIF('入金消込'!$F$5:$F$1004,$A194,'入金消込'!$H$5:$H$1004)+SUMIF('入金消込'!$F$5:$F$1004,$A194,'入金消込'!$I$5:$I$1004))</f>
        <v/>
      </c>
      <c r="R194" s="28">
        <f>IF($A194="","",$L194-$P194-$Q194)</f>
        <v/>
      </c>
      <c r="S194" s="30">
        <f>IF($A194="","",IF($R194=0,IF($L194=0,"請求額0","回収済"),IF($L194&lt;0,IF($R194&lt;0,"差し引き待ち","差し引きすぎ"),IF($R194&lt;0,"入金が多い",IF($P194+$Q194=0,"未入金","一部入金")))))</f>
        <v/>
      </c>
      <c r="T194" s="31">
        <f>IF(OR($A194="",N($R194)&lt;=0,NOT(ISNUMBER($O194))),"",IF($O194&lt;'設定'!$B$7,'設定'!$B$7-$O194,""))</f>
        <v/>
      </c>
      <c r="U194" s="30">
        <f>IF(OR($A194="",N($R194)&lt;=0),"",IF(NOT(ISNUMBER($O194)),'設定'!$B$22,IF($O194&gt;='設定'!$B$7,'設定'!$B$17,IF('設定'!$B$7-$O194&lt;='設定'!$B$12,'設定'!$B$18,IF('設定'!$B$7-$O194&lt;='設定'!$B$13,'設定'!$B$19,IF('設定'!$B$7-$O194&lt;='設定'!$B$14,'設定'!$B$20,'設定'!$B$21))))))</f>
        <v/>
      </c>
      <c r="V194" s="56" t="n"/>
      <c r="W194" s="32">
        <f>IF($C194="","",IFERROR(MATCH($C194,'得意先'!$B$5:$B$104,0),"なし"))</f>
        <v/>
      </c>
      <c r="X194" s="33">
        <f>IF($A194="","",IF(ISNUMBER($E194),$E194,IF(ISNUMBER($B194),$B194,"")))</f>
        <v/>
      </c>
      <c r="Y194" s="34">
        <f>IF($T194="","",$O194+ROW()/1000000)</f>
        <v/>
      </c>
      <c r="Z194" s="35">
        <f>IF(OR($A194="",$C194="",$C194&lt;&gt;'売掛帳'!$B$3,NOT(ISNUMBER($X194))),"",IF(AND($X194&gt;='売掛帳'!$Q$3,$X194&lt;='売掛帳'!$Q$4),$X194+ROW()/10000000,""))</f>
        <v/>
      </c>
    </row>
    <row r="195" ht="18" customHeight="1">
      <c r="A195" s="18" t="n"/>
      <c r="B195" s="26" t="n"/>
      <c r="C195" s="18" t="n"/>
      <c r="D195" s="20">
        <f>IF($W195="","",IF($W195="なし","※得意先にないコード",INDEX('得意先'!$C$5:$C$104,$W195)&amp;""))</f>
        <v/>
      </c>
      <c r="E195" s="26" t="n"/>
      <c r="F195" s="19" t="n"/>
      <c r="G195" s="27" t="n"/>
      <c r="H195" s="27" t="n"/>
      <c r="I195" s="27" t="n"/>
      <c r="J195" s="28">
        <f>IF($A195="","",IF('設定'!$B$10="四捨五入",ROUND(IF('設定'!$B$9="税込",N($G195)*10/110,N($G195)*10/100),0),IF('設定'!$B$10="切り上げ",ROUNDUP(IF('設定'!$B$9="税込",N($G195)*10/110,N($G195)*10/100),0),ROUNDDOWN(IF('設定'!$B$9="税込",N($G195)*10/110,N($G195)*10/100),0))))</f>
        <v/>
      </c>
      <c r="K195" s="28">
        <f>IF($A195="","",IF('設定'!$B$10="四捨五入",ROUND(IF('設定'!$B$9="税込",N($H195)*8/108,N($H195)*8/100),0),IF('設定'!$B$10="切り上げ",ROUNDUP(IF('設定'!$B$9="税込",N($H195)*8/108,N($H195)*8/100),0),ROUNDDOWN(IF('設定'!$B$9="税込",N($H195)*8/108,N($H195)*8/100),0))))</f>
        <v/>
      </c>
      <c r="L195" s="28">
        <f>IF($A195="","",N($G195)+N($H195)+N($I195)+IF('設定'!$B$9="税込",0,$J195+$K195))</f>
        <v/>
      </c>
      <c r="M195" s="29">
        <f>IF(OR($A195="",NOT(ISNUMBER($W195)),NOT(ISNUMBER($X195))),"",IF(OR(INDEX('得意先'!$D$5:$D$104,$W195)="",INDEX('得意先'!$E$5:$E$104,$W195)="",INDEX('得意先'!$F$5:$F$104,$W195)=""),"",IF(INDEX('得意先'!$F$5:$F$104,$W195)="末",DATE(YEAR($X195),(MONTH($X195)+IF(INDEX('得意先'!$D$5:$D$104,$W195)="末",0,IF(DAY($X195)&lt;=INDEX('得意先'!$D$5:$D$104,$W195),0,1))+N(INDEX('得意先'!$E$5:$E$104,$W195)))+1,0),DATE(YEAR($X195),(MONTH($X195)+IF(INDEX('得意先'!$D$5:$D$104,$W195)="末",0,IF(DAY($X195)&lt;=INDEX('得意先'!$D$5:$D$104,$W195),0,1))+N(INDEX('得意先'!$E$5:$E$104,$W195))),MIN(INDEX('得意先'!$F$5:$F$104,$W195),DAY(DATE(YEAR($X195),(MONTH($X195)+IF(INDEX('得意先'!$D$5:$D$104,$W195)="末",0,IF(DAY($X195)&lt;=INDEX('得意先'!$D$5:$D$104,$W195),0,1))+N(INDEX('得意先'!$E$5:$E$104,$W195)))+1,0)))))))</f>
        <v/>
      </c>
      <c r="N195" s="26" t="n"/>
      <c r="O195" s="29">
        <f>IF($A195="","",IF(ISNUMBER($N195),$N195,$M195))</f>
        <v/>
      </c>
      <c r="P195" s="28">
        <f>IF($A195="","",SUMIF('入金消込'!$F$5:$F$1004,$A195,'入金消込'!$G$5:$G$1004))</f>
        <v/>
      </c>
      <c r="Q195" s="28">
        <f>IF($A195="","",SUMIF('入金消込'!$F$5:$F$1004,$A195,'入金消込'!$H$5:$H$1004)+SUMIF('入金消込'!$F$5:$F$1004,$A195,'入金消込'!$I$5:$I$1004))</f>
        <v/>
      </c>
      <c r="R195" s="28">
        <f>IF($A195="","",$L195-$P195-$Q195)</f>
        <v/>
      </c>
      <c r="S195" s="30">
        <f>IF($A195="","",IF($R195=0,IF($L195=0,"請求額0","回収済"),IF($L195&lt;0,IF($R195&lt;0,"差し引き待ち","差し引きすぎ"),IF($R195&lt;0,"入金が多い",IF($P195+$Q195=0,"未入金","一部入金")))))</f>
        <v/>
      </c>
      <c r="T195" s="31">
        <f>IF(OR($A195="",N($R195)&lt;=0,NOT(ISNUMBER($O195))),"",IF($O195&lt;'設定'!$B$7,'設定'!$B$7-$O195,""))</f>
        <v/>
      </c>
      <c r="U195" s="30">
        <f>IF(OR($A195="",N($R195)&lt;=0),"",IF(NOT(ISNUMBER($O195)),'設定'!$B$22,IF($O195&gt;='設定'!$B$7,'設定'!$B$17,IF('設定'!$B$7-$O195&lt;='設定'!$B$12,'設定'!$B$18,IF('設定'!$B$7-$O195&lt;='設定'!$B$13,'設定'!$B$19,IF('設定'!$B$7-$O195&lt;='設定'!$B$14,'設定'!$B$20,'設定'!$B$21))))))</f>
        <v/>
      </c>
      <c r="V195" s="56" t="n"/>
      <c r="W195" s="32">
        <f>IF($C195="","",IFERROR(MATCH($C195,'得意先'!$B$5:$B$104,0),"なし"))</f>
        <v/>
      </c>
      <c r="X195" s="33">
        <f>IF($A195="","",IF(ISNUMBER($E195),$E195,IF(ISNUMBER($B195),$B195,"")))</f>
        <v/>
      </c>
      <c r="Y195" s="34">
        <f>IF($T195="","",$O195+ROW()/1000000)</f>
        <v/>
      </c>
      <c r="Z195" s="35">
        <f>IF(OR($A195="",$C195="",$C195&lt;&gt;'売掛帳'!$B$3,NOT(ISNUMBER($X195))),"",IF(AND($X195&gt;='売掛帳'!$Q$3,$X195&lt;='売掛帳'!$Q$4),$X195+ROW()/10000000,""))</f>
        <v/>
      </c>
    </row>
    <row r="196" ht="18" customHeight="1">
      <c r="A196" s="18" t="n"/>
      <c r="B196" s="26" t="n"/>
      <c r="C196" s="18" t="n"/>
      <c r="D196" s="20">
        <f>IF($W196="","",IF($W196="なし","※得意先にないコード",INDEX('得意先'!$C$5:$C$104,$W196)&amp;""))</f>
        <v/>
      </c>
      <c r="E196" s="26" t="n"/>
      <c r="F196" s="19" t="n"/>
      <c r="G196" s="27" t="n"/>
      <c r="H196" s="27" t="n"/>
      <c r="I196" s="27" t="n"/>
      <c r="J196" s="28">
        <f>IF($A196="","",IF('設定'!$B$10="四捨五入",ROUND(IF('設定'!$B$9="税込",N($G196)*10/110,N($G196)*10/100),0),IF('設定'!$B$10="切り上げ",ROUNDUP(IF('設定'!$B$9="税込",N($G196)*10/110,N($G196)*10/100),0),ROUNDDOWN(IF('設定'!$B$9="税込",N($G196)*10/110,N($G196)*10/100),0))))</f>
        <v/>
      </c>
      <c r="K196" s="28">
        <f>IF($A196="","",IF('設定'!$B$10="四捨五入",ROUND(IF('設定'!$B$9="税込",N($H196)*8/108,N($H196)*8/100),0),IF('設定'!$B$10="切り上げ",ROUNDUP(IF('設定'!$B$9="税込",N($H196)*8/108,N($H196)*8/100),0),ROUNDDOWN(IF('設定'!$B$9="税込",N($H196)*8/108,N($H196)*8/100),0))))</f>
        <v/>
      </c>
      <c r="L196" s="28">
        <f>IF($A196="","",N($G196)+N($H196)+N($I196)+IF('設定'!$B$9="税込",0,$J196+$K196))</f>
        <v/>
      </c>
      <c r="M196" s="29">
        <f>IF(OR($A196="",NOT(ISNUMBER($W196)),NOT(ISNUMBER($X196))),"",IF(OR(INDEX('得意先'!$D$5:$D$104,$W196)="",INDEX('得意先'!$E$5:$E$104,$W196)="",INDEX('得意先'!$F$5:$F$104,$W196)=""),"",IF(INDEX('得意先'!$F$5:$F$104,$W196)="末",DATE(YEAR($X196),(MONTH($X196)+IF(INDEX('得意先'!$D$5:$D$104,$W196)="末",0,IF(DAY($X196)&lt;=INDEX('得意先'!$D$5:$D$104,$W196),0,1))+N(INDEX('得意先'!$E$5:$E$104,$W196)))+1,0),DATE(YEAR($X196),(MONTH($X196)+IF(INDEX('得意先'!$D$5:$D$104,$W196)="末",0,IF(DAY($X196)&lt;=INDEX('得意先'!$D$5:$D$104,$W196),0,1))+N(INDEX('得意先'!$E$5:$E$104,$W196))),MIN(INDEX('得意先'!$F$5:$F$104,$W196),DAY(DATE(YEAR($X196),(MONTH($X196)+IF(INDEX('得意先'!$D$5:$D$104,$W196)="末",0,IF(DAY($X196)&lt;=INDEX('得意先'!$D$5:$D$104,$W196),0,1))+N(INDEX('得意先'!$E$5:$E$104,$W196)))+1,0)))))))</f>
        <v/>
      </c>
      <c r="N196" s="26" t="n"/>
      <c r="O196" s="29">
        <f>IF($A196="","",IF(ISNUMBER($N196),$N196,$M196))</f>
        <v/>
      </c>
      <c r="P196" s="28">
        <f>IF($A196="","",SUMIF('入金消込'!$F$5:$F$1004,$A196,'入金消込'!$G$5:$G$1004))</f>
        <v/>
      </c>
      <c r="Q196" s="28">
        <f>IF($A196="","",SUMIF('入金消込'!$F$5:$F$1004,$A196,'入金消込'!$H$5:$H$1004)+SUMIF('入金消込'!$F$5:$F$1004,$A196,'入金消込'!$I$5:$I$1004))</f>
        <v/>
      </c>
      <c r="R196" s="28">
        <f>IF($A196="","",$L196-$P196-$Q196)</f>
        <v/>
      </c>
      <c r="S196" s="30">
        <f>IF($A196="","",IF($R196=0,IF($L196=0,"請求額0","回収済"),IF($L196&lt;0,IF($R196&lt;0,"差し引き待ち","差し引きすぎ"),IF($R196&lt;0,"入金が多い",IF($P196+$Q196=0,"未入金","一部入金")))))</f>
        <v/>
      </c>
      <c r="T196" s="31">
        <f>IF(OR($A196="",N($R196)&lt;=0,NOT(ISNUMBER($O196))),"",IF($O196&lt;'設定'!$B$7,'設定'!$B$7-$O196,""))</f>
        <v/>
      </c>
      <c r="U196" s="30">
        <f>IF(OR($A196="",N($R196)&lt;=0),"",IF(NOT(ISNUMBER($O196)),'設定'!$B$22,IF($O196&gt;='設定'!$B$7,'設定'!$B$17,IF('設定'!$B$7-$O196&lt;='設定'!$B$12,'設定'!$B$18,IF('設定'!$B$7-$O196&lt;='設定'!$B$13,'設定'!$B$19,IF('設定'!$B$7-$O196&lt;='設定'!$B$14,'設定'!$B$20,'設定'!$B$21))))))</f>
        <v/>
      </c>
      <c r="V196" s="56" t="n"/>
      <c r="W196" s="32">
        <f>IF($C196="","",IFERROR(MATCH($C196,'得意先'!$B$5:$B$104,0),"なし"))</f>
        <v/>
      </c>
      <c r="X196" s="33">
        <f>IF($A196="","",IF(ISNUMBER($E196),$E196,IF(ISNUMBER($B196),$B196,"")))</f>
        <v/>
      </c>
      <c r="Y196" s="34">
        <f>IF($T196="","",$O196+ROW()/1000000)</f>
        <v/>
      </c>
      <c r="Z196" s="35">
        <f>IF(OR($A196="",$C196="",$C196&lt;&gt;'売掛帳'!$B$3,NOT(ISNUMBER($X196))),"",IF(AND($X196&gt;='売掛帳'!$Q$3,$X196&lt;='売掛帳'!$Q$4),$X196+ROW()/10000000,""))</f>
        <v/>
      </c>
    </row>
    <row r="197" ht="18" customHeight="1">
      <c r="A197" s="18" t="n"/>
      <c r="B197" s="26" t="n"/>
      <c r="C197" s="18" t="n"/>
      <c r="D197" s="20">
        <f>IF($W197="","",IF($W197="なし","※得意先にないコード",INDEX('得意先'!$C$5:$C$104,$W197)&amp;""))</f>
        <v/>
      </c>
      <c r="E197" s="26" t="n"/>
      <c r="F197" s="19" t="n"/>
      <c r="G197" s="27" t="n"/>
      <c r="H197" s="27" t="n"/>
      <c r="I197" s="27" t="n"/>
      <c r="J197" s="28">
        <f>IF($A197="","",IF('設定'!$B$10="四捨五入",ROUND(IF('設定'!$B$9="税込",N($G197)*10/110,N($G197)*10/100),0),IF('設定'!$B$10="切り上げ",ROUNDUP(IF('設定'!$B$9="税込",N($G197)*10/110,N($G197)*10/100),0),ROUNDDOWN(IF('設定'!$B$9="税込",N($G197)*10/110,N($G197)*10/100),0))))</f>
        <v/>
      </c>
      <c r="K197" s="28">
        <f>IF($A197="","",IF('設定'!$B$10="四捨五入",ROUND(IF('設定'!$B$9="税込",N($H197)*8/108,N($H197)*8/100),0),IF('設定'!$B$10="切り上げ",ROUNDUP(IF('設定'!$B$9="税込",N($H197)*8/108,N($H197)*8/100),0),ROUNDDOWN(IF('設定'!$B$9="税込",N($H197)*8/108,N($H197)*8/100),0))))</f>
        <v/>
      </c>
      <c r="L197" s="28">
        <f>IF($A197="","",N($G197)+N($H197)+N($I197)+IF('設定'!$B$9="税込",0,$J197+$K197))</f>
        <v/>
      </c>
      <c r="M197" s="29">
        <f>IF(OR($A197="",NOT(ISNUMBER($W197)),NOT(ISNUMBER($X197))),"",IF(OR(INDEX('得意先'!$D$5:$D$104,$W197)="",INDEX('得意先'!$E$5:$E$104,$W197)="",INDEX('得意先'!$F$5:$F$104,$W197)=""),"",IF(INDEX('得意先'!$F$5:$F$104,$W197)="末",DATE(YEAR($X197),(MONTH($X197)+IF(INDEX('得意先'!$D$5:$D$104,$W197)="末",0,IF(DAY($X197)&lt;=INDEX('得意先'!$D$5:$D$104,$W197),0,1))+N(INDEX('得意先'!$E$5:$E$104,$W197)))+1,0),DATE(YEAR($X197),(MONTH($X197)+IF(INDEX('得意先'!$D$5:$D$104,$W197)="末",0,IF(DAY($X197)&lt;=INDEX('得意先'!$D$5:$D$104,$W197),0,1))+N(INDEX('得意先'!$E$5:$E$104,$W197))),MIN(INDEX('得意先'!$F$5:$F$104,$W197),DAY(DATE(YEAR($X197),(MONTH($X197)+IF(INDEX('得意先'!$D$5:$D$104,$W197)="末",0,IF(DAY($X197)&lt;=INDEX('得意先'!$D$5:$D$104,$W197),0,1))+N(INDEX('得意先'!$E$5:$E$104,$W197)))+1,0)))))))</f>
        <v/>
      </c>
      <c r="N197" s="26" t="n"/>
      <c r="O197" s="29">
        <f>IF($A197="","",IF(ISNUMBER($N197),$N197,$M197))</f>
        <v/>
      </c>
      <c r="P197" s="28">
        <f>IF($A197="","",SUMIF('入金消込'!$F$5:$F$1004,$A197,'入金消込'!$G$5:$G$1004))</f>
        <v/>
      </c>
      <c r="Q197" s="28">
        <f>IF($A197="","",SUMIF('入金消込'!$F$5:$F$1004,$A197,'入金消込'!$H$5:$H$1004)+SUMIF('入金消込'!$F$5:$F$1004,$A197,'入金消込'!$I$5:$I$1004))</f>
        <v/>
      </c>
      <c r="R197" s="28">
        <f>IF($A197="","",$L197-$P197-$Q197)</f>
        <v/>
      </c>
      <c r="S197" s="30">
        <f>IF($A197="","",IF($R197=0,IF($L197=0,"請求額0","回収済"),IF($L197&lt;0,IF($R197&lt;0,"差し引き待ち","差し引きすぎ"),IF($R197&lt;0,"入金が多い",IF($P197+$Q197=0,"未入金","一部入金")))))</f>
        <v/>
      </c>
      <c r="T197" s="31">
        <f>IF(OR($A197="",N($R197)&lt;=0,NOT(ISNUMBER($O197))),"",IF($O197&lt;'設定'!$B$7,'設定'!$B$7-$O197,""))</f>
        <v/>
      </c>
      <c r="U197" s="30">
        <f>IF(OR($A197="",N($R197)&lt;=0),"",IF(NOT(ISNUMBER($O197)),'設定'!$B$22,IF($O197&gt;='設定'!$B$7,'設定'!$B$17,IF('設定'!$B$7-$O197&lt;='設定'!$B$12,'設定'!$B$18,IF('設定'!$B$7-$O197&lt;='設定'!$B$13,'設定'!$B$19,IF('設定'!$B$7-$O197&lt;='設定'!$B$14,'設定'!$B$20,'設定'!$B$21))))))</f>
        <v/>
      </c>
      <c r="V197" s="56" t="n"/>
      <c r="W197" s="32">
        <f>IF($C197="","",IFERROR(MATCH($C197,'得意先'!$B$5:$B$104,0),"なし"))</f>
        <v/>
      </c>
      <c r="X197" s="33">
        <f>IF($A197="","",IF(ISNUMBER($E197),$E197,IF(ISNUMBER($B197),$B197,"")))</f>
        <v/>
      </c>
      <c r="Y197" s="34">
        <f>IF($T197="","",$O197+ROW()/1000000)</f>
        <v/>
      </c>
      <c r="Z197" s="35">
        <f>IF(OR($A197="",$C197="",$C197&lt;&gt;'売掛帳'!$B$3,NOT(ISNUMBER($X197))),"",IF(AND($X197&gt;='売掛帳'!$Q$3,$X197&lt;='売掛帳'!$Q$4),$X197+ROW()/10000000,""))</f>
        <v/>
      </c>
    </row>
    <row r="198" ht="18" customHeight="1">
      <c r="A198" s="18" t="n"/>
      <c r="B198" s="26" t="n"/>
      <c r="C198" s="18" t="n"/>
      <c r="D198" s="20">
        <f>IF($W198="","",IF($W198="なし","※得意先にないコード",INDEX('得意先'!$C$5:$C$104,$W198)&amp;""))</f>
        <v/>
      </c>
      <c r="E198" s="26" t="n"/>
      <c r="F198" s="19" t="n"/>
      <c r="G198" s="27" t="n"/>
      <c r="H198" s="27" t="n"/>
      <c r="I198" s="27" t="n"/>
      <c r="J198" s="28">
        <f>IF($A198="","",IF('設定'!$B$10="四捨五入",ROUND(IF('設定'!$B$9="税込",N($G198)*10/110,N($G198)*10/100),0),IF('設定'!$B$10="切り上げ",ROUNDUP(IF('設定'!$B$9="税込",N($G198)*10/110,N($G198)*10/100),0),ROUNDDOWN(IF('設定'!$B$9="税込",N($G198)*10/110,N($G198)*10/100),0))))</f>
        <v/>
      </c>
      <c r="K198" s="28">
        <f>IF($A198="","",IF('設定'!$B$10="四捨五入",ROUND(IF('設定'!$B$9="税込",N($H198)*8/108,N($H198)*8/100),0),IF('設定'!$B$10="切り上げ",ROUNDUP(IF('設定'!$B$9="税込",N($H198)*8/108,N($H198)*8/100),0),ROUNDDOWN(IF('設定'!$B$9="税込",N($H198)*8/108,N($H198)*8/100),0))))</f>
        <v/>
      </c>
      <c r="L198" s="28">
        <f>IF($A198="","",N($G198)+N($H198)+N($I198)+IF('設定'!$B$9="税込",0,$J198+$K198))</f>
        <v/>
      </c>
      <c r="M198" s="29">
        <f>IF(OR($A198="",NOT(ISNUMBER($W198)),NOT(ISNUMBER($X198))),"",IF(OR(INDEX('得意先'!$D$5:$D$104,$W198)="",INDEX('得意先'!$E$5:$E$104,$W198)="",INDEX('得意先'!$F$5:$F$104,$W198)=""),"",IF(INDEX('得意先'!$F$5:$F$104,$W198)="末",DATE(YEAR($X198),(MONTH($X198)+IF(INDEX('得意先'!$D$5:$D$104,$W198)="末",0,IF(DAY($X198)&lt;=INDEX('得意先'!$D$5:$D$104,$W198),0,1))+N(INDEX('得意先'!$E$5:$E$104,$W198)))+1,0),DATE(YEAR($X198),(MONTH($X198)+IF(INDEX('得意先'!$D$5:$D$104,$W198)="末",0,IF(DAY($X198)&lt;=INDEX('得意先'!$D$5:$D$104,$W198),0,1))+N(INDEX('得意先'!$E$5:$E$104,$W198))),MIN(INDEX('得意先'!$F$5:$F$104,$W198),DAY(DATE(YEAR($X198),(MONTH($X198)+IF(INDEX('得意先'!$D$5:$D$104,$W198)="末",0,IF(DAY($X198)&lt;=INDEX('得意先'!$D$5:$D$104,$W198),0,1))+N(INDEX('得意先'!$E$5:$E$104,$W198)))+1,0)))))))</f>
        <v/>
      </c>
      <c r="N198" s="26" t="n"/>
      <c r="O198" s="29">
        <f>IF($A198="","",IF(ISNUMBER($N198),$N198,$M198))</f>
        <v/>
      </c>
      <c r="P198" s="28">
        <f>IF($A198="","",SUMIF('入金消込'!$F$5:$F$1004,$A198,'入金消込'!$G$5:$G$1004))</f>
        <v/>
      </c>
      <c r="Q198" s="28">
        <f>IF($A198="","",SUMIF('入金消込'!$F$5:$F$1004,$A198,'入金消込'!$H$5:$H$1004)+SUMIF('入金消込'!$F$5:$F$1004,$A198,'入金消込'!$I$5:$I$1004))</f>
        <v/>
      </c>
      <c r="R198" s="28">
        <f>IF($A198="","",$L198-$P198-$Q198)</f>
        <v/>
      </c>
      <c r="S198" s="30">
        <f>IF($A198="","",IF($R198=0,IF($L198=0,"請求額0","回収済"),IF($L198&lt;0,IF($R198&lt;0,"差し引き待ち","差し引きすぎ"),IF($R198&lt;0,"入金が多い",IF($P198+$Q198=0,"未入金","一部入金")))))</f>
        <v/>
      </c>
      <c r="T198" s="31">
        <f>IF(OR($A198="",N($R198)&lt;=0,NOT(ISNUMBER($O198))),"",IF($O198&lt;'設定'!$B$7,'設定'!$B$7-$O198,""))</f>
        <v/>
      </c>
      <c r="U198" s="30">
        <f>IF(OR($A198="",N($R198)&lt;=0),"",IF(NOT(ISNUMBER($O198)),'設定'!$B$22,IF($O198&gt;='設定'!$B$7,'設定'!$B$17,IF('設定'!$B$7-$O198&lt;='設定'!$B$12,'設定'!$B$18,IF('設定'!$B$7-$O198&lt;='設定'!$B$13,'設定'!$B$19,IF('設定'!$B$7-$O198&lt;='設定'!$B$14,'設定'!$B$20,'設定'!$B$21))))))</f>
        <v/>
      </c>
      <c r="V198" s="56" t="n"/>
      <c r="W198" s="32">
        <f>IF($C198="","",IFERROR(MATCH($C198,'得意先'!$B$5:$B$104,0),"なし"))</f>
        <v/>
      </c>
      <c r="X198" s="33">
        <f>IF($A198="","",IF(ISNUMBER($E198),$E198,IF(ISNUMBER($B198),$B198,"")))</f>
        <v/>
      </c>
      <c r="Y198" s="34">
        <f>IF($T198="","",$O198+ROW()/1000000)</f>
        <v/>
      </c>
      <c r="Z198" s="35">
        <f>IF(OR($A198="",$C198="",$C198&lt;&gt;'売掛帳'!$B$3,NOT(ISNUMBER($X198))),"",IF(AND($X198&gt;='売掛帳'!$Q$3,$X198&lt;='売掛帳'!$Q$4),$X198+ROW()/10000000,""))</f>
        <v/>
      </c>
    </row>
    <row r="199" ht="18" customHeight="1">
      <c r="A199" s="18" t="n"/>
      <c r="B199" s="26" t="n"/>
      <c r="C199" s="18" t="n"/>
      <c r="D199" s="20">
        <f>IF($W199="","",IF($W199="なし","※得意先にないコード",INDEX('得意先'!$C$5:$C$104,$W199)&amp;""))</f>
        <v/>
      </c>
      <c r="E199" s="26" t="n"/>
      <c r="F199" s="19" t="n"/>
      <c r="G199" s="27" t="n"/>
      <c r="H199" s="27" t="n"/>
      <c r="I199" s="27" t="n"/>
      <c r="J199" s="28">
        <f>IF($A199="","",IF('設定'!$B$10="四捨五入",ROUND(IF('設定'!$B$9="税込",N($G199)*10/110,N($G199)*10/100),0),IF('設定'!$B$10="切り上げ",ROUNDUP(IF('設定'!$B$9="税込",N($G199)*10/110,N($G199)*10/100),0),ROUNDDOWN(IF('設定'!$B$9="税込",N($G199)*10/110,N($G199)*10/100),0))))</f>
        <v/>
      </c>
      <c r="K199" s="28">
        <f>IF($A199="","",IF('設定'!$B$10="四捨五入",ROUND(IF('設定'!$B$9="税込",N($H199)*8/108,N($H199)*8/100),0),IF('設定'!$B$10="切り上げ",ROUNDUP(IF('設定'!$B$9="税込",N($H199)*8/108,N($H199)*8/100),0),ROUNDDOWN(IF('設定'!$B$9="税込",N($H199)*8/108,N($H199)*8/100),0))))</f>
        <v/>
      </c>
      <c r="L199" s="28">
        <f>IF($A199="","",N($G199)+N($H199)+N($I199)+IF('設定'!$B$9="税込",0,$J199+$K199))</f>
        <v/>
      </c>
      <c r="M199" s="29">
        <f>IF(OR($A199="",NOT(ISNUMBER($W199)),NOT(ISNUMBER($X199))),"",IF(OR(INDEX('得意先'!$D$5:$D$104,$W199)="",INDEX('得意先'!$E$5:$E$104,$W199)="",INDEX('得意先'!$F$5:$F$104,$W199)=""),"",IF(INDEX('得意先'!$F$5:$F$104,$W199)="末",DATE(YEAR($X199),(MONTH($X199)+IF(INDEX('得意先'!$D$5:$D$104,$W199)="末",0,IF(DAY($X199)&lt;=INDEX('得意先'!$D$5:$D$104,$W199),0,1))+N(INDEX('得意先'!$E$5:$E$104,$W199)))+1,0),DATE(YEAR($X199),(MONTH($X199)+IF(INDEX('得意先'!$D$5:$D$104,$W199)="末",0,IF(DAY($X199)&lt;=INDEX('得意先'!$D$5:$D$104,$W199),0,1))+N(INDEX('得意先'!$E$5:$E$104,$W199))),MIN(INDEX('得意先'!$F$5:$F$104,$W199),DAY(DATE(YEAR($X199),(MONTH($X199)+IF(INDEX('得意先'!$D$5:$D$104,$W199)="末",0,IF(DAY($X199)&lt;=INDEX('得意先'!$D$5:$D$104,$W199),0,1))+N(INDEX('得意先'!$E$5:$E$104,$W199)))+1,0)))))))</f>
        <v/>
      </c>
      <c r="N199" s="26" t="n"/>
      <c r="O199" s="29">
        <f>IF($A199="","",IF(ISNUMBER($N199),$N199,$M199))</f>
        <v/>
      </c>
      <c r="P199" s="28">
        <f>IF($A199="","",SUMIF('入金消込'!$F$5:$F$1004,$A199,'入金消込'!$G$5:$G$1004))</f>
        <v/>
      </c>
      <c r="Q199" s="28">
        <f>IF($A199="","",SUMIF('入金消込'!$F$5:$F$1004,$A199,'入金消込'!$H$5:$H$1004)+SUMIF('入金消込'!$F$5:$F$1004,$A199,'入金消込'!$I$5:$I$1004))</f>
        <v/>
      </c>
      <c r="R199" s="28">
        <f>IF($A199="","",$L199-$P199-$Q199)</f>
        <v/>
      </c>
      <c r="S199" s="30">
        <f>IF($A199="","",IF($R199=0,IF($L199=0,"請求額0","回収済"),IF($L199&lt;0,IF($R199&lt;0,"差し引き待ち","差し引きすぎ"),IF($R199&lt;0,"入金が多い",IF($P199+$Q199=0,"未入金","一部入金")))))</f>
        <v/>
      </c>
      <c r="T199" s="31">
        <f>IF(OR($A199="",N($R199)&lt;=0,NOT(ISNUMBER($O199))),"",IF($O199&lt;'設定'!$B$7,'設定'!$B$7-$O199,""))</f>
        <v/>
      </c>
      <c r="U199" s="30">
        <f>IF(OR($A199="",N($R199)&lt;=0),"",IF(NOT(ISNUMBER($O199)),'設定'!$B$22,IF($O199&gt;='設定'!$B$7,'設定'!$B$17,IF('設定'!$B$7-$O199&lt;='設定'!$B$12,'設定'!$B$18,IF('設定'!$B$7-$O199&lt;='設定'!$B$13,'設定'!$B$19,IF('設定'!$B$7-$O199&lt;='設定'!$B$14,'設定'!$B$20,'設定'!$B$21))))))</f>
        <v/>
      </c>
      <c r="V199" s="56" t="n"/>
      <c r="W199" s="32">
        <f>IF($C199="","",IFERROR(MATCH($C199,'得意先'!$B$5:$B$104,0),"なし"))</f>
        <v/>
      </c>
      <c r="X199" s="33">
        <f>IF($A199="","",IF(ISNUMBER($E199),$E199,IF(ISNUMBER($B199),$B199,"")))</f>
        <v/>
      </c>
      <c r="Y199" s="34">
        <f>IF($T199="","",$O199+ROW()/1000000)</f>
        <v/>
      </c>
      <c r="Z199" s="35">
        <f>IF(OR($A199="",$C199="",$C199&lt;&gt;'売掛帳'!$B$3,NOT(ISNUMBER($X199))),"",IF(AND($X199&gt;='売掛帳'!$Q$3,$X199&lt;='売掛帳'!$Q$4),$X199+ROW()/10000000,""))</f>
        <v/>
      </c>
    </row>
    <row r="200" ht="18" customHeight="1">
      <c r="A200" s="18" t="n"/>
      <c r="B200" s="26" t="n"/>
      <c r="C200" s="18" t="n"/>
      <c r="D200" s="20">
        <f>IF($W200="","",IF($W200="なし","※得意先にないコード",INDEX('得意先'!$C$5:$C$104,$W200)&amp;""))</f>
        <v/>
      </c>
      <c r="E200" s="26" t="n"/>
      <c r="F200" s="19" t="n"/>
      <c r="G200" s="27" t="n"/>
      <c r="H200" s="27" t="n"/>
      <c r="I200" s="27" t="n"/>
      <c r="J200" s="28">
        <f>IF($A200="","",IF('設定'!$B$10="四捨五入",ROUND(IF('設定'!$B$9="税込",N($G200)*10/110,N($G200)*10/100),0),IF('設定'!$B$10="切り上げ",ROUNDUP(IF('設定'!$B$9="税込",N($G200)*10/110,N($G200)*10/100),0),ROUNDDOWN(IF('設定'!$B$9="税込",N($G200)*10/110,N($G200)*10/100),0))))</f>
        <v/>
      </c>
      <c r="K200" s="28">
        <f>IF($A200="","",IF('設定'!$B$10="四捨五入",ROUND(IF('設定'!$B$9="税込",N($H200)*8/108,N($H200)*8/100),0),IF('設定'!$B$10="切り上げ",ROUNDUP(IF('設定'!$B$9="税込",N($H200)*8/108,N($H200)*8/100),0),ROUNDDOWN(IF('設定'!$B$9="税込",N($H200)*8/108,N($H200)*8/100),0))))</f>
        <v/>
      </c>
      <c r="L200" s="28">
        <f>IF($A200="","",N($G200)+N($H200)+N($I200)+IF('設定'!$B$9="税込",0,$J200+$K200))</f>
        <v/>
      </c>
      <c r="M200" s="29">
        <f>IF(OR($A200="",NOT(ISNUMBER($W200)),NOT(ISNUMBER($X200))),"",IF(OR(INDEX('得意先'!$D$5:$D$104,$W200)="",INDEX('得意先'!$E$5:$E$104,$W200)="",INDEX('得意先'!$F$5:$F$104,$W200)=""),"",IF(INDEX('得意先'!$F$5:$F$104,$W200)="末",DATE(YEAR($X200),(MONTH($X200)+IF(INDEX('得意先'!$D$5:$D$104,$W200)="末",0,IF(DAY($X200)&lt;=INDEX('得意先'!$D$5:$D$104,$W200),0,1))+N(INDEX('得意先'!$E$5:$E$104,$W200)))+1,0),DATE(YEAR($X200),(MONTH($X200)+IF(INDEX('得意先'!$D$5:$D$104,$W200)="末",0,IF(DAY($X200)&lt;=INDEX('得意先'!$D$5:$D$104,$W200),0,1))+N(INDEX('得意先'!$E$5:$E$104,$W200))),MIN(INDEX('得意先'!$F$5:$F$104,$W200),DAY(DATE(YEAR($X200),(MONTH($X200)+IF(INDEX('得意先'!$D$5:$D$104,$W200)="末",0,IF(DAY($X200)&lt;=INDEX('得意先'!$D$5:$D$104,$W200),0,1))+N(INDEX('得意先'!$E$5:$E$104,$W200)))+1,0)))))))</f>
        <v/>
      </c>
      <c r="N200" s="26" t="n"/>
      <c r="O200" s="29">
        <f>IF($A200="","",IF(ISNUMBER($N200),$N200,$M200))</f>
        <v/>
      </c>
      <c r="P200" s="28">
        <f>IF($A200="","",SUMIF('入金消込'!$F$5:$F$1004,$A200,'入金消込'!$G$5:$G$1004))</f>
        <v/>
      </c>
      <c r="Q200" s="28">
        <f>IF($A200="","",SUMIF('入金消込'!$F$5:$F$1004,$A200,'入金消込'!$H$5:$H$1004)+SUMIF('入金消込'!$F$5:$F$1004,$A200,'入金消込'!$I$5:$I$1004))</f>
        <v/>
      </c>
      <c r="R200" s="28">
        <f>IF($A200="","",$L200-$P200-$Q200)</f>
        <v/>
      </c>
      <c r="S200" s="30">
        <f>IF($A200="","",IF($R200=0,IF($L200=0,"請求額0","回収済"),IF($L200&lt;0,IF($R200&lt;0,"差し引き待ち","差し引きすぎ"),IF($R200&lt;0,"入金が多い",IF($P200+$Q200=0,"未入金","一部入金")))))</f>
        <v/>
      </c>
      <c r="T200" s="31">
        <f>IF(OR($A200="",N($R200)&lt;=0,NOT(ISNUMBER($O200))),"",IF($O200&lt;'設定'!$B$7,'設定'!$B$7-$O200,""))</f>
        <v/>
      </c>
      <c r="U200" s="30">
        <f>IF(OR($A200="",N($R200)&lt;=0),"",IF(NOT(ISNUMBER($O200)),'設定'!$B$22,IF($O200&gt;='設定'!$B$7,'設定'!$B$17,IF('設定'!$B$7-$O200&lt;='設定'!$B$12,'設定'!$B$18,IF('設定'!$B$7-$O200&lt;='設定'!$B$13,'設定'!$B$19,IF('設定'!$B$7-$O200&lt;='設定'!$B$14,'設定'!$B$20,'設定'!$B$21))))))</f>
        <v/>
      </c>
      <c r="V200" s="56" t="n"/>
      <c r="W200" s="32">
        <f>IF($C200="","",IFERROR(MATCH($C200,'得意先'!$B$5:$B$104,0),"なし"))</f>
        <v/>
      </c>
      <c r="X200" s="33">
        <f>IF($A200="","",IF(ISNUMBER($E200),$E200,IF(ISNUMBER($B200),$B200,"")))</f>
        <v/>
      </c>
      <c r="Y200" s="34">
        <f>IF($T200="","",$O200+ROW()/1000000)</f>
        <v/>
      </c>
      <c r="Z200" s="35">
        <f>IF(OR($A200="",$C200="",$C200&lt;&gt;'売掛帳'!$B$3,NOT(ISNUMBER($X200))),"",IF(AND($X200&gt;='売掛帳'!$Q$3,$X200&lt;='売掛帳'!$Q$4),$X200+ROW()/10000000,""))</f>
        <v/>
      </c>
    </row>
    <row r="201" ht="18" customHeight="1">
      <c r="A201" s="18" t="n"/>
      <c r="B201" s="26" t="n"/>
      <c r="C201" s="18" t="n"/>
      <c r="D201" s="20">
        <f>IF($W201="","",IF($W201="なし","※得意先にないコード",INDEX('得意先'!$C$5:$C$104,$W201)&amp;""))</f>
        <v/>
      </c>
      <c r="E201" s="26" t="n"/>
      <c r="F201" s="19" t="n"/>
      <c r="G201" s="27" t="n"/>
      <c r="H201" s="27" t="n"/>
      <c r="I201" s="27" t="n"/>
      <c r="J201" s="28">
        <f>IF($A201="","",IF('設定'!$B$10="四捨五入",ROUND(IF('設定'!$B$9="税込",N($G201)*10/110,N($G201)*10/100),0),IF('設定'!$B$10="切り上げ",ROUNDUP(IF('設定'!$B$9="税込",N($G201)*10/110,N($G201)*10/100),0),ROUNDDOWN(IF('設定'!$B$9="税込",N($G201)*10/110,N($G201)*10/100),0))))</f>
        <v/>
      </c>
      <c r="K201" s="28">
        <f>IF($A201="","",IF('設定'!$B$10="四捨五入",ROUND(IF('設定'!$B$9="税込",N($H201)*8/108,N($H201)*8/100),0),IF('設定'!$B$10="切り上げ",ROUNDUP(IF('設定'!$B$9="税込",N($H201)*8/108,N($H201)*8/100),0),ROUNDDOWN(IF('設定'!$B$9="税込",N($H201)*8/108,N($H201)*8/100),0))))</f>
        <v/>
      </c>
      <c r="L201" s="28">
        <f>IF($A201="","",N($G201)+N($H201)+N($I201)+IF('設定'!$B$9="税込",0,$J201+$K201))</f>
        <v/>
      </c>
      <c r="M201" s="29">
        <f>IF(OR($A201="",NOT(ISNUMBER($W201)),NOT(ISNUMBER($X201))),"",IF(OR(INDEX('得意先'!$D$5:$D$104,$W201)="",INDEX('得意先'!$E$5:$E$104,$W201)="",INDEX('得意先'!$F$5:$F$104,$W201)=""),"",IF(INDEX('得意先'!$F$5:$F$104,$W201)="末",DATE(YEAR($X201),(MONTH($X201)+IF(INDEX('得意先'!$D$5:$D$104,$W201)="末",0,IF(DAY($X201)&lt;=INDEX('得意先'!$D$5:$D$104,$W201),0,1))+N(INDEX('得意先'!$E$5:$E$104,$W201)))+1,0),DATE(YEAR($X201),(MONTH($X201)+IF(INDEX('得意先'!$D$5:$D$104,$W201)="末",0,IF(DAY($X201)&lt;=INDEX('得意先'!$D$5:$D$104,$W201),0,1))+N(INDEX('得意先'!$E$5:$E$104,$W201))),MIN(INDEX('得意先'!$F$5:$F$104,$W201),DAY(DATE(YEAR($X201),(MONTH($X201)+IF(INDEX('得意先'!$D$5:$D$104,$W201)="末",0,IF(DAY($X201)&lt;=INDEX('得意先'!$D$5:$D$104,$W201),0,1))+N(INDEX('得意先'!$E$5:$E$104,$W201)))+1,0)))))))</f>
        <v/>
      </c>
      <c r="N201" s="26" t="n"/>
      <c r="O201" s="29">
        <f>IF($A201="","",IF(ISNUMBER($N201),$N201,$M201))</f>
        <v/>
      </c>
      <c r="P201" s="28">
        <f>IF($A201="","",SUMIF('入金消込'!$F$5:$F$1004,$A201,'入金消込'!$G$5:$G$1004))</f>
        <v/>
      </c>
      <c r="Q201" s="28">
        <f>IF($A201="","",SUMIF('入金消込'!$F$5:$F$1004,$A201,'入金消込'!$H$5:$H$1004)+SUMIF('入金消込'!$F$5:$F$1004,$A201,'入金消込'!$I$5:$I$1004))</f>
        <v/>
      </c>
      <c r="R201" s="28">
        <f>IF($A201="","",$L201-$P201-$Q201)</f>
        <v/>
      </c>
      <c r="S201" s="30">
        <f>IF($A201="","",IF($R201=0,IF($L201=0,"請求額0","回収済"),IF($L201&lt;0,IF($R201&lt;0,"差し引き待ち","差し引きすぎ"),IF($R201&lt;0,"入金が多い",IF($P201+$Q201=0,"未入金","一部入金")))))</f>
        <v/>
      </c>
      <c r="T201" s="31">
        <f>IF(OR($A201="",N($R201)&lt;=0,NOT(ISNUMBER($O201))),"",IF($O201&lt;'設定'!$B$7,'設定'!$B$7-$O201,""))</f>
        <v/>
      </c>
      <c r="U201" s="30">
        <f>IF(OR($A201="",N($R201)&lt;=0),"",IF(NOT(ISNUMBER($O201)),'設定'!$B$22,IF($O201&gt;='設定'!$B$7,'設定'!$B$17,IF('設定'!$B$7-$O201&lt;='設定'!$B$12,'設定'!$B$18,IF('設定'!$B$7-$O201&lt;='設定'!$B$13,'設定'!$B$19,IF('設定'!$B$7-$O201&lt;='設定'!$B$14,'設定'!$B$20,'設定'!$B$21))))))</f>
        <v/>
      </c>
      <c r="V201" s="56" t="n"/>
      <c r="W201" s="32">
        <f>IF($C201="","",IFERROR(MATCH($C201,'得意先'!$B$5:$B$104,0),"なし"))</f>
        <v/>
      </c>
      <c r="X201" s="33">
        <f>IF($A201="","",IF(ISNUMBER($E201),$E201,IF(ISNUMBER($B201),$B201,"")))</f>
        <v/>
      </c>
      <c r="Y201" s="34">
        <f>IF($T201="","",$O201+ROW()/1000000)</f>
        <v/>
      </c>
      <c r="Z201" s="35">
        <f>IF(OR($A201="",$C201="",$C201&lt;&gt;'売掛帳'!$B$3,NOT(ISNUMBER($X201))),"",IF(AND($X201&gt;='売掛帳'!$Q$3,$X201&lt;='売掛帳'!$Q$4),$X201+ROW()/10000000,""))</f>
        <v/>
      </c>
    </row>
    <row r="202" ht="18" customHeight="1">
      <c r="A202" s="18" t="n"/>
      <c r="B202" s="26" t="n"/>
      <c r="C202" s="18" t="n"/>
      <c r="D202" s="20">
        <f>IF($W202="","",IF($W202="なし","※得意先にないコード",INDEX('得意先'!$C$5:$C$104,$W202)&amp;""))</f>
        <v/>
      </c>
      <c r="E202" s="26" t="n"/>
      <c r="F202" s="19" t="n"/>
      <c r="G202" s="27" t="n"/>
      <c r="H202" s="27" t="n"/>
      <c r="I202" s="27" t="n"/>
      <c r="J202" s="28">
        <f>IF($A202="","",IF('設定'!$B$10="四捨五入",ROUND(IF('設定'!$B$9="税込",N($G202)*10/110,N($G202)*10/100),0),IF('設定'!$B$10="切り上げ",ROUNDUP(IF('設定'!$B$9="税込",N($G202)*10/110,N($G202)*10/100),0),ROUNDDOWN(IF('設定'!$B$9="税込",N($G202)*10/110,N($G202)*10/100),0))))</f>
        <v/>
      </c>
      <c r="K202" s="28">
        <f>IF($A202="","",IF('設定'!$B$10="四捨五入",ROUND(IF('設定'!$B$9="税込",N($H202)*8/108,N($H202)*8/100),0),IF('設定'!$B$10="切り上げ",ROUNDUP(IF('設定'!$B$9="税込",N($H202)*8/108,N($H202)*8/100),0),ROUNDDOWN(IF('設定'!$B$9="税込",N($H202)*8/108,N($H202)*8/100),0))))</f>
        <v/>
      </c>
      <c r="L202" s="28">
        <f>IF($A202="","",N($G202)+N($H202)+N($I202)+IF('設定'!$B$9="税込",0,$J202+$K202))</f>
        <v/>
      </c>
      <c r="M202" s="29">
        <f>IF(OR($A202="",NOT(ISNUMBER($W202)),NOT(ISNUMBER($X202))),"",IF(OR(INDEX('得意先'!$D$5:$D$104,$W202)="",INDEX('得意先'!$E$5:$E$104,$W202)="",INDEX('得意先'!$F$5:$F$104,$W202)=""),"",IF(INDEX('得意先'!$F$5:$F$104,$W202)="末",DATE(YEAR($X202),(MONTH($X202)+IF(INDEX('得意先'!$D$5:$D$104,$W202)="末",0,IF(DAY($X202)&lt;=INDEX('得意先'!$D$5:$D$104,$W202),0,1))+N(INDEX('得意先'!$E$5:$E$104,$W202)))+1,0),DATE(YEAR($X202),(MONTH($X202)+IF(INDEX('得意先'!$D$5:$D$104,$W202)="末",0,IF(DAY($X202)&lt;=INDEX('得意先'!$D$5:$D$104,$W202),0,1))+N(INDEX('得意先'!$E$5:$E$104,$W202))),MIN(INDEX('得意先'!$F$5:$F$104,$W202),DAY(DATE(YEAR($X202),(MONTH($X202)+IF(INDEX('得意先'!$D$5:$D$104,$W202)="末",0,IF(DAY($X202)&lt;=INDEX('得意先'!$D$5:$D$104,$W202),0,1))+N(INDEX('得意先'!$E$5:$E$104,$W202)))+1,0)))))))</f>
        <v/>
      </c>
      <c r="N202" s="26" t="n"/>
      <c r="O202" s="29">
        <f>IF($A202="","",IF(ISNUMBER($N202),$N202,$M202))</f>
        <v/>
      </c>
      <c r="P202" s="28">
        <f>IF($A202="","",SUMIF('入金消込'!$F$5:$F$1004,$A202,'入金消込'!$G$5:$G$1004))</f>
        <v/>
      </c>
      <c r="Q202" s="28">
        <f>IF($A202="","",SUMIF('入金消込'!$F$5:$F$1004,$A202,'入金消込'!$H$5:$H$1004)+SUMIF('入金消込'!$F$5:$F$1004,$A202,'入金消込'!$I$5:$I$1004))</f>
        <v/>
      </c>
      <c r="R202" s="28">
        <f>IF($A202="","",$L202-$P202-$Q202)</f>
        <v/>
      </c>
      <c r="S202" s="30">
        <f>IF($A202="","",IF($R202=0,IF($L202=0,"請求額0","回収済"),IF($L202&lt;0,IF($R202&lt;0,"差し引き待ち","差し引きすぎ"),IF($R202&lt;0,"入金が多い",IF($P202+$Q202=0,"未入金","一部入金")))))</f>
        <v/>
      </c>
      <c r="T202" s="31">
        <f>IF(OR($A202="",N($R202)&lt;=0,NOT(ISNUMBER($O202))),"",IF($O202&lt;'設定'!$B$7,'設定'!$B$7-$O202,""))</f>
        <v/>
      </c>
      <c r="U202" s="30">
        <f>IF(OR($A202="",N($R202)&lt;=0),"",IF(NOT(ISNUMBER($O202)),'設定'!$B$22,IF($O202&gt;='設定'!$B$7,'設定'!$B$17,IF('設定'!$B$7-$O202&lt;='設定'!$B$12,'設定'!$B$18,IF('設定'!$B$7-$O202&lt;='設定'!$B$13,'設定'!$B$19,IF('設定'!$B$7-$O202&lt;='設定'!$B$14,'設定'!$B$20,'設定'!$B$21))))))</f>
        <v/>
      </c>
      <c r="V202" s="56" t="n"/>
      <c r="W202" s="32">
        <f>IF($C202="","",IFERROR(MATCH($C202,'得意先'!$B$5:$B$104,0),"なし"))</f>
        <v/>
      </c>
      <c r="X202" s="33">
        <f>IF($A202="","",IF(ISNUMBER($E202),$E202,IF(ISNUMBER($B202),$B202,"")))</f>
        <v/>
      </c>
      <c r="Y202" s="34">
        <f>IF($T202="","",$O202+ROW()/1000000)</f>
        <v/>
      </c>
      <c r="Z202" s="35">
        <f>IF(OR($A202="",$C202="",$C202&lt;&gt;'売掛帳'!$B$3,NOT(ISNUMBER($X202))),"",IF(AND($X202&gt;='売掛帳'!$Q$3,$X202&lt;='売掛帳'!$Q$4),$X202+ROW()/10000000,""))</f>
        <v/>
      </c>
    </row>
    <row r="203" ht="18" customHeight="1">
      <c r="A203" s="18" t="n"/>
      <c r="B203" s="26" t="n"/>
      <c r="C203" s="18" t="n"/>
      <c r="D203" s="20">
        <f>IF($W203="","",IF($W203="なし","※得意先にないコード",INDEX('得意先'!$C$5:$C$104,$W203)&amp;""))</f>
        <v/>
      </c>
      <c r="E203" s="26" t="n"/>
      <c r="F203" s="19" t="n"/>
      <c r="G203" s="27" t="n"/>
      <c r="H203" s="27" t="n"/>
      <c r="I203" s="27" t="n"/>
      <c r="J203" s="28">
        <f>IF($A203="","",IF('設定'!$B$10="四捨五入",ROUND(IF('設定'!$B$9="税込",N($G203)*10/110,N($G203)*10/100),0),IF('設定'!$B$10="切り上げ",ROUNDUP(IF('設定'!$B$9="税込",N($G203)*10/110,N($G203)*10/100),0),ROUNDDOWN(IF('設定'!$B$9="税込",N($G203)*10/110,N($G203)*10/100),0))))</f>
        <v/>
      </c>
      <c r="K203" s="28">
        <f>IF($A203="","",IF('設定'!$B$10="四捨五入",ROUND(IF('設定'!$B$9="税込",N($H203)*8/108,N($H203)*8/100),0),IF('設定'!$B$10="切り上げ",ROUNDUP(IF('設定'!$B$9="税込",N($H203)*8/108,N($H203)*8/100),0),ROUNDDOWN(IF('設定'!$B$9="税込",N($H203)*8/108,N($H203)*8/100),0))))</f>
        <v/>
      </c>
      <c r="L203" s="28">
        <f>IF($A203="","",N($G203)+N($H203)+N($I203)+IF('設定'!$B$9="税込",0,$J203+$K203))</f>
        <v/>
      </c>
      <c r="M203" s="29">
        <f>IF(OR($A203="",NOT(ISNUMBER($W203)),NOT(ISNUMBER($X203))),"",IF(OR(INDEX('得意先'!$D$5:$D$104,$W203)="",INDEX('得意先'!$E$5:$E$104,$W203)="",INDEX('得意先'!$F$5:$F$104,$W203)=""),"",IF(INDEX('得意先'!$F$5:$F$104,$W203)="末",DATE(YEAR($X203),(MONTH($X203)+IF(INDEX('得意先'!$D$5:$D$104,$W203)="末",0,IF(DAY($X203)&lt;=INDEX('得意先'!$D$5:$D$104,$W203),0,1))+N(INDEX('得意先'!$E$5:$E$104,$W203)))+1,0),DATE(YEAR($X203),(MONTH($X203)+IF(INDEX('得意先'!$D$5:$D$104,$W203)="末",0,IF(DAY($X203)&lt;=INDEX('得意先'!$D$5:$D$104,$W203),0,1))+N(INDEX('得意先'!$E$5:$E$104,$W203))),MIN(INDEX('得意先'!$F$5:$F$104,$W203),DAY(DATE(YEAR($X203),(MONTH($X203)+IF(INDEX('得意先'!$D$5:$D$104,$W203)="末",0,IF(DAY($X203)&lt;=INDEX('得意先'!$D$5:$D$104,$W203),0,1))+N(INDEX('得意先'!$E$5:$E$104,$W203)))+1,0)))))))</f>
        <v/>
      </c>
      <c r="N203" s="26" t="n"/>
      <c r="O203" s="29">
        <f>IF($A203="","",IF(ISNUMBER($N203),$N203,$M203))</f>
        <v/>
      </c>
      <c r="P203" s="28">
        <f>IF($A203="","",SUMIF('入金消込'!$F$5:$F$1004,$A203,'入金消込'!$G$5:$G$1004))</f>
        <v/>
      </c>
      <c r="Q203" s="28">
        <f>IF($A203="","",SUMIF('入金消込'!$F$5:$F$1004,$A203,'入金消込'!$H$5:$H$1004)+SUMIF('入金消込'!$F$5:$F$1004,$A203,'入金消込'!$I$5:$I$1004))</f>
        <v/>
      </c>
      <c r="R203" s="28">
        <f>IF($A203="","",$L203-$P203-$Q203)</f>
        <v/>
      </c>
      <c r="S203" s="30">
        <f>IF($A203="","",IF($R203=0,IF($L203=0,"請求額0","回収済"),IF($L203&lt;0,IF($R203&lt;0,"差し引き待ち","差し引きすぎ"),IF($R203&lt;0,"入金が多い",IF($P203+$Q203=0,"未入金","一部入金")))))</f>
        <v/>
      </c>
      <c r="T203" s="31">
        <f>IF(OR($A203="",N($R203)&lt;=0,NOT(ISNUMBER($O203))),"",IF($O203&lt;'設定'!$B$7,'設定'!$B$7-$O203,""))</f>
        <v/>
      </c>
      <c r="U203" s="30">
        <f>IF(OR($A203="",N($R203)&lt;=0),"",IF(NOT(ISNUMBER($O203)),'設定'!$B$22,IF($O203&gt;='設定'!$B$7,'設定'!$B$17,IF('設定'!$B$7-$O203&lt;='設定'!$B$12,'設定'!$B$18,IF('設定'!$B$7-$O203&lt;='設定'!$B$13,'設定'!$B$19,IF('設定'!$B$7-$O203&lt;='設定'!$B$14,'設定'!$B$20,'設定'!$B$21))))))</f>
        <v/>
      </c>
      <c r="V203" s="56" t="n"/>
      <c r="W203" s="32">
        <f>IF($C203="","",IFERROR(MATCH($C203,'得意先'!$B$5:$B$104,0),"なし"))</f>
        <v/>
      </c>
      <c r="X203" s="33">
        <f>IF($A203="","",IF(ISNUMBER($E203),$E203,IF(ISNUMBER($B203),$B203,"")))</f>
        <v/>
      </c>
      <c r="Y203" s="34">
        <f>IF($T203="","",$O203+ROW()/1000000)</f>
        <v/>
      </c>
      <c r="Z203" s="35">
        <f>IF(OR($A203="",$C203="",$C203&lt;&gt;'売掛帳'!$B$3,NOT(ISNUMBER($X203))),"",IF(AND($X203&gt;='売掛帳'!$Q$3,$X203&lt;='売掛帳'!$Q$4),$X203+ROW()/10000000,""))</f>
        <v/>
      </c>
    </row>
    <row r="204" ht="18" customHeight="1">
      <c r="A204" s="18" t="n"/>
      <c r="B204" s="26" t="n"/>
      <c r="C204" s="18" t="n"/>
      <c r="D204" s="20">
        <f>IF($W204="","",IF($W204="なし","※得意先にないコード",INDEX('得意先'!$C$5:$C$104,$W204)&amp;""))</f>
        <v/>
      </c>
      <c r="E204" s="26" t="n"/>
      <c r="F204" s="19" t="n"/>
      <c r="G204" s="27" t="n"/>
      <c r="H204" s="27" t="n"/>
      <c r="I204" s="27" t="n"/>
      <c r="J204" s="28">
        <f>IF($A204="","",IF('設定'!$B$10="四捨五入",ROUND(IF('設定'!$B$9="税込",N($G204)*10/110,N($G204)*10/100),0),IF('設定'!$B$10="切り上げ",ROUNDUP(IF('設定'!$B$9="税込",N($G204)*10/110,N($G204)*10/100),0),ROUNDDOWN(IF('設定'!$B$9="税込",N($G204)*10/110,N($G204)*10/100),0))))</f>
        <v/>
      </c>
      <c r="K204" s="28">
        <f>IF($A204="","",IF('設定'!$B$10="四捨五入",ROUND(IF('設定'!$B$9="税込",N($H204)*8/108,N($H204)*8/100),0),IF('設定'!$B$10="切り上げ",ROUNDUP(IF('設定'!$B$9="税込",N($H204)*8/108,N($H204)*8/100),0),ROUNDDOWN(IF('設定'!$B$9="税込",N($H204)*8/108,N($H204)*8/100),0))))</f>
        <v/>
      </c>
      <c r="L204" s="28">
        <f>IF($A204="","",N($G204)+N($H204)+N($I204)+IF('設定'!$B$9="税込",0,$J204+$K204))</f>
        <v/>
      </c>
      <c r="M204" s="29">
        <f>IF(OR($A204="",NOT(ISNUMBER($W204)),NOT(ISNUMBER($X204))),"",IF(OR(INDEX('得意先'!$D$5:$D$104,$W204)="",INDEX('得意先'!$E$5:$E$104,$W204)="",INDEX('得意先'!$F$5:$F$104,$W204)=""),"",IF(INDEX('得意先'!$F$5:$F$104,$W204)="末",DATE(YEAR($X204),(MONTH($X204)+IF(INDEX('得意先'!$D$5:$D$104,$W204)="末",0,IF(DAY($X204)&lt;=INDEX('得意先'!$D$5:$D$104,$W204),0,1))+N(INDEX('得意先'!$E$5:$E$104,$W204)))+1,0),DATE(YEAR($X204),(MONTH($X204)+IF(INDEX('得意先'!$D$5:$D$104,$W204)="末",0,IF(DAY($X204)&lt;=INDEX('得意先'!$D$5:$D$104,$W204),0,1))+N(INDEX('得意先'!$E$5:$E$104,$W204))),MIN(INDEX('得意先'!$F$5:$F$104,$W204),DAY(DATE(YEAR($X204),(MONTH($X204)+IF(INDEX('得意先'!$D$5:$D$104,$W204)="末",0,IF(DAY($X204)&lt;=INDEX('得意先'!$D$5:$D$104,$W204),0,1))+N(INDEX('得意先'!$E$5:$E$104,$W204)))+1,0)))))))</f>
        <v/>
      </c>
      <c r="N204" s="26" t="n"/>
      <c r="O204" s="29">
        <f>IF($A204="","",IF(ISNUMBER($N204),$N204,$M204))</f>
        <v/>
      </c>
      <c r="P204" s="28">
        <f>IF($A204="","",SUMIF('入金消込'!$F$5:$F$1004,$A204,'入金消込'!$G$5:$G$1004))</f>
        <v/>
      </c>
      <c r="Q204" s="28">
        <f>IF($A204="","",SUMIF('入金消込'!$F$5:$F$1004,$A204,'入金消込'!$H$5:$H$1004)+SUMIF('入金消込'!$F$5:$F$1004,$A204,'入金消込'!$I$5:$I$1004))</f>
        <v/>
      </c>
      <c r="R204" s="28">
        <f>IF($A204="","",$L204-$P204-$Q204)</f>
        <v/>
      </c>
      <c r="S204" s="30">
        <f>IF($A204="","",IF($R204=0,IF($L204=0,"請求額0","回収済"),IF($L204&lt;0,IF($R204&lt;0,"差し引き待ち","差し引きすぎ"),IF($R204&lt;0,"入金が多い",IF($P204+$Q204=0,"未入金","一部入金")))))</f>
        <v/>
      </c>
      <c r="T204" s="31">
        <f>IF(OR($A204="",N($R204)&lt;=0,NOT(ISNUMBER($O204))),"",IF($O204&lt;'設定'!$B$7,'設定'!$B$7-$O204,""))</f>
        <v/>
      </c>
      <c r="U204" s="30">
        <f>IF(OR($A204="",N($R204)&lt;=0),"",IF(NOT(ISNUMBER($O204)),'設定'!$B$22,IF($O204&gt;='設定'!$B$7,'設定'!$B$17,IF('設定'!$B$7-$O204&lt;='設定'!$B$12,'設定'!$B$18,IF('設定'!$B$7-$O204&lt;='設定'!$B$13,'設定'!$B$19,IF('設定'!$B$7-$O204&lt;='設定'!$B$14,'設定'!$B$20,'設定'!$B$21))))))</f>
        <v/>
      </c>
      <c r="V204" s="56" t="n"/>
      <c r="W204" s="32">
        <f>IF($C204="","",IFERROR(MATCH($C204,'得意先'!$B$5:$B$104,0),"なし"))</f>
        <v/>
      </c>
      <c r="X204" s="33">
        <f>IF($A204="","",IF(ISNUMBER($E204),$E204,IF(ISNUMBER($B204),$B204,"")))</f>
        <v/>
      </c>
      <c r="Y204" s="34">
        <f>IF($T204="","",$O204+ROW()/1000000)</f>
        <v/>
      </c>
      <c r="Z204" s="35">
        <f>IF(OR($A204="",$C204="",$C204&lt;&gt;'売掛帳'!$B$3,NOT(ISNUMBER($X204))),"",IF(AND($X204&gt;='売掛帳'!$Q$3,$X204&lt;='売掛帳'!$Q$4),$X204+ROW()/10000000,""))</f>
        <v/>
      </c>
    </row>
    <row r="205" ht="18" customHeight="1">
      <c r="A205" s="18" t="n"/>
      <c r="B205" s="26" t="n"/>
      <c r="C205" s="18" t="n"/>
      <c r="D205" s="20">
        <f>IF($W205="","",IF($W205="なし","※得意先にないコード",INDEX('得意先'!$C$5:$C$104,$W205)&amp;""))</f>
        <v/>
      </c>
      <c r="E205" s="26" t="n"/>
      <c r="F205" s="19" t="n"/>
      <c r="G205" s="27" t="n"/>
      <c r="H205" s="27" t="n"/>
      <c r="I205" s="27" t="n"/>
      <c r="J205" s="28">
        <f>IF($A205="","",IF('設定'!$B$10="四捨五入",ROUND(IF('設定'!$B$9="税込",N($G205)*10/110,N($G205)*10/100),0),IF('設定'!$B$10="切り上げ",ROUNDUP(IF('設定'!$B$9="税込",N($G205)*10/110,N($G205)*10/100),0),ROUNDDOWN(IF('設定'!$B$9="税込",N($G205)*10/110,N($G205)*10/100),0))))</f>
        <v/>
      </c>
      <c r="K205" s="28">
        <f>IF($A205="","",IF('設定'!$B$10="四捨五入",ROUND(IF('設定'!$B$9="税込",N($H205)*8/108,N($H205)*8/100),0),IF('設定'!$B$10="切り上げ",ROUNDUP(IF('設定'!$B$9="税込",N($H205)*8/108,N($H205)*8/100),0),ROUNDDOWN(IF('設定'!$B$9="税込",N($H205)*8/108,N($H205)*8/100),0))))</f>
        <v/>
      </c>
      <c r="L205" s="28">
        <f>IF($A205="","",N($G205)+N($H205)+N($I205)+IF('設定'!$B$9="税込",0,$J205+$K205))</f>
        <v/>
      </c>
      <c r="M205" s="29">
        <f>IF(OR($A205="",NOT(ISNUMBER($W205)),NOT(ISNUMBER($X205))),"",IF(OR(INDEX('得意先'!$D$5:$D$104,$W205)="",INDEX('得意先'!$E$5:$E$104,$W205)="",INDEX('得意先'!$F$5:$F$104,$W205)=""),"",IF(INDEX('得意先'!$F$5:$F$104,$W205)="末",DATE(YEAR($X205),(MONTH($X205)+IF(INDEX('得意先'!$D$5:$D$104,$W205)="末",0,IF(DAY($X205)&lt;=INDEX('得意先'!$D$5:$D$104,$W205),0,1))+N(INDEX('得意先'!$E$5:$E$104,$W205)))+1,0),DATE(YEAR($X205),(MONTH($X205)+IF(INDEX('得意先'!$D$5:$D$104,$W205)="末",0,IF(DAY($X205)&lt;=INDEX('得意先'!$D$5:$D$104,$W205),0,1))+N(INDEX('得意先'!$E$5:$E$104,$W205))),MIN(INDEX('得意先'!$F$5:$F$104,$W205),DAY(DATE(YEAR($X205),(MONTH($X205)+IF(INDEX('得意先'!$D$5:$D$104,$W205)="末",0,IF(DAY($X205)&lt;=INDEX('得意先'!$D$5:$D$104,$W205),0,1))+N(INDEX('得意先'!$E$5:$E$104,$W205)))+1,0)))))))</f>
        <v/>
      </c>
      <c r="N205" s="26" t="n"/>
      <c r="O205" s="29">
        <f>IF($A205="","",IF(ISNUMBER($N205),$N205,$M205))</f>
        <v/>
      </c>
      <c r="P205" s="28">
        <f>IF($A205="","",SUMIF('入金消込'!$F$5:$F$1004,$A205,'入金消込'!$G$5:$G$1004))</f>
        <v/>
      </c>
      <c r="Q205" s="28">
        <f>IF($A205="","",SUMIF('入金消込'!$F$5:$F$1004,$A205,'入金消込'!$H$5:$H$1004)+SUMIF('入金消込'!$F$5:$F$1004,$A205,'入金消込'!$I$5:$I$1004))</f>
        <v/>
      </c>
      <c r="R205" s="28">
        <f>IF($A205="","",$L205-$P205-$Q205)</f>
        <v/>
      </c>
      <c r="S205" s="30">
        <f>IF($A205="","",IF($R205=0,IF($L205=0,"請求額0","回収済"),IF($L205&lt;0,IF($R205&lt;0,"差し引き待ち","差し引きすぎ"),IF($R205&lt;0,"入金が多い",IF($P205+$Q205=0,"未入金","一部入金")))))</f>
        <v/>
      </c>
      <c r="T205" s="31">
        <f>IF(OR($A205="",N($R205)&lt;=0,NOT(ISNUMBER($O205))),"",IF($O205&lt;'設定'!$B$7,'設定'!$B$7-$O205,""))</f>
        <v/>
      </c>
      <c r="U205" s="30">
        <f>IF(OR($A205="",N($R205)&lt;=0),"",IF(NOT(ISNUMBER($O205)),'設定'!$B$22,IF($O205&gt;='設定'!$B$7,'設定'!$B$17,IF('設定'!$B$7-$O205&lt;='設定'!$B$12,'設定'!$B$18,IF('設定'!$B$7-$O205&lt;='設定'!$B$13,'設定'!$B$19,IF('設定'!$B$7-$O205&lt;='設定'!$B$14,'設定'!$B$20,'設定'!$B$21))))))</f>
        <v/>
      </c>
      <c r="V205" s="56" t="n"/>
      <c r="W205" s="32">
        <f>IF($C205="","",IFERROR(MATCH($C205,'得意先'!$B$5:$B$104,0),"なし"))</f>
        <v/>
      </c>
      <c r="X205" s="33">
        <f>IF($A205="","",IF(ISNUMBER($E205),$E205,IF(ISNUMBER($B205),$B205,"")))</f>
        <v/>
      </c>
      <c r="Y205" s="34">
        <f>IF($T205="","",$O205+ROW()/1000000)</f>
        <v/>
      </c>
      <c r="Z205" s="35">
        <f>IF(OR($A205="",$C205="",$C205&lt;&gt;'売掛帳'!$B$3,NOT(ISNUMBER($X205))),"",IF(AND($X205&gt;='売掛帳'!$Q$3,$X205&lt;='売掛帳'!$Q$4),$X205+ROW()/10000000,""))</f>
        <v/>
      </c>
    </row>
    <row r="206" ht="18" customHeight="1">
      <c r="A206" s="18" t="n"/>
      <c r="B206" s="26" t="n"/>
      <c r="C206" s="18" t="n"/>
      <c r="D206" s="20">
        <f>IF($W206="","",IF($W206="なし","※得意先にないコード",INDEX('得意先'!$C$5:$C$104,$W206)&amp;""))</f>
        <v/>
      </c>
      <c r="E206" s="26" t="n"/>
      <c r="F206" s="19" t="n"/>
      <c r="G206" s="27" t="n"/>
      <c r="H206" s="27" t="n"/>
      <c r="I206" s="27" t="n"/>
      <c r="J206" s="28">
        <f>IF($A206="","",IF('設定'!$B$10="四捨五入",ROUND(IF('設定'!$B$9="税込",N($G206)*10/110,N($G206)*10/100),0),IF('設定'!$B$10="切り上げ",ROUNDUP(IF('設定'!$B$9="税込",N($G206)*10/110,N($G206)*10/100),0),ROUNDDOWN(IF('設定'!$B$9="税込",N($G206)*10/110,N($G206)*10/100),0))))</f>
        <v/>
      </c>
      <c r="K206" s="28">
        <f>IF($A206="","",IF('設定'!$B$10="四捨五入",ROUND(IF('設定'!$B$9="税込",N($H206)*8/108,N($H206)*8/100),0),IF('設定'!$B$10="切り上げ",ROUNDUP(IF('設定'!$B$9="税込",N($H206)*8/108,N($H206)*8/100),0),ROUNDDOWN(IF('設定'!$B$9="税込",N($H206)*8/108,N($H206)*8/100),0))))</f>
        <v/>
      </c>
      <c r="L206" s="28">
        <f>IF($A206="","",N($G206)+N($H206)+N($I206)+IF('設定'!$B$9="税込",0,$J206+$K206))</f>
        <v/>
      </c>
      <c r="M206" s="29">
        <f>IF(OR($A206="",NOT(ISNUMBER($W206)),NOT(ISNUMBER($X206))),"",IF(OR(INDEX('得意先'!$D$5:$D$104,$W206)="",INDEX('得意先'!$E$5:$E$104,$W206)="",INDEX('得意先'!$F$5:$F$104,$W206)=""),"",IF(INDEX('得意先'!$F$5:$F$104,$W206)="末",DATE(YEAR($X206),(MONTH($X206)+IF(INDEX('得意先'!$D$5:$D$104,$W206)="末",0,IF(DAY($X206)&lt;=INDEX('得意先'!$D$5:$D$104,$W206),0,1))+N(INDEX('得意先'!$E$5:$E$104,$W206)))+1,0),DATE(YEAR($X206),(MONTH($X206)+IF(INDEX('得意先'!$D$5:$D$104,$W206)="末",0,IF(DAY($X206)&lt;=INDEX('得意先'!$D$5:$D$104,$W206),0,1))+N(INDEX('得意先'!$E$5:$E$104,$W206))),MIN(INDEX('得意先'!$F$5:$F$104,$W206),DAY(DATE(YEAR($X206),(MONTH($X206)+IF(INDEX('得意先'!$D$5:$D$104,$W206)="末",0,IF(DAY($X206)&lt;=INDEX('得意先'!$D$5:$D$104,$W206),0,1))+N(INDEX('得意先'!$E$5:$E$104,$W206)))+1,0)))))))</f>
        <v/>
      </c>
      <c r="N206" s="26" t="n"/>
      <c r="O206" s="29">
        <f>IF($A206="","",IF(ISNUMBER($N206),$N206,$M206))</f>
        <v/>
      </c>
      <c r="P206" s="28">
        <f>IF($A206="","",SUMIF('入金消込'!$F$5:$F$1004,$A206,'入金消込'!$G$5:$G$1004))</f>
        <v/>
      </c>
      <c r="Q206" s="28">
        <f>IF($A206="","",SUMIF('入金消込'!$F$5:$F$1004,$A206,'入金消込'!$H$5:$H$1004)+SUMIF('入金消込'!$F$5:$F$1004,$A206,'入金消込'!$I$5:$I$1004))</f>
        <v/>
      </c>
      <c r="R206" s="28">
        <f>IF($A206="","",$L206-$P206-$Q206)</f>
        <v/>
      </c>
      <c r="S206" s="30">
        <f>IF($A206="","",IF($R206=0,IF($L206=0,"請求額0","回収済"),IF($L206&lt;0,IF($R206&lt;0,"差し引き待ち","差し引きすぎ"),IF($R206&lt;0,"入金が多い",IF($P206+$Q206=0,"未入金","一部入金")))))</f>
        <v/>
      </c>
      <c r="T206" s="31">
        <f>IF(OR($A206="",N($R206)&lt;=0,NOT(ISNUMBER($O206))),"",IF($O206&lt;'設定'!$B$7,'設定'!$B$7-$O206,""))</f>
        <v/>
      </c>
      <c r="U206" s="30">
        <f>IF(OR($A206="",N($R206)&lt;=0),"",IF(NOT(ISNUMBER($O206)),'設定'!$B$22,IF($O206&gt;='設定'!$B$7,'設定'!$B$17,IF('設定'!$B$7-$O206&lt;='設定'!$B$12,'設定'!$B$18,IF('設定'!$B$7-$O206&lt;='設定'!$B$13,'設定'!$B$19,IF('設定'!$B$7-$O206&lt;='設定'!$B$14,'設定'!$B$20,'設定'!$B$21))))))</f>
        <v/>
      </c>
      <c r="V206" s="56" t="n"/>
      <c r="W206" s="32">
        <f>IF($C206="","",IFERROR(MATCH($C206,'得意先'!$B$5:$B$104,0),"なし"))</f>
        <v/>
      </c>
      <c r="X206" s="33">
        <f>IF($A206="","",IF(ISNUMBER($E206),$E206,IF(ISNUMBER($B206),$B206,"")))</f>
        <v/>
      </c>
      <c r="Y206" s="34">
        <f>IF($T206="","",$O206+ROW()/1000000)</f>
        <v/>
      </c>
      <c r="Z206" s="35">
        <f>IF(OR($A206="",$C206="",$C206&lt;&gt;'売掛帳'!$B$3,NOT(ISNUMBER($X206))),"",IF(AND($X206&gt;='売掛帳'!$Q$3,$X206&lt;='売掛帳'!$Q$4),$X206+ROW()/10000000,""))</f>
        <v/>
      </c>
    </row>
    <row r="207" ht="18" customHeight="1">
      <c r="A207" s="18" t="n"/>
      <c r="B207" s="26" t="n"/>
      <c r="C207" s="18" t="n"/>
      <c r="D207" s="20">
        <f>IF($W207="","",IF($W207="なし","※得意先にないコード",INDEX('得意先'!$C$5:$C$104,$W207)&amp;""))</f>
        <v/>
      </c>
      <c r="E207" s="26" t="n"/>
      <c r="F207" s="19" t="n"/>
      <c r="G207" s="27" t="n"/>
      <c r="H207" s="27" t="n"/>
      <c r="I207" s="27" t="n"/>
      <c r="J207" s="28">
        <f>IF($A207="","",IF('設定'!$B$10="四捨五入",ROUND(IF('設定'!$B$9="税込",N($G207)*10/110,N($G207)*10/100),0),IF('設定'!$B$10="切り上げ",ROUNDUP(IF('設定'!$B$9="税込",N($G207)*10/110,N($G207)*10/100),0),ROUNDDOWN(IF('設定'!$B$9="税込",N($G207)*10/110,N($G207)*10/100),0))))</f>
        <v/>
      </c>
      <c r="K207" s="28">
        <f>IF($A207="","",IF('設定'!$B$10="四捨五入",ROUND(IF('設定'!$B$9="税込",N($H207)*8/108,N($H207)*8/100),0),IF('設定'!$B$10="切り上げ",ROUNDUP(IF('設定'!$B$9="税込",N($H207)*8/108,N($H207)*8/100),0),ROUNDDOWN(IF('設定'!$B$9="税込",N($H207)*8/108,N($H207)*8/100),0))))</f>
        <v/>
      </c>
      <c r="L207" s="28">
        <f>IF($A207="","",N($G207)+N($H207)+N($I207)+IF('設定'!$B$9="税込",0,$J207+$K207))</f>
        <v/>
      </c>
      <c r="M207" s="29">
        <f>IF(OR($A207="",NOT(ISNUMBER($W207)),NOT(ISNUMBER($X207))),"",IF(OR(INDEX('得意先'!$D$5:$D$104,$W207)="",INDEX('得意先'!$E$5:$E$104,$W207)="",INDEX('得意先'!$F$5:$F$104,$W207)=""),"",IF(INDEX('得意先'!$F$5:$F$104,$W207)="末",DATE(YEAR($X207),(MONTH($X207)+IF(INDEX('得意先'!$D$5:$D$104,$W207)="末",0,IF(DAY($X207)&lt;=INDEX('得意先'!$D$5:$D$104,$W207),0,1))+N(INDEX('得意先'!$E$5:$E$104,$W207)))+1,0),DATE(YEAR($X207),(MONTH($X207)+IF(INDEX('得意先'!$D$5:$D$104,$W207)="末",0,IF(DAY($X207)&lt;=INDEX('得意先'!$D$5:$D$104,$W207),0,1))+N(INDEX('得意先'!$E$5:$E$104,$W207))),MIN(INDEX('得意先'!$F$5:$F$104,$W207),DAY(DATE(YEAR($X207),(MONTH($X207)+IF(INDEX('得意先'!$D$5:$D$104,$W207)="末",0,IF(DAY($X207)&lt;=INDEX('得意先'!$D$5:$D$104,$W207),0,1))+N(INDEX('得意先'!$E$5:$E$104,$W207)))+1,0)))))))</f>
        <v/>
      </c>
      <c r="N207" s="26" t="n"/>
      <c r="O207" s="29">
        <f>IF($A207="","",IF(ISNUMBER($N207),$N207,$M207))</f>
        <v/>
      </c>
      <c r="P207" s="28">
        <f>IF($A207="","",SUMIF('入金消込'!$F$5:$F$1004,$A207,'入金消込'!$G$5:$G$1004))</f>
        <v/>
      </c>
      <c r="Q207" s="28">
        <f>IF($A207="","",SUMIF('入金消込'!$F$5:$F$1004,$A207,'入金消込'!$H$5:$H$1004)+SUMIF('入金消込'!$F$5:$F$1004,$A207,'入金消込'!$I$5:$I$1004))</f>
        <v/>
      </c>
      <c r="R207" s="28">
        <f>IF($A207="","",$L207-$P207-$Q207)</f>
        <v/>
      </c>
      <c r="S207" s="30">
        <f>IF($A207="","",IF($R207=0,IF($L207=0,"請求額0","回収済"),IF($L207&lt;0,IF($R207&lt;0,"差し引き待ち","差し引きすぎ"),IF($R207&lt;0,"入金が多い",IF($P207+$Q207=0,"未入金","一部入金")))))</f>
        <v/>
      </c>
      <c r="T207" s="31">
        <f>IF(OR($A207="",N($R207)&lt;=0,NOT(ISNUMBER($O207))),"",IF($O207&lt;'設定'!$B$7,'設定'!$B$7-$O207,""))</f>
        <v/>
      </c>
      <c r="U207" s="30">
        <f>IF(OR($A207="",N($R207)&lt;=0),"",IF(NOT(ISNUMBER($O207)),'設定'!$B$22,IF($O207&gt;='設定'!$B$7,'設定'!$B$17,IF('設定'!$B$7-$O207&lt;='設定'!$B$12,'設定'!$B$18,IF('設定'!$B$7-$O207&lt;='設定'!$B$13,'設定'!$B$19,IF('設定'!$B$7-$O207&lt;='設定'!$B$14,'設定'!$B$20,'設定'!$B$21))))))</f>
        <v/>
      </c>
      <c r="V207" s="56" t="n"/>
      <c r="W207" s="32">
        <f>IF($C207="","",IFERROR(MATCH($C207,'得意先'!$B$5:$B$104,0),"なし"))</f>
        <v/>
      </c>
      <c r="X207" s="33">
        <f>IF($A207="","",IF(ISNUMBER($E207),$E207,IF(ISNUMBER($B207),$B207,"")))</f>
        <v/>
      </c>
      <c r="Y207" s="34">
        <f>IF($T207="","",$O207+ROW()/1000000)</f>
        <v/>
      </c>
      <c r="Z207" s="35">
        <f>IF(OR($A207="",$C207="",$C207&lt;&gt;'売掛帳'!$B$3,NOT(ISNUMBER($X207))),"",IF(AND($X207&gt;='売掛帳'!$Q$3,$X207&lt;='売掛帳'!$Q$4),$X207+ROW()/10000000,""))</f>
        <v/>
      </c>
    </row>
    <row r="208" ht="18" customHeight="1">
      <c r="A208" s="18" t="n"/>
      <c r="B208" s="26" t="n"/>
      <c r="C208" s="18" t="n"/>
      <c r="D208" s="20">
        <f>IF($W208="","",IF($W208="なし","※得意先にないコード",INDEX('得意先'!$C$5:$C$104,$W208)&amp;""))</f>
        <v/>
      </c>
      <c r="E208" s="26" t="n"/>
      <c r="F208" s="19" t="n"/>
      <c r="G208" s="27" t="n"/>
      <c r="H208" s="27" t="n"/>
      <c r="I208" s="27" t="n"/>
      <c r="J208" s="28">
        <f>IF($A208="","",IF('設定'!$B$10="四捨五入",ROUND(IF('設定'!$B$9="税込",N($G208)*10/110,N($G208)*10/100),0),IF('設定'!$B$10="切り上げ",ROUNDUP(IF('設定'!$B$9="税込",N($G208)*10/110,N($G208)*10/100),0),ROUNDDOWN(IF('設定'!$B$9="税込",N($G208)*10/110,N($G208)*10/100),0))))</f>
        <v/>
      </c>
      <c r="K208" s="28">
        <f>IF($A208="","",IF('設定'!$B$10="四捨五入",ROUND(IF('設定'!$B$9="税込",N($H208)*8/108,N($H208)*8/100),0),IF('設定'!$B$10="切り上げ",ROUNDUP(IF('設定'!$B$9="税込",N($H208)*8/108,N($H208)*8/100),0),ROUNDDOWN(IF('設定'!$B$9="税込",N($H208)*8/108,N($H208)*8/100),0))))</f>
        <v/>
      </c>
      <c r="L208" s="28">
        <f>IF($A208="","",N($G208)+N($H208)+N($I208)+IF('設定'!$B$9="税込",0,$J208+$K208))</f>
        <v/>
      </c>
      <c r="M208" s="29">
        <f>IF(OR($A208="",NOT(ISNUMBER($W208)),NOT(ISNUMBER($X208))),"",IF(OR(INDEX('得意先'!$D$5:$D$104,$W208)="",INDEX('得意先'!$E$5:$E$104,$W208)="",INDEX('得意先'!$F$5:$F$104,$W208)=""),"",IF(INDEX('得意先'!$F$5:$F$104,$W208)="末",DATE(YEAR($X208),(MONTH($X208)+IF(INDEX('得意先'!$D$5:$D$104,$W208)="末",0,IF(DAY($X208)&lt;=INDEX('得意先'!$D$5:$D$104,$W208),0,1))+N(INDEX('得意先'!$E$5:$E$104,$W208)))+1,0),DATE(YEAR($X208),(MONTH($X208)+IF(INDEX('得意先'!$D$5:$D$104,$W208)="末",0,IF(DAY($X208)&lt;=INDEX('得意先'!$D$5:$D$104,$W208),0,1))+N(INDEX('得意先'!$E$5:$E$104,$W208))),MIN(INDEX('得意先'!$F$5:$F$104,$W208),DAY(DATE(YEAR($X208),(MONTH($X208)+IF(INDEX('得意先'!$D$5:$D$104,$W208)="末",0,IF(DAY($X208)&lt;=INDEX('得意先'!$D$5:$D$104,$W208),0,1))+N(INDEX('得意先'!$E$5:$E$104,$W208)))+1,0)))))))</f>
        <v/>
      </c>
      <c r="N208" s="26" t="n"/>
      <c r="O208" s="29">
        <f>IF($A208="","",IF(ISNUMBER($N208),$N208,$M208))</f>
        <v/>
      </c>
      <c r="P208" s="28">
        <f>IF($A208="","",SUMIF('入金消込'!$F$5:$F$1004,$A208,'入金消込'!$G$5:$G$1004))</f>
        <v/>
      </c>
      <c r="Q208" s="28">
        <f>IF($A208="","",SUMIF('入金消込'!$F$5:$F$1004,$A208,'入金消込'!$H$5:$H$1004)+SUMIF('入金消込'!$F$5:$F$1004,$A208,'入金消込'!$I$5:$I$1004))</f>
        <v/>
      </c>
      <c r="R208" s="28">
        <f>IF($A208="","",$L208-$P208-$Q208)</f>
        <v/>
      </c>
      <c r="S208" s="30">
        <f>IF($A208="","",IF($R208=0,IF($L208=0,"請求額0","回収済"),IF($L208&lt;0,IF($R208&lt;0,"差し引き待ち","差し引きすぎ"),IF($R208&lt;0,"入金が多い",IF($P208+$Q208=0,"未入金","一部入金")))))</f>
        <v/>
      </c>
      <c r="T208" s="31">
        <f>IF(OR($A208="",N($R208)&lt;=0,NOT(ISNUMBER($O208))),"",IF($O208&lt;'設定'!$B$7,'設定'!$B$7-$O208,""))</f>
        <v/>
      </c>
      <c r="U208" s="30">
        <f>IF(OR($A208="",N($R208)&lt;=0),"",IF(NOT(ISNUMBER($O208)),'設定'!$B$22,IF($O208&gt;='設定'!$B$7,'設定'!$B$17,IF('設定'!$B$7-$O208&lt;='設定'!$B$12,'設定'!$B$18,IF('設定'!$B$7-$O208&lt;='設定'!$B$13,'設定'!$B$19,IF('設定'!$B$7-$O208&lt;='設定'!$B$14,'設定'!$B$20,'設定'!$B$21))))))</f>
        <v/>
      </c>
      <c r="V208" s="56" t="n"/>
      <c r="W208" s="32">
        <f>IF($C208="","",IFERROR(MATCH($C208,'得意先'!$B$5:$B$104,0),"なし"))</f>
        <v/>
      </c>
      <c r="X208" s="33">
        <f>IF($A208="","",IF(ISNUMBER($E208),$E208,IF(ISNUMBER($B208),$B208,"")))</f>
        <v/>
      </c>
      <c r="Y208" s="34">
        <f>IF($T208="","",$O208+ROW()/1000000)</f>
        <v/>
      </c>
      <c r="Z208" s="35">
        <f>IF(OR($A208="",$C208="",$C208&lt;&gt;'売掛帳'!$B$3,NOT(ISNUMBER($X208))),"",IF(AND($X208&gt;='売掛帳'!$Q$3,$X208&lt;='売掛帳'!$Q$4),$X208+ROW()/10000000,""))</f>
        <v/>
      </c>
    </row>
    <row r="209" ht="18" customHeight="1">
      <c r="A209" s="18" t="n"/>
      <c r="B209" s="26" t="n"/>
      <c r="C209" s="18" t="n"/>
      <c r="D209" s="20">
        <f>IF($W209="","",IF($W209="なし","※得意先にないコード",INDEX('得意先'!$C$5:$C$104,$W209)&amp;""))</f>
        <v/>
      </c>
      <c r="E209" s="26" t="n"/>
      <c r="F209" s="19" t="n"/>
      <c r="G209" s="27" t="n"/>
      <c r="H209" s="27" t="n"/>
      <c r="I209" s="27" t="n"/>
      <c r="J209" s="28">
        <f>IF($A209="","",IF('設定'!$B$10="四捨五入",ROUND(IF('設定'!$B$9="税込",N($G209)*10/110,N($G209)*10/100),0),IF('設定'!$B$10="切り上げ",ROUNDUP(IF('設定'!$B$9="税込",N($G209)*10/110,N($G209)*10/100),0),ROUNDDOWN(IF('設定'!$B$9="税込",N($G209)*10/110,N($G209)*10/100),0))))</f>
        <v/>
      </c>
      <c r="K209" s="28">
        <f>IF($A209="","",IF('設定'!$B$10="四捨五入",ROUND(IF('設定'!$B$9="税込",N($H209)*8/108,N($H209)*8/100),0),IF('設定'!$B$10="切り上げ",ROUNDUP(IF('設定'!$B$9="税込",N($H209)*8/108,N($H209)*8/100),0),ROUNDDOWN(IF('設定'!$B$9="税込",N($H209)*8/108,N($H209)*8/100),0))))</f>
        <v/>
      </c>
      <c r="L209" s="28">
        <f>IF($A209="","",N($G209)+N($H209)+N($I209)+IF('設定'!$B$9="税込",0,$J209+$K209))</f>
        <v/>
      </c>
      <c r="M209" s="29">
        <f>IF(OR($A209="",NOT(ISNUMBER($W209)),NOT(ISNUMBER($X209))),"",IF(OR(INDEX('得意先'!$D$5:$D$104,$W209)="",INDEX('得意先'!$E$5:$E$104,$W209)="",INDEX('得意先'!$F$5:$F$104,$W209)=""),"",IF(INDEX('得意先'!$F$5:$F$104,$W209)="末",DATE(YEAR($X209),(MONTH($X209)+IF(INDEX('得意先'!$D$5:$D$104,$W209)="末",0,IF(DAY($X209)&lt;=INDEX('得意先'!$D$5:$D$104,$W209),0,1))+N(INDEX('得意先'!$E$5:$E$104,$W209)))+1,0),DATE(YEAR($X209),(MONTH($X209)+IF(INDEX('得意先'!$D$5:$D$104,$W209)="末",0,IF(DAY($X209)&lt;=INDEX('得意先'!$D$5:$D$104,$W209),0,1))+N(INDEX('得意先'!$E$5:$E$104,$W209))),MIN(INDEX('得意先'!$F$5:$F$104,$W209),DAY(DATE(YEAR($X209),(MONTH($X209)+IF(INDEX('得意先'!$D$5:$D$104,$W209)="末",0,IF(DAY($X209)&lt;=INDEX('得意先'!$D$5:$D$104,$W209),0,1))+N(INDEX('得意先'!$E$5:$E$104,$W209)))+1,0)))))))</f>
        <v/>
      </c>
      <c r="N209" s="26" t="n"/>
      <c r="O209" s="29">
        <f>IF($A209="","",IF(ISNUMBER($N209),$N209,$M209))</f>
        <v/>
      </c>
      <c r="P209" s="28">
        <f>IF($A209="","",SUMIF('入金消込'!$F$5:$F$1004,$A209,'入金消込'!$G$5:$G$1004))</f>
        <v/>
      </c>
      <c r="Q209" s="28">
        <f>IF($A209="","",SUMIF('入金消込'!$F$5:$F$1004,$A209,'入金消込'!$H$5:$H$1004)+SUMIF('入金消込'!$F$5:$F$1004,$A209,'入金消込'!$I$5:$I$1004))</f>
        <v/>
      </c>
      <c r="R209" s="28">
        <f>IF($A209="","",$L209-$P209-$Q209)</f>
        <v/>
      </c>
      <c r="S209" s="30">
        <f>IF($A209="","",IF($R209=0,IF($L209=0,"請求額0","回収済"),IF($L209&lt;0,IF($R209&lt;0,"差し引き待ち","差し引きすぎ"),IF($R209&lt;0,"入金が多い",IF($P209+$Q209=0,"未入金","一部入金")))))</f>
        <v/>
      </c>
      <c r="T209" s="31">
        <f>IF(OR($A209="",N($R209)&lt;=0,NOT(ISNUMBER($O209))),"",IF($O209&lt;'設定'!$B$7,'設定'!$B$7-$O209,""))</f>
        <v/>
      </c>
      <c r="U209" s="30">
        <f>IF(OR($A209="",N($R209)&lt;=0),"",IF(NOT(ISNUMBER($O209)),'設定'!$B$22,IF($O209&gt;='設定'!$B$7,'設定'!$B$17,IF('設定'!$B$7-$O209&lt;='設定'!$B$12,'設定'!$B$18,IF('設定'!$B$7-$O209&lt;='設定'!$B$13,'設定'!$B$19,IF('設定'!$B$7-$O209&lt;='設定'!$B$14,'設定'!$B$20,'設定'!$B$21))))))</f>
        <v/>
      </c>
      <c r="V209" s="56" t="n"/>
      <c r="W209" s="32">
        <f>IF($C209="","",IFERROR(MATCH($C209,'得意先'!$B$5:$B$104,0),"なし"))</f>
        <v/>
      </c>
      <c r="X209" s="33">
        <f>IF($A209="","",IF(ISNUMBER($E209),$E209,IF(ISNUMBER($B209),$B209,"")))</f>
        <v/>
      </c>
      <c r="Y209" s="34">
        <f>IF($T209="","",$O209+ROW()/1000000)</f>
        <v/>
      </c>
      <c r="Z209" s="35">
        <f>IF(OR($A209="",$C209="",$C209&lt;&gt;'売掛帳'!$B$3,NOT(ISNUMBER($X209))),"",IF(AND($X209&gt;='売掛帳'!$Q$3,$X209&lt;='売掛帳'!$Q$4),$X209+ROW()/10000000,""))</f>
        <v/>
      </c>
    </row>
    <row r="210" ht="18" customHeight="1">
      <c r="A210" s="18" t="n"/>
      <c r="B210" s="26" t="n"/>
      <c r="C210" s="18" t="n"/>
      <c r="D210" s="20">
        <f>IF($W210="","",IF($W210="なし","※得意先にないコード",INDEX('得意先'!$C$5:$C$104,$W210)&amp;""))</f>
        <v/>
      </c>
      <c r="E210" s="26" t="n"/>
      <c r="F210" s="19" t="n"/>
      <c r="G210" s="27" t="n"/>
      <c r="H210" s="27" t="n"/>
      <c r="I210" s="27" t="n"/>
      <c r="J210" s="28">
        <f>IF($A210="","",IF('設定'!$B$10="四捨五入",ROUND(IF('設定'!$B$9="税込",N($G210)*10/110,N($G210)*10/100),0),IF('設定'!$B$10="切り上げ",ROUNDUP(IF('設定'!$B$9="税込",N($G210)*10/110,N($G210)*10/100),0),ROUNDDOWN(IF('設定'!$B$9="税込",N($G210)*10/110,N($G210)*10/100),0))))</f>
        <v/>
      </c>
      <c r="K210" s="28">
        <f>IF($A210="","",IF('設定'!$B$10="四捨五入",ROUND(IF('設定'!$B$9="税込",N($H210)*8/108,N($H210)*8/100),0),IF('設定'!$B$10="切り上げ",ROUNDUP(IF('設定'!$B$9="税込",N($H210)*8/108,N($H210)*8/100),0),ROUNDDOWN(IF('設定'!$B$9="税込",N($H210)*8/108,N($H210)*8/100),0))))</f>
        <v/>
      </c>
      <c r="L210" s="28">
        <f>IF($A210="","",N($G210)+N($H210)+N($I210)+IF('設定'!$B$9="税込",0,$J210+$K210))</f>
        <v/>
      </c>
      <c r="M210" s="29">
        <f>IF(OR($A210="",NOT(ISNUMBER($W210)),NOT(ISNUMBER($X210))),"",IF(OR(INDEX('得意先'!$D$5:$D$104,$W210)="",INDEX('得意先'!$E$5:$E$104,$W210)="",INDEX('得意先'!$F$5:$F$104,$W210)=""),"",IF(INDEX('得意先'!$F$5:$F$104,$W210)="末",DATE(YEAR($X210),(MONTH($X210)+IF(INDEX('得意先'!$D$5:$D$104,$W210)="末",0,IF(DAY($X210)&lt;=INDEX('得意先'!$D$5:$D$104,$W210),0,1))+N(INDEX('得意先'!$E$5:$E$104,$W210)))+1,0),DATE(YEAR($X210),(MONTH($X210)+IF(INDEX('得意先'!$D$5:$D$104,$W210)="末",0,IF(DAY($X210)&lt;=INDEX('得意先'!$D$5:$D$104,$W210),0,1))+N(INDEX('得意先'!$E$5:$E$104,$W210))),MIN(INDEX('得意先'!$F$5:$F$104,$W210),DAY(DATE(YEAR($X210),(MONTH($X210)+IF(INDEX('得意先'!$D$5:$D$104,$W210)="末",0,IF(DAY($X210)&lt;=INDEX('得意先'!$D$5:$D$104,$W210),0,1))+N(INDEX('得意先'!$E$5:$E$104,$W210)))+1,0)))))))</f>
        <v/>
      </c>
      <c r="N210" s="26" t="n"/>
      <c r="O210" s="29">
        <f>IF($A210="","",IF(ISNUMBER($N210),$N210,$M210))</f>
        <v/>
      </c>
      <c r="P210" s="28">
        <f>IF($A210="","",SUMIF('入金消込'!$F$5:$F$1004,$A210,'入金消込'!$G$5:$G$1004))</f>
        <v/>
      </c>
      <c r="Q210" s="28">
        <f>IF($A210="","",SUMIF('入金消込'!$F$5:$F$1004,$A210,'入金消込'!$H$5:$H$1004)+SUMIF('入金消込'!$F$5:$F$1004,$A210,'入金消込'!$I$5:$I$1004))</f>
        <v/>
      </c>
      <c r="R210" s="28">
        <f>IF($A210="","",$L210-$P210-$Q210)</f>
        <v/>
      </c>
      <c r="S210" s="30">
        <f>IF($A210="","",IF($R210=0,IF($L210=0,"請求額0","回収済"),IF($L210&lt;0,IF($R210&lt;0,"差し引き待ち","差し引きすぎ"),IF($R210&lt;0,"入金が多い",IF($P210+$Q210=0,"未入金","一部入金")))))</f>
        <v/>
      </c>
      <c r="T210" s="31">
        <f>IF(OR($A210="",N($R210)&lt;=0,NOT(ISNUMBER($O210))),"",IF($O210&lt;'設定'!$B$7,'設定'!$B$7-$O210,""))</f>
        <v/>
      </c>
      <c r="U210" s="30">
        <f>IF(OR($A210="",N($R210)&lt;=0),"",IF(NOT(ISNUMBER($O210)),'設定'!$B$22,IF($O210&gt;='設定'!$B$7,'設定'!$B$17,IF('設定'!$B$7-$O210&lt;='設定'!$B$12,'設定'!$B$18,IF('設定'!$B$7-$O210&lt;='設定'!$B$13,'設定'!$B$19,IF('設定'!$B$7-$O210&lt;='設定'!$B$14,'設定'!$B$20,'設定'!$B$21))))))</f>
        <v/>
      </c>
      <c r="V210" s="56" t="n"/>
      <c r="W210" s="32">
        <f>IF($C210="","",IFERROR(MATCH($C210,'得意先'!$B$5:$B$104,0),"なし"))</f>
        <v/>
      </c>
      <c r="X210" s="33">
        <f>IF($A210="","",IF(ISNUMBER($E210),$E210,IF(ISNUMBER($B210),$B210,"")))</f>
        <v/>
      </c>
      <c r="Y210" s="34">
        <f>IF($T210="","",$O210+ROW()/1000000)</f>
        <v/>
      </c>
      <c r="Z210" s="35">
        <f>IF(OR($A210="",$C210="",$C210&lt;&gt;'売掛帳'!$B$3,NOT(ISNUMBER($X210))),"",IF(AND($X210&gt;='売掛帳'!$Q$3,$X210&lt;='売掛帳'!$Q$4),$X210+ROW()/10000000,""))</f>
        <v/>
      </c>
    </row>
    <row r="211" ht="18" customHeight="1">
      <c r="A211" s="18" t="n"/>
      <c r="B211" s="26" t="n"/>
      <c r="C211" s="18" t="n"/>
      <c r="D211" s="20">
        <f>IF($W211="","",IF($W211="なし","※得意先にないコード",INDEX('得意先'!$C$5:$C$104,$W211)&amp;""))</f>
        <v/>
      </c>
      <c r="E211" s="26" t="n"/>
      <c r="F211" s="19" t="n"/>
      <c r="G211" s="27" t="n"/>
      <c r="H211" s="27" t="n"/>
      <c r="I211" s="27" t="n"/>
      <c r="J211" s="28">
        <f>IF($A211="","",IF('設定'!$B$10="四捨五入",ROUND(IF('設定'!$B$9="税込",N($G211)*10/110,N($G211)*10/100),0),IF('設定'!$B$10="切り上げ",ROUNDUP(IF('設定'!$B$9="税込",N($G211)*10/110,N($G211)*10/100),0),ROUNDDOWN(IF('設定'!$B$9="税込",N($G211)*10/110,N($G211)*10/100),0))))</f>
        <v/>
      </c>
      <c r="K211" s="28">
        <f>IF($A211="","",IF('設定'!$B$10="四捨五入",ROUND(IF('設定'!$B$9="税込",N($H211)*8/108,N($H211)*8/100),0),IF('設定'!$B$10="切り上げ",ROUNDUP(IF('設定'!$B$9="税込",N($H211)*8/108,N($H211)*8/100),0),ROUNDDOWN(IF('設定'!$B$9="税込",N($H211)*8/108,N($H211)*8/100),0))))</f>
        <v/>
      </c>
      <c r="L211" s="28">
        <f>IF($A211="","",N($G211)+N($H211)+N($I211)+IF('設定'!$B$9="税込",0,$J211+$K211))</f>
        <v/>
      </c>
      <c r="M211" s="29">
        <f>IF(OR($A211="",NOT(ISNUMBER($W211)),NOT(ISNUMBER($X211))),"",IF(OR(INDEX('得意先'!$D$5:$D$104,$W211)="",INDEX('得意先'!$E$5:$E$104,$W211)="",INDEX('得意先'!$F$5:$F$104,$W211)=""),"",IF(INDEX('得意先'!$F$5:$F$104,$W211)="末",DATE(YEAR($X211),(MONTH($X211)+IF(INDEX('得意先'!$D$5:$D$104,$W211)="末",0,IF(DAY($X211)&lt;=INDEX('得意先'!$D$5:$D$104,$W211),0,1))+N(INDEX('得意先'!$E$5:$E$104,$W211)))+1,0),DATE(YEAR($X211),(MONTH($X211)+IF(INDEX('得意先'!$D$5:$D$104,$W211)="末",0,IF(DAY($X211)&lt;=INDEX('得意先'!$D$5:$D$104,$W211),0,1))+N(INDEX('得意先'!$E$5:$E$104,$W211))),MIN(INDEX('得意先'!$F$5:$F$104,$W211),DAY(DATE(YEAR($X211),(MONTH($X211)+IF(INDEX('得意先'!$D$5:$D$104,$W211)="末",0,IF(DAY($X211)&lt;=INDEX('得意先'!$D$5:$D$104,$W211),0,1))+N(INDEX('得意先'!$E$5:$E$104,$W211)))+1,0)))))))</f>
        <v/>
      </c>
      <c r="N211" s="26" t="n"/>
      <c r="O211" s="29">
        <f>IF($A211="","",IF(ISNUMBER($N211),$N211,$M211))</f>
        <v/>
      </c>
      <c r="P211" s="28">
        <f>IF($A211="","",SUMIF('入金消込'!$F$5:$F$1004,$A211,'入金消込'!$G$5:$G$1004))</f>
        <v/>
      </c>
      <c r="Q211" s="28">
        <f>IF($A211="","",SUMIF('入金消込'!$F$5:$F$1004,$A211,'入金消込'!$H$5:$H$1004)+SUMIF('入金消込'!$F$5:$F$1004,$A211,'入金消込'!$I$5:$I$1004))</f>
        <v/>
      </c>
      <c r="R211" s="28">
        <f>IF($A211="","",$L211-$P211-$Q211)</f>
        <v/>
      </c>
      <c r="S211" s="30">
        <f>IF($A211="","",IF($R211=0,IF($L211=0,"請求額0","回収済"),IF($L211&lt;0,IF($R211&lt;0,"差し引き待ち","差し引きすぎ"),IF($R211&lt;0,"入金が多い",IF($P211+$Q211=0,"未入金","一部入金")))))</f>
        <v/>
      </c>
      <c r="T211" s="31">
        <f>IF(OR($A211="",N($R211)&lt;=0,NOT(ISNUMBER($O211))),"",IF($O211&lt;'設定'!$B$7,'設定'!$B$7-$O211,""))</f>
        <v/>
      </c>
      <c r="U211" s="30">
        <f>IF(OR($A211="",N($R211)&lt;=0),"",IF(NOT(ISNUMBER($O211)),'設定'!$B$22,IF($O211&gt;='設定'!$B$7,'設定'!$B$17,IF('設定'!$B$7-$O211&lt;='設定'!$B$12,'設定'!$B$18,IF('設定'!$B$7-$O211&lt;='設定'!$B$13,'設定'!$B$19,IF('設定'!$B$7-$O211&lt;='設定'!$B$14,'設定'!$B$20,'設定'!$B$21))))))</f>
        <v/>
      </c>
      <c r="V211" s="56" t="n"/>
      <c r="W211" s="32">
        <f>IF($C211="","",IFERROR(MATCH($C211,'得意先'!$B$5:$B$104,0),"なし"))</f>
        <v/>
      </c>
      <c r="X211" s="33">
        <f>IF($A211="","",IF(ISNUMBER($E211),$E211,IF(ISNUMBER($B211),$B211,"")))</f>
        <v/>
      </c>
      <c r="Y211" s="34">
        <f>IF($T211="","",$O211+ROW()/1000000)</f>
        <v/>
      </c>
      <c r="Z211" s="35">
        <f>IF(OR($A211="",$C211="",$C211&lt;&gt;'売掛帳'!$B$3,NOT(ISNUMBER($X211))),"",IF(AND($X211&gt;='売掛帳'!$Q$3,$X211&lt;='売掛帳'!$Q$4),$X211+ROW()/10000000,""))</f>
        <v/>
      </c>
    </row>
    <row r="212" ht="18" customHeight="1">
      <c r="A212" s="18" t="n"/>
      <c r="B212" s="26" t="n"/>
      <c r="C212" s="18" t="n"/>
      <c r="D212" s="20">
        <f>IF($W212="","",IF($W212="なし","※得意先にないコード",INDEX('得意先'!$C$5:$C$104,$W212)&amp;""))</f>
        <v/>
      </c>
      <c r="E212" s="26" t="n"/>
      <c r="F212" s="19" t="n"/>
      <c r="G212" s="27" t="n"/>
      <c r="H212" s="27" t="n"/>
      <c r="I212" s="27" t="n"/>
      <c r="J212" s="28">
        <f>IF($A212="","",IF('設定'!$B$10="四捨五入",ROUND(IF('設定'!$B$9="税込",N($G212)*10/110,N($G212)*10/100),0),IF('設定'!$B$10="切り上げ",ROUNDUP(IF('設定'!$B$9="税込",N($G212)*10/110,N($G212)*10/100),0),ROUNDDOWN(IF('設定'!$B$9="税込",N($G212)*10/110,N($G212)*10/100),0))))</f>
        <v/>
      </c>
      <c r="K212" s="28">
        <f>IF($A212="","",IF('設定'!$B$10="四捨五入",ROUND(IF('設定'!$B$9="税込",N($H212)*8/108,N($H212)*8/100),0),IF('設定'!$B$10="切り上げ",ROUNDUP(IF('設定'!$B$9="税込",N($H212)*8/108,N($H212)*8/100),0),ROUNDDOWN(IF('設定'!$B$9="税込",N($H212)*8/108,N($H212)*8/100),0))))</f>
        <v/>
      </c>
      <c r="L212" s="28">
        <f>IF($A212="","",N($G212)+N($H212)+N($I212)+IF('設定'!$B$9="税込",0,$J212+$K212))</f>
        <v/>
      </c>
      <c r="M212" s="29">
        <f>IF(OR($A212="",NOT(ISNUMBER($W212)),NOT(ISNUMBER($X212))),"",IF(OR(INDEX('得意先'!$D$5:$D$104,$W212)="",INDEX('得意先'!$E$5:$E$104,$W212)="",INDEX('得意先'!$F$5:$F$104,$W212)=""),"",IF(INDEX('得意先'!$F$5:$F$104,$W212)="末",DATE(YEAR($X212),(MONTH($X212)+IF(INDEX('得意先'!$D$5:$D$104,$W212)="末",0,IF(DAY($X212)&lt;=INDEX('得意先'!$D$5:$D$104,$W212),0,1))+N(INDEX('得意先'!$E$5:$E$104,$W212)))+1,0),DATE(YEAR($X212),(MONTH($X212)+IF(INDEX('得意先'!$D$5:$D$104,$W212)="末",0,IF(DAY($X212)&lt;=INDEX('得意先'!$D$5:$D$104,$W212),0,1))+N(INDEX('得意先'!$E$5:$E$104,$W212))),MIN(INDEX('得意先'!$F$5:$F$104,$W212),DAY(DATE(YEAR($X212),(MONTH($X212)+IF(INDEX('得意先'!$D$5:$D$104,$W212)="末",0,IF(DAY($X212)&lt;=INDEX('得意先'!$D$5:$D$104,$W212),0,1))+N(INDEX('得意先'!$E$5:$E$104,$W212)))+1,0)))))))</f>
        <v/>
      </c>
      <c r="N212" s="26" t="n"/>
      <c r="O212" s="29">
        <f>IF($A212="","",IF(ISNUMBER($N212),$N212,$M212))</f>
        <v/>
      </c>
      <c r="P212" s="28">
        <f>IF($A212="","",SUMIF('入金消込'!$F$5:$F$1004,$A212,'入金消込'!$G$5:$G$1004))</f>
        <v/>
      </c>
      <c r="Q212" s="28">
        <f>IF($A212="","",SUMIF('入金消込'!$F$5:$F$1004,$A212,'入金消込'!$H$5:$H$1004)+SUMIF('入金消込'!$F$5:$F$1004,$A212,'入金消込'!$I$5:$I$1004))</f>
        <v/>
      </c>
      <c r="R212" s="28">
        <f>IF($A212="","",$L212-$P212-$Q212)</f>
        <v/>
      </c>
      <c r="S212" s="30">
        <f>IF($A212="","",IF($R212=0,IF($L212=0,"請求額0","回収済"),IF($L212&lt;0,IF($R212&lt;0,"差し引き待ち","差し引きすぎ"),IF($R212&lt;0,"入金が多い",IF($P212+$Q212=0,"未入金","一部入金")))))</f>
        <v/>
      </c>
      <c r="T212" s="31">
        <f>IF(OR($A212="",N($R212)&lt;=0,NOT(ISNUMBER($O212))),"",IF($O212&lt;'設定'!$B$7,'設定'!$B$7-$O212,""))</f>
        <v/>
      </c>
      <c r="U212" s="30">
        <f>IF(OR($A212="",N($R212)&lt;=0),"",IF(NOT(ISNUMBER($O212)),'設定'!$B$22,IF($O212&gt;='設定'!$B$7,'設定'!$B$17,IF('設定'!$B$7-$O212&lt;='設定'!$B$12,'設定'!$B$18,IF('設定'!$B$7-$O212&lt;='設定'!$B$13,'設定'!$B$19,IF('設定'!$B$7-$O212&lt;='設定'!$B$14,'設定'!$B$20,'設定'!$B$21))))))</f>
        <v/>
      </c>
      <c r="V212" s="56" t="n"/>
      <c r="W212" s="32">
        <f>IF($C212="","",IFERROR(MATCH($C212,'得意先'!$B$5:$B$104,0),"なし"))</f>
        <v/>
      </c>
      <c r="X212" s="33">
        <f>IF($A212="","",IF(ISNUMBER($E212),$E212,IF(ISNUMBER($B212),$B212,"")))</f>
        <v/>
      </c>
      <c r="Y212" s="34">
        <f>IF($T212="","",$O212+ROW()/1000000)</f>
        <v/>
      </c>
      <c r="Z212" s="35">
        <f>IF(OR($A212="",$C212="",$C212&lt;&gt;'売掛帳'!$B$3,NOT(ISNUMBER($X212))),"",IF(AND($X212&gt;='売掛帳'!$Q$3,$X212&lt;='売掛帳'!$Q$4),$X212+ROW()/10000000,""))</f>
        <v/>
      </c>
    </row>
    <row r="213" ht="18" customHeight="1">
      <c r="A213" s="18" t="n"/>
      <c r="B213" s="26" t="n"/>
      <c r="C213" s="18" t="n"/>
      <c r="D213" s="20">
        <f>IF($W213="","",IF($W213="なし","※得意先にないコード",INDEX('得意先'!$C$5:$C$104,$W213)&amp;""))</f>
        <v/>
      </c>
      <c r="E213" s="26" t="n"/>
      <c r="F213" s="19" t="n"/>
      <c r="G213" s="27" t="n"/>
      <c r="H213" s="27" t="n"/>
      <c r="I213" s="27" t="n"/>
      <c r="J213" s="28">
        <f>IF($A213="","",IF('設定'!$B$10="四捨五入",ROUND(IF('設定'!$B$9="税込",N($G213)*10/110,N($G213)*10/100),0),IF('設定'!$B$10="切り上げ",ROUNDUP(IF('設定'!$B$9="税込",N($G213)*10/110,N($G213)*10/100),0),ROUNDDOWN(IF('設定'!$B$9="税込",N($G213)*10/110,N($G213)*10/100),0))))</f>
        <v/>
      </c>
      <c r="K213" s="28">
        <f>IF($A213="","",IF('設定'!$B$10="四捨五入",ROUND(IF('設定'!$B$9="税込",N($H213)*8/108,N($H213)*8/100),0),IF('設定'!$B$10="切り上げ",ROUNDUP(IF('設定'!$B$9="税込",N($H213)*8/108,N($H213)*8/100),0),ROUNDDOWN(IF('設定'!$B$9="税込",N($H213)*8/108,N($H213)*8/100),0))))</f>
        <v/>
      </c>
      <c r="L213" s="28">
        <f>IF($A213="","",N($G213)+N($H213)+N($I213)+IF('設定'!$B$9="税込",0,$J213+$K213))</f>
        <v/>
      </c>
      <c r="M213" s="29">
        <f>IF(OR($A213="",NOT(ISNUMBER($W213)),NOT(ISNUMBER($X213))),"",IF(OR(INDEX('得意先'!$D$5:$D$104,$W213)="",INDEX('得意先'!$E$5:$E$104,$W213)="",INDEX('得意先'!$F$5:$F$104,$W213)=""),"",IF(INDEX('得意先'!$F$5:$F$104,$W213)="末",DATE(YEAR($X213),(MONTH($X213)+IF(INDEX('得意先'!$D$5:$D$104,$W213)="末",0,IF(DAY($X213)&lt;=INDEX('得意先'!$D$5:$D$104,$W213),0,1))+N(INDEX('得意先'!$E$5:$E$104,$W213)))+1,0),DATE(YEAR($X213),(MONTH($X213)+IF(INDEX('得意先'!$D$5:$D$104,$W213)="末",0,IF(DAY($X213)&lt;=INDEX('得意先'!$D$5:$D$104,$W213),0,1))+N(INDEX('得意先'!$E$5:$E$104,$W213))),MIN(INDEX('得意先'!$F$5:$F$104,$W213),DAY(DATE(YEAR($X213),(MONTH($X213)+IF(INDEX('得意先'!$D$5:$D$104,$W213)="末",0,IF(DAY($X213)&lt;=INDEX('得意先'!$D$5:$D$104,$W213),0,1))+N(INDEX('得意先'!$E$5:$E$104,$W213)))+1,0)))))))</f>
        <v/>
      </c>
      <c r="N213" s="26" t="n"/>
      <c r="O213" s="29">
        <f>IF($A213="","",IF(ISNUMBER($N213),$N213,$M213))</f>
        <v/>
      </c>
      <c r="P213" s="28">
        <f>IF($A213="","",SUMIF('入金消込'!$F$5:$F$1004,$A213,'入金消込'!$G$5:$G$1004))</f>
        <v/>
      </c>
      <c r="Q213" s="28">
        <f>IF($A213="","",SUMIF('入金消込'!$F$5:$F$1004,$A213,'入金消込'!$H$5:$H$1004)+SUMIF('入金消込'!$F$5:$F$1004,$A213,'入金消込'!$I$5:$I$1004))</f>
        <v/>
      </c>
      <c r="R213" s="28">
        <f>IF($A213="","",$L213-$P213-$Q213)</f>
        <v/>
      </c>
      <c r="S213" s="30">
        <f>IF($A213="","",IF($R213=0,IF($L213=0,"請求額0","回収済"),IF($L213&lt;0,IF($R213&lt;0,"差し引き待ち","差し引きすぎ"),IF($R213&lt;0,"入金が多い",IF($P213+$Q213=0,"未入金","一部入金")))))</f>
        <v/>
      </c>
      <c r="T213" s="31">
        <f>IF(OR($A213="",N($R213)&lt;=0,NOT(ISNUMBER($O213))),"",IF($O213&lt;'設定'!$B$7,'設定'!$B$7-$O213,""))</f>
        <v/>
      </c>
      <c r="U213" s="30">
        <f>IF(OR($A213="",N($R213)&lt;=0),"",IF(NOT(ISNUMBER($O213)),'設定'!$B$22,IF($O213&gt;='設定'!$B$7,'設定'!$B$17,IF('設定'!$B$7-$O213&lt;='設定'!$B$12,'設定'!$B$18,IF('設定'!$B$7-$O213&lt;='設定'!$B$13,'設定'!$B$19,IF('設定'!$B$7-$O213&lt;='設定'!$B$14,'設定'!$B$20,'設定'!$B$21))))))</f>
        <v/>
      </c>
      <c r="V213" s="56" t="n"/>
      <c r="W213" s="32">
        <f>IF($C213="","",IFERROR(MATCH($C213,'得意先'!$B$5:$B$104,0),"なし"))</f>
        <v/>
      </c>
      <c r="X213" s="33">
        <f>IF($A213="","",IF(ISNUMBER($E213),$E213,IF(ISNUMBER($B213),$B213,"")))</f>
        <v/>
      </c>
      <c r="Y213" s="34">
        <f>IF($T213="","",$O213+ROW()/1000000)</f>
        <v/>
      </c>
      <c r="Z213" s="35">
        <f>IF(OR($A213="",$C213="",$C213&lt;&gt;'売掛帳'!$B$3,NOT(ISNUMBER($X213))),"",IF(AND($X213&gt;='売掛帳'!$Q$3,$X213&lt;='売掛帳'!$Q$4),$X213+ROW()/10000000,""))</f>
        <v/>
      </c>
    </row>
    <row r="214" ht="18" customHeight="1">
      <c r="A214" s="18" t="n"/>
      <c r="B214" s="26" t="n"/>
      <c r="C214" s="18" t="n"/>
      <c r="D214" s="20">
        <f>IF($W214="","",IF($W214="なし","※得意先にないコード",INDEX('得意先'!$C$5:$C$104,$W214)&amp;""))</f>
        <v/>
      </c>
      <c r="E214" s="26" t="n"/>
      <c r="F214" s="19" t="n"/>
      <c r="G214" s="27" t="n"/>
      <c r="H214" s="27" t="n"/>
      <c r="I214" s="27" t="n"/>
      <c r="J214" s="28">
        <f>IF($A214="","",IF('設定'!$B$10="四捨五入",ROUND(IF('設定'!$B$9="税込",N($G214)*10/110,N($G214)*10/100),0),IF('設定'!$B$10="切り上げ",ROUNDUP(IF('設定'!$B$9="税込",N($G214)*10/110,N($G214)*10/100),0),ROUNDDOWN(IF('設定'!$B$9="税込",N($G214)*10/110,N($G214)*10/100),0))))</f>
        <v/>
      </c>
      <c r="K214" s="28">
        <f>IF($A214="","",IF('設定'!$B$10="四捨五入",ROUND(IF('設定'!$B$9="税込",N($H214)*8/108,N($H214)*8/100),0),IF('設定'!$B$10="切り上げ",ROUNDUP(IF('設定'!$B$9="税込",N($H214)*8/108,N($H214)*8/100),0),ROUNDDOWN(IF('設定'!$B$9="税込",N($H214)*8/108,N($H214)*8/100),0))))</f>
        <v/>
      </c>
      <c r="L214" s="28">
        <f>IF($A214="","",N($G214)+N($H214)+N($I214)+IF('設定'!$B$9="税込",0,$J214+$K214))</f>
        <v/>
      </c>
      <c r="M214" s="29">
        <f>IF(OR($A214="",NOT(ISNUMBER($W214)),NOT(ISNUMBER($X214))),"",IF(OR(INDEX('得意先'!$D$5:$D$104,$W214)="",INDEX('得意先'!$E$5:$E$104,$W214)="",INDEX('得意先'!$F$5:$F$104,$W214)=""),"",IF(INDEX('得意先'!$F$5:$F$104,$W214)="末",DATE(YEAR($X214),(MONTH($X214)+IF(INDEX('得意先'!$D$5:$D$104,$W214)="末",0,IF(DAY($X214)&lt;=INDEX('得意先'!$D$5:$D$104,$W214),0,1))+N(INDEX('得意先'!$E$5:$E$104,$W214)))+1,0),DATE(YEAR($X214),(MONTH($X214)+IF(INDEX('得意先'!$D$5:$D$104,$W214)="末",0,IF(DAY($X214)&lt;=INDEX('得意先'!$D$5:$D$104,$W214),0,1))+N(INDEX('得意先'!$E$5:$E$104,$W214))),MIN(INDEX('得意先'!$F$5:$F$104,$W214),DAY(DATE(YEAR($X214),(MONTH($X214)+IF(INDEX('得意先'!$D$5:$D$104,$W214)="末",0,IF(DAY($X214)&lt;=INDEX('得意先'!$D$5:$D$104,$W214),0,1))+N(INDEX('得意先'!$E$5:$E$104,$W214)))+1,0)))))))</f>
        <v/>
      </c>
      <c r="N214" s="26" t="n"/>
      <c r="O214" s="29">
        <f>IF($A214="","",IF(ISNUMBER($N214),$N214,$M214))</f>
        <v/>
      </c>
      <c r="P214" s="28">
        <f>IF($A214="","",SUMIF('入金消込'!$F$5:$F$1004,$A214,'入金消込'!$G$5:$G$1004))</f>
        <v/>
      </c>
      <c r="Q214" s="28">
        <f>IF($A214="","",SUMIF('入金消込'!$F$5:$F$1004,$A214,'入金消込'!$H$5:$H$1004)+SUMIF('入金消込'!$F$5:$F$1004,$A214,'入金消込'!$I$5:$I$1004))</f>
        <v/>
      </c>
      <c r="R214" s="28">
        <f>IF($A214="","",$L214-$P214-$Q214)</f>
        <v/>
      </c>
      <c r="S214" s="30">
        <f>IF($A214="","",IF($R214=0,IF($L214=0,"請求額0","回収済"),IF($L214&lt;0,IF($R214&lt;0,"差し引き待ち","差し引きすぎ"),IF($R214&lt;0,"入金が多い",IF($P214+$Q214=0,"未入金","一部入金")))))</f>
        <v/>
      </c>
      <c r="T214" s="31">
        <f>IF(OR($A214="",N($R214)&lt;=0,NOT(ISNUMBER($O214))),"",IF($O214&lt;'設定'!$B$7,'設定'!$B$7-$O214,""))</f>
        <v/>
      </c>
      <c r="U214" s="30">
        <f>IF(OR($A214="",N($R214)&lt;=0),"",IF(NOT(ISNUMBER($O214)),'設定'!$B$22,IF($O214&gt;='設定'!$B$7,'設定'!$B$17,IF('設定'!$B$7-$O214&lt;='設定'!$B$12,'設定'!$B$18,IF('設定'!$B$7-$O214&lt;='設定'!$B$13,'設定'!$B$19,IF('設定'!$B$7-$O214&lt;='設定'!$B$14,'設定'!$B$20,'設定'!$B$21))))))</f>
        <v/>
      </c>
      <c r="V214" s="56" t="n"/>
      <c r="W214" s="32">
        <f>IF($C214="","",IFERROR(MATCH($C214,'得意先'!$B$5:$B$104,0),"なし"))</f>
        <v/>
      </c>
      <c r="X214" s="33">
        <f>IF($A214="","",IF(ISNUMBER($E214),$E214,IF(ISNUMBER($B214),$B214,"")))</f>
        <v/>
      </c>
      <c r="Y214" s="34">
        <f>IF($T214="","",$O214+ROW()/1000000)</f>
        <v/>
      </c>
      <c r="Z214" s="35">
        <f>IF(OR($A214="",$C214="",$C214&lt;&gt;'売掛帳'!$B$3,NOT(ISNUMBER($X214))),"",IF(AND($X214&gt;='売掛帳'!$Q$3,$X214&lt;='売掛帳'!$Q$4),$X214+ROW()/10000000,""))</f>
        <v/>
      </c>
    </row>
    <row r="215" ht="18" customHeight="1">
      <c r="A215" s="18" t="n"/>
      <c r="B215" s="26" t="n"/>
      <c r="C215" s="18" t="n"/>
      <c r="D215" s="20">
        <f>IF($W215="","",IF($W215="なし","※得意先にないコード",INDEX('得意先'!$C$5:$C$104,$W215)&amp;""))</f>
        <v/>
      </c>
      <c r="E215" s="26" t="n"/>
      <c r="F215" s="19" t="n"/>
      <c r="G215" s="27" t="n"/>
      <c r="H215" s="27" t="n"/>
      <c r="I215" s="27" t="n"/>
      <c r="J215" s="28">
        <f>IF($A215="","",IF('設定'!$B$10="四捨五入",ROUND(IF('設定'!$B$9="税込",N($G215)*10/110,N($G215)*10/100),0),IF('設定'!$B$10="切り上げ",ROUNDUP(IF('設定'!$B$9="税込",N($G215)*10/110,N($G215)*10/100),0),ROUNDDOWN(IF('設定'!$B$9="税込",N($G215)*10/110,N($G215)*10/100),0))))</f>
        <v/>
      </c>
      <c r="K215" s="28">
        <f>IF($A215="","",IF('設定'!$B$10="四捨五入",ROUND(IF('設定'!$B$9="税込",N($H215)*8/108,N($H215)*8/100),0),IF('設定'!$B$10="切り上げ",ROUNDUP(IF('設定'!$B$9="税込",N($H215)*8/108,N($H215)*8/100),0),ROUNDDOWN(IF('設定'!$B$9="税込",N($H215)*8/108,N($H215)*8/100),0))))</f>
        <v/>
      </c>
      <c r="L215" s="28">
        <f>IF($A215="","",N($G215)+N($H215)+N($I215)+IF('設定'!$B$9="税込",0,$J215+$K215))</f>
        <v/>
      </c>
      <c r="M215" s="29">
        <f>IF(OR($A215="",NOT(ISNUMBER($W215)),NOT(ISNUMBER($X215))),"",IF(OR(INDEX('得意先'!$D$5:$D$104,$W215)="",INDEX('得意先'!$E$5:$E$104,$W215)="",INDEX('得意先'!$F$5:$F$104,$W215)=""),"",IF(INDEX('得意先'!$F$5:$F$104,$W215)="末",DATE(YEAR($X215),(MONTH($X215)+IF(INDEX('得意先'!$D$5:$D$104,$W215)="末",0,IF(DAY($X215)&lt;=INDEX('得意先'!$D$5:$D$104,$W215),0,1))+N(INDEX('得意先'!$E$5:$E$104,$W215)))+1,0),DATE(YEAR($X215),(MONTH($X215)+IF(INDEX('得意先'!$D$5:$D$104,$W215)="末",0,IF(DAY($X215)&lt;=INDEX('得意先'!$D$5:$D$104,$W215),0,1))+N(INDEX('得意先'!$E$5:$E$104,$W215))),MIN(INDEX('得意先'!$F$5:$F$104,$W215),DAY(DATE(YEAR($X215),(MONTH($X215)+IF(INDEX('得意先'!$D$5:$D$104,$W215)="末",0,IF(DAY($X215)&lt;=INDEX('得意先'!$D$5:$D$104,$W215),0,1))+N(INDEX('得意先'!$E$5:$E$104,$W215)))+1,0)))))))</f>
        <v/>
      </c>
      <c r="N215" s="26" t="n"/>
      <c r="O215" s="29">
        <f>IF($A215="","",IF(ISNUMBER($N215),$N215,$M215))</f>
        <v/>
      </c>
      <c r="P215" s="28">
        <f>IF($A215="","",SUMIF('入金消込'!$F$5:$F$1004,$A215,'入金消込'!$G$5:$G$1004))</f>
        <v/>
      </c>
      <c r="Q215" s="28">
        <f>IF($A215="","",SUMIF('入金消込'!$F$5:$F$1004,$A215,'入金消込'!$H$5:$H$1004)+SUMIF('入金消込'!$F$5:$F$1004,$A215,'入金消込'!$I$5:$I$1004))</f>
        <v/>
      </c>
      <c r="R215" s="28">
        <f>IF($A215="","",$L215-$P215-$Q215)</f>
        <v/>
      </c>
      <c r="S215" s="30">
        <f>IF($A215="","",IF($R215=0,IF($L215=0,"請求額0","回収済"),IF($L215&lt;0,IF($R215&lt;0,"差し引き待ち","差し引きすぎ"),IF($R215&lt;0,"入金が多い",IF($P215+$Q215=0,"未入金","一部入金")))))</f>
        <v/>
      </c>
      <c r="T215" s="31">
        <f>IF(OR($A215="",N($R215)&lt;=0,NOT(ISNUMBER($O215))),"",IF($O215&lt;'設定'!$B$7,'設定'!$B$7-$O215,""))</f>
        <v/>
      </c>
      <c r="U215" s="30">
        <f>IF(OR($A215="",N($R215)&lt;=0),"",IF(NOT(ISNUMBER($O215)),'設定'!$B$22,IF($O215&gt;='設定'!$B$7,'設定'!$B$17,IF('設定'!$B$7-$O215&lt;='設定'!$B$12,'設定'!$B$18,IF('設定'!$B$7-$O215&lt;='設定'!$B$13,'設定'!$B$19,IF('設定'!$B$7-$O215&lt;='設定'!$B$14,'設定'!$B$20,'設定'!$B$21))))))</f>
        <v/>
      </c>
      <c r="V215" s="56" t="n"/>
      <c r="W215" s="32">
        <f>IF($C215="","",IFERROR(MATCH($C215,'得意先'!$B$5:$B$104,0),"なし"))</f>
        <v/>
      </c>
      <c r="X215" s="33">
        <f>IF($A215="","",IF(ISNUMBER($E215),$E215,IF(ISNUMBER($B215),$B215,"")))</f>
        <v/>
      </c>
      <c r="Y215" s="34">
        <f>IF($T215="","",$O215+ROW()/1000000)</f>
        <v/>
      </c>
      <c r="Z215" s="35">
        <f>IF(OR($A215="",$C215="",$C215&lt;&gt;'売掛帳'!$B$3,NOT(ISNUMBER($X215))),"",IF(AND($X215&gt;='売掛帳'!$Q$3,$X215&lt;='売掛帳'!$Q$4),$X215+ROW()/10000000,""))</f>
        <v/>
      </c>
    </row>
    <row r="216" ht="18" customHeight="1">
      <c r="A216" s="18" t="n"/>
      <c r="B216" s="26" t="n"/>
      <c r="C216" s="18" t="n"/>
      <c r="D216" s="20">
        <f>IF($W216="","",IF($W216="なし","※得意先にないコード",INDEX('得意先'!$C$5:$C$104,$W216)&amp;""))</f>
        <v/>
      </c>
      <c r="E216" s="26" t="n"/>
      <c r="F216" s="19" t="n"/>
      <c r="G216" s="27" t="n"/>
      <c r="H216" s="27" t="n"/>
      <c r="I216" s="27" t="n"/>
      <c r="J216" s="28">
        <f>IF($A216="","",IF('設定'!$B$10="四捨五入",ROUND(IF('設定'!$B$9="税込",N($G216)*10/110,N($G216)*10/100),0),IF('設定'!$B$10="切り上げ",ROUNDUP(IF('設定'!$B$9="税込",N($G216)*10/110,N($G216)*10/100),0),ROUNDDOWN(IF('設定'!$B$9="税込",N($G216)*10/110,N($G216)*10/100),0))))</f>
        <v/>
      </c>
      <c r="K216" s="28">
        <f>IF($A216="","",IF('設定'!$B$10="四捨五入",ROUND(IF('設定'!$B$9="税込",N($H216)*8/108,N($H216)*8/100),0),IF('設定'!$B$10="切り上げ",ROUNDUP(IF('設定'!$B$9="税込",N($H216)*8/108,N($H216)*8/100),0),ROUNDDOWN(IF('設定'!$B$9="税込",N($H216)*8/108,N($H216)*8/100),0))))</f>
        <v/>
      </c>
      <c r="L216" s="28">
        <f>IF($A216="","",N($G216)+N($H216)+N($I216)+IF('設定'!$B$9="税込",0,$J216+$K216))</f>
        <v/>
      </c>
      <c r="M216" s="29">
        <f>IF(OR($A216="",NOT(ISNUMBER($W216)),NOT(ISNUMBER($X216))),"",IF(OR(INDEX('得意先'!$D$5:$D$104,$W216)="",INDEX('得意先'!$E$5:$E$104,$W216)="",INDEX('得意先'!$F$5:$F$104,$W216)=""),"",IF(INDEX('得意先'!$F$5:$F$104,$W216)="末",DATE(YEAR($X216),(MONTH($X216)+IF(INDEX('得意先'!$D$5:$D$104,$W216)="末",0,IF(DAY($X216)&lt;=INDEX('得意先'!$D$5:$D$104,$W216),0,1))+N(INDEX('得意先'!$E$5:$E$104,$W216)))+1,0),DATE(YEAR($X216),(MONTH($X216)+IF(INDEX('得意先'!$D$5:$D$104,$W216)="末",0,IF(DAY($X216)&lt;=INDEX('得意先'!$D$5:$D$104,$W216),0,1))+N(INDEX('得意先'!$E$5:$E$104,$W216))),MIN(INDEX('得意先'!$F$5:$F$104,$W216),DAY(DATE(YEAR($X216),(MONTH($X216)+IF(INDEX('得意先'!$D$5:$D$104,$W216)="末",0,IF(DAY($X216)&lt;=INDEX('得意先'!$D$5:$D$104,$W216),0,1))+N(INDEX('得意先'!$E$5:$E$104,$W216)))+1,0)))))))</f>
        <v/>
      </c>
      <c r="N216" s="26" t="n"/>
      <c r="O216" s="29">
        <f>IF($A216="","",IF(ISNUMBER($N216),$N216,$M216))</f>
        <v/>
      </c>
      <c r="P216" s="28">
        <f>IF($A216="","",SUMIF('入金消込'!$F$5:$F$1004,$A216,'入金消込'!$G$5:$G$1004))</f>
        <v/>
      </c>
      <c r="Q216" s="28">
        <f>IF($A216="","",SUMIF('入金消込'!$F$5:$F$1004,$A216,'入金消込'!$H$5:$H$1004)+SUMIF('入金消込'!$F$5:$F$1004,$A216,'入金消込'!$I$5:$I$1004))</f>
        <v/>
      </c>
      <c r="R216" s="28">
        <f>IF($A216="","",$L216-$P216-$Q216)</f>
        <v/>
      </c>
      <c r="S216" s="30">
        <f>IF($A216="","",IF($R216=0,IF($L216=0,"請求額0","回収済"),IF($L216&lt;0,IF($R216&lt;0,"差し引き待ち","差し引きすぎ"),IF($R216&lt;0,"入金が多い",IF($P216+$Q216=0,"未入金","一部入金")))))</f>
        <v/>
      </c>
      <c r="T216" s="31">
        <f>IF(OR($A216="",N($R216)&lt;=0,NOT(ISNUMBER($O216))),"",IF($O216&lt;'設定'!$B$7,'設定'!$B$7-$O216,""))</f>
        <v/>
      </c>
      <c r="U216" s="30">
        <f>IF(OR($A216="",N($R216)&lt;=0),"",IF(NOT(ISNUMBER($O216)),'設定'!$B$22,IF($O216&gt;='設定'!$B$7,'設定'!$B$17,IF('設定'!$B$7-$O216&lt;='設定'!$B$12,'設定'!$B$18,IF('設定'!$B$7-$O216&lt;='設定'!$B$13,'設定'!$B$19,IF('設定'!$B$7-$O216&lt;='設定'!$B$14,'設定'!$B$20,'設定'!$B$21))))))</f>
        <v/>
      </c>
      <c r="V216" s="56" t="n"/>
      <c r="W216" s="32">
        <f>IF($C216="","",IFERROR(MATCH($C216,'得意先'!$B$5:$B$104,0),"なし"))</f>
        <v/>
      </c>
      <c r="X216" s="33">
        <f>IF($A216="","",IF(ISNUMBER($E216),$E216,IF(ISNUMBER($B216),$B216,"")))</f>
        <v/>
      </c>
      <c r="Y216" s="34">
        <f>IF($T216="","",$O216+ROW()/1000000)</f>
        <v/>
      </c>
      <c r="Z216" s="35">
        <f>IF(OR($A216="",$C216="",$C216&lt;&gt;'売掛帳'!$B$3,NOT(ISNUMBER($X216))),"",IF(AND($X216&gt;='売掛帳'!$Q$3,$X216&lt;='売掛帳'!$Q$4),$X216+ROW()/10000000,""))</f>
        <v/>
      </c>
    </row>
    <row r="217" ht="18" customHeight="1">
      <c r="A217" s="18" t="n"/>
      <c r="B217" s="26" t="n"/>
      <c r="C217" s="18" t="n"/>
      <c r="D217" s="20">
        <f>IF($W217="","",IF($W217="なし","※得意先にないコード",INDEX('得意先'!$C$5:$C$104,$W217)&amp;""))</f>
        <v/>
      </c>
      <c r="E217" s="26" t="n"/>
      <c r="F217" s="19" t="n"/>
      <c r="G217" s="27" t="n"/>
      <c r="H217" s="27" t="n"/>
      <c r="I217" s="27" t="n"/>
      <c r="J217" s="28">
        <f>IF($A217="","",IF('設定'!$B$10="四捨五入",ROUND(IF('設定'!$B$9="税込",N($G217)*10/110,N($G217)*10/100),0),IF('設定'!$B$10="切り上げ",ROUNDUP(IF('設定'!$B$9="税込",N($G217)*10/110,N($G217)*10/100),0),ROUNDDOWN(IF('設定'!$B$9="税込",N($G217)*10/110,N($G217)*10/100),0))))</f>
        <v/>
      </c>
      <c r="K217" s="28">
        <f>IF($A217="","",IF('設定'!$B$10="四捨五入",ROUND(IF('設定'!$B$9="税込",N($H217)*8/108,N($H217)*8/100),0),IF('設定'!$B$10="切り上げ",ROUNDUP(IF('設定'!$B$9="税込",N($H217)*8/108,N($H217)*8/100),0),ROUNDDOWN(IF('設定'!$B$9="税込",N($H217)*8/108,N($H217)*8/100),0))))</f>
        <v/>
      </c>
      <c r="L217" s="28">
        <f>IF($A217="","",N($G217)+N($H217)+N($I217)+IF('設定'!$B$9="税込",0,$J217+$K217))</f>
        <v/>
      </c>
      <c r="M217" s="29">
        <f>IF(OR($A217="",NOT(ISNUMBER($W217)),NOT(ISNUMBER($X217))),"",IF(OR(INDEX('得意先'!$D$5:$D$104,$W217)="",INDEX('得意先'!$E$5:$E$104,$W217)="",INDEX('得意先'!$F$5:$F$104,$W217)=""),"",IF(INDEX('得意先'!$F$5:$F$104,$W217)="末",DATE(YEAR($X217),(MONTH($X217)+IF(INDEX('得意先'!$D$5:$D$104,$W217)="末",0,IF(DAY($X217)&lt;=INDEX('得意先'!$D$5:$D$104,$W217),0,1))+N(INDEX('得意先'!$E$5:$E$104,$W217)))+1,0),DATE(YEAR($X217),(MONTH($X217)+IF(INDEX('得意先'!$D$5:$D$104,$W217)="末",0,IF(DAY($X217)&lt;=INDEX('得意先'!$D$5:$D$104,$W217),0,1))+N(INDEX('得意先'!$E$5:$E$104,$W217))),MIN(INDEX('得意先'!$F$5:$F$104,$W217),DAY(DATE(YEAR($X217),(MONTH($X217)+IF(INDEX('得意先'!$D$5:$D$104,$W217)="末",0,IF(DAY($X217)&lt;=INDEX('得意先'!$D$5:$D$104,$W217),0,1))+N(INDEX('得意先'!$E$5:$E$104,$W217)))+1,0)))))))</f>
        <v/>
      </c>
      <c r="N217" s="26" t="n"/>
      <c r="O217" s="29">
        <f>IF($A217="","",IF(ISNUMBER($N217),$N217,$M217))</f>
        <v/>
      </c>
      <c r="P217" s="28">
        <f>IF($A217="","",SUMIF('入金消込'!$F$5:$F$1004,$A217,'入金消込'!$G$5:$G$1004))</f>
        <v/>
      </c>
      <c r="Q217" s="28">
        <f>IF($A217="","",SUMIF('入金消込'!$F$5:$F$1004,$A217,'入金消込'!$H$5:$H$1004)+SUMIF('入金消込'!$F$5:$F$1004,$A217,'入金消込'!$I$5:$I$1004))</f>
        <v/>
      </c>
      <c r="R217" s="28">
        <f>IF($A217="","",$L217-$P217-$Q217)</f>
        <v/>
      </c>
      <c r="S217" s="30">
        <f>IF($A217="","",IF($R217=0,IF($L217=0,"請求額0","回収済"),IF($L217&lt;0,IF($R217&lt;0,"差し引き待ち","差し引きすぎ"),IF($R217&lt;0,"入金が多い",IF($P217+$Q217=0,"未入金","一部入金")))))</f>
        <v/>
      </c>
      <c r="T217" s="31">
        <f>IF(OR($A217="",N($R217)&lt;=0,NOT(ISNUMBER($O217))),"",IF($O217&lt;'設定'!$B$7,'設定'!$B$7-$O217,""))</f>
        <v/>
      </c>
      <c r="U217" s="30">
        <f>IF(OR($A217="",N($R217)&lt;=0),"",IF(NOT(ISNUMBER($O217)),'設定'!$B$22,IF($O217&gt;='設定'!$B$7,'設定'!$B$17,IF('設定'!$B$7-$O217&lt;='設定'!$B$12,'設定'!$B$18,IF('設定'!$B$7-$O217&lt;='設定'!$B$13,'設定'!$B$19,IF('設定'!$B$7-$O217&lt;='設定'!$B$14,'設定'!$B$20,'設定'!$B$21))))))</f>
        <v/>
      </c>
      <c r="V217" s="56" t="n"/>
      <c r="W217" s="32">
        <f>IF($C217="","",IFERROR(MATCH($C217,'得意先'!$B$5:$B$104,0),"なし"))</f>
        <v/>
      </c>
      <c r="X217" s="33">
        <f>IF($A217="","",IF(ISNUMBER($E217),$E217,IF(ISNUMBER($B217),$B217,"")))</f>
        <v/>
      </c>
      <c r="Y217" s="34">
        <f>IF($T217="","",$O217+ROW()/1000000)</f>
        <v/>
      </c>
      <c r="Z217" s="35">
        <f>IF(OR($A217="",$C217="",$C217&lt;&gt;'売掛帳'!$B$3,NOT(ISNUMBER($X217))),"",IF(AND($X217&gt;='売掛帳'!$Q$3,$X217&lt;='売掛帳'!$Q$4),$X217+ROW()/10000000,""))</f>
        <v/>
      </c>
    </row>
    <row r="218" ht="18" customHeight="1">
      <c r="A218" s="18" t="n"/>
      <c r="B218" s="26" t="n"/>
      <c r="C218" s="18" t="n"/>
      <c r="D218" s="20">
        <f>IF($W218="","",IF($W218="なし","※得意先にないコード",INDEX('得意先'!$C$5:$C$104,$W218)&amp;""))</f>
        <v/>
      </c>
      <c r="E218" s="26" t="n"/>
      <c r="F218" s="19" t="n"/>
      <c r="G218" s="27" t="n"/>
      <c r="H218" s="27" t="n"/>
      <c r="I218" s="27" t="n"/>
      <c r="J218" s="28">
        <f>IF($A218="","",IF('設定'!$B$10="四捨五入",ROUND(IF('設定'!$B$9="税込",N($G218)*10/110,N($G218)*10/100),0),IF('設定'!$B$10="切り上げ",ROUNDUP(IF('設定'!$B$9="税込",N($G218)*10/110,N($G218)*10/100),0),ROUNDDOWN(IF('設定'!$B$9="税込",N($G218)*10/110,N($G218)*10/100),0))))</f>
        <v/>
      </c>
      <c r="K218" s="28">
        <f>IF($A218="","",IF('設定'!$B$10="四捨五入",ROUND(IF('設定'!$B$9="税込",N($H218)*8/108,N($H218)*8/100),0),IF('設定'!$B$10="切り上げ",ROUNDUP(IF('設定'!$B$9="税込",N($H218)*8/108,N($H218)*8/100),0),ROUNDDOWN(IF('設定'!$B$9="税込",N($H218)*8/108,N($H218)*8/100),0))))</f>
        <v/>
      </c>
      <c r="L218" s="28">
        <f>IF($A218="","",N($G218)+N($H218)+N($I218)+IF('設定'!$B$9="税込",0,$J218+$K218))</f>
        <v/>
      </c>
      <c r="M218" s="29">
        <f>IF(OR($A218="",NOT(ISNUMBER($W218)),NOT(ISNUMBER($X218))),"",IF(OR(INDEX('得意先'!$D$5:$D$104,$W218)="",INDEX('得意先'!$E$5:$E$104,$W218)="",INDEX('得意先'!$F$5:$F$104,$W218)=""),"",IF(INDEX('得意先'!$F$5:$F$104,$W218)="末",DATE(YEAR($X218),(MONTH($X218)+IF(INDEX('得意先'!$D$5:$D$104,$W218)="末",0,IF(DAY($X218)&lt;=INDEX('得意先'!$D$5:$D$104,$W218),0,1))+N(INDEX('得意先'!$E$5:$E$104,$W218)))+1,0),DATE(YEAR($X218),(MONTH($X218)+IF(INDEX('得意先'!$D$5:$D$104,$W218)="末",0,IF(DAY($X218)&lt;=INDEX('得意先'!$D$5:$D$104,$W218),0,1))+N(INDEX('得意先'!$E$5:$E$104,$W218))),MIN(INDEX('得意先'!$F$5:$F$104,$W218),DAY(DATE(YEAR($X218),(MONTH($X218)+IF(INDEX('得意先'!$D$5:$D$104,$W218)="末",0,IF(DAY($X218)&lt;=INDEX('得意先'!$D$5:$D$104,$W218),0,1))+N(INDEX('得意先'!$E$5:$E$104,$W218)))+1,0)))))))</f>
        <v/>
      </c>
      <c r="N218" s="26" t="n"/>
      <c r="O218" s="29">
        <f>IF($A218="","",IF(ISNUMBER($N218),$N218,$M218))</f>
        <v/>
      </c>
      <c r="P218" s="28">
        <f>IF($A218="","",SUMIF('入金消込'!$F$5:$F$1004,$A218,'入金消込'!$G$5:$G$1004))</f>
        <v/>
      </c>
      <c r="Q218" s="28">
        <f>IF($A218="","",SUMIF('入金消込'!$F$5:$F$1004,$A218,'入金消込'!$H$5:$H$1004)+SUMIF('入金消込'!$F$5:$F$1004,$A218,'入金消込'!$I$5:$I$1004))</f>
        <v/>
      </c>
      <c r="R218" s="28">
        <f>IF($A218="","",$L218-$P218-$Q218)</f>
        <v/>
      </c>
      <c r="S218" s="30">
        <f>IF($A218="","",IF($R218=0,IF($L218=0,"請求額0","回収済"),IF($L218&lt;0,IF($R218&lt;0,"差し引き待ち","差し引きすぎ"),IF($R218&lt;0,"入金が多い",IF($P218+$Q218=0,"未入金","一部入金")))))</f>
        <v/>
      </c>
      <c r="T218" s="31">
        <f>IF(OR($A218="",N($R218)&lt;=0,NOT(ISNUMBER($O218))),"",IF($O218&lt;'設定'!$B$7,'設定'!$B$7-$O218,""))</f>
        <v/>
      </c>
      <c r="U218" s="30">
        <f>IF(OR($A218="",N($R218)&lt;=0),"",IF(NOT(ISNUMBER($O218)),'設定'!$B$22,IF($O218&gt;='設定'!$B$7,'設定'!$B$17,IF('設定'!$B$7-$O218&lt;='設定'!$B$12,'設定'!$B$18,IF('設定'!$B$7-$O218&lt;='設定'!$B$13,'設定'!$B$19,IF('設定'!$B$7-$O218&lt;='設定'!$B$14,'設定'!$B$20,'設定'!$B$21))))))</f>
        <v/>
      </c>
      <c r="V218" s="56" t="n"/>
      <c r="W218" s="32">
        <f>IF($C218="","",IFERROR(MATCH($C218,'得意先'!$B$5:$B$104,0),"なし"))</f>
        <v/>
      </c>
      <c r="X218" s="33">
        <f>IF($A218="","",IF(ISNUMBER($E218),$E218,IF(ISNUMBER($B218),$B218,"")))</f>
        <v/>
      </c>
      <c r="Y218" s="34">
        <f>IF($T218="","",$O218+ROW()/1000000)</f>
        <v/>
      </c>
      <c r="Z218" s="35">
        <f>IF(OR($A218="",$C218="",$C218&lt;&gt;'売掛帳'!$B$3,NOT(ISNUMBER($X218))),"",IF(AND($X218&gt;='売掛帳'!$Q$3,$X218&lt;='売掛帳'!$Q$4),$X218+ROW()/10000000,""))</f>
        <v/>
      </c>
    </row>
    <row r="219" ht="18" customHeight="1">
      <c r="A219" s="18" t="n"/>
      <c r="B219" s="26" t="n"/>
      <c r="C219" s="18" t="n"/>
      <c r="D219" s="20">
        <f>IF($W219="","",IF($W219="なし","※得意先にないコード",INDEX('得意先'!$C$5:$C$104,$W219)&amp;""))</f>
        <v/>
      </c>
      <c r="E219" s="26" t="n"/>
      <c r="F219" s="19" t="n"/>
      <c r="G219" s="27" t="n"/>
      <c r="H219" s="27" t="n"/>
      <c r="I219" s="27" t="n"/>
      <c r="J219" s="28">
        <f>IF($A219="","",IF('設定'!$B$10="四捨五入",ROUND(IF('設定'!$B$9="税込",N($G219)*10/110,N($G219)*10/100),0),IF('設定'!$B$10="切り上げ",ROUNDUP(IF('設定'!$B$9="税込",N($G219)*10/110,N($G219)*10/100),0),ROUNDDOWN(IF('設定'!$B$9="税込",N($G219)*10/110,N($G219)*10/100),0))))</f>
        <v/>
      </c>
      <c r="K219" s="28">
        <f>IF($A219="","",IF('設定'!$B$10="四捨五入",ROUND(IF('設定'!$B$9="税込",N($H219)*8/108,N($H219)*8/100),0),IF('設定'!$B$10="切り上げ",ROUNDUP(IF('設定'!$B$9="税込",N($H219)*8/108,N($H219)*8/100),0),ROUNDDOWN(IF('設定'!$B$9="税込",N($H219)*8/108,N($H219)*8/100),0))))</f>
        <v/>
      </c>
      <c r="L219" s="28">
        <f>IF($A219="","",N($G219)+N($H219)+N($I219)+IF('設定'!$B$9="税込",0,$J219+$K219))</f>
        <v/>
      </c>
      <c r="M219" s="29">
        <f>IF(OR($A219="",NOT(ISNUMBER($W219)),NOT(ISNUMBER($X219))),"",IF(OR(INDEX('得意先'!$D$5:$D$104,$W219)="",INDEX('得意先'!$E$5:$E$104,$W219)="",INDEX('得意先'!$F$5:$F$104,$W219)=""),"",IF(INDEX('得意先'!$F$5:$F$104,$W219)="末",DATE(YEAR($X219),(MONTH($X219)+IF(INDEX('得意先'!$D$5:$D$104,$W219)="末",0,IF(DAY($X219)&lt;=INDEX('得意先'!$D$5:$D$104,$W219),0,1))+N(INDEX('得意先'!$E$5:$E$104,$W219)))+1,0),DATE(YEAR($X219),(MONTH($X219)+IF(INDEX('得意先'!$D$5:$D$104,$W219)="末",0,IF(DAY($X219)&lt;=INDEX('得意先'!$D$5:$D$104,$W219),0,1))+N(INDEX('得意先'!$E$5:$E$104,$W219))),MIN(INDEX('得意先'!$F$5:$F$104,$W219),DAY(DATE(YEAR($X219),(MONTH($X219)+IF(INDEX('得意先'!$D$5:$D$104,$W219)="末",0,IF(DAY($X219)&lt;=INDEX('得意先'!$D$5:$D$104,$W219),0,1))+N(INDEX('得意先'!$E$5:$E$104,$W219)))+1,0)))))))</f>
        <v/>
      </c>
      <c r="N219" s="26" t="n"/>
      <c r="O219" s="29">
        <f>IF($A219="","",IF(ISNUMBER($N219),$N219,$M219))</f>
        <v/>
      </c>
      <c r="P219" s="28">
        <f>IF($A219="","",SUMIF('入金消込'!$F$5:$F$1004,$A219,'入金消込'!$G$5:$G$1004))</f>
        <v/>
      </c>
      <c r="Q219" s="28">
        <f>IF($A219="","",SUMIF('入金消込'!$F$5:$F$1004,$A219,'入金消込'!$H$5:$H$1004)+SUMIF('入金消込'!$F$5:$F$1004,$A219,'入金消込'!$I$5:$I$1004))</f>
        <v/>
      </c>
      <c r="R219" s="28">
        <f>IF($A219="","",$L219-$P219-$Q219)</f>
        <v/>
      </c>
      <c r="S219" s="30">
        <f>IF($A219="","",IF($R219=0,IF($L219=0,"請求額0","回収済"),IF($L219&lt;0,IF($R219&lt;0,"差し引き待ち","差し引きすぎ"),IF($R219&lt;0,"入金が多い",IF($P219+$Q219=0,"未入金","一部入金")))))</f>
        <v/>
      </c>
      <c r="T219" s="31">
        <f>IF(OR($A219="",N($R219)&lt;=0,NOT(ISNUMBER($O219))),"",IF($O219&lt;'設定'!$B$7,'設定'!$B$7-$O219,""))</f>
        <v/>
      </c>
      <c r="U219" s="30">
        <f>IF(OR($A219="",N($R219)&lt;=0),"",IF(NOT(ISNUMBER($O219)),'設定'!$B$22,IF($O219&gt;='設定'!$B$7,'設定'!$B$17,IF('設定'!$B$7-$O219&lt;='設定'!$B$12,'設定'!$B$18,IF('設定'!$B$7-$O219&lt;='設定'!$B$13,'設定'!$B$19,IF('設定'!$B$7-$O219&lt;='設定'!$B$14,'設定'!$B$20,'設定'!$B$21))))))</f>
        <v/>
      </c>
      <c r="V219" s="56" t="n"/>
      <c r="W219" s="32">
        <f>IF($C219="","",IFERROR(MATCH($C219,'得意先'!$B$5:$B$104,0),"なし"))</f>
        <v/>
      </c>
      <c r="X219" s="33">
        <f>IF($A219="","",IF(ISNUMBER($E219),$E219,IF(ISNUMBER($B219),$B219,"")))</f>
        <v/>
      </c>
      <c r="Y219" s="34">
        <f>IF($T219="","",$O219+ROW()/1000000)</f>
        <v/>
      </c>
      <c r="Z219" s="35">
        <f>IF(OR($A219="",$C219="",$C219&lt;&gt;'売掛帳'!$B$3,NOT(ISNUMBER($X219))),"",IF(AND($X219&gt;='売掛帳'!$Q$3,$X219&lt;='売掛帳'!$Q$4),$X219+ROW()/10000000,""))</f>
        <v/>
      </c>
    </row>
    <row r="220" ht="18" customHeight="1">
      <c r="A220" s="18" t="n"/>
      <c r="B220" s="26" t="n"/>
      <c r="C220" s="18" t="n"/>
      <c r="D220" s="20">
        <f>IF($W220="","",IF($W220="なし","※得意先にないコード",INDEX('得意先'!$C$5:$C$104,$W220)&amp;""))</f>
        <v/>
      </c>
      <c r="E220" s="26" t="n"/>
      <c r="F220" s="19" t="n"/>
      <c r="G220" s="27" t="n"/>
      <c r="H220" s="27" t="n"/>
      <c r="I220" s="27" t="n"/>
      <c r="J220" s="28">
        <f>IF($A220="","",IF('設定'!$B$10="四捨五入",ROUND(IF('設定'!$B$9="税込",N($G220)*10/110,N($G220)*10/100),0),IF('設定'!$B$10="切り上げ",ROUNDUP(IF('設定'!$B$9="税込",N($G220)*10/110,N($G220)*10/100),0),ROUNDDOWN(IF('設定'!$B$9="税込",N($G220)*10/110,N($G220)*10/100),0))))</f>
        <v/>
      </c>
      <c r="K220" s="28">
        <f>IF($A220="","",IF('設定'!$B$10="四捨五入",ROUND(IF('設定'!$B$9="税込",N($H220)*8/108,N($H220)*8/100),0),IF('設定'!$B$10="切り上げ",ROUNDUP(IF('設定'!$B$9="税込",N($H220)*8/108,N($H220)*8/100),0),ROUNDDOWN(IF('設定'!$B$9="税込",N($H220)*8/108,N($H220)*8/100),0))))</f>
        <v/>
      </c>
      <c r="L220" s="28">
        <f>IF($A220="","",N($G220)+N($H220)+N($I220)+IF('設定'!$B$9="税込",0,$J220+$K220))</f>
        <v/>
      </c>
      <c r="M220" s="29">
        <f>IF(OR($A220="",NOT(ISNUMBER($W220)),NOT(ISNUMBER($X220))),"",IF(OR(INDEX('得意先'!$D$5:$D$104,$W220)="",INDEX('得意先'!$E$5:$E$104,$W220)="",INDEX('得意先'!$F$5:$F$104,$W220)=""),"",IF(INDEX('得意先'!$F$5:$F$104,$W220)="末",DATE(YEAR($X220),(MONTH($X220)+IF(INDEX('得意先'!$D$5:$D$104,$W220)="末",0,IF(DAY($X220)&lt;=INDEX('得意先'!$D$5:$D$104,$W220),0,1))+N(INDEX('得意先'!$E$5:$E$104,$W220)))+1,0),DATE(YEAR($X220),(MONTH($X220)+IF(INDEX('得意先'!$D$5:$D$104,$W220)="末",0,IF(DAY($X220)&lt;=INDEX('得意先'!$D$5:$D$104,$W220),0,1))+N(INDEX('得意先'!$E$5:$E$104,$W220))),MIN(INDEX('得意先'!$F$5:$F$104,$W220),DAY(DATE(YEAR($X220),(MONTH($X220)+IF(INDEX('得意先'!$D$5:$D$104,$W220)="末",0,IF(DAY($X220)&lt;=INDEX('得意先'!$D$5:$D$104,$W220),0,1))+N(INDEX('得意先'!$E$5:$E$104,$W220)))+1,0)))))))</f>
        <v/>
      </c>
      <c r="N220" s="26" t="n"/>
      <c r="O220" s="29">
        <f>IF($A220="","",IF(ISNUMBER($N220),$N220,$M220))</f>
        <v/>
      </c>
      <c r="P220" s="28">
        <f>IF($A220="","",SUMIF('入金消込'!$F$5:$F$1004,$A220,'入金消込'!$G$5:$G$1004))</f>
        <v/>
      </c>
      <c r="Q220" s="28">
        <f>IF($A220="","",SUMIF('入金消込'!$F$5:$F$1004,$A220,'入金消込'!$H$5:$H$1004)+SUMIF('入金消込'!$F$5:$F$1004,$A220,'入金消込'!$I$5:$I$1004))</f>
        <v/>
      </c>
      <c r="R220" s="28">
        <f>IF($A220="","",$L220-$P220-$Q220)</f>
        <v/>
      </c>
      <c r="S220" s="30">
        <f>IF($A220="","",IF($R220=0,IF($L220=0,"請求額0","回収済"),IF($L220&lt;0,IF($R220&lt;0,"差し引き待ち","差し引きすぎ"),IF($R220&lt;0,"入金が多い",IF($P220+$Q220=0,"未入金","一部入金")))))</f>
        <v/>
      </c>
      <c r="T220" s="31">
        <f>IF(OR($A220="",N($R220)&lt;=0,NOT(ISNUMBER($O220))),"",IF($O220&lt;'設定'!$B$7,'設定'!$B$7-$O220,""))</f>
        <v/>
      </c>
      <c r="U220" s="30">
        <f>IF(OR($A220="",N($R220)&lt;=0),"",IF(NOT(ISNUMBER($O220)),'設定'!$B$22,IF($O220&gt;='設定'!$B$7,'設定'!$B$17,IF('設定'!$B$7-$O220&lt;='設定'!$B$12,'設定'!$B$18,IF('設定'!$B$7-$O220&lt;='設定'!$B$13,'設定'!$B$19,IF('設定'!$B$7-$O220&lt;='設定'!$B$14,'設定'!$B$20,'設定'!$B$21))))))</f>
        <v/>
      </c>
      <c r="V220" s="56" t="n"/>
      <c r="W220" s="32">
        <f>IF($C220="","",IFERROR(MATCH($C220,'得意先'!$B$5:$B$104,0),"なし"))</f>
        <v/>
      </c>
      <c r="X220" s="33">
        <f>IF($A220="","",IF(ISNUMBER($E220),$E220,IF(ISNUMBER($B220),$B220,"")))</f>
        <v/>
      </c>
      <c r="Y220" s="34">
        <f>IF($T220="","",$O220+ROW()/1000000)</f>
        <v/>
      </c>
      <c r="Z220" s="35">
        <f>IF(OR($A220="",$C220="",$C220&lt;&gt;'売掛帳'!$B$3,NOT(ISNUMBER($X220))),"",IF(AND($X220&gt;='売掛帳'!$Q$3,$X220&lt;='売掛帳'!$Q$4),$X220+ROW()/10000000,""))</f>
        <v/>
      </c>
    </row>
    <row r="221" ht="18" customHeight="1">
      <c r="A221" s="18" t="n"/>
      <c r="B221" s="26" t="n"/>
      <c r="C221" s="18" t="n"/>
      <c r="D221" s="20">
        <f>IF($W221="","",IF($W221="なし","※得意先にないコード",INDEX('得意先'!$C$5:$C$104,$W221)&amp;""))</f>
        <v/>
      </c>
      <c r="E221" s="26" t="n"/>
      <c r="F221" s="19" t="n"/>
      <c r="G221" s="27" t="n"/>
      <c r="H221" s="27" t="n"/>
      <c r="I221" s="27" t="n"/>
      <c r="J221" s="28">
        <f>IF($A221="","",IF('設定'!$B$10="四捨五入",ROUND(IF('設定'!$B$9="税込",N($G221)*10/110,N($G221)*10/100),0),IF('設定'!$B$10="切り上げ",ROUNDUP(IF('設定'!$B$9="税込",N($G221)*10/110,N($G221)*10/100),0),ROUNDDOWN(IF('設定'!$B$9="税込",N($G221)*10/110,N($G221)*10/100),0))))</f>
        <v/>
      </c>
      <c r="K221" s="28">
        <f>IF($A221="","",IF('設定'!$B$10="四捨五入",ROUND(IF('設定'!$B$9="税込",N($H221)*8/108,N($H221)*8/100),0),IF('設定'!$B$10="切り上げ",ROUNDUP(IF('設定'!$B$9="税込",N($H221)*8/108,N($H221)*8/100),0),ROUNDDOWN(IF('設定'!$B$9="税込",N($H221)*8/108,N($H221)*8/100),0))))</f>
        <v/>
      </c>
      <c r="L221" s="28">
        <f>IF($A221="","",N($G221)+N($H221)+N($I221)+IF('設定'!$B$9="税込",0,$J221+$K221))</f>
        <v/>
      </c>
      <c r="M221" s="29">
        <f>IF(OR($A221="",NOT(ISNUMBER($W221)),NOT(ISNUMBER($X221))),"",IF(OR(INDEX('得意先'!$D$5:$D$104,$W221)="",INDEX('得意先'!$E$5:$E$104,$W221)="",INDEX('得意先'!$F$5:$F$104,$W221)=""),"",IF(INDEX('得意先'!$F$5:$F$104,$W221)="末",DATE(YEAR($X221),(MONTH($X221)+IF(INDEX('得意先'!$D$5:$D$104,$W221)="末",0,IF(DAY($X221)&lt;=INDEX('得意先'!$D$5:$D$104,$W221),0,1))+N(INDEX('得意先'!$E$5:$E$104,$W221)))+1,0),DATE(YEAR($X221),(MONTH($X221)+IF(INDEX('得意先'!$D$5:$D$104,$W221)="末",0,IF(DAY($X221)&lt;=INDEX('得意先'!$D$5:$D$104,$W221),0,1))+N(INDEX('得意先'!$E$5:$E$104,$W221))),MIN(INDEX('得意先'!$F$5:$F$104,$W221),DAY(DATE(YEAR($X221),(MONTH($X221)+IF(INDEX('得意先'!$D$5:$D$104,$W221)="末",0,IF(DAY($X221)&lt;=INDEX('得意先'!$D$5:$D$104,$W221),0,1))+N(INDEX('得意先'!$E$5:$E$104,$W221)))+1,0)))))))</f>
        <v/>
      </c>
      <c r="N221" s="26" t="n"/>
      <c r="O221" s="29">
        <f>IF($A221="","",IF(ISNUMBER($N221),$N221,$M221))</f>
        <v/>
      </c>
      <c r="P221" s="28">
        <f>IF($A221="","",SUMIF('入金消込'!$F$5:$F$1004,$A221,'入金消込'!$G$5:$G$1004))</f>
        <v/>
      </c>
      <c r="Q221" s="28">
        <f>IF($A221="","",SUMIF('入金消込'!$F$5:$F$1004,$A221,'入金消込'!$H$5:$H$1004)+SUMIF('入金消込'!$F$5:$F$1004,$A221,'入金消込'!$I$5:$I$1004))</f>
        <v/>
      </c>
      <c r="R221" s="28">
        <f>IF($A221="","",$L221-$P221-$Q221)</f>
        <v/>
      </c>
      <c r="S221" s="30">
        <f>IF($A221="","",IF($R221=0,IF($L221=0,"請求額0","回収済"),IF($L221&lt;0,IF($R221&lt;0,"差し引き待ち","差し引きすぎ"),IF($R221&lt;0,"入金が多い",IF($P221+$Q221=0,"未入金","一部入金")))))</f>
        <v/>
      </c>
      <c r="T221" s="31">
        <f>IF(OR($A221="",N($R221)&lt;=0,NOT(ISNUMBER($O221))),"",IF($O221&lt;'設定'!$B$7,'設定'!$B$7-$O221,""))</f>
        <v/>
      </c>
      <c r="U221" s="30">
        <f>IF(OR($A221="",N($R221)&lt;=0),"",IF(NOT(ISNUMBER($O221)),'設定'!$B$22,IF($O221&gt;='設定'!$B$7,'設定'!$B$17,IF('設定'!$B$7-$O221&lt;='設定'!$B$12,'設定'!$B$18,IF('設定'!$B$7-$O221&lt;='設定'!$B$13,'設定'!$B$19,IF('設定'!$B$7-$O221&lt;='設定'!$B$14,'設定'!$B$20,'設定'!$B$21))))))</f>
        <v/>
      </c>
      <c r="V221" s="56" t="n"/>
      <c r="W221" s="32">
        <f>IF($C221="","",IFERROR(MATCH($C221,'得意先'!$B$5:$B$104,0),"なし"))</f>
        <v/>
      </c>
      <c r="X221" s="33">
        <f>IF($A221="","",IF(ISNUMBER($E221),$E221,IF(ISNUMBER($B221),$B221,"")))</f>
        <v/>
      </c>
      <c r="Y221" s="34">
        <f>IF($T221="","",$O221+ROW()/1000000)</f>
        <v/>
      </c>
      <c r="Z221" s="35">
        <f>IF(OR($A221="",$C221="",$C221&lt;&gt;'売掛帳'!$B$3,NOT(ISNUMBER($X221))),"",IF(AND($X221&gt;='売掛帳'!$Q$3,$X221&lt;='売掛帳'!$Q$4),$X221+ROW()/10000000,""))</f>
        <v/>
      </c>
    </row>
    <row r="222" ht="18" customHeight="1">
      <c r="A222" s="18" t="n"/>
      <c r="B222" s="26" t="n"/>
      <c r="C222" s="18" t="n"/>
      <c r="D222" s="20">
        <f>IF($W222="","",IF($W222="なし","※得意先にないコード",INDEX('得意先'!$C$5:$C$104,$W222)&amp;""))</f>
        <v/>
      </c>
      <c r="E222" s="26" t="n"/>
      <c r="F222" s="19" t="n"/>
      <c r="G222" s="27" t="n"/>
      <c r="H222" s="27" t="n"/>
      <c r="I222" s="27" t="n"/>
      <c r="J222" s="28">
        <f>IF($A222="","",IF('設定'!$B$10="四捨五入",ROUND(IF('設定'!$B$9="税込",N($G222)*10/110,N($G222)*10/100),0),IF('設定'!$B$10="切り上げ",ROUNDUP(IF('設定'!$B$9="税込",N($G222)*10/110,N($G222)*10/100),0),ROUNDDOWN(IF('設定'!$B$9="税込",N($G222)*10/110,N($G222)*10/100),0))))</f>
        <v/>
      </c>
      <c r="K222" s="28">
        <f>IF($A222="","",IF('設定'!$B$10="四捨五入",ROUND(IF('設定'!$B$9="税込",N($H222)*8/108,N($H222)*8/100),0),IF('設定'!$B$10="切り上げ",ROUNDUP(IF('設定'!$B$9="税込",N($H222)*8/108,N($H222)*8/100),0),ROUNDDOWN(IF('設定'!$B$9="税込",N($H222)*8/108,N($H222)*8/100),0))))</f>
        <v/>
      </c>
      <c r="L222" s="28">
        <f>IF($A222="","",N($G222)+N($H222)+N($I222)+IF('設定'!$B$9="税込",0,$J222+$K222))</f>
        <v/>
      </c>
      <c r="M222" s="29">
        <f>IF(OR($A222="",NOT(ISNUMBER($W222)),NOT(ISNUMBER($X222))),"",IF(OR(INDEX('得意先'!$D$5:$D$104,$W222)="",INDEX('得意先'!$E$5:$E$104,$W222)="",INDEX('得意先'!$F$5:$F$104,$W222)=""),"",IF(INDEX('得意先'!$F$5:$F$104,$W222)="末",DATE(YEAR($X222),(MONTH($X222)+IF(INDEX('得意先'!$D$5:$D$104,$W222)="末",0,IF(DAY($X222)&lt;=INDEX('得意先'!$D$5:$D$104,$W222),0,1))+N(INDEX('得意先'!$E$5:$E$104,$W222)))+1,0),DATE(YEAR($X222),(MONTH($X222)+IF(INDEX('得意先'!$D$5:$D$104,$W222)="末",0,IF(DAY($X222)&lt;=INDEX('得意先'!$D$5:$D$104,$W222),0,1))+N(INDEX('得意先'!$E$5:$E$104,$W222))),MIN(INDEX('得意先'!$F$5:$F$104,$W222),DAY(DATE(YEAR($X222),(MONTH($X222)+IF(INDEX('得意先'!$D$5:$D$104,$W222)="末",0,IF(DAY($X222)&lt;=INDEX('得意先'!$D$5:$D$104,$W222),0,1))+N(INDEX('得意先'!$E$5:$E$104,$W222)))+1,0)))))))</f>
        <v/>
      </c>
      <c r="N222" s="26" t="n"/>
      <c r="O222" s="29">
        <f>IF($A222="","",IF(ISNUMBER($N222),$N222,$M222))</f>
        <v/>
      </c>
      <c r="P222" s="28">
        <f>IF($A222="","",SUMIF('入金消込'!$F$5:$F$1004,$A222,'入金消込'!$G$5:$G$1004))</f>
        <v/>
      </c>
      <c r="Q222" s="28">
        <f>IF($A222="","",SUMIF('入金消込'!$F$5:$F$1004,$A222,'入金消込'!$H$5:$H$1004)+SUMIF('入金消込'!$F$5:$F$1004,$A222,'入金消込'!$I$5:$I$1004))</f>
        <v/>
      </c>
      <c r="R222" s="28">
        <f>IF($A222="","",$L222-$P222-$Q222)</f>
        <v/>
      </c>
      <c r="S222" s="30">
        <f>IF($A222="","",IF($R222=0,IF($L222=0,"請求額0","回収済"),IF($L222&lt;0,IF($R222&lt;0,"差し引き待ち","差し引きすぎ"),IF($R222&lt;0,"入金が多い",IF($P222+$Q222=0,"未入金","一部入金")))))</f>
        <v/>
      </c>
      <c r="T222" s="31">
        <f>IF(OR($A222="",N($R222)&lt;=0,NOT(ISNUMBER($O222))),"",IF($O222&lt;'設定'!$B$7,'設定'!$B$7-$O222,""))</f>
        <v/>
      </c>
      <c r="U222" s="30">
        <f>IF(OR($A222="",N($R222)&lt;=0),"",IF(NOT(ISNUMBER($O222)),'設定'!$B$22,IF($O222&gt;='設定'!$B$7,'設定'!$B$17,IF('設定'!$B$7-$O222&lt;='設定'!$B$12,'設定'!$B$18,IF('設定'!$B$7-$O222&lt;='設定'!$B$13,'設定'!$B$19,IF('設定'!$B$7-$O222&lt;='設定'!$B$14,'設定'!$B$20,'設定'!$B$21))))))</f>
        <v/>
      </c>
      <c r="V222" s="56" t="n"/>
      <c r="W222" s="32">
        <f>IF($C222="","",IFERROR(MATCH($C222,'得意先'!$B$5:$B$104,0),"なし"))</f>
        <v/>
      </c>
      <c r="X222" s="33">
        <f>IF($A222="","",IF(ISNUMBER($E222),$E222,IF(ISNUMBER($B222),$B222,"")))</f>
        <v/>
      </c>
      <c r="Y222" s="34">
        <f>IF($T222="","",$O222+ROW()/1000000)</f>
        <v/>
      </c>
      <c r="Z222" s="35">
        <f>IF(OR($A222="",$C222="",$C222&lt;&gt;'売掛帳'!$B$3,NOT(ISNUMBER($X222))),"",IF(AND($X222&gt;='売掛帳'!$Q$3,$X222&lt;='売掛帳'!$Q$4),$X222+ROW()/10000000,""))</f>
        <v/>
      </c>
    </row>
    <row r="223" ht="18" customHeight="1">
      <c r="A223" s="18" t="n"/>
      <c r="B223" s="26" t="n"/>
      <c r="C223" s="18" t="n"/>
      <c r="D223" s="20">
        <f>IF($W223="","",IF($W223="なし","※得意先にないコード",INDEX('得意先'!$C$5:$C$104,$W223)&amp;""))</f>
        <v/>
      </c>
      <c r="E223" s="26" t="n"/>
      <c r="F223" s="19" t="n"/>
      <c r="G223" s="27" t="n"/>
      <c r="H223" s="27" t="n"/>
      <c r="I223" s="27" t="n"/>
      <c r="J223" s="28">
        <f>IF($A223="","",IF('設定'!$B$10="四捨五入",ROUND(IF('設定'!$B$9="税込",N($G223)*10/110,N($G223)*10/100),0),IF('設定'!$B$10="切り上げ",ROUNDUP(IF('設定'!$B$9="税込",N($G223)*10/110,N($G223)*10/100),0),ROUNDDOWN(IF('設定'!$B$9="税込",N($G223)*10/110,N($G223)*10/100),0))))</f>
        <v/>
      </c>
      <c r="K223" s="28">
        <f>IF($A223="","",IF('設定'!$B$10="四捨五入",ROUND(IF('設定'!$B$9="税込",N($H223)*8/108,N($H223)*8/100),0),IF('設定'!$B$10="切り上げ",ROUNDUP(IF('設定'!$B$9="税込",N($H223)*8/108,N($H223)*8/100),0),ROUNDDOWN(IF('設定'!$B$9="税込",N($H223)*8/108,N($H223)*8/100),0))))</f>
        <v/>
      </c>
      <c r="L223" s="28">
        <f>IF($A223="","",N($G223)+N($H223)+N($I223)+IF('設定'!$B$9="税込",0,$J223+$K223))</f>
        <v/>
      </c>
      <c r="M223" s="29">
        <f>IF(OR($A223="",NOT(ISNUMBER($W223)),NOT(ISNUMBER($X223))),"",IF(OR(INDEX('得意先'!$D$5:$D$104,$W223)="",INDEX('得意先'!$E$5:$E$104,$W223)="",INDEX('得意先'!$F$5:$F$104,$W223)=""),"",IF(INDEX('得意先'!$F$5:$F$104,$W223)="末",DATE(YEAR($X223),(MONTH($X223)+IF(INDEX('得意先'!$D$5:$D$104,$W223)="末",0,IF(DAY($X223)&lt;=INDEX('得意先'!$D$5:$D$104,$W223),0,1))+N(INDEX('得意先'!$E$5:$E$104,$W223)))+1,0),DATE(YEAR($X223),(MONTH($X223)+IF(INDEX('得意先'!$D$5:$D$104,$W223)="末",0,IF(DAY($X223)&lt;=INDEX('得意先'!$D$5:$D$104,$W223),0,1))+N(INDEX('得意先'!$E$5:$E$104,$W223))),MIN(INDEX('得意先'!$F$5:$F$104,$W223),DAY(DATE(YEAR($X223),(MONTH($X223)+IF(INDEX('得意先'!$D$5:$D$104,$W223)="末",0,IF(DAY($X223)&lt;=INDEX('得意先'!$D$5:$D$104,$W223),0,1))+N(INDEX('得意先'!$E$5:$E$104,$W223)))+1,0)))))))</f>
        <v/>
      </c>
      <c r="N223" s="26" t="n"/>
      <c r="O223" s="29">
        <f>IF($A223="","",IF(ISNUMBER($N223),$N223,$M223))</f>
        <v/>
      </c>
      <c r="P223" s="28">
        <f>IF($A223="","",SUMIF('入金消込'!$F$5:$F$1004,$A223,'入金消込'!$G$5:$G$1004))</f>
        <v/>
      </c>
      <c r="Q223" s="28">
        <f>IF($A223="","",SUMIF('入金消込'!$F$5:$F$1004,$A223,'入金消込'!$H$5:$H$1004)+SUMIF('入金消込'!$F$5:$F$1004,$A223,'入金消込'!$I$5:$I$1004))</f>
        <v/>
      </c>
      <c r="R223" s="28">
        <f>IF($A223="","",$L223-$P223-$Q223)</f>
        <v/>
      </c>
      <c r="S223" s="30">
        <f>IF($A223="","",IF($R223=0,IF($L223=0,"請求額0","回収済"),IF($L223&lt;0,IF($R223&lt;0,"差し引き待ち","差し引きすぎ"),IF($R223&lt;0,"入金が多い",IF($P223+$Q223=0,"未入金","一部入金")))))</f>
        <v/>
      </c>
      <c r="T223" s="31">
        <f>IF(OR($A223="",N($R223)&lt;=0,NOT(ISNUMBER($O223))),"",IF($O223&lt;'設定'!$B$7,'設定'!$B$7-$O223,""))</f>
        <v/>
      </c>
      <c r="U223" s="30">
        <f>IF(OR($A223="",N($R223)&lt;=0),"",IF(NOT(ISNUMBER($O223)),'設定'!$B$22,IF($O223&gt;='設定'!$B$7,'設定'!$B$17,IF('設定'!$B$7-$O223&lt;='設定'!$B$12,'設定'!$B$18,IF('設定'!$B$7-$O223&lt;='設定'!$B$13,'設定'!$B$19,IF('設定'!$B$7-$O223&lt;='設定'!$B$14,'設定'!$B$20,'設定'!$B$21))))))</f>
        <v/>
      </c>
      <c r="V223" s="56" t="n"/>
      <c r="W223" s="32">
        <f>IF($C223="","",IFERROR(MATCH($C223,'得意先'!$B$5:$B$104,0),"なし"))</f>
        <v/>
      </c>
      <c r="X223" s="33">
        <f>IF($A223="","",IF(ISNUMBER($E223),$E223,IF(ISNUMBER($B223),$B223,"")))</f>
        <v/>
      </c>
      <c r="Y223" s="34">
        <f>IF($T223="","",$O223+ROW()/1000000)</f>
        <v/>
      </c>
      <c r="Z223" s="35">
        <f>IF(OR($A223="",$C223="",$C223&lt;&gt;'売掛帳'!$B$3,NOT(ISNUMBER($X223))),"",IF(AND($X223&gt;='売掛帳'!$Q$3,$X223&lt;='売掛帳'!$Q$4),$X223+ROW()/10000000,""))</f>
        <v/>
      </c>
    </row>
    <row r="224" ht="18" customHeight="1">
      <c r="A224" s="18" t="n"/>
      <c r="B224" s="26" t="n"/>
      <c r="C224" s="18" t="n"/>
      <c r="D224" s="20">
        <f>IF($W224="","",IF($W224="なし","※得意先にないコード",INDEX('得意先'!$C$5:$C$104,$W224)&amp;""))</f>
        <v/>
      </c>
      <c r="E224" s="26" t="n"/>
      <c r="F224" s="19" t="n"/>
      <c r="G224" s="27" t="n"/>
      <c r="H224" s="27" t="n"/>
      <c r="I224" s="27" t="n"/>
      <c r="J224" s="28">
        <f>IF($A224="","",IF('設定'!$B$10="四捨五入",ROUND(IF('設定'!$B$9="税込",N($G224)*10/110,N($G224)*10/100),0),IF('設定'!$B$10="切り上げ",ROUNDUP(IF('設定'!$B$9="税込",N($G224)*10/110,N($G224)*10/100),0),ROUNDDOWN(IF('設定'!$B$9="税込",N($G224)*10/110,N($G224)*10/100),0))))</f>
        <v/>
      </c>
      <c r="K224" s="28">
        <f>IF($A224="","",IF('設定'!$B$10="四捨五入",ROUND(IF('設定'!$B$9="税込",N($H224)*8/108,N($H224)*8/100),0),IF('設定'!$B$10="切り上げ",ROUNDUP(IF('設定'!$B$9="税込",N($H224)*8/108,N($H224)*8/100),0),ROUNDDOWN(IF('設定'!$B$9="税込",N($H224)*8/108,N($H224)*8/100),0))))</f>
        <v/>
      </c>
      <c r="L224" s="28">
        <f>IF($A224="","",N($G224)+N($H224)+N($I224)+IF('設定'!$B$9="税込",0,$J224+$K224))</f>
        <v/>
      </c>
      <c r="M224" s="29">
        <f>IF(OR($A224="",NOT(ISNUMBER($W224)),NOT(ISNUMBER($X224))),"",IF(OR(INDEX('得意先'!$D$5:$D$104,$W224)="",INDEX('得意先'!$E$5:$E$104,$W224)="",INDEX('得意先'!$F$5:$F$104,$W224)=""),"",IF(INDEX('得意先'!$F$5:$F$104,$W224)="末",DATE(YEAR($X224),(MONTH($X224)+IF(INDEX('得意先'!$D$5:$D$104,$W224)="末",0,IF(DAY($X224)&lt;=INDEX('得意先'!$D$5:$D$104,$W224),0,1))+N(INDEX('得意先'!$E$5:$E$104,$W224)))+1,0),DATE(YEAR($X224),(MONTH($X224)+IF(INDEX('得意先'!$D$5:$D$104,$W224)="末",0,IF(DAY($X224)&lt;=INDEX('得意先'!$D$5:$D$104,$W224),0,1))+N(INDEX('得意先'!$E$5:$E$104,$W224))),MIN(INDEX('得意先'!$F$5:$F$104,$W224),DAY(DATE(YEAR($X224),(MONTH($X224)+IF(INDEX('得意先'!$D$5:$D$104,$W224)="末",0,IF(DAY($X224)&lt;=INDEX('得意先'!$D$5:$D$104,$W224),0,1))+N(INDEX('得意先'!$E$5:$E$104,$W224)))+1,0)))))))</f>
        <v/>
      </c>
      <c r="N224" s="26" t="n"/>
      <c r="O224" s="29">
        <f>IF($A224="","",IF(ISNUMBER($N224),$N224,$M224))</f>
        <v/>
      </c>
      <c r="P224" s="28">
        <f>IF($A224="","",SUMIF('入金消込'!$F$5:$F$1004,$A224,'入金消込'!$G$5:$G$1004))</f>
        <v/>
      </c>
      <c r="Q224" s="28">
        <f>IF($A224="","",SUMIF('入金消込'!$F$5:$F$1004,$A224,'入金消込'!$H$5:$H$1004)+SUMIF('入金消込'!$F$5:$F$1004,$A224,'入金消込'!$I$5:$I$1004))</f>
        <v/>
      </c>
      <c r="R224" s="28">
        <f>IF($A224="","",$L224-$P224-$Q224)</f>
        <v/>
      </c>
      <c r="S224" s="30">
        <f>IF($A224="","",IF($R224=0,IF($L224=0,"請求額0","回収済"),IF($L224&lt;0,IF($R224&lt;0,"差し引き待ち","差し引きすぎ"),IF($R224&lt;0,"入金が多い",IF($P224+$Q224=0,"未入金","一部入金")))))</f>
        <v/>
      </c>
      <c r="T224" s="31">
        <f>IF(OR($A224="",N($R224)&lt;=0,NOT(ISNUMBER($O224))),"",IF($O224&lt;'設定'!$B$7,'設定'!$B$7-$O224,""))</f>
        <v/>
      </c>
      <c r="U224" s="30">
        <f>IF(OR($A224="",N($R224)&lt;=0),"",IF(NOT(ISNUMBER($O224)),'設定'!$B$22,IF($O224&gt;='設定'!$B$7,'設定'!$B$17,IF('設定'!$B$7-$O224&lt;='設定'!$B$12,'設定'!$B$18,IF('設定'!$B$7-$O224&lt;='設定'!$B$13,'設定'!$B$19,IF('設定'!$B$7-$O224&lt;='設定'!$B$14,'設定'!$B$20,'設定'!$B$21))))))</f>
        <v/>
      </c>
      <c r="V224" s="56" t="n"/>
      <c r="W224" s="32">
        <f>IF($C224="","",IFERROR(MATCH($C224,'得意先'!$B$5:$B$104,0),"なし"))</f>
        <v/>
      </c>
      <c r="X224" s="33">
        <f>IF($A224="","",IF(ISNUMBER($E224),$E224,IF(ISNUMBER($B224),$B224,"")))</f>
        <v/>
      </c>
      <c r="Y224" s="34">
        <f>IF($T224="","",$O224+ROW()/1000000)</f>
        <v/>
      </c>
      <c r="Z224" s="35">
        <f>IF(OR($A224="",$C224="",$C224&lt;&gt;'売掛帳'!$B$3,NOT(ISNUMBER($X224))),"",IF(AND($X224&gt;='売掛帳'!$Q$3,$X224&lt;='売掛帳'!$Q$4),$X224+ROW()/10000000,""))</f>
        <v/>
      </c>
    </row>
    <row r="225" ht="18" customHeight="1">
      <c r="A225" s="18" t="n"/>
      <c r="B225" s="26" t="n"/>
      <c r="C225" s="18" t="n"/>
      <c r="D225" s="20">
        <f>IF($W225="","",IF($W225="なし","※得意先にないコード",INDEX('得意先'!$C$5:$C$104,$W225)&amp;""))</f>
        <v/>
      </c>
      <c r="E225" s="26" t="n"/>
      <c r="F225" s="19" t="n"/>
      <c r="G225" s="27" t="n"/>
      <c r="H225" s="27" t="n"/>
      <c r="I225" s="27" t="n"/>
      <c r="J225" s="28">
        <f>IF($A225="","",IF('設定'!$B$10="四捨五入",ROUND(IF('設定'!$B$9="税込",N($G225)*10/110,N($G225)*10/100),0),IF('設定'!$B$10="切り上げ",ROUNDUP(IF('設定'!$B$9="税込",N($G225)*10/110,N($G225)*10/100),0),ROUNDDOWN(IF('設定'!$B$9="税込",N($G225)*10/110,N($G225)*10/100),0))))</f>
        <v/>
      </c>
      <c r="K225" s="28">
        <f>IF($A225="","",IF('設定'!$B$10="四捨五入",ROUND(IF('設定'!$B$9="税込",N($H225)*8/108,N($H225)*8/100),0),IF('設定'!$B$10="切り上げ",ROUNDUP(IF('設定'!$B$9="税込",N($H225)*8/108,N($H225)*8/100),0),ROUNDDOWN(IF('設定'!$B$9="税込",N($H225)*8/108,N($H225)*8/100),0))))</f>
        <v/>
      </c>
      <c r="L225" s="28">
        <f>IF($A225="","",N($G225)+N($H225)+N($I225)+IF('設定'!$B$9="税込",0,$J225+$K225))</f>
        <v/>
      </c>
      <c r="M225" s="29">
        <f>IF(OR($A225="",NOT(ISNUMBER($W225)),NOT(ISNUMBER($X225))),"",IF(OR(INDEX('得意先'!$D$5:$D$104,$W225)="",INDEX('得意先'!$E$5:$E$104,$W225)="",INDEX('得意先'!$F$5:$F$104,$W225)=""),"",IF(INDEX('得意先'!$F$5:$F$104,$W225)="末",DATE(YEAR($X225),(MONTH($X225)+IF(INDEX('得意先'!$D$5:$D$104,$W225)="末",0,IF(DAY($X225)&lt;=INDEX('得意先'!$D$5:$D$104,$W225),0,1))+N(INDEX('得意先'!$E$5:$E$104,$W225)))+1,0),DATE(YEAR($X225),(MONTH($X225)+IF(INDEX('得意先'!$D$5:$D$104,$W225)="末",0,IF(DAY($X225)&lt;=INDEX('得意先'!$D$5:$D$104,$W225),0,1))+N(INDEX('得意先'!$E$5:$E$104,$W225))),MIN(INDEX('得意先'!$F$5:$F$104,$W225),DAY(DATE(YEAR($X225),(MONTH($X225)+IF(INDEX('得意先'!$D$5:$D$104,$W225)="末",0,IF(DAY($X225)&lt;=INDEX('得意先'!$D$5:$D$104,$W225),0,1))+N(INDEX('得意先'!$E$5:$E$104,$W225)))+1,0)))))))</f>
        <v/>
      </c>
      <c r="N225" s="26" t="n"/>
      <c r="O225" s="29">
        <f>IF($A225="","",IF(ISNUMBER($N225),$N225,$M225))</f>
        <v/>
      </c>
      <c r="P225" s="28">
        <f>IF($A225="","",SUMIF('入金消込'!$F$5:$F$1004,$A225,'入金消込'!$G$5:$G$1004))</f>
        <v/>
      </c>
      <c r="Q225" s="28">
        <f>IF($A225="","",SUMIF('入金消込'!$F$5:$F$1004,$A225,'入金消込'!$H$5:$H$1004)+SUMIF('入金消込'!$F$5:$F$1004,$A225,'入金消込'!$I$5:$I$1004))</f>
        <v/>
      </c>
      <c r="R225" s="28">
        <f>IF($A225="","",$L225-$P225-$Q225)</f>
        <v/>
      </c>
      <c r="S225" s="30">
        <f>IF($A225="","",IF($R225=0,IF($L225=0,"請求額0","回収済"),IF($L225&lt;0,IF($R225&lt;0,"差し引き待ち","差し引きすぎ"),IF($R225&lt;0,"入金が多い",IF($P225+$Q225=0,"未入金","一部入金")))))</f>
        <v/>
      </c>
      <c r="T225" s="31">
        <f>IF(OR($A225="",N($R225)&lt;=0,NOT(ISNUMBER($O225))),"",IF($O225&lt;'設定'!$B$7,'設定'!$B$7-$O225,""))</f>
        <v/>
      </c>
      <c r="U225" s="30">
        <f>IF(OR($A225="",N($R225)&lt;=0),"",IF(NOT(ISNUMBER($O225)),'設定'!$B$22,IF($O225&gt;='設定'!$B$7,'設定'!$B$17,IF('設定'!$B$7-$O225&lt;='設定'!$B$12,'設定'!$B$18,IF('設定'!$B$7-$O225&lt;='設定'!$B$13,'設定'!$B$19,IF('設定'!$B$7-$O225&lt;='設定'!$B$14,'設定'!$B$20,'設定'!$B$21))))))</f>
        <v/>
      </c>
      <c r="V225" s="56" t="n"/>
      <c r="W225" s="32">
        <f>IF($C225="","",IFERROR(MATCH($C225,'得意先'!$B$5:$B$104,0),"なし"))</f>
        <v/>
      </c>
      <c r="X225" s="33">
        <f>IF($A225="","",IF(ISNUMBER($E225),$E225,IF(ISNUMBER($B225),$B225,"")))</f>
        <v/>
      </c>
      <c r="Y225" s="34">
        <f>IF($T225="","",$O225+ROW()/1000000)</f>
        <v/>
      </c>
      <c r="Z225" s="35">
        <f>IF(OR($A225="",$C225="",$C225&lt;&gt;'売掛帳'!$B$3,NOT(ISNUMBER($X225))),"",IF(AND($X225&gt;='売掛帳'!$Q$3,$X225&lt;='売掛帳'!$Q$4),$X225+ROW()/10000000,""))</f>
        <v/>
      </c>
    </row>
    <row r="226" ht="18" customHeight="1">
      <c r="A226" s="18" t="n"/>
      <c r="B226" s="26" t="n"/>
      <c r="C226" s="18" t="n"/>
      <c r="D226" s="20">
        <f>IF($W226="","",IF($W226="なし","※得意先にないコード",INDEX('得意先'!$C$5:$C$104,$W226)&amp;""))</f>
        <v/>
      </c>
      <c r="E226" s="26" t="n"/>
      <c r="F226" s="19" t="n"/>
      <c r="G226" s="27" t="n"/>
      <c r="H226" s="27" t="n"/>
      <c r="I226" s="27" t="n"/>
      <c r="J226" s="28">
        <f>IF($A226="","",IF('設定'!$B$10="四捨五入",ROUND(IF('設定'!$B$9="税込",N($G226)*10/110,N($G226)*10/100),0),IF('設定'!$B$10="切り上げ",ROUNDUP(IF('設定'!$B$9="税込",N($G226)*10/110,N($G226)*10/100),0),ROUNDDOWN(IF('設定'!$B$9="税込",N($G226)*10/110,N($G226)*10/100),0))))</f>
        <v/>
      </c>
      <c r="K226" s="28">
        <f>IF($A226="","",IF('設定'!$B$10="四捨五入",ROUND(IF('設定'!$B$9="税込",N($H226)*8/108,N($H226)*8/100),0),IF('設定'!$B$10="切り上げ",ROUNDUP(IF('設定'!$B$9="税込",N($H226)*8/108,N($H226)*8/100),0),ROUNDDOWN(IF('設定'!$B$9="税込",N($H226)*8/108,N($H226)*8/100),0))))</f>
        <v/>
      </c>
      <c r="L226" s="28">
        <f>IF($A226="","",N($G226)+N($H226)+N($I226)+IF('設定'!$B$9="税込",0,$J226+$K226))</f>
        <v/>
      </c>
      <c r="M226" s="29">
        <f>IF(OR($A226="",NOT(ISNUMBER($W226)),NOT(ISNUMBER($X226))),"",IF(OR(INDEX('得意先'!$D$5:$D$104,$W226)="",INDEX('得意先'!$E$5:$E$104,$W226)="",INDEX('得意先'!$F$5:$F$104,$W226)=""),"",IF(INDEX('得意先'!$F$5:$F$104,$W226)="末",DATE(YEAR($X226),(MONTH($X226)+IF(INDEX('得意先'!$D$5:$D$104,$W226)="末",0,IF(DAY($X226)&lt;=INDEX('得意先'!$D$5:$D$104,$W226),0,1))+N(INDEX('得意先'!$E$5:$E$104,$W226)))+1,0),DATE(YEAR($X226),(MONTH($X226)+IF(INDEX('得意先'!$D$5:$D$104,$W226)="末",0,IF(DAY($X226)&lt;=INDEX('得意先'!$D$5:$D$104,$W226),0,1))+N(INDEX('得意先'!$E$5:$E$104,$W226))),MIN(INDEX('得意先'!$F$5:$F$104,$W226),DAY(DATE(YEAR($X226),(MONTH($X226)+IF(INDEX('得意先'!$D$5:$D$104,$W226)="末",0,IF(DAY($X226)&lt;=INDEX('得意先'!$D$5:$D$104,$W226),0,1))+N(INDEX('得意先'!$E$5:$E$104,$W226)))+1,0)))))))</f>
        <v/>
      </c>
      <c r="N226" s="26" t="n"/>
      <c r="O226" s="29">
        <f>IF($A226="","",IF(ISNUMBER($N226),$N226,$M226))</f>
        <v/>
      </c>
      <c r="P226" s="28">
        <f>IF($A226="","",SUMIF('入金消込'!$F$5:$F$1004,$A226,'入金消込'!$G$5:$G$1004))</f>
        <v/>
      </c>
      <c r="Q226" s="28">
        <f>IF($A226="","",SUMIF('入金消込'!$F$5:$F$1004,$A226,'入金消込'!$H$5:$H$1004)+SUMIF('入金消込'!$F$5:$F$1004,$A226,'入金消込'!$I$5:$I$1004))</f>
        <v/>
      </c>
      <c r="R226" s="28">
        <f>IF($A226="","",$L226-$P226-$Q226)</f>
        <v/>
      </c>
      <c r="S226" s="30">
        <f>IF($A226="","",IF($R226=0,IF($L226=0,"請求額0","回収済"),IF($L226&lt;0,IF($R226&lt;0,"差し引き待ち","差し引きすぎ"),IF($R226&lt;0,"入金が多い",IF($P226+$Q226=0,"未入金","一部入金")))))</f>
        <v/>
      </c>
      <c r="T226" s="31">
        <f>IF(OR($A226="",N($R226)&lt;=0,NOT(ISNUMBER($O226))),"",IF($O226&lt;'設定'!$B$7,'設定'!$B$7-$O226,""))</f>
        <v/>
      </c>
      <c r="U226" s="30">
        <f>IF(OR($A226="",N($R226)&lt;=0),"",IF(NOT(ISNUMBER($O226)),'設定'!$B$22,IF($O226&gt;='設定'!$B$7,'設定'!$B$17,IF('設定'!$B$7-$O226&lt;='設定'!$B$12,'設定'!$B$18,IF('設定'!$B$7-$O226&lt;='設定'!$B$13,'設定'!$B$19,IF('設定'!$B$7-$O226&lt;='設定'!$B$14,'設定'!$B$20,'設定'!$B$21))))))</f>
        <v/>
      </c>
      <c r="V226" s="56" t="n"/>
      <c r="W226" s="32">
        <f>IF($C226="","",IFERROR(MATCH($C226,'得意先'!$B$5:$B$104,0),"なし"))</f>
        <v/>
      </c>
      <c r="X226" s="33">
        <f>IF($A226="","",IF(ISNUMBER($E226),$E226,IF(ISNUMBER($B226),$B226,"")))</f>
        <v/>
      </c>
      <c r="Y226" s="34">
        <f>IF($T226="","",$O226+ROW()/1000000)</f>
        <v/>
      </c>
      <c r="Z226" s="35">
        <f>IF(OR($A226="",$C226="",$C226&lt;&gt;'売掛帳'!$B$3,NOT(ISNUMBER($X226))),"",IF(AND($X226&gt;='売掛帳'!$Q$3,$X226&lt;='売掛帳'!$Q$4),$X226+ROW()/10000000,""))</f>
        <v/>
      </c>
    </row>
    <row r="227" ht="18" customHeight="1">
      <c r="A227" s="18" t="n"/>
      <c r="B227" s="26" t="n"/>
      <c r="C227" s="18" t="n"/>
      <c r="D227" s="20">
        <f>IF($W227="","",IF($W227="なし","※得意先にないコード",INDEX('得意先'!$C$5:$C$104,$W227)&amp;""))</f>
        <v/>
      </c>
      <c r="E227" s="26" t="n"/>
      <c r="F227" s="19" t="n"/>
      <c r="G227" s="27" t="n"/>
      <c r="H227" s="27" t="n"/>
      <c r="I227" s="27" t="n"/>
      <c r="J227" s="28">
        <f>IF($A227="","",IF('設定'!$B$10="四捨五入",ROUND(IF('設定'!$B$9="税込",N($G227)*10/110,N($G227)*10/100),0),IF('設定'!$B$10="切り上げ",ROUNDUP(IF('設定'!$B$9="税込",N($G227)*10/110,N($G227)*10/100),0),ROUNDDOWN(IF('設定'!$B$9="税込",N($G227)*10/110,N($G227)*10/100),0))))</f>
        <v/>
      </c>
      <c r="K227" s="28">
        <f>IF($A227="","",IF('設定'!$B$10="四捨五入",ROUND(IF('設定'!$B$9="税込",N($H227)*8/108,N($H227)*8/100),0),IF('設定'!$B$10="切り上げ",ROUNDUP(IF('設定'!$B$9="税込",N($H227)*8/108,N($H227)*8/100),0),ROUNDDOWN(IF('設定'!$B$9="税込",N($H227)*8/108,N($H227)*8/100),0))))</f>
        <v/>
      </c>
      <c r="L227" s="28">
        <f>IF($A227="","",N($G227)+N($H227)+N($I227)+IF('設定'!$B$9="税込",0,$J227+$K227))</f>
        <v/>
      </c>
      <c r="M227" s="29">
        <f>IF(OR($A227="",NOT(ISNUMBER($W227)),NOT(ISNUMBER($X227))),"",IF(OR(INDEX('得意先'!$D$5:$D$104,$W227)="",INDEX('得意先'!$E$5:$E$104,$W227)="",INDEX('得意先'!$F$5:$F$104,$W227)=""),"",IF(INDEX('得意先'!$F$5:$F$104,$W227)="末",DATE(YEAR($X227),(MONTH($X227)+IF(INDEX('得意先'!$D$5:$D$104,$W227)="末",0,IF(DAY($X227)&lt;=INDEX('得意先'!$D$5:$D$104,$W227),0,1))+N(INDEX('得意先'!$E$5:$E$104,$W227)))+1,0),DATE(YEAR($X227),(MONTH($X227)+IF(INDEX('得意先'!$D$5:$D$104,$W227)="末",0,IF(DAY($X227)&lt;=INDEX('得意先'!$D$5:$D$104,$W227),0,1))+N(INDEX('得意先'!$E$5:$E$104,$W227))),MIN(INDEX('得意先'!$F$5:$F$104,$W227),DAY(DATE(YEAR($X227),(MONTH($X227)+IF(INDEX('得意先'!$D$5:$D$104,$W227)="末",0,IF(DAY($X227)&lt;=INDEX('得意先'!$D$5:$D$104,$W227),0,1))+N(INDEX('得意先'!$E$5:$E$104,$W227)))+1,0)))))))</f>
        <v/>
      </c>
      <c r="N227" s="26" t="n"/>
      <c r="O227" s="29">
        <f>IF($A227="","",IF(ISNUMBER($N227),$N227,$M227))</f>
        <v/>
      </c>
      <c r="P227" s="28">
        <f>IF($A227="","",SUMIF('入金消込'!$F$5:$F$1004,$A227,'入金消込'!$G$5:$G$1004))</f>
        <v/>
      </c>
      <c r="Q227" s="28">
        <f>IF($A227="","",SUMIF('入金消込'!$F$5:$F$1004,$A227,'入金消込'!$H$5:$H$1004)+SUMIF('入金消込'!$F$5:$F$1004,$A227,'入金消込'!$I$5:$I$1004))</f>
        <v/>
      </c>
      <c r="R227" s="28">
        <f>IF($A227="","",$L227-$P227-$Q227)</f>
        <v/>
      </c>
      <c r="S227" s="30">
        <f>IF($A227="","",IF($R227=0,IF($L227=0,"請求額0","回収済"),IF($L227&lt;0,IF($R227&lt;0,"差し引き待ち","差し引きすぎ"),IF($R227&lt;0,"入金が多い",IF($P227+$Q227=0,"未入金","一部入金")))))</f>
        <v/>
      </c>
      <c r="T227" s="31">
        <f>IF(OR($A227="",N($R227)&lt;=0,NOT(ISNUMBER($O227))),"",IF($O227&lt;'設定'!$B$7,'設定'!$B$7-$O227,""))</f>
        <v/>
      </c>
      <c r="U227" s="30">
        <f>IF(OR($A227="",N($R227)&lt;=0),"",IF(NOT(ISNUMBER($O227)),'設定'!$B$22,IF($O227&gt;='設定'!$B$7,'設定'!$B$17,IF('設定'!$B$7-$O227&lt;='設定'!$B$12,'設定'!$B$18,IF('設定'!$B$7-$O227&lt;='設定'!$B$13,'設定'!$B$19,IF('設定'!$B$7-$O227&lt;='設定'!$B$14,'設定'!$B$20,'設定'!$B$21))))))</f>
        <v/>
      </c>
      <c r="V227" s="56" t="n"/>
      <c r="W227" s="32">
        <f>IF($C227="","",IFERROR(MATCH($C227,'得意先'!$B$5:$B$104,0),"なし"))</f>
        <v/>
      </c>
      <c r="X227" s="33">
        <f>IF($A227="","",IF(ISNUMBER($E227),$E227,IF(ISNUMBER($B227),$B227,"")))</f>
        <v/>
      </c>
      <c r="Y227" s="34">
        <f>IF($T227="","",$O227+ROW()/1000000)</f>
        <v/>
      </c>
      <c r="Z227" s="35">
        <f>IF(OR($A227="",$C227="",$C227&lt;&gt;'売掛帳'!$B$3,NOT(ISNUMBER($X227))),"",IF(AND($X227&gt;='売掛帳'!$Q$3,$X227&lt;='売掛帳'!$Q$4),$X227+ROW()/10000000,""))</f>
        <v/>
      </c>
    </row>
    <row r="228" ht="18" customHeight="1">
      <c r="A228" s="18" t="n"/>
      <c r="B228" s="26" t="n"/>
      <c r="C228" s="18" t="n"/>
      <c r="D228" s="20">
        <f>IF($W228="","",IF($W228="なし","※得意先にないコード",INDEX('得意先'!$C$5:$C$104,$W228)&amp;""))</f>
        <v/>
      </c>
      <c r="E228" s="26" t="n"/>
      <c r="F228" s="19" t="n"/>
      <c r="G228" s="27" t="n"/>
      <c r="H228" s="27" t="n"/>
      <c r="I228" s="27" t="n"/>
      <c r="J228" s="28">
        <f>IF($A228="","",IF('設定'!$B$10="四捨五入",ROUND(IF('設定'!$B$9="税込",N($G228)*10/110,N($G228)*10/100),0),IF('設定'!$B$10="切り上げ",ROUNDUP(IF('設定'!$B$9="税込",N($G228)*10/110,N($G228)*10/100),0),ROUNDDOWN(IF('設定'!$B$9="税込",N($G228)*10/110,N($G228)*10/100),0))))</f>
        <v/>
      </c>
      <c r="K228" s="28">
        <f>IF($A228="","",IF('設定'!$B$10="四捨五入",ROUND(IF('設定'!$B$9="税込",N($H228)*8/108,N($H228)*8/100),0),IF('設定'!$B$10="切り上げ",ROUNDUP(IF('設定'!$B$9="税込",N($H228)*8/108,N($H228)*8/100),0),ROUNDDOWN(IF('設定'!$B$9="税込",N($H228)*8/108,N($H228)*8/100),0))))</f>
        <v/>
      </c>
      <c r="L228" s="28">
        <f>IF($A228="","",N($G228)+N($H228)+N($I228)+IF('設定'!$B$9="税込",0,$J228+$K228))</f>
        <v/>
      </c>
      <c r="M228" s="29">
        <f>IF(OR($A228="",NOT(ISNUMBER($W228)),NOT(ISNUMBER($X228))),"",IF(OR(INDEX('得意先'!$D$5:$D$104,$W228)="",INDEX('得意先'!$E$5:$E$104,$W228)="",INDEX('得意先'!$F$5:$F$104,$W228)=""),"",IF(INDEX('得意先'!$F$5:$F$104,$W228)="末",DATE(YEAR($X228),(MONTH($X228)+IF(INDEX('得意先'!$D$5:$D$104,$W228)="末",0,IF(DAY($X228)&lt;=INDEX('得意先'!$D$5:$D$104,$W228),0,1))+N(INDEX('得意先'!$E$5:$E$104,$W228)))+1,0),DATE(YEAR($X228),(MONTH($X228)+IF(INDEX('得意先'!$D$5:$D$104,$W228)="末",0,IF(DAY($X228)&lt;=INDEX('得意先'!$D$5:$D$104,$W228),0,1))+N(INDEX('得意先'!$E$5:$E$104,$W228))),MIN(INDEX('得意先'!$F$5:$F$104,$W228),DAY(DATE(YEAR($X228),(MONTH($X228)+IF(INDEX('得意先'!$D$5:$D$104,$W228)="末",0,IF(DAY($X228)&lt;=INDEX('得意先'!$D$5:$D$104,$W228),0,1))+N(INDEX('得意先'!$E$5:$E$104,$W228)))+1,0)))))))</f>
        <v/>
      </c>
      <c r="N228" s="26" t="n"/>
      <c r="O228" s="29">
        <f>IF($A228="","",IF(ISNUMBER($N228),$N228,$M228))</f>
        <v/>
      </c>
      <c r="P228" s="28">
        <f>IF($A228="","",SUMIF('入金消込'!$F$5:$F$1004,$A228,'入金消込'!$G$5:$G$1004))</f>
        <v/>
      </c>
      <c r="Q228" s="28">
        <f>IF($A228="","",SUMIF('入金消込'!$F$5:$F$1004,$A228,'入金消込'!$H$5:$H$1004)+SUMIF('入金消込'!$F$5:$F$1004,$A228,'入金消込'!$I$5:$I$1004))</f>
        <v/>
      </c>
      <c r="R228" s="28">
        <f>IF($A228="","",$L228-$P228-$Q228)</f>
        <v/>
      </c>
      <c r="S228" s="30">
        <f>IF($A228="","",IF($R228=0,IF($L228=0,"請求額0","回収済"),IF($L228&lt;0,IF($R228&lt;0,"差し引き待ち","差し引きすぎ"),IF($R228&lt;0,"入金が多い",IF($P228+$Q228=0,"未入金","一部入金")))))</f>
        <v/>
      </c>
      <c r="T228" s="31">
        <f>IF(OR($A228="",N($R228)&lt;=0,NOT(ISNUMBER($O228))),"",IF($O228&lt;'設定'!$B$7,'設定'!$B$7-$O228,""))</f>
        <v/>
      </c>
      <c r="U228" s="30">
        <f>IF(OR($A228="",N($R228)&lt;=0),"",IF(NOT(ISNUMBER($O228)),'設定'!$B$22,IF($O228&gt;='設定'!$B$7,'設定'!$B$17,IF('設定'!$B$7-$O228&lt;='設定'!$B$12,'設定'!$B$18,IF('設定'!$B$7-$O228&lt;='設定'!$B$13,'設定'!$B$19,IF('設定'!$B$7-$O228&lt;='設定'!$B$14,'設定'!$B$20,'設定'!$B$21))))))</f>
        <v/>
      </c>
      <c r="V228" s="56" t="n"/>
      <c r="W228" s="32">
        <f>IF($C228="","",IFERROR(MATCH($C228,'得意先'!$B$5:$B$104,0),"なし"))</f>
        <v/>
      </c>
      <c r="X228" s="33">
        <f>IF($A228="","",IF(ISNUMBER($E228),$E228,IF(ISNUMBER($B228),$B228,"")))</f>
        <v/>
      </c>
      <c r="Y228" s="34">
        <f>IF($T228="","",$O228+ROW()/1000000)</f>
        <v/>
      </c>
      <c r="Z228" s="35">
        <f>IF(OR($A228="",$C228="",$C228&lt;&gt;'売掛帳'!$B$3,NOT(ISNUMBER($X228))),"",IF(AND($X228&gt;='売掛帳'!$Q$3,$X228&lt;='売掛帳'!$Q$4),$X228+ROW()/10000000,""))</f>
        <v/>
      </c>
    </row>
    <row r="229" ht="18" customHeight="1">
      <c r="A229" s="18" t="n"/>
      <c r="B229" s="26" t="n"/>
      <c r="C229" s="18" t="n"/>
      <c r="D229" s="20">
        <f>IF($W229="","",IF($W229="なし","※得意先にないコード",INDEX('得意先'!$C$5:$C$104,$W229)&amp;""))</f>
        <v/>
      </c>
      <c r="E229" s="26" t="n"/>
      <c r="F229" s="19" t="n"/>
      <c r="G229" s="27" t="n"/>
      <c r="H229" s="27" t="n"/>
      <c r="I229" s="27" t="n"/>
      <c r="J229" s="28">
        <f>IF($A229="","",IF('設定'!$B$10="四捨五入",ROUND(IF('設定'!$B$9="税込",N($G229)*10/110,N($G229)*10/100),0),IF('設定'!$B$10="切り上げ",ROUNDUP(IF('設定'!$B$9="税込",N($G229)*10/110,N($G229)*10/100),0),ROUNDDOWN(IF('設定'!$B$9="税込",N($G229)*10/110,N($G229)*10/100),0))))</f>
        <v/>
      </c>
      <c r="K229" s="28">
        <f>IF($A229="","",IF('設定'!$B$10="四捨五入",ROUND(IF('設定'!$B$9="税込",N($H229)*8/108,N($H229)*8/100),0),IF('設定'!$B$10="切り上げ",ROUNDUP(IF('設定'!$B$9="税込",N($H229)*8/108,N($H229)*8/100),0),ROUNDDOWN(IF('設定'!$B$9="税込",N($H229)*8/108,N($H229)*8/100),0))))</f>
        <v/>
      </c>
      <c r="L229" s="28">
        <f>IF($A229="","",N($G229)+N($H229)+N($I229)+IF('設定'!$B$9="税込",0,$J229+$K229))</f>
        <v/>
      </c>
      <c r="M229" s="29">
        <f>IF(OR($A229="",NOT(ISNUMBER($W229)),NOT(ISNUMBER($X229))),"",IF(OR(INDEX('得意先'!$D$5:$D$104,$W229)="",INDEX('得意先'!$E$5:$E$104,$W229)="",INDEX('得意先'!$F$5:$F$104,$W229)=""),"",IF(INDEX('得意先'!$F$5:$F$104,$W229)="末",DATE(YEAR($X229),(MONTH($X229)+IF(INDEX('得意先'!$D$5:$D$104,$W229)="末",0,IF(DAY($X229)&lt;=INDEX('得意先'!$D$5:$D$104,$W229),0,1))+N(INDEX('得意先'!$E$5:$E$104,$W229)))+1,0),DATE(YEAR($X229),(MONTH($X229)+IF(INDEX('得意先'!$D$5:$D$104,$W229)="末",0,IF(DAY($X229)&lt;=INDEX('得意先'!$D$5:$D$104,$W229),0,1))+N(INDEX('得意先'!$E$5:$E$104,$W229))),MIN(INDEX('得意先'!$F$5:$F$104,$W229),DAY(DATE(YEAR($X229),(MONTH($X229)+IF(INDEX('得意先'!$D$5:$D$104,$W229)="末",0,IF(DAY($X229)&lt;=INDEX('得意先'!$D$5:$D$104,$W229),0,1))+N(INDEX('得意先'!$E$5:$E$104,$W229)))+1,0)))))))</f>
        <v/>
      </c>
      <c r="N229" s="26" t="n"/>
      <c r="O229" s="29">
        <f>IF($A229="","",IF(ISNUMBER($N229),$N229,$M229))</f>
        <v/>
      </c>
      <c r="P229" s="28">
        <f>IF($A229="","",SUMIF('入金消込'!$F$5:$F$1004,$A229,'入金消込'!$G$5:$G$1004))</f>
        <v/>
      </c>
      <c r="Q229" s="28">
        <f>IF($A229="","",SUMIF('入金消込'!$F$5:$F$1004,$A229,'入金消込'!$H$5:$H$1004)+SUMIF('入金消込'!$F$5:$F$1004,$A229,'入金消込'!$I$5:$I$1004))</f>
        <v/>
      </c>
      <c r="R229" s="28">
        <f>IF($A229="","",$L229-$P229-$Q229)</f>
        <v/>
      </c>
      <c r="S229" s="30">
        <f>IF($A229="","",IF($R229=0,IF($L229=0,"請求額0","回収済"),IF($L229&lt;0,IF($R229&lt;0,"差し引き待ち","差し引きすぎ"),IF($R229&lt;0,"入金が多い",IF($P229+$Q229=0,"未入金","一部入金")))))</f>
        <v/>
      </c>
      <c r="T229" s="31">
        <f>IF(OR($A229="",N($R229)&lt;=0,NOT(ISNUMBER($O229))),"",IF($O229&lt;'設定'!$B$7,'設定'!$B$7-$O229,""))</f>
        <v/>
      </c>
      <c r="U229" s="30">
        <f>IF(OR($A229="",N($R229)&lt;=0),"",IF(NOT(ISNUMBER($O229)),'設定'!$B$22,IF($O229&gt;='設定'!$B$7,'設定'!$B$17,IF('設定'!$B$7-$O229&lt;='設定'!$B$12,'設定'!$B$18,IF('設定'!$B$7-$O229&lt;='設定'!$B$13,'設定'!$B$19,IF('設定'!$B$7-$O229&lt;='設定'!$B$14,'設定'!$B$20,'設定'!$B$21))))))</f>
        <v/>
      </c>
      <c r="V229" s="56" t="n"/>
      <c r="W229" s="32">
        <f>IF($C229="","",IFERROR(MATCH($C229,'得意先'!$B$5:$B$104,0),"なし"))</f>
        <v/>
      </c>
      <c r="X229" s="33">
        <f>IF($A229="","",IF(ISNUMBER($E229),$E229,IF(ISNUMBER($B229),$B229,"")))</f>
        <v/>
      </c>
      <c r="Y229" s="34">
        <f>IF($T229="","",$O229+ROW()/1000000)</f>
        <v/>
      </c>
      <c r="Z229" s="35">
        <f>IF(OR($A229="",$C229="",$C229&lt;&gt;'売掛帳'!$B$3,NOT(ISNUMBER($X229))),"",IF(AND($X229&gt;='売掛帳'!$Q$3,$X229&lt;='売掛帳'!$Q$4),$X229+ROW()/10000000,""))</f>
        <v/>
      </c>
    </row>
    <row r="230" ht="18" customHeight="1">
      <c r="A230" s="18" t="n"/>
      <c r="B230" s="26" t="n"/>
      <c r="C230" s="18" t="n"/>
      <c r="D230" s="20">
        <f>IF($W230="","",IF($W230="なし","※得意先にないコード",INDEX('得意先'!$C$5:$C$104,$W230)&amp;""))</f>
        <v/>
      </c>
      <c r="E230" s="26" t="n"/>
      <c r="F230" s="19" t="n"/>
      <c r="G230" s="27" t="n"/>
      <c r="H230" s="27" t="n"/>
      <c r="I230" s="27" t="n"/>
      <c r="J230" s="28">
        <f>IF($A230="","",IF('設定'!$B$10="四捨五入",ROUND(IF('設定'!$B$9="税込",N($G230)*10/110,N($G230)*10/100),0),IF('設定'!$B$10="切り上げ",ROUNDUP(IF('設定'!$B$9="税込",N($G230)*10/110,N($G230)*10/100),0),ROUNDDOWN(IF('設定'!$B$9="税込",N($G230)*10/110,N($G230)*10/100),0))))</f>
        <v/>
      </c>
      <c r="K230" s="28">
        <f>IF($A230="","",IF('設定'!$B$10="四捨五入",ROUND(IF('設定'!$B$9="税込",N($H230)*8/108,N($H230)*8/100),0),IF('設定'!$B$10="切り上げ",ROUNDUP(IF('設定'!$B$9="税込",N($H230)*8/108,N($H230)*8/100),0),ROUNDDOWN(IF('設定'!$B$9="税込",N($H230)*8/108,N($H230)*8/100),0))))</f>
        <v/>
      </c>
      <c r="L230" s="28">
        <f>IF($A230="","",N($G230)+N($H230)+N($I230)+IF('設定'!$B$9="税込",0,$J230+$K230))</f>
        <v/>
      </c>
      <c r="M230" s="29">
        <f>IF(OR($A230="",NOT(ISNUMBER($W230)),NOT(ISNUMBER($X230))),"",IF(OR(INDEX('得意先'!$D$5:$D$104,$W230)="",INDEX('得意先'!$E$5:$E$104,$W230)="",INDEX('得意先'!$F$5:$F$104,$W230)=""),"",IF(INDEX('得意先'!$F$5:$F$104,$W230)="末",DATE(YEAR($X230),(MONTH($X230)+IF(INDEX('得意先'!$D$5:$D$104,$W230)="末",0,IF(DAY($X230)&lt;=INDEX('得意先'!$D$5:$D$104,$W230),0,1))+N(INDEX('得意先'!$E$5:$E$104,$W230)))+1,0),DATE(YEAR($X230),(MONTH($X230)+IF(INDEX('得意先'!$D$5:$D$104,$W230)="末",0,IF(DAY($X230)&lt;=INDEX('得意先'!$D$5:$D$104,$W230),0,1))+N(INDEX('得意先'!$E$5:$E$104,$W230))),MIN(INDEX('得意先'!$F$5:$F$104,$W230),DAY(DATE(YEAR($X230),(MONTH($X230)+IF(INDEX('得意先'!$D$5:$D$104,$W230)="末",0,IF(DAY($X230)&lt;=INDEX('得意先'!$D$5:$D$104,$W230),0,1))+N(INDEX('得意先'!$E$5:$E$104,$W230)))+1,0)))))))</f>
        <v/>
      </c>
      <c r="N230" s="26" t="n"/>
      <c r="O230" s="29">
        <f>IF($A230="","",IF(ISNUMBER($N230),$N230,$M230))</f>
        <v/>
      </c>
      <c r="P230" s="28">
        <f>IF($A230="","",SUMIF('入金消込'!$F$5:$F$1004,$A230,'入金消込'!$G$5:$G$1004))</f>
        <v/>
      </c>
      <c r="Q230" s="28">
        <f>IF($A230="","",SUMIF('入金消込'!$F$5:$F$1004,$A230,'入金消込'!$H$5:$H$1004)+SUMIF('入金消込'!$F$5:$F$1004,$A230,'入金消込'!$I$5:$I$1004))</f>
        <v/>
      </c>
      <c r="R230" s="28">
        <f>IF($A230="","",$L230-$P230-$Q230)</f>
        <v/>
      </c>
      <c r="S230" s="30">
        <f>IF($A230="","",IF($R230=0,IF($L230=0,"請求額0","回収済"),IF($L230&lt;0,IF($R230&lt;0,"差し引き待ち","差し引きすぎ"),IF($R230&lt;0,"入金が多い",IF($P230+$Q230=0,"未入金","一部入金")))))</f>
        <v/>
      </c>
      <c r="T230" s="31">
        <f>IF(OR($A230="",N($R230)&lt;=0,NOT(ISNUMBER($O230))),"",IF($O230&lt;'設定'!$B$7,'設定'!$B$7-$O230,""))</f>
        <v/>
      </c>
      <c r="U230" s="30">
        <f>IF(OR($A230="",N($R230)&lt;=0),"",IF(NOT(ISNUMBER($O230)),'設定'!$B$22,IF($O230&gt;='設定'!$B$7,'設定'!$B$17,IF('設定'!$B$7-$O230&lt;='設定'!$B$12,'設定'!$B$18,IF('設定'!$B$7-$O230&lt;='設定'!$B$13,'設定'!$B$19,IF('設定'!$B$7-$O230&lt;='設定'!$B$14,'設定'!$B$20,'設定'!$B$21))))))</f>
        <v/>
      </c>
      <c r="V230" s="56" t="n"/>
      <c r="W230" s="32">
        <f>IF($C230="","",IFERROR(MATCH($C230,'得意先'!$B$5:$B$104,0),"なし"))</f>
        <v/>
      </c>
      <c r="X230" s="33">
        <f>IF($A230="","",IF(ISNUMBER($E230),$E230,IF(ISNUMBER($B230),$B230,"")))</f>
        <v/>
      </c>
      <c r="Y230" s="34">
        <f>IF($T230="","",$O230+ROW()/1000000)</f>
        <v/>
      </c>
      <c r="Z230" s="35">
        <f>IF(OR($A230="",$C230="",$C230&lt;&gt;'売掛帳'!$B$3,NOT(ISNUMBER($X230))),"",IF(AND($X230&gt;='売掛帳'!$Q$3,$X230&lt;='売掛帳'!$Q$4),$X230+ROW()/10000000,""))</f>
        <v/>
      </c>
    </row>
    <row r="231" ht="18" customHeight="1">
      <c r="A231" s="18" t="n"/>
      <c r="B231" s="26" t="n"/>
      <c r="C231" s="18" t="n"/>
      <c r="D231" s="20">
        <f>IF($W231="","",IF($W231="なし","※得意先にないコード",INDEX('得意先'!$C$5:$C$104,$W231)&amp;""))</f>
        <v/>
      </c>
      <c r="E231" s="26" t="n"/>
      <c r="F231" s="19" t="n"/>
      <c r="G231" s="27" t="n"/>
      <c r="H231" s="27" t="n"/>
      <c r="I231" s="27" t="n"/>
      <c r="J231" s="28">
        <f>IF($A231="","",IF('設定'!$B$10="四捨五入",ROUND(IF('設定'!$B$9="税込",N($G231)*10/110,N($G231)*10/100),0),IF('設定'!$B$10="切り上げ",ROUNDUP(IF('設定'!$B$9="税込",N($G231)*10/110,N($G231)*10/100),0),ROUNDDOWN(IF('設定'!$B$9="税込",N($G231)*10/110,N($G231)*10/100),0))))</f>
        <v/>
      </c>
      <c r="K231" s="28">
        <f>IF($A231="","",IF('設定'!$B$10="四捨五入",ROUND(IF('設定'!$B$9="税込",N($H231)*8/108,N($H231)*8/100),0),IF('設定'!$B$10="切り上げ",ROUNDUP(IF('設定'!$B$9="税込",N($H231)*8/108,N($H231)*8/100),0),ROUNDDOWN(IF('設定'!$B$9="税込",N($H231)*8/108,N($H231)*8/100),0))))</f>
        <v/>
      </c>
      <c r="L231" s="28">
        <f>IF($A231="","",N($G231)+N($H231)+N($I231)+IF('設定'!$B$9="税込",0,$J231+$K231))</f>
        <v/>
      </c>
      <c r="M231" s="29">
        <f>IF(OR($A231="",NOT(ISNUMBER($W231)),NOT(ISNUMBER($X231))),"",IF(OR(INDEX('得意先'!$D$5:$D$104,$W231)="",INDEX('得意先'!$E$5:$E$104,$W231)="",INDEX('得意先'!$F$5:$F$104,$W231)=""),"",IF(INDEX('得意先'!$F$5:$F$104,$W231)="末",DATE(YEAR($X231),(MONTH($X231)+IF(INDEX('得意先'!$D$5:$D$104,$W231)="末",0,IF(DAY($X231)&lt;=INDEX('得意先'!$D$5:$D$104,$W231),0,1))+N(INDEX('得意先'!$E$5:$E$104,$W231)))+1,0),DATE(YEAR($X231),(MONTH($X231)+IF(INDEX('得意先'!$D$5:$D$104,$W231)="末",0,IF(DAY($X231)&lt;=INDEX('得意先'!$D$5:$D$104,$W231),0,1))+N(INDEX('得意先'!$E$5:$E$104,$W231))),MIN(INDEX('得意先'!$F$5:$F$104,$W231),DAY(DATE(YEAR($X231),(MONTH($X231)+IF(INDEX('得意先'!$D$5:$D$104,$W231)="末",0,IF(DAY($X231)&lt;=INDEX('得意先'!$D$5:$D$104,$W231),0,1))+N(INDEX('得意先'!$E$5:$E$104,$W231)))+1,0)))))))</f>
        <v/>
      </c>
      <c r="N231" s="26" t="n"/>
      <c r="O231" s="29">
        <f>IF($A231="","",IF(ISNUMBER($N231),$N231,$M231))</f>
        <v/>
      </c>
      <c r="P231" s="28">
        <f>IF($A231="","",SUMIF('入金消込'!$F$5:$F$1004,$A231,'入金消込'!$G$5:$G$1004))</f>
        <v/>
      </c>
      <c r="Q231" s="28">
        <f>IF($A231="","",SUMIF('入金消込'!$F$5:$F$1004,$A231,'入金消込'!$H$5:$H$1004)+SUMIF('入金消込'!$F$5:$F$1004,$A231,'入金消込'!$I$5:$I$1004))</f>
        <v/>
      </c>
      <c r="R231" s="28">
        <f>IF($A231="","",$L231-$P231-$Q231)</f>
        <v/>
      </c>
      <c r="S231" s="30">
        <f>IF($A231="","",IF($R231=0,IF($L231=0,"請求額0","回収済"),IF($L231&lt;0,IF($R231&lt;0,"差し引き待ち","差し引きすぎ"),IF($R231&lt;0,"入金が多い",IF($P231+$Q231=0,"未入金","一部入金")))))</f>
        <v/>
      </c>
      <c r="T231" s="31">
        <f>IF(OR($A231="",N($R231)&lt;=0,NOT(ISNUMBER($O231))),"",IF($O231&lt;'設定'!$B$7,'設定'!$B$7-$O231,""))</f>
        <v/>
      </c>
      <c r="U231" s="30">
        <f>IF(OR($A231="",N($R231)&lt;=0),"",IF(NOT(ISNUMBER($O231)),'設定'!$B$22,IF($O231&gt;='設定'!$B$7,'設定'!$B$17,IF('設定'!$B$7-$O231&lt;='設定'!$B$12,'設定'!$B$18,IF('設定'!$B$7-$O231&lt;='設定'!$B$13,'設定'!$B$19,IF('設定'!$B$7-$O231&lt;='設定'!$B$14,'設定'!$B$20,'設定'!$B$21))))))</f>
        <v/>
      </c>
      <c r="V231" s="56" t="n"/>
      <c r="W231" s="32">
        <f>IF($C231="","",IFERROR(MATCH($C231,'得意先'!$B$5:$B$104,0),"なし"))</f>
        <v/>
      </c>
      <c r="X231" s="33">
        <f>IF($A231="","",IF(ISNUMBER($E231),$E231,IF(ISNUMBER($B231),$B231,"")))</f>
        <v/>
      </c>
      <c r="Y231" s="34">
        <f>IF($T231="","",$O231+ROW()/1000000)</f>
        <v/>
      </c>
      <c r="Z231" s="35">
        <f>IF(OR($A231="",$C231="",$C231&lt;&gt;'売掛帳'!$B$3,NOT(ISNUMBER($X231))),"",IF(AND($X231&gt;='売掛帳'!$Q$3,$X231&lt;='売掛帳'!$Q$4),$X231+ROW()/10000000,""))</f>
        <v/>
      </c>
    </row>
    <row r="232" ht="18" customHeight="1">
      <c r="A232" s="18" t="n"/>
      <c r="B232" s="26" t="n"/>
      <c r="C232" s="18" t="n"/>
      <c r="D232" s="20">
        <f>IF($W232="","",IF($W232="なし","※得意先にないコード",INDEX('得意先'!$C$5:$C$104,$W232)&amp;""))</f>
        <v/>
      </c>
      <c r="E232" s="26" t="n"/>
      <c r="F232" s="19" t="n"/>
      <c r="G232" s="27" t="n"/>
      <c r="H232" s="27" t="n"/>
      <c r="I232" s="27" t="n"/>
      <c r="J232" s="28">
        <f>IF($A232="","",IF('設定'!$B$10="四捨五入",ROUND(IF('設定'!$B$9="税込",N($G232)*10/110,N($G232)*10/100),0),IF('設定'!$B$10="切り上げ",ROUNDUP(IF('設定'!$B$9="税込",N($G232)*10/110,N($G232)*10/100),0),ROUNDDOWN(IF('設定'!$B$9="税込",N($G232)*10/110,N($G232)*10/100),0))))</f>
        <v/>
      </c>
      <c r="K232" s="28">
        <f>IF($A232="","",IF('設定'!$B$10="四捨五入",ROUND(IF('設定'!$B$9="税込",N($H232)*8/108,N($H232)*8/100),0),IF('設定'!$B$10="切り上げ",ROUNDUP(IF('設定'!$B$9="税込",N($H232)*8/108,N($H232)*8/100),0),ROUNDDOWN(IF('設定'!$B$9="税込",N($H232)*8/108,N($H232)*8/100),0))))</f>
        <v/>
      </c>
      <c r="L232" s="28">
        <f>IF($A232="","",N($G232)+N($H232)+N($I232)+IF('設定'!$B$9="税込",0,$J232+$K232))</f>
        <v/>
      </c>
      <c r="M232" s="29">
        <f>IF(OR($A232="",NOT(ISNUMBER($W232)),NOT(ISNUMBER($X232))),"",IF(OR(INDEX('得意先'!$D$5:$D$104,$W232)="",INDEX('得意先'!$E$5:$E$104,$W232)="",INDEX('得意先'!$F$5:$F$104,$W232)=""),"",IF(INDEX('得意先'!$F$5:$F$104,$W232)="末",DATE(YEAR($X232),(MONTH($X232)+IF(INDEX('得意先'!$D$5:$D$104,$W232)="末",0,IF(DAY($X232)&lt;=INDEX('得意先'!$D$5:$D$104,$W232),0,1))+N(INDEX('得意先'!$E$5:$E$104,$W232)))+1,0),DATE(YEAR($X232),(MONTH($X232)+IF(INDEX('得意先'!$D$5:$D$104,$W232)="末",0,IF(DAY($X232)&lt;=INDEX('得意先'!$D$5:$D$104,$W232),0,1))+N(INDEX('得意先'!$E$5:$E$104,$W232))),MIN(INDEX('得意先'!$F$5:$F$104,$W232),DAY(DATE(YEAR($X232),(MONTH($X232)+IF(INDEX('得意先'!$D$5:$D$104,$W232)="末",0,IF(DAY($X232)&lt;=INDEX('得意先'!$D$5:$D$104,$W232),0,1))+N(INDEX('得意先'!$E$5:$E$104,$W232)))+1,0)))))))</f>
        <v/>
      </c>
      <c r="N232" s="26" t="n"/>
      <c r="O232" s="29">
        <f>IF($A232="","",IF(ISNUMBER($N232),$N232,$M232))</f>
        <v/>
      </c>
      <c r="P232" s="28">
        <f>IF($A232="","",SUMIF('入金消込'!$F$5:$F$1004,$A232,'入金消込'!$G$5:$G$1004))</f>
        <v/>
      </c>
      <c r="Q232" s="28">
        <f>IF($A232="","",SUMIF('入金消込'!$F$5:$F$1004,$A232,'入金消込'!$H$5:$H$1004)+SUMIF('入金消込'!$F$5:$F$1004,$A232,'入金消込'!$I$5:$I$1004))</f>
        <v/>
      </c>
      <c r="R232" s="28">
        <f>IF($A232="","",$L232-$P232-$Q232)</f>
        <v/>
      </c>
      <c r="S232" s="30">
        <f>IF($A232="","",IF($R232=0,IF($L232=0,"請求額0","回収済"),IF($L232&lt;0,IF($R232&lt;0,"差し引き待ち","差し引きすぎ"),IF($R232&lt;0,"入金が多い",IF($P232+$Q232=0,"未入金","一部入金")))))</f>
        <v/>
      </c>
      <c r="T232" s="31">
        <f>IF(OR($A232="",N($R232)&lt;=0,NOT(ISNUMBER($O232))),"",IF($O232&lt;'設定'!$B$7,'設定'!$B$7-$O232,""))</f>
        <v/>
      </c>
      <c r="U232" s="30">
        <f>IF(OR($A232="",N($R232)&lt;=0),"",IF(NOT(ISNUMBER($O232)),'設定'!$B$22,IF($O232&gt;='設定'!$B$7,'設定'!$B$17,IF('設定'!$B$7-$O232&lt;='設定'!$B$12,'設定'!$B$18,IF('設定'!$B$7-$O232&lt;='設定'!$B$13,'設定'!$B$19,IF('設定'!$B$7-$O232&lt;='設定'!$B$14,'設定'!$B$20,'設定'!$B$21))))))</f>
        <v/>
      </c>
      <c r="V232" s="56" t="n"/>
      <c r="W232" s="32">
        <f>IF($C232="","",IFERROR(MATCH($C232,'得意先'!$B$5:$B$104,0),"なし"))</f>
        <v/>
      </c>
      <c r="X232" s="33">
        <f>IF($A232="","",IF(ISNUMBER($E232),$E232,IF(ISNUMBER($B232),$B232,"")))</f>
        <v/>
      </c>
      <c r="Y232" s="34">
        <f>IF($T232="","",$O232+ROW()/1000000)</f>
        <v/>
      </c>
      <c r="Z232" s="35">
        <f>IF(OR($A232="",$C232="",$C232&lt;&gt;'売掛帳'!$B$3,NOT(ISNUMBER($X232))),"",IF(AND($X232&gt;='売掛帳'!$Q$3,$X232&lt;='売掛帳'!$Q$4),$X232+ROW()/10000000,""))</f>
        <v/>
      </c>
    </row>
    <row r="233" ht="18" customHeight="1">
      <c r="A233" s="18" t="n"/>
      <c r="B233" s="26" t="n"/>
      <c r="C233" s="18" t="n"/>
      <c r="D233" s="20">
        <f>IF($W233="","",IF($W233="なし","※得意先にないコード",INDEX('得意先'!$C$5:$C$104,$W233)&amp;""))</f>
        <v/>
      </c>
      <c r="E233" s="26" t="n"/>
      <c r="F233" s="19" t="n"/>
      <c r="G233" s="27" t="n"/>
      <c r="H233" s="27" t="n"/>
      <c r="I233" s="27" t="n"/>
      <c r="J233" s="28">
        <f>IF($A233="","",IF('設定'!$B$10="四捨五入",ROUND(IF('設定'!$B$9="税込",N($G233)*10/110,N($G233)*10/100),0),IF('設定'!$B$10="切り上げ",ROUNDUP(IF('設定'!$B$9="税込",N($G233)*10/110,N($G233)*10/100),0),ROUNDDOWN(IF('設定'!$B$9="税込",N($G233)*10/110,N($G233)*10/100),0))))</f>
        <v/>
      </c>
      <c r="K233" s="28">
        <f>IF($A233="","",IF('設定'!$B$10="四捨五入",ROUND(IF('設定'!$B$9="税込",N($H233)*8/108,N($H233)*8/100),0),IF('設定'!$B$10="切り上げ",ROUNDUP(IF('設定'!$B$9="税込",N($H233)*8/108,N($H233)*8/100),0),ROUNDDOWN(IF('設定'!$B$9="税込",N($H233)*8/108,N($H233)*8/100),0))))</f>
        <v/>
      </c>
      <c r="L233" s="28">
        <f>IF($A233="","",N($G233)+N($H233)+N($I233)+IF('設定'!$B$9="税込",0,$J233+$K233))</f>
        <v/>
      </c>
      <c r="M233" s="29">
        <f>IF(OR($A233="",NOT(ISNUMBER($W233)),NOT(ISNUMBER($X233))),"",IF(OR(INDEX('得意先'!$D$5:$D$104,$W233)="",INDEX('得意先'!$E$5:$E$104,$W233)="",INDEX('得意先'!$F$5:$F$104,$W233)=""),"",IF(INDEX('得意先'!$F$5:$F$104,$W233)="末",DATE(YEAR($X233),(MONTH($X233)+IF(INDEX('得意先'!$D$5:$D$104,$W233)="末",0,IF(DAY($X233)&lt;=INDEX('得意先'!$D$5:$D$104,$W233),0,1))+N(INDEX('得意先'!$E$5:$E$104,$W233)))+1,0),DATE(YEAR($X233),(MONTH($X233)+IF(INDEX('得意先'!$D$5:$D$104,$W233)="末",0,IF(DAY($X233)&lt;=INDEX('得意先'!$D$5:$D$104,$W233),0,1))+N(INDEX('得意先'!$E$5:$E$104,$W233))),MIN(INDEX('得意先'!$F$5:$F$104,$W233),DAY(DATE(YEAR($X233),(MONTH($X233)+IF(INDEX('得意先'!$D$5:$D$104,$W233)="末",0,IF(DAY($X233)&lt;=INDEX('得意先'!$D$5:$D$104,$W233),0,1))+N(INDEX('得意先'!$E$5:$E$104,$W233)))+1,0)))))))</f>
        <v/>
      </c>
      <c r="N233" s="26" t="n"/>
      <c r="O233" s="29">
        <f>IF($A233="","",IF(ISNUMBER($N233),$N233,$M233))</f>
        <v/>
      </c>
      <c r="P233" s="28">
        <f>IF($A233="","",SUMIF('入金消込'!$F$5:$F$1004,$A233,'入金消込'!$G$5:$G$1004))</f>
        <v/>
      </c>
      <c r="Q233" s="28">
        <f>IF($A233="","",SUMIF('入金消込'!$F$5:$F$1004,$A233,'入金消込'!$H$5:$H$1004)+SUMIF('入金消込'!$F$5:$F$1004,$A233,'入金消込'!$I$5:$I$1004))</f>
        <v/>
      </c>
      <c r="R233" s="28">
        <f>IF($A233="","",$L233-$P233-$Q233)</f>
        <v/>
      </c>
      <c r="S233" s="30">
        <f>IF($A233="","",IF($R233=0,IF($L233=0,"請求額0","回収済"),IF($L233&lt;0,IF($R233&lt;0,"差し引き待ち","差し引きすぎ"),IF($R233&lt;0,"入金が多い",IF($P233+$Q233=0,"未入金","一部入金")))))</f>
        <v/>
      </c>
      <c r="T233" s="31">
        <f>IF(OR($A233="",N($R233)&lt;=0,NOT(ISNUMBER($O233))),"",IF($O233&lt;'設定'!$B$7,'設定'!$B$7-$O233,""))</f>
        <v/>
      </c>
      <c r="U233" s="30">
        <f>IF(OR($A233="",N($R233)&lt;=0),"",IF(NOT(ISNUMBER($O233)),'設定'!$B$22,IF($O233&gt;='設定'!$B$7,'設定'!$B$17,IF('設定'!$B$7-$O233&lt;='設定'!$B$12,'設定'!$B$18,IF('設定'!$B$7-$O233&lt;='設定'!$B$13,'設定'!$B$19,IF('設定'!$B$7-$O233&lt;='設定'!$B$14,'設定'!$B$20,'設定'!$B$21))))))</f>
        <v/>
      </c>
      <c r="V233" s="56" t="n"/>
      <c r="W233" s="32">
        <f>IF($C233="","",IFERROR(MATCH($C233,'得意先'!$B$5:$B$104,0),"なし"))</f>
        <v/>
      </c>
      <c r="X233" s="33">
        <f>IF($A233="","",IF(ISNUMBER($E233),$E233,IF(ISNUMBER($B233),$B233,"")))</f>
        <v/>
      </c>
      <c r="Y233" s="34">
        <f>IF($T233="","",$O233+ROW()/1000000)</f>
        <v/>
      </c>
      <c r="Z233" s="35">
        <f>IF(OR($A233="",$C233="",$C233&lt;&gt;'売掛帳'!$B$3,NOT(ISNUMBER($X233))),"",IF(AND($X233&gt;='売掛帳'!$Q$3,$X233&lt;='売掛帳'!$Q$4),$X233+ROW()/10000000,""))</f>
        <v/>
      </c>
    </row>
    <row r="234" ht="18" customHeight="1">
      <c r="A234" s="18" t="n"/>
      <c r="B234" s="26" t="n"/>
      <c r="C234" s="18" t="n"/>
      <c r="D234" s="20">
        <f>IF($W234="","",IF($W234="なし","※得意先にないコード",INDEX('得意先'!$C$5:$C$104,$W234)&amp;""))</f>
        <v/>
      </c>
      <c r="E234" s="26" t="n"/>
      <c r="F234" s="19" t="n"/>
      <c r="G234" s="27" t="n"/>
      <c r="H234" s="27" t="n"/>
      <c r="I234" s="27" t="n"/>
      <c r="J234" s="28">
        <f>IF($A234="","",IF('設定'!$B$10="四捨五入",ROUND(IF('設定'!$B$9="税込",N($G234)*10/110,N($G234)*10/100),0),IF('設定'!$B$10="切り上げ",ROUNDUP(IF('設定'!$B$9="税込",N($G234)*10/110,N($G234)*10/100),0),ROUNDDOWN(IF('設定'!$B$9="税込",N($G234)*10/110,N($G234)*10/100),0))))</f>
        <v/>
      </c>
      <c r="K234" s="28">
        <f>IF($A234="","",IF('設定'!$B$10="四捨五入",ROUND(IF('設定'!$B$9="税込",N($H234)*8/108,N($H234)*8/100),0),IF('設定'!$B$10="切り上げ",ROUNDUP(IF('設定'!$B$9="税込",N($H234)*8/108,N($H234)*8/100),0),ROUNDDOWN(IF('設定'!$B$9="税込",N($H234)*8/108,N($H234)*8/100),0))))</f>
        <v/>
      </c>
      <c r="L234" s="28">
        <f>IF($A234="","",N($G234)+N($H234)+N($I234)+IF('設定'!$B$9="税込",0,$J234+$K234))</f>
        <v/>
      </c>
      <c r="M234" s="29">
        <f>IF(OR($A234="",NOT(ISNUMBER($W234)),NOT(ISNUMBER($X234))),"",IF(OR(INDEX('得意先'!$D$5:$D$104,$W234)="",INDEX('得意先'!$E$5:$E$104,$W234)="",INDEX('得意先'!$F$5:$F$104,$W234)=""),"",IF(INDEX('得意先'!$F$5:$F$104,$W234)="末",DATE(YEAR($X234),(MONTH($X234)+IF(INDEX('得意先'!$D$5:$D$104,$W234)="末",0,IF(DAY($X234)&lt;=INDEX('得意先'!$D$5:$D$104,$W234),0,1))+N(INDEX('得意先'!$E$5:$E$104,$W234)))+1,0),DATE(YEAR($X234),(MONTH($X234)+IF(INDEX('得意先'!$D$5:$D$104,$W234)="末",0,IF(DAY($X234)&lt;=INDEX('得意先'!$D$5:$D$104,$W234),0,1))+N(INDEX('得意先'!$E$5:$E$104,$W234))),MIN(INDEX('得意先'!$F$5:$F$104,$W234),DAY(DATE(YEAR($X234),(MONTH($X234)+IF(INDEX('得意先'!$D$5:$D$104,$W234)="末",0,IF(DAY($X234)&lt;=INDEX('得意先'!$D$5:$D$104,$W234),0,1))+N(INDEX('得意先'!$E$5:$E$104,$W234)))+1,0)))))))</f>
        <v/>
      </c>
      <c r="N234" s="26" t="n"/>
      <c r="O234" s="29">
        <f>IF($A234="","",IF(ISNUMBER($N234),$N234,$M234))</f>
        <v/>
      </c>
      <c r="P234" s="28">
        <f>IF($A234="","",SUMIF('入金消込'!$F$5:$F$1004,$A234,'入金消込'!$G$5:$G$1004))</f>
        <v/>
      </c>
      <c r="Q234" s="28">
        <f>IF($A234="","",SUMIF('入金消込'!$F$5:$F$1004,$A234,'入金消込'!$H$5:$H$1004)+SUMIF('入金消込'!$F$5:$F$1004,$A234,'入金消込'!$I$5:$I$1004))</f>
        <v/>
      </c>
      <c r="R234" s="28">
        <f>IF($A234="","",$L234-$P234-$Q234)</f>
        <v/>
      </c>
      <c r="S234" s="30">
        <f>IF($A234="","",IF($R234=0,IF($L234=0,"請求額0","回収済"),IF($L234&lt;0,IF($R234&lt;0,"差し引き待ち","差し引きすぎ"),IF($R234&lt;0,"入金が多い",IF($P234+$Q234=0,"未入金","一部入金")))))</f>
        <v/>
      </c>
      <c r="T234" s="31">
        <f>IF(OR($A234="",N($R234)&lt;=0,NOT(ISNUMBER($O234))),"",IF($O234&lt;'設定'!$B$7,'設定'!$B$7-$O234,""))</f>
        <v/>
      </c>
      <c r="U234" s="30">
        <f>IF(OR($A234="",N($R234)&lt;=0),"",IF(NOT(ISNUMBER($O234)),'設定'!$B$22,IF($O234&gt;='設定'!$B$7,'設定'!$B$17,IF('設定'!$B$7-$O234&lt;='設定'!$B$12,'設定'!$B$18,IF('設定'!$B$7-$O234&lt;='設定'!$B$13,'設定'!$B$19,IF('設定'!$B$7-$O234&lt;='設定'!$B$14,'設定'!$B$20,'設定'!$B$21))))))</f>
        <v/>
      </c>
      <c r="V234" s="56" t="n"/>
      <c r="W234" s="32">
        <f>IF($C234="","",IFERROR(MATCH($C234,'得意先'!$B$5:$B$104,0),"なし"))</f>
        <v/>
      </c>
      <c r="X234" s="33">
        <f>IF($A234="","",IF(ISNUMBER($E234),$E234,IF(ISNUMBER($B234),$B234,"")))</f>
        <v/>
      </c>
      <c r="Y234" s="34">
        <f>IF($T234="","",$O234+ROW()/1000000)</f>
        <v/>
      </c>
      <c r="Z234" s="35">
        <f>IF(OR($A234="",$C234="",$C234&lt;&gt;'売掛帳'!$B$3,NOT(ISNUMBER($X234))),"",IF(AND($X234&gt;='売掛帳'!$Q$3,$X234&lt;='売掛帳'!$Q$4),$X234+ROW()/10000000,""))</f>
        <v/>
      </c>
    </row>
    <row r="235" ht="18" customHeight="1">
      <c r="A235" s="18" t="n"/>
      <c r="B235" s="26" t="n"/>
      <c r="C235" s="18" t="n"/>
      <c r="D235" s="20">
        <f>IF($W235="","",IF($W235="なし","※得意先にないコード",INDEX('得意先'!$C$5:$C$104,$W235)&amp;""))</f>
        <v/>
      </c>
      <c r="E235" s="26" t="n"/>
      <c r="F235" s="19" t="n"/>
      <c r="G235" s="27" t="n"/>
      <c r="H235" s="27" t="n"/>
      <c r="I235" s="27" t="n"/>
      <c r="J235" s="28">
        <f>IF($A235="","",IF('設定'!$B$10="四捨五入",ROUND(IF('設定'!$B$9="税込",N($G235)*10/110,N($G235)*10/100),0),IF('設定'!$B$10="切り上げ",ROUNDUP(IF('設定'!$B$9="税込",N($G235)*10/110,N($G235)*10/100),0),ROUNDDOWN(IF('設定'!$B$9="税込",N($G235)*10/110,N($G235)*10/100),0))))</f>
        <v/>
      </c>
      <c r="K235" s="28">
        <f>IF($A235="","",IF('設定'!$B$10="四捨五入",ROUND(IF('設定'!$B$9="税込",N($H235)*8/108,N($H235)*8/100),0),IF('設定'!$B$10="切り上げ",ROUNDUP(IF('設定'!$B$9="税込",N($H235)*8/108,N($H235)*8/100),0),ROUNDDOWN(IF('設定'!$B$9="税込",N($H235)*8/108,N($H235)*8/100),0))))</f>
        <v/>
      </c>
      <c r="L235" s="28">
        <f>IF($A235="","",N($G235)+N($H235)+N($I235)+IF('設定'!$B$9="税込",0,$J235+$K235))</f>
        <v/>
      </c>
      <c r="M235" s="29">
        <f>IF(OR($A235="",NOT(ISNUMBER($W235)),NOT(ISNUMBER($X235))),"",IF(OR(INDEX('得意先'!$D$5:$D$104,$W235)="",INDEX('得意先'!$E$5:$E$104,$W235)="",INDEX('得意先'!$F$5:$F$104,$W235)=""),"",IF(INDEX('得意先'!$F$5:$F$104,$W235)="末",DATE(YEAR($X235),(MONTH($X235)+IF(INDEX('得意先'!$D$5:$D$104,$W235)="末",0,IF(DAY($X235)&lt;=INDEX('得意先'!$D$5:$D$104,$W235),0,1))+N(INDEX('得意先'!$E$5:$E$104,$W235)))+1,0),DATE(YEAR($X235),(MONTH($X235)+IF(INDEX('得意先'!$D$5:$D$104,$W235)="末",0,IF(DAY($X235)&lt;=INDEX('得意先'!$D$5:$D$104,$W235),0,1))+N(INDEX('得意先'!$E$5:$E$104,$W235))),MIN(INDEX('得意先'!$F$5:$F$104,$W235),DAY(DATE(YEAR($X235),(MONTH($X235)+IF(INDEX('得意先'!$D$5:$D$104,$W235)="末",0,IF(DAY($X235)&lt;=INDEX('得意先'!$D$5:$D$104,$W235),0,1))+N(INDEX('得意先'!$E$5:$E$104,$W235)))+1,0)))))))</f>
        <v/>
      </c>
      <c r="N235" s="26" t="n"/>
      <c r="O235" s="29">
        <f>IF($A235="","",IF(ISNUMBER($N235),$N235,$M235))</f>
        <v/>
      </c>
      <c r="P235" s="28">
        <f>IF($A235="","",SUMIF('入金消込'!$F$5:$F$1004,$A235,'入金消込'!$G$5:$G$1004))</f>
        <v/>
      </c>
      <c r="Q235" s="28">
        <f>IF($A235="","",SUMIF('入金消込'!$F$5:$F$1004,$A235,'入金消込'!$H$5:$H$1004)+SUMIF('入金消込'!$F$5:$F$1004,$A235,'入金消込'!$I$5:$I$1004))</f>
        <v/>
      </c>
      <c r="R235" s="28">
        <f>IF($A235="","",$L235-$P235-$Q235)</f>
        <v/>
      </c>
      <c r="S235" s="30">
        <f>IF($A235="","",IF($R235=0,IF($L235=0,"請求額0","回収済"),IF($L235&lt;0,IF($R235&lt;0,"差し引き待ち","差し引きすぎ"),IF($R235&lt;0,"入金が多い",IF($P235+$Q235=0,"未入金","一部入金")))))</f>
        <v/>
      </c>
      <c r="T235" s="31">
        <f>IF(OR($A235="",N($R235)&lt;=0,NOT(ISNUMBER($O235))),"",IF($O235&lt;'設定'!$B$7,'設定'!$B$7-$O235,""))</f>
        <v/>
      </c>
      <c r="U235" s="30">
        <f>IF(OR($A235="",N($R235)&lt;=0),"",IF(NOT(ISNUMBER($O235)),'設定'!$B$22,IF($O235&gt;='設定'!$B$7,'設定'!$B$17,IF('設定'!$B$7-$O235&lt;='設定'!$B$12,'設定'!$B$18,IF('設定'!$B$7-$O235&lt;='設定'!$B$13,'設定'!$B$19,IF('設定'!$B$7-$O235&lt;='設定'!$B$14,'設定'!$B$20,'設定'!$B$21))))))</f>
        <v/>
      </c>
      <c r="V235" s="56" t="n"/>
      <c r="W235" s="32">
        <f>IF($C235="","",IFERROR(MATCH($C235,'得意先'!$B$5:$B$104,0),"なし"))</f>
        <v/>
      </c>
      <c r="X235" s="33">
        <f>IF($A235="","",IF(ISNUMBER($E235),$E235,IF(ISNUMBER($B235),$B235,"")))</f>
        <v/>
      </c>
      <c r="Y235" s="34">
        <f>IF($T235="","",$O235+ROW()/1000000)</f>
        <v/>
      </c>
      <c r="Z235" s="35">
        <f>IF(OR($A235="",$C235="",$C235&lt;&gt;'売掛帳'!$B$3,NOT(ISNUMBER($X235))),"",IF(AND($X235&gt;='売掛帳'!$Q$3,$X235&lt;='売掛帳'!$Q$4),$X235+ROW()/10000000,""))</f>
        <v/>
      </c>
    </row>
    <row r="236" ht="18" customHeight="1">
      <c r="A236" s="18" t="n"/>
      <c r="B236" s="26" t="n"/>
      <c r="C236" s="18" t="n"/>
      <c r="D236" s="20">
        <f>IF($W236="","",IF($W236="なし","※得意先にないコード",INDEX('得意先'!$C$5:$C$104,$W236)&amp;""))</f>
        <v/>
      </c>
      <c r="E236" s="26" t="n"/>
      <c r="F236" s="19" t="n"/>
      <c r="G236" s="27" t="n"/>
      <c r="H236" s="27" t="n"/>
      <c r="I236" s="27" t="n"/>
      <c r="J236" s="28">
        <f>IF($A236="","",IF('設定'!$B$10="四捨五入",ROUND(IF('設定'!$B$9="税込",N($G236)*10/110,N($G236)*10/100),0),IF('設定'!$B$10="切り上げ",ROUNDUP(IF('設定'!$B$9="税込",N($G236)*10/110,N($G236)*10/100),0),ROUNDDOWN(IF('設定'!$B$9="税込",N($G236)*10/110,N($G236)*10/100),0))))</f>
        <v/>
      </c>
      <c r="K236" s="28">
        <f>IF($A236="","",IF('設定'!$B$10="四捨五入",ROUND(IF('設定'!$B$9="税込",N($H236)*8/108,N($H236)*8/100),0),IF('設定'!$B$10="切り上げ",ROUNDUP(IF('設定'!$B$9="税込",N($H236)*8/108,N($H236)*8/100),0),ROUNDDOWN(IF('設定'!$B$9="税込",N($H236)*8/108,N($H236)*8/100),0))))</f>
        <v/>
      </c>
      <c r="L236" s="28">
        <f>IF($A236="","",N($G236)+N($H236)+N($I236)+IF('設定'!$B$9="税込",0,$J236+$K236))</f>
        <v/>
      </c>
      <c r="M236" s="29">
        <f>IF(OR($A236="",NOT(ISNUMBER($W236)),NOT(ISNUMBER($X236))),"",IF(OR(INDEX('得意先'!$D$5:$D$104,$W236)="",INDEX('得意先'!$E$5:$E$104,$W236)="",INDEX('得意先'!$F$5:$F$104,$W236)=""),"",IF(INDEX('得意先'!$F$5:$F$104,$W236)="末",DATE(YEAR($X236),(MONTH($X236)+IF(INDEX('得意先'!$D$5:$D$104,$W236)="末",0,IF(DAY($X236)&lt;=INDEX('得意先'!$D$5:$D$104,$W236),0,1))+N(INDEX('得意先'!$E$5:$E$104,$W236)))+1,0),DATE(YEAR($X236),(MONTH($X236)+IF(INDEX('得意先'!$D$5:$D$104,$W236)="末",0,IF(DAY($X236)&lt;=INDEX('得意先'!$D$5:$D$104,$W236),0,1))+N(INDEX('得意先'!$E$5:$E$104,$W236))),MIN(INDEX('得意先'!$F$5:$F$104,$W236),DAY(DATE(YEAR($X236),(MONTH($X236)+IF(INDEX('得意先'!$D$5:$D$104,$W236)="末",0,IF(DAY($X236)&lt;=INDEX('得意先'!$D$5:$D$104,$W236),0,1))+N(INDEX('得意先'!$E$5:$E$104,$W236)))+1,0)))))))</f>
        <v/>
      </c>
      <c r="N236" s="26" t="n"/>
      <c r="O236" s="29">
        <f>IF($A236="","",IF(ISNUMBER($N236),$N236,$M236))</f>
        <v/>
      </c>
      <c r="P236" s="28">
        <f>IF($A236="","",SUMIF('入金消込'!$F$5:$F$1004,$A236,'入金消込'!$G$5:$G$1004))</f>
        <v/>
      </c>
      <c r="Q236" s="28">
        <f>IF($A236="","",SUMIF('入金消込'!$F$5:$F$1004,$A236,'入金消込'!$H$5:$H$1004)+SUMIF('入金消込'!$F$5:$F$1004,$A236,'入金消込'!$I$5:$I$1004))</f>
        <v/>
      </c>
      <c r="R236" s="28">
        <f>IF($A236="","",$L236-$P236-$Q236)</f>
        <v/>
      </c>
      <c r="S236" s="30">
        <f>IF($A236="","",IF($R236=0,IF($L236=0,"請求額0","回収済"),IF($L236&lt;0,IF($R236&lt;0,"差し引き待ち","差し引きすぎ"),IF($R236&lt;0,"入金が多い",IF($P236+$Q236=0,"未入金","一部入金")))))</f>
        <v/>
      </c>
      <c r="T236" s="31">
        <f>IF(OR($A236="",N($R236)&lt;=0,NOT(ISNUMBER($O236))),"",IF($O236&lt;'設定'!$B$7,'設定'!$B$7-$O236,""))</f>
        <v/>
      </c>
      <c r="U236" s="30">
        <f>IF(OR($A236="",N($R236)&lt;=0),"",IF(NOT(ISNUMBER($O236)),'設定'!$B$22,IF($O236&gt;='設定'!$B$7,'設定'!$B$17,IF('設定'!$B$7-$O236&lt;='設定'!$B$12,'設定'!$B$18,IF('設定'!$B$7-$O236&lt;='設定'!$B$13,'設定'!$B$19,IF('設定'!$B$7-$O236&lt;='設定'!$B$14,'設定'!$B$20,'設定'!$B$21))))))</f>
        <v/>
      </c>
      <c r="V236" s="56" t="n"/>
      <c r="W236" s="32">
        <f>IF($C236="","",IFERROR(MATCH($C236,'得意先'!$B$5:$B$104,0),"なし"))</f>
        <v/>
      </c>
      <c r="X236" s="33">
        <f>IF($A236="","",IF(ISNUMBER($E236),$E236,IF(ISNUMBER($B236),$B236,"")))</f>
        <v/>
      </c>
      <c r="Y236" s="34">
        <f>IF($T236="","",$O236+ROW()/1000000)</f>
        <v/>
      </c>
      <c r="Z236" s="35">
        <f>IF(OR($A236="",$C236="",$C236&lt;&gt;'売掛帳'!$B$3,NOT(ISNUMBER($X236))),"",IF(AND($X236&gt;='売掛帳'!$Q$3,$X236&lt;='売掛帳'!$Q$4),$X236+ROW()/10000000,""))</f>
        <v/>
      </c>
    </row>
    <row r="237" ht="18" customHeight="1">
      <c r="A237" s="18" t="n"/>
      <c r="B237" s="26" t="n"/>
      <c r="C237" s="18" t="n"/>
      <c r="D237" s="20">
        <f>IF($W237="","",IF($W237="なし","※得意先にないコード",INDEX('得意先'!$C$5:$C$104,$W237)&amp;""))</f>
        <v/>
      </c>
      <c r="E237" s="26" t="n"/>
      <c r="F237" s="19" t="n"/>
      <c r="G237" s="27" t="n"/>
      <c r="H237" s="27" t="n"/>
      <c r="I237" s="27" t="n"/>
      <c r="J237" s="28">
        <f>IF($A237="","",IF('設定'!$B$10="四捨五入",ROUND(IF('設定'!$B$9="税込",N($G237)*10/110,N($G237)*10/100),0),IF('設定'!$B$10="切り上げ",ROUNDUP(IF('設定'!$B$9="税込",N($G237)*10/110,N($G237)*10/100),0),ROUNDDOWN(IF('設定'!$B$9="税込",N($G237)*10/110,N($G237)*10/100),0))))</f>
        <v/>
      </c>
      <c r="K237" s="28">
        <f>IF($A237="","",IF('設定'!$B$10="四捨五入",ROUND(IF('設定'!$B$9="税込",N($H237)*8/108,N($H237)*8/100),0),IF('設定'!$B$10="切り上げ",ROUNDUP(IF('設定'!$B$9="税込",N($H237)*8/108,N($H237)*8/100),0),ROUNDDOWN(IF('設定'!$B$9="税込",N($H237)*8/108,N($H237)*8/100),0))))</f>
        <v/>
      </c>
      <c r="L237" s="28">
        <f>IF($A237="","",N($G237)+N($H237)+N($I237)+IF('設定'!$B$9="税込",0,$J237+$K237))</f>
        <v/>
      </c>
      <c r="M237" s="29">
        <f>IF(OR($A237="",NOT(ISNUMBER($W237)),NOT(ISNUMBER($X237))),"",IF(OR(INDEX('得意先'!$D$5:$D$104,$W237)="",INDEX('得意先'!$E$5:$E$104,$W237)="",INDEX('得意先'!$F$5:$F$104,$W237)=""),"",IF(INDEX('得意先'!$F$5:$F$104,$W237)="末",DATE(YEAR($X237),(MONTH($X237)+IF(INDEX('得意先'!$D$5:$D$104,$W237)="末",0,IF(DAY($X237)&lt;=INDEX('得意先'!$D$5:$D$104,$W237),0,1))+N(INDEX('得意先'!$E$5:$E$104,$W237)))+1,0),DATE(YEAR($X237),(MONTH($X237)+IF(INDEX('得意先'!$D$5:$D$104,$W237)="末",0,IF(DAY($X237)&lt;=INDEX('得意先'!$D$5:$D$104,$W237),0,1))+N(INDEX('得意先'!$E$5:$E$104,$W237))),MIN(INDEX('得意先'!$F$5:$F$104,$W237),DAY(DATE(YEAR($X237),(MONTH($X237)+IF(INDEX('得意先'!$D$5:$D$104,$W237)="末",0,IF(DAY($X237)&lt;=INDEX('得意先'!$D$5:$D$104,$W237),0,1))+N(INDEX('得意先'!$E$5:$E$104,$W237)))+1,0)))))))</f>
        <v/>
      </c>
      <c r="N237" s="26" t="n"/>
      <c r="O237" s="29">
        <f>IF($A237="","",IF(ISNUMBER($N237),$N237,$M237))</f>
        <v/>
      </c>
      <c r="P237" s="28">
        <f>IF($A237="","",SUMIF('入金消込'!$F$5:$F$1004,$A237,'入金消込'!$G$5:$G$1004))</f>
        <v/>
      </c>
      <c r="Q237" s="28">
        <f>IF($A237="","",SUMIF('入金消込'!$F$5:$F$1004,$A237,'入金消込'!$H$5:$H$1004)+SUMIF('入金消込'!$F$5:$F$1004,$A237,'入金消込'!$I$5:$I$1004))</f>
        <v/>
      </c>
      <c r="R237" s="28">
        <f>IF($A237="","",$L237-$P237-$Q237)</f>
        <v/>
      </c>
      <c r="S237" s="30">
        <f>IF($A237="","",IF($R237=0,IF($L237=0,"請求額0","回収済"),IF($L237&lt;0,IF($R237&lt;0,"差し引き待ち","差し引きすぎ"),IF($R237&lt;0,"入金が多い",IF($P237+$Q237=0,"未入金","一部入金")))))</f>
        <v/>
      </c>
      <c r="T237" s="31">
        <f>IF(OR($A237="",N($R237)&lt;=0,NOT(ISNUMBER($O237))),"",IF($O237&lt;'設定'!$B$7,'設定'!$B$7-$O237,""))</f>
        <v/>
      </c>
      <c r="U237" s="30">
        <f>IF(OR($A237="",N($R237)&lt;=0),"",IF(NOT(ISNUMBER($O237)),'設定'!$B$22,IF($O237&gt;='設定'!$B$7,'設定'!$B$17,IF('設定'!$B$7-$O237&lt;='設定'!$B$12,'設定'!$B$18,IF('設定'!$B$7-$O237&lt;='設定'!$B$13,'設定'!$B$19,IF('設定'!$B$7-$O237&lt;='設定'!$B$14,'設定'!$B$20,'設定'!$B$21))))))</f>
        <v/>
      </c>
      <c r="V237" s="56" t="n"/>
      <c r="W237" s="32">
        <f>IF($C237="","",IFERROR(MATCH($C237,'得意先'!$B$5:$B$104,0),"なし"))</f>
        <v/>
      </c>
      <c r="X237" s="33">
        <f>IF($A237="","",IF(ISNUMBER($E237),$E237,IF(ISNUMBER($B237),$B237,"")))</f>
        <v/>
      </c>
      <c r="Y237" s="34">
        <f>IF($T237="","",$O237+ROW()/1000000)</f>
        <v/>
      </c>
      <c r="Z237" s="35">
        <f>IF(OR($A237="",$C237="",$C237&lt;&gt;'売掛帳'!$B$3,NOT(ISNUMBER($X237))),"",IF(AND($X237&gt;='売掛帳'!$Q$3,$X237&lt;='売掛帳'!$Q$4),$X237+ROW()/10000000,""))</f>
        <v/>
      </c>
    </row>
    <row r="238" ht="18" customHeight="1">
      <c r="A238" s="18" t="n"/>
      <c r="B238" s="26" t="n"/>
      <c r="C238" s="18" t="n"/>
      <c r="D238" s="20">
        <f>IF($W238="","",IF($W238="なし","※得意先にないコード",INDEX('得意先'!$C$5:$C$104,$W238)&amp;""))</f>
        <v/>
      </c>
      <c r="E238" s="26" t="n"/>
      <c r="F238" s="19" t="n"/>
      <c r="G238" s="27" t="n"/>
      <c r="H238" s="27" t="n"/>
      <c r="I238" s="27" t="n"/>
      <c r="J238" s="28">
        <f>IF($A238="","",IF('設定'!$B$10="四捨五入",ROUND(IF('設定'!$B$9="税込",N($G238)*10/110,N($G238)*10/100),0),IF('設定'!$B$10="切り上げ",ROUNDUP(IF('設定'!$B$9="税込",N($G238)*10/110,N($G238)*10/100),0),ROUNDDOWN(IF('設定'!$B$9="税込",N($G238)*10/110,N($G238)*10/100),0))))</f>
        <v/>
      </c>
      <c r="K238" s="28">
        <f>IF($A238="","",IF('設定'!$B$10="四捨五入",ROUND(IF('設定'!$B$9="税込",N($H238)*8/108,N($H238)*8/100),0),IF('設定'!$B$10="切り上げ",ROUNDUP(IF('設定'!$B$9="税込",N($H238)*8/108,N($H238)*8/100),0),ROUNDDOWN(IF('設定'!$B$9="税込",N($H238)*8/108,N($H238)*8/100),0))))</f>
        <v/>
      </c>
      <c r="L238" s="28">
        <f>IF($A238="","",N($G238)+N($H238)+N($I238)+IF('設定'!$B$9="税込",0,$J238+$K238))</f>
        <v/>
      </c>
      <c r="M238" s="29">
        <f>IF(OR($A238="",NOT(ISNUMBER($W238)),NOT(ISNUMBER($X238))),"",IF(OR(INDEX('得意先'!$D$5:$D$104,$W238)="",INDEX('得意先'!$E$5:$E$104,$W238)="",INDEX('得意先'!$F$5:$F$104,$W238)=""),"",IF(INDEX('得意先'!$F$5:$F$104,$W238)="末",DATE(YEAR($X238),(MONTH($X238)+IF(INDEX('得意先'!$D$5:$D$104,$W238)="末",0,IF(DAY($X238)&lt;=INDEX('得意先'!$D$5:$D$104,$W238),0,1))+N(INDEX('得意先'!$E$5:$E$104,$W238)))+1,0),DATE(YEAR($X238),(MONTH($X238)+IF(INDEX('得意先'!$D$5:$D$104,$W238)="末",0,IF(DAY($X238)&lt;=INDEX('得意先'!$D$5:$D$104,$W238),0,1))+N(INDEX('得意先'!$E$5:$E$104,$W238))),MIN(INDEX('得意先'!$F$5:$F$104,$W238),DAY(DATE(YEAR($X238),(MONTH($X238)+IF(INDEX('得意先'!$D$5:$D$104,$W238)="末",0,IF(DAY($X238)&lt;=INDEX('得意先'!$D$5:$D$104,$W238),0,1))+N(INDEX('得意先'!$E$5:$E$104,$W238)))+1,0)))))))</f>
        <v/>
      </c>
      <c r="N238" s="26" t="n"/>
      <c r="O238" s="29">
        <f>IF($A238="","",IF(ISNUMBER($N238),$N238,$M238))</f>
        <v/>
      </c>
      <c r="P238" s="28">
        <f>IF($A238="","",SUMIF('入金消込'!$F$5:$F$1004,$A238,'入金消込'!$G$5:$G$1004))</f>
        <v/>
      </c>
      <c r="Q238" s="28">
        <f>IF($A238="","",SUMIF('入金消込'!$F$5:$F$1004,$A238,'入金消込'!$H$5:$H$1004)+SUMIF('入金消込'!$F$5:$F$1004,$A238,'入金消込'!$I$5:$I$1004))</f>
        <v/>
      </c>
      <c r="R238" s="28">
        <f>IF($A238="","",$L238-$P238-$Q238)</f>
        <v/>
      </c>
      <c r="S238" s="30">
        <f>IF($A238="","",IF($R238=0,IF($L238=0,"請求額0","回収済"),IF($L238&lt;0,IF($R238&lt;0,"差し引き待ち","差し引きすぎ"),IF($R238&lt;0,"入金が多い",IF($P238+$Q238=0,"未入金","一部入金")))))</f>
        <v/>
      </c>
      <c r="T238" s="31">
        <f>IF(OR($A238="",N($R238)&lt;=0,NOT(ISNUMBER($O238))),"",IF($O238&lt;'設定'!$B$7,'設定'!$B$7-$O238,""))</f>
        <v/>
      </c>
      <c r="U238" s="30">
        <f>IF(OR($A238="",N($R238)&lt;=0),"",IF(NOT(ISNUMBER($O238)),'設定'!$B$22,IF($O238&gt;='設定'!$B$7,'設定'!$B$17,IF('設定'!$B$7-$O238&lt;='設定'!$B$12,'設定'!$B$18,IF('設定'!$B$7-$O238&lt;='設定'!$B$13,'設定'!$B$19,IF('設定'!$B$7-$O238&lt;='設定'!$B$14,'設定'!$B$20,'設定'!$B$21))))))</f>
        <v/>
      </c>
      <c r="V238" s="56" t="n"/>
      <c r="W238" s="32">
        <f>IF($C238="","",IFERROR(MATCH($C238,'得意先'!$B$5:$B$104,0),"なし"))</f>
        <v/>
      </c>
      <c r="X238" s="33">
        <f>IF($A238="","",IF(ISNUMBER($E238),$E238,IF(ISNUMBER($B238),$B238,"")))</f>
        <v/>
      </c>
      <c r="Y238" s="34">
        <f>IF($T238="","",$O238+ROW()/1000000)</f>
        <v/>
      </c>
      <c r="Z238" s="35">
        <f>IF(OR($A238="",$C238="",$C238&lt;&gt;'売掛帳'!$B$3,NOT(ISNUMBER($X238))),"",IF(AND($X238&gt;='売掛帳'!$Q$3,$X238&lt;='売掛帳'!$Q$4),$X238+ROW()/10000000,""))</f>
        <v/>
      </c>
    </row>
    <row r="239" ht="18" customHeight="1">
      <c r="A239" s="18" t="n"/>
      <c r="B239" s="26" t="n"/>
      <c r="C239" s="18" t="n"/>
      <c r="D239" s="20">
        <f>IF($W239="","",IF($W239="なし","※得意先にないコード",INDEX('得意先'!$C$5:$C$104,$W239)&amp;""))</f>
        <v/>
      </c>
      <c r="E239" s="26" t="n"/>
      <c r="F239" s="19" t="n"/>
      <c r="G239" s="27" t="n"/>
      <c r="H239" s="27" t="n"/>
      <c r="I239" s="27" t="n"/>
      <c r="J239" s="28">
        <f>IF($A239="","",IF('設定'!$B$10="四捨五入",ROUND(IF('設定'!$B$9="税込",N($G239)*10/110,N($G239)*10/100),0),IF('設定'!$B$10="切り上げ",ROUNDUP(IF('設定'!$B$9="税込",N($G239)*10/110,N($G239)*10/100),0),ROUNDDOWN(IF('設定'!$B$9="税込",N($G239)*10/110,N($G239)*10/100),0))))</f>
        <v/>
      </c>
      <c r="K239" s="28">
        <f>IF($A239="","",IF('設定'!$B$10="四捨五入",ROUND(IF('設定'!$B$9="税込",N($H239)*8/108,N($H239)*8/100),0),IF('設定'!$B$10="切り上げ",ROUNDUP(IF('設定'!$B$9="税込",N($H239)*8/108,N($H239)*8/100),0),ROUNDDOWN(IF('設定'!$B$9="税込",N($H239)*8/108,N($H239)*8/100),0))))</f>
        <v/>
      </c>
      <c r="L239" s="28">
        <f>IF($A239="","",N($G239)+N($H239)+N($I239)+IF('設定'!$B$9="税込",0,$J239+$K239))</f>
        <v/>
      </c>
      <c r="M239" s="29">
        <f>IF(OR($A239="",NOT(ISNUMBER($W239)),NOT(ISNUMBER($X239))),"",IF(OR(INDEX('得意先'!$D$5:$D$104,$W239)="",INDEX('得意先'!$E$5:$E$104,$W239)="",INDEX('得意先'!$F$5:$F$104,$W239)=""),"",IF(INDEX('得意先'!$F$5:$F$104,$W239)="末",DATE(YEAR($X239),(MONTH($X239)+IF(INDEX('得意先'!$D$5:$D$104,$W239)="末",0,IF(DAY($X239)&lt;=INDEX('得意先'!$D$5:$D$104,$W239),0,1))+N(INDEX('得意先'!$E$5:$E$104,$W239)))+1,0),DATE(YEAR($X239),(MONTH($X239)+IF(INDEX('得意先'!$D$5:$D$104,$W239)="末",0,IF(DAY($X239)&lt;=INDEX('得意先'!$D$5:$D$104,$W239),0,1))+N(INDEX('得意先'!$E$5:$E$104,$W239))),MIN(INDEX('得意先'!$F$5:$F$104,$W239),DAY(DATE(YEAR($X239),(MONTH($X239)+IF(INDEX('得意先'!$D$5:$D$104,$W239)="末",0,IF(DAY($X239)&lt;=INDEX('得意先'!$D$5:$D$104,$W239),0,1))+N(INDEX('得意先'!$E$5:$E$104,$W239)))+1,0)))))))</f>
        <v/>
      </c>
      <c r="N239" s="26" t="n"/>
      <c r="O239" s="29">
        <f>IF($A239="","",IF(ISNUMBER($N239),$N239,$M239))</f>
        <v/>
      </c>
      <c r="P239" s="28">
        <f>IF($A239="","",SUMIF('入金消込'!$F$5:$F$1004,$A239,'入金消込'!$G$5:$G$1004))</f>
        <v/>
      </c>
      <c r="Q239" s="28">
        <f>IF($A239="","",SUMIF('入金消込'!$F$5:$F$1004,$A239,'入金消込'!$H$5:$H$1004)+SUMIF('入金消込'!$F$5:$F$1004,$A239,'入金消込'!$I$5:$I$1004))</f>
        <v/>
      </c>
      <c r="R239" s="28">
        <f>IF($A239="","",$L239-$P239-$Q239)</f>
        <v/>
      </c>
      <c r="S239" s="30">
        <f>IF($A239="","",IF($R239=0,IF($L239=0,"請求額0","回収済"),IF($L239&lt;0,IF($R239&lt;0,"差し引き待ち","差し引きすぎ"),IF($R239&lt;0,"入金が多い",IF($P239+$Q239=0,"未入金","一部入金")))))</f>
        <v/>
      </c>
      <c r="T239" s="31">
        <f>IF(OR($A239="",N($R239)&lt;=0,NOT(ISNUMBER($O239))),"",IF($O239&lt;'設定'!$B$7,'設定'!$B$7-$O239,""))</f>
        <v/>
      </c>
      <c r="U239" s="30">
        <f>IF(OR($A239="",N($R239)&lt;=0),"",IF(NOT(ISNUMBER($O239)),'設定'!$B$22,IF($O239&gt;='設定'!$B$7,'設定'!$B$17,IF('設定'!$B$7-$O239&lt;='設定'!$B$12,'設定'!$B$18,IF('設定'!$B$7-$O239&lt;='設定'!$B$13,'設定'!$B$19,IF('設定'!$B$7-$O239&lt;='設定'!$B$14,'設定'!$B$20,'設定'!$B$21))))))</f>
        <v/>
      </c>
      <c r="V239" s="56" t="n"/>
      <c r="W239" s="32">
        <f>IF($C239="","",IFERROR(MATCH($C239,'得意先'!$B$5:$B$104,0),"なし"))</f>
        <v/>
      </c>
      <c r="X239" s="33">
        <f>IF($A239="","",IF(ISNUMBER($E239),$E239,IF(ISNUMBER($B239),$B239,"")))</f>
        <v/>
      </c>
      <c r="Y239" s="34">
        <f>IF($T239="","",$O239+ROW()/1000000)</f>
        <v/>
      </c>
      <c r="Z239" s="35">
        <f>IF(OR($A239="",$C239="",$C239&lt;&gt;'売掛帳'!$B$3,NOT(ISNUMBER($X239))),"",IF(AND($X239&gt;='売掛帳'!$Q$3,$X239&lt;='売掛帳'!$Q$4),$X239+ROW()/10000000,""))</f>
        <v/>
      </c>
    </row>
    <row r="240" ht="18" customHeight="1">
      <c r="A240" s="18" t="n"/>
      <c r="B240" s="26" t="n"/>
      <c r="C240" s="18" t="n"/>
      <c r="D240" s="20">
        <f>IF($W240="","",IF($W240="なし","※得意先にないコード",INDEX('得意先'!$C$5:$C$104,$W240)&amp;""))</f>
        <v/>
      </c>
      <c r="E240" s="26" t="n"/>
      <c r="F240" s="19" t="n"/>
      <c r="G240" s="27" t="n"/>
      <c r="H240" s="27" t="n"/>
      <c r="I240" s="27" t="n"/>
      <c r="J240" s="28">
        <f>IF($A240="","",IF('設定'!$B$10="四捨五入",ROUND(IF('設定'!$B$9="税込",N($G240)*10/110,N($G240)*10/100),0),IF('設定'!$B$10="切り上げ",ROUNDUP(IF('設定'!$B$9="税込",N($G240)*10/110,N($G240)*10/100),0),ROUNDDOWN(IF('設定'!$B$9="税込",N($G240)*10/110,N($G240)*10/100),0))))</f>
        <v/>
      </c>
      <c r="K240" s="28">
        <f>IF($A240="","",IF('設定'!$B$10="四捨五入",ROUND(IF('設定'!$B$9="税込",N($H240)*8/108,N($H240)*8/100),0),IF('設定'!$B$10="切り上げ",ROUNDUP(IF('設定'!$B$9="税込",N($H240)*8/108,N($H240)*8/100),0),ROUNDDOWN(IF('設定'!$B$9="税込",N($H240)*8/108,N($H240)*8/100),0))))</f>
        <v/>
      </c>
      <c r="L240" s="28">
        <f>IF($A240="","",N($G240)+N($H240)+N($I240)+IF('設定'!$B$9="税込",0,$J240+$K240))</f>
        <v/>
      </c>
      <c r="M240" s="29">
        <f>IF(OR($A240="",NOT(ISNUMBER($W240)),NOT(ISNUMBER($X240))),"",IF(OR(INDEX('得意先'!$D$5:$D$104,$W240)="",INDEX('得意先'!$E$5:$E$104,$W240)="",INDEX('得意先'!$F$5:$F$104,$W240)=""),"",IF(INDEX('得意先'!$F$5:$F$104,$W240)="末",DATE(YEAR($X240),(MONTH($X240)+IF(INDEX('得意先'!$D$5:$D$104,$W240)="末",0,IF(DAY($X240)&lt;=INDEX('得意先'!$D$5:$D$104,$W240),0,1))+N(INDEX('得意先'!$E$5:$E$104,$W240)))+1,0),DATE(YEAR($X240),(MONTH($X240)+IF(INDEX('得意先'!$D$5:$D$104,$W240)="末",0,IF(DAY($X240)&lt;=INDEX('得意先'!$D$5:$D$104,$W240),0,1))+N(INDEX('得意先'!$E$5:$E$104,$W240))),MIN(INDEX('得意先'!$F$5:$F$104,$W240),DAY(DATE(YEAR($X240),(MONTH($X240)+IF(INDEX('得意先'!$D$5:$D$104,$W240)="末",0,IF(DAY($X240)&lt;=INDEX('得意先'!$D$5:$D$104,$W240),0,1))+N(INDEX('得意先'!$E$5:$E$104,$W240)))+1,0)))))))</f>
        <v/>
      </c>
      <c r="N240" s="26" t="n"/>
      <c r="O240" s="29">
        <f>IF($A240="","",IF(ISNUMBER($N240),$N240,$M240))</f>
        <v/>
      </c>
      <c r="P240" s="28">
        <f>IF($A240="","",SUMIF('入金消込'!$F$5:$F$1004,$A240,'入金消込'!$G$5:$G$1004))</f>
        <v/>
      </c>
      <c r="Q240" s="28">
        <f>IF($A240="","",SUMIF('入金消込'!$F$5:$F$1004,$A240,'入金消込'!$H$5:$H$1004)+SUMIF('入金消込'!$F$5:$F$1004,$A240,'入金消込'!$I$5:$I$1004))</f>
        <v/>
      </c>
      <c r="R240" s="28">
        <f>IF($A240="","",$L240-$P240-$Q240)</f>
        <v/>
      </c>
      <c r="S240" s="30">
        <f>IF($A240="","",IF($R240=0,IF($L240=0,"請求額0","回収済"),IF($L240&lt;0,IF($R240&lt;0,"差し引き待ち","差し引きすぎ"),IF($R240&lt;0,"入金が多い",IF($P240+$Q240=0,"未入金","一部入金")))))</f>
        <v/>
      </c>
      <c r="T240" s="31">
        <f>IF(OR($A240="",N($R240)&lt;=0,NOT(ISNUMBER($O240))),"",IF($O240&lt;'設定'!$B$7,'設定'!$B$7-$O240,""))</f>
        <v/>
      </c>
      <c r="U240" s="30">
        <f>IF(OR($A240="",N($R240)&lt;=0),"",IF(NOT(ISNUMBER($O240)),'設定'!$B$22,IF($O240&gt;='設定'!$B$7,'設定'!$B$17,IF('設定'!$B$7-$O240&lt;='設定'!$B$12,'設定'!$B$18,IF('設定'!$B$7-$O240&lt;='設定'!$B$13,'設定'!$B$19,IF('設定'!$B$7-$O240&lt;='設定'!$B$14,'設定'!$B$20,'設定'!$B$21))))))</f>
        <v/>
      </c>
      <c r="V240" s="56" t="n"/>
      <c r="W240" s="32">
        <f>IF($C240="","",IFERROR(MATCH($C240,'得意先'!$B$5:$B$104,0),"なし"))</f>
        <v/>
      </c>
      <c r="X240" s="33">
        <f>IF($A240="","",IF(ISNUMBER($E240),$E240,IF(ISNUMBER($B240),$B240,"")))</f>
        <v/>
      </c>
      <c r="Y240" s="34">
        <f>IF($T240="","",$O240+ROW()/1000000)</f>
        <v/>
      </c>
      <c r="Z240" s="35">
        <f>IF(OR($A240="",$C240="",$C240&lt;&gt;'売掛帳'!$B$3,NOT(ISNUMBER($X240))),"",IF(AND($X240&gt;='売掛帳'!$Q$3,$X240&lt;='売掛帳'!$Q$4),$X240+ROW()/10000000,""))</f>
        <v/>
      </c>
    </row>
    <row r="241" ht="18" customHeight="1">
      <c r="A241" s="18" t="n"/>
      <c r="B241" s="26" t="n"/>
      <c r="C241" s="18" t="n"/>
      <c r="D241" s="20">
        <f>IF($W241="","",IF($W241="なし","※得意先にないコード",INDEX('得意先'!$C$5:$C$104,$W241)&amp;""))</f>
        <v/>
      </c>
      <c r="E241" s="26" t="n"/>
      <c r="F241" s="19" t="n"/>
      <c r="G241" s="27" t="n"/>
      <c r="H241" s="27" t="n"/>
      <c r="I241" s="27" t="n"/>
      <c r="J241" s="28">
        <f>IF($A241="","",IF('設定'!$B$10="四捨五入",ROUND(IF('設定'!$B$9="税込",N($G241)*10/110,N($G241)*10/100),0),IF('設定'!$B$10="切り上げ",ROUNDUP(IF('設定'!$B$9="税込",N($G241)*10/110,N($G241)*10/100),0),ROUNDDOWN(IF('設定'!$B$9="税込",N($G241)*10/110,N($G241)*10/100),0))))</f>
        <v/>
      </c>
      <c r="K241" s="28">
        <f>IF($A241="","",IF('設定'!$B$10="四捨五入",ROUND(IF('設定'!$B$9="税込",N($H241)*8/108,N($H241)*8/100),0),IF('設定'!$B$10="切り上げ",ROUNDUP(IF('設定'!$B$9="税込",N($H241)*8/108,N($H241)*8/100),0),ROUNDDOWN(IF('設定'!$B$9="税込",N($H241)*8/108,N($H241)*8/100),0))))</f>
        <v/>
      </c>
      <c r="L241" s="28">
        <f>IF($A241="","",N($G241)+N($H241)+N($I241)+IF('設定'!$B$9="税込",0,$J241+$K241))</f>
        <v/>
      </c>
      <c r="M241" s="29">
        <f>IF(OR($A241="",NOT(ISNUMBER($W241)),NOT(ISNUMBER($X241))),"",IF(OR(INDEX('得意先'!$D$5:$D$104,$W241)="",INDEX('得意先'!$E$5:$E$104,$W241)="",INDEX('得意先'!$F$5:$F$104,$W241)=""),"",IF(INDEX('得意先'!$F$5:$F$104,$W241)="末",DATE(YEAR($X241),(MONTH($X241)+IF(INDEX('得意先'!$D$5:$D$104,$W241)="末",0,IF(DAY($X241)&lt;=INDEX('得意先'!$D$5:$D$104,$W241),0,1))+N(INDEX('得意先'!$E$5:$E$104,$W241)))+1,0),DATE(YEAR($X241),(MONTH($X241)+IF(INDEX('得意先'!$D$5:$D$104,$W241)="末",0,IF(DAY($X241)&lt;=INDEX('得意先'!$D$5:$D$104,$W241),0,1))+N(INDEX('得意先'!$E$5:$E$104,$W241))),MIN(INDEX('得意先'!$F$5:$F$104,$W241),DAY(DATE(YEAR($X241),(MONTH($X241)+IF(INDEX('得意先'!$D$5:$D$104,$W241)="末",0,IF(DAY($X241)&lt;=INDEX('得意先'!$D$5:$D$104,$W241),0,1))+N(INDEX('得意先'!$E$5:$E$104,$W241)))+1,0)))))))</f>
        <v/>
      </c>
      <c r="N241" s="26" t="n"/>
      <c r="O241" s="29">
        <f>IF($A241="","",IF(ISNUMBER($N241),$N241,$M241))</f>
        <v/>
      </c>
      <c r="P241" s="28">
        <f>IF($A241="","",SUMIF('入金消込'!$F$5:$F$1004,$A241,'入金消込'!$G$5:$G$1004))</f>
        <v/>
      </c>
      <c r="Q241" s="28">
        <f>IF($A241="","",SUMIF('入金消込'!$F$5:$F$1004,$A241,'入金消込'!$H$5:$H$1004)+SUMIF('入金消込'!$F$5:$F$1004,$A241,'入金消込'!$I$5:$I$1004))</f>
        <v/>
      </c>
      <c r="R241" s="28">
        <f>IF($A241="","",$L241-$P241-$Q241)</f>
        <v/>
      </c>
      <c r="S241" s="30">
        <f>IF($A241="","",IF($R241=0,IF($L241=0,"請求額0","回収済"),IF($L241&lt;0,IF($R241&lt;0,"差し引き待ち","差し引きすぎ"),IF($R241&lt;0,"入金が多い",IF($P241+$Q241=0,"未入金","一部入金")))))</f>
        <v/>
      </c>
      <c r="T241" s="31">
        <f>IF(OR($A241="",N($R241)&lt;=0,NOT(ISNUMBER($O241))),"",IF($O241&lt;'設定'!$B$7,'設定'!$B$7-$O241,""))</f>
        <v/>
      </c>
      <c r="U241" s="30">
        <f>IF(OR($A241="",N($R241)&lt;=0),"",IF(NOT(ISNUMBER($O241)),'設定'!$B$22,IF($O241&gt;='設定'!$B$7,'設定'!$B$17,IF('設定'!$B$7-$O241&lt;='設定'!$B$12,'設定'!$B$18,IF('設定'!$B$7-$O241&lt;='設定'!$B$13,'設定'!$B$19,IF('設定'!$B$7-$O241&lt;='設定'!$B$14,'設定'!$B$20,'設定'!$B$21))))))</f>
        <v/>
      </c>
      <c r="V241" s="56" t="n"/>
      <c r="W241" s="32">
        <f>IF($C241="","",IFERROR(MATCH($C241,'得意先'!$B$5:$B$104,0),"なし"))</f>
        <v/>
      </c>
      <c r="X241" s="33">
        <f>IF($A241="","",IF(ISNUMBER($E241),$E241,IF(ISNUMBER($B241),$B241,"")))</f>
        <v/>
      </c>
      <c r="Y241" s="34">
        <f>IF($T241="","",$O241+ROW()/1000000)</f>
        <v/>
      </c>
      <c r="Z241" s="35">
        <f>IF(OR($A241="",$C241="",$C241&lt;&gt;'売掛帳'!$B$3,NOT(ISNUMBER($X241))),"",IF(AND($X241&gt;='売掛帳'!$Q$3,$X241&lt;='売掛帳'!$Q$4),$X241+ROW()/10000000,""))</f>
        <v/>
      </c>
    </row>
    <row r="242" ht="18" customHeight="1">
      <c r="A242" s="18" t="n"/>
      <c r="B242" s="26" t="n"/>
      <c r="C242" s="18" t="n"/>
      <c r="D242" s="20">
        <f>IF($W242="","",IF($W242="なし","※得意先にないコード",INDEX('得意先'!$C$5:$C$104,$W242)&amp;""))</f>
        <v/>
      </c>
      <c r="E242" s="26" t="n"/>
      <c r="F242" s="19" t="n"/>
      <c r="G242" s="27" t="n"/>
      <c r="H242" s="27" t="n"/>
      <c r="I242" s="27" t="n"/>
      <c r="J242" s="28">
        <f>IF($A242="","",IF('設定'!$B$10="四捨五入",ROUND(IF('設定'!$B$9="税込",N($G242)*10/110,N($G242)*10/100),0),IF('設定'!$B$10="切り上げ",ROUNDUP(IF('設定'!$B$9="税込",N($G242)*10/110,N($G242)*10/100),0),ROUNDDOWN(IF('設定'!$B$9="税込",N($G242)*10/110,N($G242)*10/100),0))))</f>
        <v/>
      </c>
      <c r="K242" s="28">
        <f>IF($A242="","",IF('設定'!$B$10="四捨五入",ROUND(IF('設定'!$B$9="税込",N($H242)*8/108,N($H242)*8/100),0),IF('設定'!$B$10="切り上げ",ROUNDUP(IF('設定'!$B$9="税込",N($H242)*8/108,N($H242)*8/100),0),ROUNDDOWN(IF('設定'!$B$9="税込",N($H242)*8/108,N($H242)*8/100),0))))</f>
        <v/>
      </c>
      <c r="L242" s="28">
        <f>IF($A242="","",N($G242)+N($H242)+N($I242)+IF('設定'!$B$9="税込",0,$J242+$K242))</f>
        <v/>
      </c>
      <c r="M242" s="29">
        <f>IF(OR($A242="",NOT(ISNUMBER($W242)),NOT(ISNUMBER($X242))),"",IF(OR(INDEX('得意先'!$D$5:$D$104,$W242)="",INDEX('得意先'!$E$5:$E$104,$W242)="",INDEX('得意先'!$F$5:$F$104,$W242)=""),"",IF(INDEX('得意先'!$F$5:$F$104,$W242)="末",DATE(YEAR($X242),(MONTH($X242)+IF(INDEX('得意先'!$D$5:$D$104,$W242)="末",0,IF(DAY($X242)&lt;=INDEX('得意先'!$D$5:$D$104,$W242),0,1))+N(INDEX('得意先'!$E$5:$E$104,$W242)))+1,0),DATE(YEAR($X242),(MONTH($X242)+IF(INDEX('得意先'!$D$5:$D$104,$W242)="末",0,IF(DAY($X242)&lt;=INDEX('得意先'!$D$5:$D$104,$W242),0,1))+N(INDEX('得意先'!$E$5:$E$104,$W242))),MIN(INDEX('得意先'!$F$5:$F$104,$W242),DAY(DATE(YEAR($X242),(MONTH($X242)+IF(INDEX('得意先'!$D$5:$D$104,$W242)="末",0,IF(DAY($X242)&lt;=INDEX('得意先'!$D$5:$D$104,$W242),0,1))+N(INDEX('得意先'!$E$5:$E$104,$W242)))+1,0)))))))</f>
        <v/>
      </c>
      <c r="N242" s="26" t="n"/>
      <c r="O242" s="29">
        <f>IF($A242="","",IF(ISNUMBER($N242),$N242,$M242))</f>
        <v/>
      </c>
      <c r="P242" s="28">
        <f>IF($A242="","",SUMIF('入金消込'!$F$5:$F$1004,$A242,'入金消込'!$G$5:$G$1004))</f>
        <v/>
      </c>
      <c r="Q242" s="28">
        <f>IF($A242="","",SUMIF('入金消込'!$F$5:$F$1004,$A242,'入金消込'!$H$5:$H$1004)+SUMIF('入金消込'!$F$5:$F$1004,$A242,'入金消込'!$I$5:$I$1004))</f>
        <v/>
      </c>
      <c r="R242" s="28">
        <f>IF($A242="","",$L242-$P242-$Q242)</f>
        <v/>
      </c>
      <c r="S242" s="30">
        <f>IF($A242="","",IF($R242=0,IF($L242=0,"請求額0","回収済"),IF($L242&lt;0,IF($R242&lt;0,"差し引き待ち","差し引きすぎ"),IF($R242&lt;0,"入金が多い",IF($P242+$Q242=0,"未入金","一部入金")))))</f>
        <v/>
      </c>
      <c r="T242" s="31">
        <f>IF(OR($A242="",N($R242)&lt;=0,NOT(ISNUMBER($O242))),"",IF($O242&lt;'設定'!$B$7,'設定'!$B$7-$O242,""))</f>
        <v/>
      </c>
      <c r="U242" s="30">
        <f>IF(OR($A242="",N($R242)&lt;=0),"",IF(NOT(ISNUMBER($O242)),'設定'!$B$22,IF($O242&gt;='設定'!$B$7,'設定'!$B$17,IF('設定'!$B$7-$O242&lt;='設定'!$B$12,'設定'!$B$18,IF('設定'!$B$7-$O242&lt;='設定'!$B$13,'設定'!$B$19,IF('設定'!$B$7-$O242&lt;='設定'!$B$14,'設定'!$B$20,'設定'!$B$21))))))</f>
        <v/>
      </c>
      <c r="V242" s="56" t="n"/>
      <c r="W242" s="32">
        <f>IF($C242="","",IFERROR(MATCH($C242,'得意先'!$B$5:$B$104,0),"なし"))</f>
        <v/>
      </c>
      <c r="X242" s="33">
        <f>IF($A242="","",IF(ISNUMBER($E242),$E242,IF(ISNUMBER($B242),$B242,"")))</f>
        <v/>
      </c>
      <c r="Y242" s="34">
        <f>IF($T242="","",$O242+ROW()/1000000)</f>
        <v/>
      </c>
      <c r="Z242" s="35">
        <f>IF(OR($A242="",$C242="",$C242&lt;&gt;'売掛帳'!$B$3,NOT(ISNUMBER($X242))),"",IF(AND($X242&gt;='売掛帳'!$Q$3,$X242&lt;='売掛帳'!$Q$4),$X242+ROW()/10000000,""))</f>
        <v/>
      </c>
    </row>
    <row r="243" ht="18" customHeight="1">
      <c r="A243" s="18" t="n"/>
      <c r="B243" s="26" t="n"/>
      <c r="C243" s="18" t="n"/>
      <c r="D243" s="20">
        <f>IF($W243="","",IF($W243="なし","※得意先にないコード",INDEX('得意先'!$C$5:$C$104,$W243)&amp;""))</f>
        <v/>
      </c>
      <c r="E243" s="26" t="n"/>
      <c r="F243" s="19" t="n"/>
      <c r="G243" s="27" t="n"/>
      <c r="H243" s="27" t="n"/>
      <c r="I243" s="27" t="n"/>
      <c r="J243" s="28">
        <f>IF($A243="","",IF('設定'!$B$10="四捨五入",ROUND(IF('設定'!$B$9="税込",N($G243)*10/110,N($G243)*10/100),0),IF('設定'!$B$10="切り上げ",ROUNDUP(IF('設定'!$B$9="税込",N($G243)*10/110,N($G243)*10/100),0),ROUNDDOWN(IF('設定'!$B$9="税込",N($G243)*10/110,N($G243)*10/100),0))))</f>
        <v/>
      </c>
      <c r="K243" s="28">
        <f>IF($A243="","",IF('設定'!$B$10="四捨五入",ROUND(IF('設定'!$B$9="税込",N($H243)*8/108,N($H243)*8/100),0),IF('設定'!$B$10="切り上げ",ROUNDUP(IF('設定'!$B$9="税込",N($H243)*8/108,N($H243)*8/100),0),ROUNDDOWN(IF('設定'!$B$9="税込",N($H243)*8/108,N($H243)*8/100),0))))</f>
        <v/>
      </c>
      <c r="L243" s="28">
        <f>IF($A243="","",N($G243)+N($H243)+N($I243)+IF('設定'!$B$9="税込",0,$J243+$K243))</f>
        <v/>
      </c>
      <c r="M243" s="29">
        <f>IF(OR($A243="",NOT(ISNUMBER($W243)),NOT(ISNUMBER($X243))),"",IF(OR(INDEX('得意先'!$D$5:$D$104,$W243)="",INDEX('得意先'!$E$5:$E$104,$W243)="",INDEX('得意先'!$F$5:$F$104,$W243)=""),"",IF(INDEX('得意先'!$F$5:$F$104,$W243)="末",DATE(YEAR($X243),(MONTH($X243)+IF(INDEX('得意先'!$D$5:$D$104,$W243)="末",0,IF(DAY($X243)&lt;=INDEX('得意先'!$D$5:$D$104,$W243),0,1))+N(INDEX('得意先'!$E$5:$E$104,$W243)))+1,0),DATE(YEAR($X243),(MONTH($X243)+IF(INDEX('得意先'!$D$5:$D$104,$W243)="末",0,IF(DAY($X243)&lt;=INDEX('得意先'!$D$5:$D$104,$W243),0,1))+N(INDEX('得意先'!$E$5:$E$104,$W243))),MIN(INDEX('得意先'!$F$5:$F$104,$W243),DAY(DATE(YEAR($X243),(MONTH($X243)+IF(INDEX('得意先'!$D$5:$D$104,$W243)="末",0,IF(DAY($X243)&lt;=INDEX('得意先'!$D$5:$D$104,$W243),0,1))+N(INDEX('得意先'!$E$5:$E$104,$W243)))+1,0)))))))</f>
        <v/>
      </c>
      <c r="N243" s="26" t="n"/>
      <c r="O243" s="29">
        <f>IF($A243="","",IF(ISNUMBER($N243),$N243,$M243))</f>
        <v/>
      </c>
      <c r="P243" s="28">
        <f>IF($A243="","",SUMIF('入金消込'!$F$5:$F$1004,$A243,'入金消込'!$G$5:$G$1004))</f>
        <v/>
      </c>
      <c r="Q243" s="28">
        <f>IF($A243="","",SUMIF('入金消込'!$F$5:$F$1004,$A243,'入金消込'!$H$5:$H$1004)+SUMIF('入金消込'!$F$5:$F$1004,$A243,'入金消込'!$I$5:$I$1004))</f>
        <v/>
      </c>
      <c r="R243" s="28">
        <f>IF($A243="","",$L243-$P243-$Q243)</f>
        <v/>
      </c>
      <c r="S243" s="30">
        <f>IF($A243="","",IF($R243=0,IF($L243=0,"請求額0","回収済"),IF($L243&lt;0,IF($R243&lt;0,"差し引き待ち","差し引きすぎ"),IF($R243&lt;0,"入金が多い",IF($P243+$Q243=0,"未入金","一部入金")))))</f>
        <v/>
      </c>
      <c r="T243" s="31">
        <f>IF(OR($A243="",N($R243)&lt;=0,NOT(ISNUMBER($O243))),"",IF($O243&lt;'設定'!$B$7,'設定'!$B$7-$O243,""))</f>
        <v/>
      </c>
      <c r="U243" s="30">
        <f>IF(OR($A243="",N($R243)&lt;=0),"",IF(NOT(ISNUMBER($O243)),'設定'!$B$22,IF($O243&gt;='設定'!$B$7,'設定'!$B$17,IF('設定'!$B$7-$O243&lt;='設定'!$B$12,'設定'!$B$18,IF('設定'!$B$7-$O243&lt;='設定'!$B$13,'設定'!$B$19,IF('設定'!$B$7-$O243&lt;='設定'!$B$14,'設定'!$B$20,'設定'!$B$21))))))</f>
        <v/>
      </c>
      <c r="V243" s="56" t="n"/>
      <c r="W243" s="32">
        <f>IF($C243="","",IFERROR(MATCH($C243,'得意先'!$B$5:$B$104,0),"なし"))</f>
        <v/>
      </c>
      <c r="X243" s="33">
        <f>IF($A243="","",IF(ISNUMBER($E243),$E243,IF(ISNUMBER($B243),$B243,"")))</f>
        <v/>
      </c>
      <c r="Y243" s="34">
        <f>IF($T243="","",$O243+ROW()/1000000)</f>
        <v/>
      </c>
      <c r="Z243" s="35">
        <f>IF(OR($A243="",$C243="",$C243&lt;&gt;'売掛帳'!$B$3,NOT(ISNUMBER($X243))),"",IF(AND($X243&gt;='売掛帳'!$Q$3,$X243&lt;='売掛帳'!$Q$4),$X243+ROW()/10000000,""))</f>
        <v/>
      </c>
    </row>
    <row r="244" ht="18" customHeight="1">
      <c r="A244" s="18" t="n"/>
      <c r="B244" s="26" t="n"/>
      <c r="C244" s="18" t="n"/>
      <c r="D244" s="20">
        <f>IF($W244="","",IF($W244="なし","※得意先にないコード",INDEX('得意先'!$C$5:$C$104,$W244)&amp;""))</f>
        <v/>
      </c>
      <c r="E244" s="26" t="n"/>
      <c r="F244" s="19" t="n"/>
      <c r="G244" s="27" t="n"/>
      <c r="H244" s="27" t="n"/>
      <c r="I244" s="27" t="n"/>
      <c r="J244" s="28">
        <f>IF($A244="","",IF('設定'!$B$10="四捨五入",ROUND(IF('設定'!$B$9="税込",N($G244)*10/110,N($G244)*10/100),0),IF('設定'!$B$10="切り上げ",ROUNDUP(IF('設定'!$B$9="税込",N($G244)*10/110,N($G244)*10/100),0),ROUNDDOWN(IF('設定'!$B$9="税込",N($G244)*10/110,N($G244)*10/100),0))))</f>
        <v/>
      </c>
      <c r="K244" s="28">
        <f>IF($A244="","",IF('設定'!$B$10="四捨五入",ROUND(IF('設定'!$B$9="税込",N($H244)*8/108,N($H244)*8/100),0),IF('設定'!$B$10="切り上げ",ROUNDUP(IF('設定'!$B$9="税込",N($H244)*8/108,N($H244)*8/100),0),ROUNDDOWN(IF('設定'!$B$9="税込",N($H244)*8/108,N($H244)*8/100),0))))</f>
        <v/>
      </c>
      <c r="L244" s="28">
        <f>IF($A244="","",N($G244)+N($H244)+N($I244)+IF('設定'!$B$9="税込",0,$J244+$K244))</f>
        <v/>
      </c>
      <c r="M244" s="29">
        <f>IF(OR($A244="",NOT(ISNUMBER($W244)),NOT(ISNUMBER($X244))),"",IF(OR(INDEX('得意先'!$D$5:$D$104,$W244)="",INDEX('得意先'!$E$5:$E$104,$W244)="",INDEX('得意先'!$F$5:$F$104,$W244)=""),"",IF(INDEX('得意先'!$F$5:$F$104,$W244)="末",DATE(YEAR($X244),(MONTH($X244)+IF(INDEX('得意先'!$D$5:$D$104,$W244)="末",0,IF(DAY($X244)&lt;=INDEX('得意先'!$D$5:$D$104,$W244),0,1))+N(INDEX('得意先'!$E$5:$E$104,$W244)))+1,0),DATE(YEAR($X244),(MONTH($X244)+IF(INDEX('得意先'!$D$5:$D$104,$W244)="末",0,IF(DAY($X244)&lt;=INDEX('得意先'!$D$5:$D$104,$W244),0,1))+N(INDEX('得意先'!$E$5:$E$104,$W244))),MIN(INDEX('得意先'!$F$5:$F$104,$W244),DAY(DATE(YEAR($X244),(MONTH($X244)+IF(INDEX('得意先'!$D$5:$D$104,$W244)="末",0,IF(DAY($X244)&lt;=INDEX('得意先'!$D$5:$D$104,$W244),0,1))+N(INDEX('得意先'!$E$5:$E$104,$W244)))+1,0)))))))</f>
        <v/>
      </c>
      <c r="N244" s="26" t="n"/>
      <c r="O244" s="29">
        <f>IF($A244="","",IF(ISNUMBER($N244),$N244,$M244))</f>
        <v/>
      </c>
      <c r="P244" s="28">
        <f>IF($A244="","",SUMIF('入金消込'!$F$5:$F$1004,$A244,'入金消込'!$G$5:$G$1004))</f>
        <v/>
      </c>
      <c r="Q244" s="28">
        <f>IF($A244="","",SUMIF('入金消込'!$F$5:$F$1004,$A244,'入金消込'!$H$5:$H$1004)+SUMIF('入金消込'!$F$5:$F$1004,$A244,'入金消込'!$I$5:$I$1004))</f>
        <v/>
      </c>
      <c r="R244" s="28">
        <f>IF($A244="","",$L244-$P244-$Q244)</f>
        <v/>
      </c>
      <c r="S244" s="30">
        <f>IF($A244="","",IF($R244=0,IF($L244=0,"請求額0","回収済"),IF($L244&lt;0,IF($R244&lt;0,"差し引き待ち","差し引きすぎ"),IF($R244&lt;0,"入金が多い",IF($P244+$Q244=0,"未入金","一部入金")))))</f>
        <v/>
      </c>
      <c r="T244" s="31">
        <f>IF(OR($A244="",N($R244)&lt;=0,NOT(ISNUMBER($O244))),"",IF($O244&lt;'設定'!$B$7,'設定'!$B$7-$O244,""))</f>
        <v/>
      </c>
      <c r="U244" s="30">
        <f>IF(OR($A244="",N($R244)&lt;=0),"",IF(NOT(ISNUMBER($O244)),'設定'!$B$22,IF($O244&gt;='設定'!$B$7,'設定'!$B$17,IF('設定'!$B$7-$O244&lt;='設定'!$B$12,'設定'!$B$18,IF('設定'!$B$7-$O244&lt;='設定'!$B$13,'設定'!$B$19,IF('設定'!$B$7-$O244&lt;='設定'!$B$14,'設定'!$B$20,'設定'!$B$21))))))</f>
        <v/>
      </c>
      <c r="V244" s="56" t="n"/>
      <c r="W244" s="32">
        <f>IF($C244="","",IFERROR(MATCH($C244,'得意先'!$B$5:$B$104,0),"なし"))</f>
        <v/>
      </c>
      <c r="X244" s="33">
        <f>IF($A244="","",IF(ISNUMBER($E244),$E244,IF(ISNUMBER($B244),$B244,"")))</f>
        <v/>
      </c>
      <c r="Y244" s="34">
        <f>IF($T244="","",$O244+ROW()/1000000)</f>
        <v/>
      </c>
      <c r="Z244" s="35">
        <f>IF(OR($A244="",$C244="",$C244&lt;&gt;'売掛帳'!$B$3,NOT(ISNUMBER($X244))),"",IF(AND($X244&gt;='売掛帳'!$Q$3,$X244&lt;='売掛帳'!$Q$4),$X244+ROW()/10000000,""))</f>
        <v/>
      </c>
    </row>
    <row r="245" ht="18" customHeight="1">
      <c r="A245" s="18" t="n"/>
      <c r="B245" s="26" t="n"/>
      <c r="C245" s="18" t="n"/>
      <c r="D245" s="20">
        <f>IF($W245="","",IF($W245="なし","※得意先にないコード",INDEX('得意先'!$C$5:$C$104,$W245)&amp;""))</f>
        <v/>
      </c>
      <c r="E245" s="26" t="n"/>
      <c r="F245" s="19" t="n"/>
      <c r="G245" s="27" t="n"/>
      <c r="H245" s="27" t="n"/>
      <c r="I245" s="27" t="n"/>
      <c r="J245" s="28">
        <f>IF($A245="","",IF('設定'!$B$10="四捨五入",ROUND(IF('設定'!$B$9="税込",N($G245)*10/110,N($G245)*10/100),0),IF('設定'!$B$10="切り上げ",ROUNDUP(IF('設定'!$B$9="税込",N($G245)*10/110,N($G245)*10/100),0),ROUNDDOWN(IF('設定'!$B$9="税込",N($G245)*10/110,N($G245)*10/100),0))))</f>
        <v/>
      </c>
      <c r="K245" s="28">
        <f>IF($A245="","",IF('設定'!$B$10="四捨五入",ROUND(IF('設定'!$B$9="税込",N($H245)*8/108,N($H245)*8/100),0),IF('設定'!$B$10="切り上げ",ROUNDUP(IF('設定'!$B$9="税込",N($H245)*8/108,N($H245)*8/100),0),ROUNDDOWN(IF('設定'!$B$9="税込",N($H245)*8/108,N($H245)*8/100),0))))</f>
        <v/>
      </c>
      <c r="L245" s="28">
        <f>IF($A245="","",N($G245)+N($H245)+N($I245)+IF('設定'!$B$9="税込",0,$J245+$K245))</f>
        <v/>
      </c>
      <c r="M245" s="29">
        <f>IF(OR($A245="",NOT(ISNUMBER($W245)),NOT(ISNUMBER($X245))),"",IF(OR(INDEX('得意先'!$D$5:$D$104,$W245)="",INDEX('得意先'!$E$5:$E$104,$W245)="",INDEX('得意先'!$F$5:$F$104,$W245)=""),"",IF(INDEX('得意先'!$F$5:$F$104,$W245)="末",DATE(YEAR($X245),(MONTH($X245)+IF(INDEX('得意先'!$D$5:$D$104,$W245)="末",0,IF(DAY($X245)&lt;=INDEX('得意先'!$D$5:$D$104,$W245),0,1))+N(INDEX('得意先'!$E$5:$E$104,$W245)))+1,0),DATE(YEAR($X245),(MONTH($X245)+IF(INDEX('得意先'!$D$5:$D$104,$W245)="末",0,IF(DAY($X245)&lt;=INDEX('得意先'!$D$5:$D$104,$W245),0,1))+N(INDEX('得意先'!$E$5:$E$104,$W245))),MIN(INDEX('得意先'!$F$5:$F$104,$W245),DAY(DATE(YEAR($X245),(MONTH($X245)+IF(INDEX('得意先'!$D$5:$D$104,$W245)="末",0,IF(DAY($X245)&lt;=INDEX('得意先'!$D$5:$D$104,$W245),0,1))+N(INDEX('得意先'!$E$5:$E$104,$W245)))+1,0)))))))</f>
        <v/>
      </c>
      <c r="N245" s="26" t="n"/>
      <c r="O245" s="29">
        <f>IF($A245="","",IF(ISNUMBER($N245),$N245,$M245))</f>
        <v/>
      </c>
      <c r="P245" s="28">
        <f>IF($A245="","",SUMIF('入金消込'!$F$5:$F$1004,$A245,'入金消込'!$G$5:$G$1004))</f>
        <v/>
      </c>
      <c r="Q245" s="28">
        <f>IF($A245="","",SUMIF('入金消込'!$F$5:$F$1004,$A245,'入金消込'!$H$5:$H$1004)+SUMIF('入金消込'!$F$5:$F$1004,$A245,'入金消込'!$I$5:$I$1004))</f>
        <v/>
      </c>
      <c r="R245" s="28">
        <f>IF($A245="","",$L245-$P245-$Q245)</f>
        <v/>
      </c>
      <c r="S245" s="30">
        <f>IF($A245="","",IF($R245=0,IF($L245=0,"請求額0","回収済"),IF($L245&lt;0,IF($R245&lt;0,"差し引き待ち","差し引きすぎ"),IF($R245&lt;0,"入金が多い",IF($P245+$Q245=0,"未入金","一部入金")))))</f>
        <v/>
      </c>
      <c r="T245" s="31">
        <f>IF(OR($A245="",N($R245)&lt;=0,NOT(ISNUMBER($O245))),"",IF($O245&lt;'設定'!$B$7,'設定'!$B$7-$O245,""))</f>
        <v/>
      </c>
      <c r="U245" s="30">
        <f>IF(OR($A245="",N($R245)&lt;=0),"",IF(NOT(ISNUMBER($O245)),'設定'!$B$22,IF($O245&gt;='設定'!$B$7,'設定'!$B$17,IF('設定'!$B$7-$O245&lt;='設定'!$B$12,'設定'!$B$18,IF('設定'!$B$7-$O245&lt;='設定'!$B$13,'設定'!$B$19,IF('設定'!$B$7-$O245&lt;='設定'!$B$14,'設定'!$B$20,'設定'!$B$21))))))</f>
        <v/>
      </c>
      <c r="V245" s="56" t="n"/>
      <c r="W245" s="32">
        <f>IF($C245="","",IFERROR(MATCH($C245,'得意先'!$B$5:$B$104,0),"なし"))</f>
        <v/>
      </c>
      <c r="X245" s="33">
        <f>IF($A245="","",IF(ISNUMBER($E245),$E245,IF(ISNUMBER($B245),$B245,"")))</f>
        <v/>
      </c>
      <c r="Y245" s="34">
        <f>IF($T245="","",$O245+ROW()/1000000)</f>
        <v/>
      </c>
      <c r="Z245" s="35">
        <f>IF(OR($A245="",$C245="",$C245&lt;&gt;'売掛帳'!$B$3,NOT(ISNUMBER($X245))),"",IF(AND($X245&gt;='売掛帳'!$Q$3,$X245&lt;='売掛帳'!$Q$4),$X245+ROW()/10000000,""))</f>
        <v/>
      </c>
    </row>
    <row r="246" ht="18" customHeight="1">
      <c r="A246" s="18" t="n"/>
      <c r="B246" s="26" t="n"/>
      <c r="C246" s="18" t="n"/>
      <c r="D246" s="20">
        <f>IF($W246="","",IF($W246="なし","※得意先にないコード",INDEX('得意先'!$C$5:$C$104,$W246)&amp;""))</f>
        <v/>
      </c>
      <c r="E246" s="26" t="n"/>
      <c r="F246" s="19" t="n"/>
      <c r="G246" s="27" t="n"/>
      <c r="H246" s="27" t="n"/>
      <c r="I246" s="27" t="n"/>
      <c r="J246" s="28">
        <f>IF($A246="","",IF('設定'!$B$10="四捨五入",ROUND(IF('設定'!$B$9="税込",N($G246)*10/110,N($G246)*10/100),0),IF('設定'!$B$10="切り上げ",ROUNDUP(IF('設定'!$B$9="税込",N($G246)*10/110,N($G246)*10/100),0),ROUNDDOWN(IF('設定'!$B$9="税込",N($G246)*10/110,N($G246)*10/100),0))))</f>
        <v/>
      </c>
      <c r="K246" s="28">
        <f>IF($A246="","",IF('設定'!$B$10="四捨五入",ROUND(IF('設定'!$B$9="税込",N($H246)*8/108,N($H246)*8/100),0),IF('設定'!$B$10="切り上げ",ROUNDUP(IF('設定'!$B$9="税込",N($H246)*8/108,N($H246)*8/100),0),ROUNDDOWN(IF('設定'!$B$9="税込",N($H246)*8/108,N($H246)*8/100),0))))</f>
        <v/>
      </c>
      <c r="L246" s="28">
        <f>IF($A246="","",N($G246)+N($H246)+N($I246)+IF('設定'!$B$9="税込",0,$J246+$K246))</f>
        <v/>
      </c>
      <c r="M246" s="29">
        <f>IF(OR($A246="",NOT(ISNUMBER($W246)),NOT(ISNUMBER($X246))),"",IF(OR(INDEX('得意先'!$D$5:$D$104,$W246)="",INDEX('得意先'!$E$5:$E$104,$W246)="",INDEX('得意先'!$F$5:$F$104,$W246)=""),"",IF(INDEX('得意先'!$F$5:$F$104,$W246)="末",DATE(YEAR($X246),(MONTH($X246)+IF(INDEX('得意先'!$D$5:$D$104,$W246)="末",0,IF(DAY($X246)&lt;=INDEX('得意先'!$D$5:$D$104,$W246),0,1))+N(INDEX('得意先'!$E$5:$E$104,$W246)))+1,0),DATE(YEAR($X246),(MONTH($X246)+IF(INDEX('得意先'!$D$5:$D$104,$W246)="末",0,IF(DAY($X246)&lt;=INDEX('得意先'!$D$5:$D$104,$W246),0,1))+N(INDEX('得意先'!$E$5:$E$104,$W246))),MIN(INDEX('得意先'!$F$5:$F$104,$W246),DAY(DATE(YEAR($X246),(MONTH($X246)+IF(INDEX('得意先'!$D$5:$D$104,$W246)="末",0,IF(DAY($X246)&lt;=INDEX('得意先'!$D$5:$D$104,$W246),0,1))+N(INDEX('得意先'!$E$5:$E$104,$W246)))+1,0)))))))</f>
        <v/>
      </c>
      <c r="N246" s="26" t="n"/>
      <c r="O246" s="29">
        <f>IF($A246="","",IF(ISNUMBER($N246),$N246,$M246))</f>
        <v/>
      </c>
      <c r="P246" s="28">
        <f>IF($A246="","",SUMIF('入金消込'!$F$5:$F$1004,$A246,'入金消込'!$G$5:$G$1004))</f>
        <v/>
      </c>
      <c r="Q246" s="28">
        <f>IF($A246="","",SUMIF('入金消込'!$F$5:$F$1004,$A246,'入金消込'!$H$5:$H$1004)+SUMIF('入金消込'!$F$5:$F$1004,$A246,'入金消込'!$I$5:$I$1004))</f>
        <v/>
      </c>
      <c r="R246" s="28">
        <f>IF($A246="","",$L246-$P246-$Q246)</f>
        <v/>
      </c>
      <c r="S246" s="30">
        <f>IF($A246="","",IF($R246=0,IF($L246=0,"請求額0","回収済"),IF($L246&lt;0,IF($R246&lt;0,"差し引き待ち","差し引きすぎ"),IF($R246&lt;0,"入金が多い",IF($P246+$Q246=0,"未入金","一部入金")))))</f>
        <v/>
      </c>
      <c r="T246" s="31">
        <f>IF(OR($A246="",N($R246)&lt;=0,NOT(ISNUMBER($O246))),"",IF($O246&lt;'設定'!$B$7,'設定'!$B$7-$O246,""))</f>
        <v/>
      </c>
      <c r="U246" s="30">
        <f>IF(OR($A246="",N($R246)&lt;=0),"",IF(NOT(ISNUMBER($O246)),'設定'!$B$22,IF($O246&gt;='設定'!$B$7,'設定'!$B$17,IF('設定'!$B$7-$O246&lt;='設定'!$B$12,'設定'!$B$18,IF('設定'!$B$7-$O246&lt;='設定'!$B$13,'設定'!$B$19,IF('設定'!$B$7-$O246&lt;='設定'!$B$14,'設定'!$B$20,'設定'!$B$21))))))</f>
        <v/>
      </c>
      <c r="V246" s="56" t="n"/>
      <c r="W246" s="32">
        <f>IF($C246="","",IFERROR(MATCH($C246,'得意先'!$B$5:$B$104,0),"なし"))</f>
        <v/>
      </c>
      <c r="X246" s="33">
        <f>IF($A246="","",IF(ISNUMBER($E246),$E246,IF(ISNUMBER($B246),$B246,"")))</f>
        <v/>
      </c>
      <c r="Y246" s="34">
        <f>IF($T246="","",$O246+ROW()/1000000)</f>
        <v/>
      </c>
      <c r="Z246" s="35">
        <f>IF(OR($A246="",$C246="",$C246&lt;&gt;'売掛帳'!$B$3,NOT(ISNUMBER($X246))),"",IF(AND($X246&gt;='売掛帳'!$Q$3,$X246&lt;='売掛帳'!$Q$4),$X246+ROW()/10000000,""))</f>
        <v/>
      </c>
    </row>
    <row r="247" ht="18" customHeight="1">
      <c r="A247" s="18" t="n"/>
      <c r="B247" s="26" t="n"/>
      <c r="C247" s="18" t="n"/>
      <c r="D247" s="20">
        <f>IF($W247="","",IF($W247="なし","※得意先にないコード",INDEX('得意先'!$C$5:$C$104,$W247)&amp;""))</f>
        <v/>
      </c>
      <c r="E247" s="26" t="n"/>
      <c r="F247" s="19" t="n"/>
      <c r="G247" s="27" t="n"/>
      <c r="H247" s="27" t="n"/>
      <c r="I247" s="27" t="n"/>
      <c r="J247" s="28">
        <f>IF($A247="","",IF('設定'!$B$10="四捨五入",ROUND(IF('設定'!$B$9="税込",N($G247)*10/110,N($G247)*10/100),0),IF('設定'!$B$10="切り上げ",ROUNDUP(IF('設定'!$B$9="税込",N($G247)*10/110,N($G247)*10/100),0),ROUNDDOWN(IF('設定'!$B$9="税込",N($G247)*10/110,N($G247)*10/100),0))))</f>
        <v/>
      </c>
      <c r="K247" s="28">
        <f>IF($A247="","",IF('設定'!$B$10="四捨五入",ROUND(IF('設定'!$B$9="税込",N($H247)*8/108,N($H247)*8/100),0),IF('設定'!$B$10="切り上げ",ROUNDUP(IF('設定'!$B$9="税込",N($H247)*8/108,N($H247)*8/100),0),ROUNDDOWN(IF('設定'!$B$9="税込",N($H247)*8/108,N($H247)*8/100),0))))</f>
        <v/>
      </c>
      <c r="L247" s="28">
        <f>IF($A247="","",N($G247)+N($H247)+N($I247)+IF('設定'!$B$9="税込",0,$J247+$K247))</f>
        <v/>
      </c>
      <c r="M247" s="29">
        <f>IF(OR($A247="",NOT(ISNUMBER($W247)),NOT(ISNUMBER($X247))),"",IF(OR(INDEX('得意先'!$D$5:$D$104,$W247)="",INDEX('得意先'!$E$5:$E$104,$W247)="",INDEX('得意先'!$F$5:$F$104,$W247)=""),"",IF(INDEX('得意先'!$F$5:$F$104,$W247)="末",DATE(YEAR($X247),(MONTH($X247)+IF(INDEX('得意先'!$D$5:$D$104,$W247)="末",0,IF(DAY($X247)&lt;=INDEX('得意先'!$D$5:$D$104,$W247),0,1))+N(INDEX('得意先'!$E$5:$E$104,$W247)))+1,0),DATE(YEAR($X247),(MONTH($X247)+IF(INDEX('得意先'!$D$5:$D$104,$W247)="末",0,IF(DAY($X247)&lt;=INDEX('得意先'!$D$5:$D$104,$W247),0,1))+N(INDEX('得意先'!$E$5:$E$104,$W247))),MIN(INDEX('得意先'!$F$5:$F$104,$W247),DAY(DATE(YEAR($X247),(MONTH($X247)+IF(INDEX('得意先'!$D$5:$D$104,$W247)="末",0,IF(DAY($X247)&lt;=INDEX('得意先'!$D$5:$D$104,$W247),0,1))+N(INDEX('得意先'!$E$5:$E$104,$W247)))+1,0)))))))</f>
        <v/>
      </c>
      <c r="N247" s="26" t="n"/>
      <c r="O247" s="29">
        <f>IF($A247="","",IF(ISNUMBER($N247),$N247,$M247))</f>
        <v/>
      </c>
      <c r="P247" s="28">
        <f>IF($A247="","",SUMIF('入金消込'!$F$5:$F$1004,$A247,'入金消込'!$G$5:$G$1004))</f>
        <v/>
      </c>
      <c r="Q247" s="28">
        <f>IF($A247="","",SUMIF('入金消込'!$F$5:$F$1004,$A247,'入金消込'!$H$5:$H$1004)+SUMIF('入金消込'!$F$5:$F$1004,$A247,'入金消込'!$I$5:$I$1004))</f>
        <v/>
      </c>
      <c r="R247" s="28">
        <f>IF($A247="","",$L247-$P247-$Q247)</f>
        <v/>
      </c>
      <c r="S247" s="30">
        <f>IF($A247="","",IF($R247=0,IF($L247=0,"請求額0","回収済"),IF($L247&lt;0,IF($R247&lt;0,"差し引き待ち","差し引きすぎ"),IF($R247&lt;0,"入金が多い",IF($P247+$Q247=0,"未入金","一部入金")))))</f>
        <v/>
      </c>
      <c r="T247" s="31">
        <f>IF(OR($A247="",N($R247)&lt;=0,NOT(ISNUMBER($O247))),"",IF($O247&lt;'設定'!$B$7,'設定'!$B$7-$O247,""))</f>
        <v/>
      </c>
      <c r="U247" s="30">
        <f>IF(OR($A247="",N($R247)&lt;=0),"",IF(NOT(ISNUMBER($O247)),'設定'!$B$22,IF($O247&gt;='設定'!$B$7,'設定'!$B$17,IF('設定'!$B$7-$O247&lt;='設定'!$B$12,'設定'!$B$18,IF('設定'!$B$7-$O247&lt;='設定'!$B$13,'設定'!$B$19,IF('設定'!$B$7-$O247&lt;='設定'!$B$14,'設定'!$B$20,'設定'!$B$21))))))</f>
        <v/>
      </c>
      <c r="V247" s="56" t="n"/>
      <c r="W247" s="32">
        <f>IF($C247="","",IFERROR(MATCH($C247,'得意先'!$B$5:$B$104,0),"なし"))</f>
        <v/>
      </c>
      <c r="X247" s="33">
        <f>IF($A247="","",IF(ISNUMBER($E247),$E247,IF(ISNUMBER($B247),$B247,"")))</f>
        <v/>
      </c>
      <c r="Y247" s="34">
        <f>IF($T247="","",$O247+ROW()/1000000)</f>
        <v/>
      </c>
      <c r="Z247" s="35">
        <f>IF(OR($A247="",$C247="",$C247&lt;&gt;'売掛帳'!$B$3,NOT(ISNUMBER($X247))),"",IF(AND($X247&gt;='売掛帳'!$Q$3,$X247&lt;='売掛帳'!$Q$4),$X247+ROW()/10000000,""))</f>
        <v/>
      </c>
    </row>
    <row r="248" ht="18" customHeight="1">
      <c r="A248" s="18" t="n"/>
      <c r="B248" s="26" t="n"/>
      <c r="C248" s="18" t="n"/>
      <c r="D248" s="20">
        <f>IF($W248="","",IF($W248="なし","※得意先にないコード",INDEX('得意先'!$C$5:$C$104,$W248)&amp;""))</f>
        <v/>
      </c>
      <c r="E248" s="26" t="n"/>
      <c r="F248" s="19" t="n"/>
      <c r="G248" s="27" t="n"/>
      <c r="H248" s="27" t="n"/>
      <c r="I248" s="27" t="n"/>
      <c r="J248" s="28">
        <f>IF($A248="","",IF('設定'!$B$10="四捨五入",ROUND(IF('設定'!$B$9="税込",N($G248)*10/110,N($G248)*10/100),0),IF('設定'!$B$10="切り上げ",ROUNDUP(IF('設定'!$B$9="税込",N($G248)*10/110,N($G248)*10/100),0),ROUNDDOWN(IF('設定'!$B$9="税込",N($G248)*10/110,N($G248)*10/100),0))))</f>
        <v/>
      </c>
      <c r="K248" s="28">
        <f>IF($A248="","",IF('設定'!$B$10="四捨五入",ROUND(IF('設定'!$B$9="税込",N($H248)*8/108,N($H248)*8/100),0),IF('設定'!$B$10="切り上げ",ROUNDUP(IF('設定'!$B$9="税込",N($H248)*8/108,N($H248)*8/100),0),ROUNDDOWN(IF('設定'!$B$9="税込",N($H248)*8/108,N($H248)*8/100),0))))</f>
        <v/>
      </c>
      <c r="L248" s="28">
        <f>IF($A248="","",N($G248)+N($H248)+N($I248)+IF('設定'!$B$9="税込",0,$J248+$K248))</f>
        <v/>
      </c>
      <c r="M248" s="29">
        <f>IF(OR($A248="",NOT(ISNUMBER($W248)),NOT(ISNUMBER($X248))),"",IF(OR(INDEX('得意先'!$D$5:$D$104,$W248)="",INDEX('得意先'!$E$5:$E$104,$W248)="",INDEX('得意先'!$F$5:$F$104,$W248)=""),"",IF(INDEX('得意先'!$F$5:$F$104,$W248)="末",DATE(YEAR($X248),(MONTH($X248)+IF(INDEX('得意先'!$D$5:$D$104,$W248)="末",0,IF(DAY($X248)&lt;=INDEX('得意先'!$D$5:$D$104,$W248),0,1))+N(INDEX('得意先'!$E$5:$E$104,$W248)))+1,0),DATE(YEAR($X248),(MONTH($X248)+IF(INDEX('得意先'!$D$5:$D$104,$W248)="末",0,IF(DAY($X248)&lt;=INDEX('得意先'!$D$5:$D$104,$W248),0,1))+N(INDEX('得意先'!$E$5:$E$104,$W248))),MIN(INDEX('得意先'!$F$5:$F$104,$W248),DAY(DATE(YEAR($X248),(MONTH($X248)+IF(INDEX('得意先'!$D$5:$D$104,$W248)="末",0,IF(DAY($X248)&lt;=INDEX('得意先'!$D$5:$D$104,$W248),0,1))+N(INDEX('得意先'!$E$5:$E$104,$W248)))+1,0)))))))</f>
        <v/>
      </c>
      <c r="N248" s="26" t="n"/>
      <c r="O248" s="29">
        <f>IF($A248="","",IF(ISNUMBER($N248),$N248,$M248))</f>
        <v/>
      </c>
      <c r="P248" s="28">
        <f>IF($A248="","",SUMIF('入金消込'!$F$5:$F$1004,$A248,'入金消込'!$G$5:$G$1004))</f>
        <v/>
      </c>
      <c r="Q248" s="28">
        <f>IF($A248="","",SUMIF('入金消込'!$F$5:$F$1004,$A248,'入金消込'!$H$5:$H$1004)+SUMIF('入金消込'!$F$5:$F$1004,$A248,'入金消込'!$I$5:$I$1004))</f>
        <v/>
      </c>
      <c r="R248" s="28">
        <f>IF($A248="","",$L248-$P248-$Q248)</f>
        <v/>
      </c>
      <c r="S248" s="30">
        <f>IF($A248="","",IF($R248=0,IF($L248=0,"請求額0","回収済"),IF($L248&lt;0,IF($R248&lt;0,"差し引き待ち","差し引きすぎ"),IF($R248&lt;0,"入金が多い",IF($P248+$Q248=0,"未入金","一部入金")))))</f>
        <v/>
      </c>
      <c r="T248" s="31">
        <f>IF(OR($A248="",N($R248)&lt;=0,NOT(ISNUMBER($O248))),"",IF($O248&lt;'設定'!$B$7,'設定'!$B$7-$O248,""))</f>
        <v/>
      </c>
      <c r="U248" s="30">
        <f>IF(OR($A248="",N($R248)&lt;=0),"",IF(NOT(ISNUMBER($O248)),'設定'!$B$22,IF($O248&gt;='設定'!$B$7,'設定'!$B$17,IF('設定'!$B$7-$O248&lt;='設定'!$B$12,'設定'!$B$18,IF('設定'!$B$7-$O248&lt;='設定'!$B$13,'設定'!$B$19,IF('設定'!$B$7-$O248&lt;='設定'!$B$14,'設定'!$B$20,'設定'!$B$21))))))</f>
        <v/>
      </c>
      <c r="V248" s="56" t="n"/>
      <c r="W248" s="32">
        <f>IF($C248="","",IFERROR(MATCH($C248,'得意先'!$B$5:$B$104,0),"なし"))</f>
        <v/>
      </c>
      <c r="X248" s="33">
        <f>IF($A248="","",IF(ISNUMBER($E248),$E248,IF(ISNUMBER($B248),$B248,"")))</f>
        <v/>
      </c>
      <c r="Y248" s="34">
        <f>IF($T248="","",$O248+ROW()/1000000)</f>
        <v/>
      </c>
      <c r="Z248" s="35">
        <f>IF(OR($A248="",$C248="",$C248&lt;&gt;'売掛帳'!$B$3,NOT(ISNUMBER($X248))),"",IF(AND($X248&gt;='売掛帳'!$Q$3,$X248&lt;='売掛帳'!$Q$4),$X248+ROW()/10000000,""))</f>
        <v/>
      </c>
    </row>
    <row r="249" ht="18" customHeight="1">
      <c r="A249" s="18" t="n"/>
      <c r="B249" s="26" t="n"/>
      <c r="C249" s="18" t="n"/>
      <c r="D249" s="20">
        <f>IF($W249="","",IF($W249="なし","※得意先にないコード",INDEX('得意先'!$C$5:$C$104,$W249)&amp;""))</f>
        <v/>
      </c>
      <c r="E249" s="26" t="n"/>
      <c r="F249" s="19" t="n"/>
      <c r="G249" s="27" t="n"/>
      <c r="H249" s="27" t="n"/>
      <c r="I249" s="27" t="n"/>
      <c r="J249" s="28">
        <f>IF($A249="","",IF('設定'!$B$10="四捨五入",ROUND(IF('設定'!$B$9="税込",N($G249)*10/110,N($G249)*10/100),0),IF('設定'!$B$10="切り上げ",ROUNDUP(IF('設定'!$B$9="税込",N($G249)*10/110,N($G249)*10/100),0),ROUNDDOWN(IF('設定'!$B$9="税込",N($G249)*10/110,N($G249)*10/100),0))))</f>
        <v/>
      </c>
      <c r="K249" s="28">
        <f>IF($A249="","",IF('設定'!$B$10="四捨五入",ROUND(IF('設定'!$B$9="税込",N($H249)*8/108,N($H249)*8/100),0),IF('設定'!$B$10="切り上げ",ROUNDUP(IF('設定'!$B$9="税込",N($H249)*8/108,N($H249)*8/100),0),ROUNDDOWN(IF('設定'!$B$9="税込",N($H249)*8/108,N($H249)*8/100),0))))</f>
        <v/>
      </c>
      <c r="L249" s="28">
        <f>IF($A249="","",N($G249)+N($H249)+N($I249)+IF('設定'!$B$9="税込",0,$J249+$K249))</f>
        <v/>
      </c>
      <c r="M249" s="29">
        <f>IF(OR($A249="",NOT(ISNUMBER($W249)),NOT(ISNUMBER($X249))),"",IF(OR(INDEX('得意先'!$D$5:$D$104,$W249)="",INDEX('得意先'!$E$5:$E$104,$W249)="",INDEX('得意先'!$F$5:$F$104,$W249)=""),"",IF(INDEX('得意先'!$F$5:$F$104,$W249)="末",DATE(YEAR($X249),(MONTH($X249)+IF(INDEX('得意先'!$D$5:$D$104,$W249)="末",0,IF(DAY($X249)&lt;=INDEX('得意先'!$D$5:$D$104,$W249),0,1))+N(INDEX('得意先'!$E$5:$E$104,$W249)))+1,0),DATE(YEAR($X249),(MONTH($X249)+IF(INDEX('得意先'!$D$5:$D$104,$W249)="末",0,IF(DAY($X249)&lt;=INDEX('得意先'!$D$5:$D$104,$W249),0,1))+N(INDEX('得意先'!$E$5:$E$104,$W249))),MIN(INDEX('得意先'!$F$5:$F$104,$W249),DAY(DATE(YEAR($X249),(MONTH($X249)+IF(INDEX('得意先'!$D$5:$D$104,$W249)="末",0,IF(DAY($X249)&lt;=INDEX('得意先'!$D$5:$D$104,$W249),0,1))+N(INDEX('得意先'!$E$5:$E$104,$W249)))+1,0)))))))</f>
        <v/>
      </c>
      <c r="N249" s="26" t="n"/>
      <c r="O249" s="29">
        <f>IF($A249="","",IF(ISNUMBER($N249),$N249,$M249))</f>
        <v/>
      </c>
      <c r="P249" s="28">
        <f>IF($A249="","",SUMIF('入金消込'!$F$5:$F$1004,$A249,'入金消込'!$G$5:$G$1004))</f>
        <v/>
      </c>
      <c r="Q249" s="28">
        <f>IF($A249="","",SUMIF('入金消込'!$F$5:$F$1004,$A249,'入金消込'!$H$5:$H$1004)+SUMIF('入金消込'!$F$5:$F$1004,$A249,'入金消込'!$I$5:$I$1004))</f>
        <v/>
      </c>
      <c r="R249" s="28">
        <f>IF($A249="","",$L249-$P249-$Q249)</f>
        <v/>
      </c>
      <c r="S249" s="30">
        <f>IF($A249="","",IF($R249=0,IF($L249=0,"請求額0","回収済"),IF($L249&lt;0,IF($R249&lt;0,"差し引き待ち","差し引きすぎ"),IF($R249&lt;0,"入金が多い",IF($P249+$Q249=0,"未入金","一部入金")))))</f>
        <v/>
      </c>
      <c r="T249" s="31">
        <f>IF(OR($A249="",N($R249)&lt;=0,NOT(ISNUMBER($O249))),"",IF($O249&lt;'設定'!$B$7,'設定'!$B$7-$O249,""))</f>
        <v/>
      </c>
      <c r="U249" s="30">
        <f>IF(OR($A249="",N($R249)&lt;=0),"",IF(NOT(ISNUMBER($O249)),'設定'!$B$22,IF($O249&gt;='設定'!$B$7,'設定'!$B$17,IF('設定'!$B$7-$O249&lt;='設定'!$B$12,'設定'!$B$18,IF('設定'!$B$7-$O249&lt;='設定'!$B$13,'設定'!$B$19,IF('設定'!$B$7-$O249&lt;='設定'!$B$14,'設定'!$B$20,'設定'!$B$21))))))</f>
        <v/>
      </c>
      <c r="V249" s="56" t="n"/>
      <c r="W249" s="32">
        <f>IF($C249="","",IFERROR(MATCH($C249,'得意先'!$B$5:$B$104,0),"なし"))</f>
        <v/>
      </c>
      <c r="X249" s="33">
        <f>IF($A249="","",IF(ISNUMBER($E249),$E249,IF(ISNUMBER($B249),$B249,"")))</f>
        <v/>
      </c>
      <c r="Y249" s="34">
        <f>IF($T249="","",$O249+ROW()/1000000)</f>
        <v/>
      </c>
      <c r="Z249" s="35">
        <f>IF(OR($A249="",$C249="",$C249&lt;&gt;'売掛帳'!$B$3,NOT(ISNUMBER($X249))),"",IF(AND($X249&gt;='売掛帳'!$Q$3,$X249&lt;='売掛帳'!$Q$4),$X249+ROW()/10000000,""))</f>
        <v/>
      </c>
    </row>
    <row r="250" ht="18" customHeight="1">
      <c r="A250" s="18" t="n"/>
      <c r="B250" s="26" t="n"/>
      <c r="C250" s="18" t="n"/>
      <c r="D250" s="20">
        <f>IF($W250="","",IF($W250="なし","※得意先にないコード",INDEX('得意先'!$C$5:$C$104,$W250)&amp;""))</f>
        <v/>
      </c>
      <c r="E250" s="26" t="n"/>
      <c r="F250" s="19" t="n"/>
      <c r="G250" s="27" t="n"/>
      <c r="H250" s="27" t="n"/>
      <c r="I250" s="27" t="n"/>
      <c r="J250" s="28">
        <f>IF($A250="","",IF('設定'!$B$10="四捨五入",ROUND(IF('設定'!$B$9="税込",N($G250)*10/110,N($G250)*10/100),0),IF('設定'!$B$10="切り上げ",ROUNDUP(IF('設定'!$B$9="税込",N($G250)*10/110,N($G250)*10/100),0),ROUNDDOWN(IF('設定'!$B$9="税込",N($G250)*10/110,N($G250)*10/100),0))))</f>
        <v/>
      </c>
      <c r="K250" s="28">
        <f>IF($A250="","",IF('設定'!$B$10="四捨五入",ROUND(IF('設定'!$B$9="税込",N($H250)*8/108,N($H250)*8/100),0),IF('設定'!$B$10="切り上げ",ROUNDUP(IF('設定'!$B$9="税込",N($H250)*8/108,N($H250)*8/100),0),ROUNDDOWN(IF('設定'!$B$9="税込",N($H250)*8/108,N($H250)*8/100),0))))</f>
        <v/>
      </c>
      <c r="L250" s="28">
        <f>IF($A250="","",N($G250)+N($H250)+N($I250)+IF('設定'!$B$9="税込",0,$J250+$K250))</f>
        <v/>
      </c>
      <c r="M250" s="29">
        <f>IF(OR($A250="",NOT(ISNUMBER($W250)),NOT(ISNUMBER($X250))),"",IF(OR(INDEX('得意先'!$D$5:$D$104,$W250)="",INDEX('得意先'!$E$5:$E$104,$W250)="",INDEX('得意先'!$F$5:$F$104,$W250)=""),"",IF(INDEX('得意先'!$F$5:$F$104,$W250)="末",DATE(YEAR($X250),(MONTH($X250)+IF(INDEX('得意先'!$D$5:$D$104,$W250)="末",0,IF(DAY($X250)&lt;=INDEX('得意先'!$D$5:$D$104,$W250),0,1))+N(INDEX('得意先'!$E$5:$E$104,$W250)))+1,0),DATE(YEAR($X250),(MONTH($X250)+IF(INDEX('得意先'!$D$5:$D$104,$W250)="末",0,IF(DAY($X250)&lt;=INDEX('得意先'!$D$5:$D$104,$W250),0,1))+N(INDEX('得意先'!$E$5:$E$104,$W250))),MIN(INDEX('得意先'!$F$5:$F$104,$W250),DAY(DATE(YEAR($X250),(MONTH($X250)+IF(INDEX('得意先'!$D$5:$D$104,$W250)="末",0,IF(DAY($X250)&lt;=INDEX('得意先'!$D$5:$D$104,$W250),0,1))+N(INDEX('得意先'!$E$5:$E$104,$W250)))+1,0)))))))</f>
        <v/>
      </c>
      <c r="N250" s="26" t="n"/>
      <c r="O250" s="29">
        <f>IF($A250="","",IF(ISNUMBER($N250),$N250,$M250))</f>
        <v/>
      </c>
      <c r="P250" s="28">
        <f>IF($A250="","",SUMIF('入金消込'!$F$5:$F$1004,$A250,'入金消込'!$G$5:$G$1004))</f>
        <v/>
      </c>
      <c r="Q250" s="28">
        <f>IF($A250="","",SUMIF('入金消込'!$F$5:$F$1004,$A250,'入金消込'!$H$5:$H$1004)+SUMIF('入金消込'!$F$5:$F$1004,$A250,'入金消込'!$I$5:$I$1004))</f>
        <v/>
      </c>
      <c r="R250" s="28">
        <f>IF($A250="","",$L250-$P250-$Q250)</f>
        <v/>
      </c>
      <c r="S250" s="30">
        <f>IF($A250="","",IF($R250=0,IF($L250=0,"請求額0","回収済"),IF($L250&lt;0,IF($R250&lt;0,"差し引き待ち","差し引きすぎ"),IF($R250&lt;0,"入金が多い",IF($P250+$Q250=0,"未入金","一部入金")))))</f>
        <v/>
      </c>
      <c r="T250" s="31">
        <f>IF(OR($A250="",N($R250)&lt;=0,NOT(ISNUMBER($O250))),"",IF($O250&lt;'設定'!$B$7,'設定'!$B$7-$O250,""))</f>
        <v/>
      </c>
      <c r="U250" s="30">
        <f>IF(OR($A250="",N($R250)&lt;=0),"",IF(NOT(ISNUMBER($O250)),'設定'!$B$22,IF($O250&gt;='設定'!$B$7,'設定'!$B$17,IF('設定'!$B$7-$O250&lt;='設定'!$B$12,'設定'!$B$18,IF('設定'!$B$7-$O250&lt;='設定'!$B$13,'設定'!$B$19,IF('設定'!$B$7-$O250&lt;='設定'!$B$14,'設定'!$B$20,'設定'!$B$21))))))</f>
        <v/>
      </c>
      <c r="V250" s="56" t="n"/>
      <c r="W250" s="32">
        <f>IF($C250="","",IFERROR(MATCH($C250,'得意先'!$B$5:$B$104,0),"なし"))</f>
        <v/>
      </c>
      <c r="X250" s="33">
        <f>IF($A250="","",IF(ISNUMBER($E250),$E250,IF(ISNUMBER($B250),$B250,"")))</f>
        <v/>
      </c>
      <c r="Y250" s="34">
        <f>IF($T250="","",$O250+ROW()/1000000)</f>
        <v/>
      </c>
      <c r="Z250" s="35">
        <f>IF(OR($A250="",$C250="",$C250&lt;&gt;'売掛帳'!$B$3,NOT(ISNUMBER($X250))),"",IF(AND($X250&gt;='売掛帳'!$Q$3,$X250&lt;='売掛帳'!$Q$4),$X250+ROW()/10000000,""))</f>
        <v/>
      </c>
    </row>
    <row r="251" ht="18" customHeight="1">
      <c r="A251" s="18" t="n"/>
      <c r="B251" s="26" t="n"/>
      <c r="C251" s="18" t="n"/>
      <c r="D251" s="20">
        <f>IF($W251="","",IF($W251="なし","※得意先にないコード",INDEX('得意先'!$C$5:$C$104,$W251)&amp;""))</f>
        <v/>
      </c>
      <c r="E251" s="26" t="n"/>
      <c r="F251" s="19" t="n"/>
      <c r="G251" s="27" t="n"/>
      <c r="H251" s="27" t="n"/>
      <c r="I251" s="27" t="n"/>
      <c r="J251" s="28">
        <f>IF($A251="","",IF('設定'!$B$10="四捨五入",ROUND(IF('設定'!$B$9="税込",N($G251)*10/110,N($G251)*10/100),0),IF('設定'!$B$10="切り上げ",ROUNDUP(IF('設定'!$B$9="税込",N($G251)*10/110,N($G251)*10/100),0),ROUNDDOWN(IF('設定'!$B$9="税込",N($G251)*10/110,N($G251)*10/100),0))))</f>
        <v/>
      </c>
      <c r="K251" s="28">
        <f>IF($A251="","",IF('設定'!$B$10="四捨五入",ROUND(IF('設定'!$B$9="税込",N($H251)*8/108,N($H251)*8/100),0),IF('設定'!$B$10="切り上げ",ROUNDUP(IF('設定'!$B$9="税込",N($H251)*8/108,N($H251)*8/100),0),ROUNDDOWN(IF('設定'!$B$9="税込",N($H251)*8/108,N($H251)*8/100),0))))</f>
        <v/>
      </c>
      <c r="L251" s="28">
        <f>IF($A251="","",N($G251)+N($H251)+N($I251)+IF('設定'!$B$9="税込",0,$J251+$K251))</f>
        <v/>
      </c>
      <c r="M251" s="29">
        <f>IF(OR($A251="",NOT(ISNUMBER($W251)),NOT(ISNUMBER($X251))),"",IF(OR(INDEX('得意先'!$D$5:$D$104,$W251)="",INDEX('得意先'!$E$5:$E$104,$W251)="",INDEX('得意先'!$F$5:$F$104,$W251)=""),"",IF(INDEX('得意先'!$F$5:$F$104,$W251)="末",DATE(YEAR($X251),(MONTH($X251)+IF(INDEX('得意先'!$D$5:$D$104,$W251)="末",0,IF(DAY($X251)&lt;=INDEX('得意先'!$D$5:$D$104,$W251),0,1))+N(INDEX('得意先'!$E$5:$E$104,$W251)))+1,0),DATE(YEAR($X251),(MONTH($X251)+IF(INDEX('得意先'!$D$5:$D$104,$W251)="末",0,IF(DAY($X251)&lt;=INDEX('得意先'!$D$5:$D$104,$W251),0,1))+N(INDEX('得意先'!$E$5:$E$104,$W251))),MIN(INDEX('得意先'!$F$5:$F$104,$W251),DAY(DATE(YEAR($X251),(MONTH($X251)+IF(INDEX('得意先'!$D$5:$D$104,$W251)="末",0,IF(DAY($X251)&lt;=INDEX('得意先'!$D$5:$D$104,$W251),0,1))+N(INDEX('得意先'!$E$5:$E$104,$W251)))+1,0)))))))</f>
        <v/>
      </c>
      <c r="N251" s="26" t="n"/>
      <c r="O251" s="29">
        <f>IF($A251="","",IF(ISNUMBER($N251),$N251,$M251))</f>
        <v/>
      </c>
      <c r="P251" s="28">
        <f>IF($A251="","",SUMIF('入金消込'!$F$5:$F$1004,$A251,'入金消込'!$G$5:$G$1004))</f>
        <v/>
      </c>
      <c r="Q251" s="28">
        <f>IF($A251="","",SUMIF('入金消込'!$F$5:$F$1004,$A251,'入金消込'!$H$5:$H$1004)+SUMIF('入金消込'!$F$5:$F$1004,$A251,'入金消込'!$I$5:$I$1004))</f>
        <v/>
      </c>
      <c r="R251" s="28">
        <f>IF($A251="","",$L251-$P251-$Q251)</f>
        <v/>
      </c>
      <c r="S251" s="30">
        <f>IF($A251="","",IF($R251=0,IF($L251=0,"請求額0","回収済"),IF($L251&lt;0,IF($R251&lt;0,"差し引き待ち","差し引きすぎ"),IF($R251&lt;0,"入金が多い",IF($P251+$Q251=0,"未入金","一部入金")))))</f>
        <v/>
      </c>
      <c r="T251" s="31">
        <f>IF(OR($A251="",N($R251)&lt;=0,NOT(ISNUMBER($O251))),"",IF($O251&lt;'設定'!$B$7,'設定'!$B$7-$O251,""))</f>
        <v/>
      </c>
      <c r="U251" s="30">
        <f>IF(OR($A251="",N($R251)&lt;=0),"",IF(NOT(ISNUMBER($O251)),'設定'!$B$22,IF($O251&gt;='設定'!$B$7,'設定'!$B$17,IF('設定'!$B$7-$O251&lt;='設定'!$B$12,'設定'!$B$18,IF('設定'!$B$7-$O251&lt;='設定'!$B$13,'設定'!$B$19,IF('設定'!$B$7-$O251&lt;='設定'!$B$14,'設定'!$B$20,'設定'!$B$21))))))</f>
        <v/>
      </c>
      <c r="V251" s="56" t="n"/>
      <c r="W251" s="32">
        <f>IF($C251="","",IFERROR(MATCH($C251,'得意先'!$B$5:$B$104,0),"なし"))</f>
        <v/>
      </c>
      <c r="X251" s="33">
        <f>IF($A251="","",IF(ISNUMBER($E251),$E251,IF(ISNUMBER($B251),$B251,"")))</f>
        <v/>
      </c>
      <c r="Y251" s="34">
        <f>IF($T251="","",$O251+ROW()/1000000)</f>
        <v/>
      </c>
      <c r="Z251" s="35">
        <f>IF(OR($A251="",$C251="",$C251&lt;&gt;'売掛帳'!$B$3,NOT(ISNUMBER($X251))),"",IF(AND($X251&gt;='売掛帳'!$Q$3,$X251&lt;='売掛帳'!$Q$4),$X251+ROW()/10000000,""))</f>
        <v/>
      </c>
    </row>
    <row r="252" ht="18" customHeight="1">
      <c r="A252" s="18" t="n"/>
      <c r="B252" s="26" t="n"/>
      <c r="C252" s="18" t="n"/>
      <c r="D252" s="20">
        <f>IF($W252="","",IF($W252="なし","※得意先にないコード",INDEX('得意先'!$C$5:$C$104,$W252)&amp;""))</f>
        <v/>
      </c>
      <c r="E252" s="26" t="n"/>
      <c r="F252" s="19" t="n"/>
      <c r="G252" s="27" t="n"/>
      <c r="H252" s="27" t="n"/>
      <c r="I252" s="27" t="n"/>
      <c r="J252" s="28">
        <f>IF($A252="","",IF('設定'!$B$10="四捨五入",ROUND(IF('設定'!$B$9="税込",N($G252)*10/110,N($G252)*10/100),0),IF('設定'!$B$10="切り上げ",ROUNDUP(IF('設定'!$B$9="税込",N($G252)*10/110,N($G252)*10/100),0),ROUNDDOWN(IF('設定'!$B$9="税込",N($G252)*10/110,N($G252)*10/100),0))))</f>
        <v/>
      </c>
      <c r="K252" s="28">
        <f>IF($A252="","",IF('設定'!$B$10="四捨五入",ROUND(IF('設定'!$B$9="税込",N($H252)*8/108,N($H252)*8/100),0),IF('設定'!$B$10="切り上げ",ROUNDUP(IF('設定'!$B$9="税込",N($H252)*8/108,N($H252)*8/100),0),ROUNDDOWN(IF('設定'!$B$9="税込",N($H252)*8/108,N($H252)*8/100),0))))</f>
        <v/>
      </c>
      <c r="L252" s="28">
        <f>IF($A252="","",N($G252)+N($H252)+N($I252)+IF('設定'!$B$9="税込",0,$J252+$K252))</f>
        <v/>
      </c>
      <c r="M252" s="29">
        <f>IF(OR($A252="",NOT(ISNUMBER($W252)),NOT(ISNUMBER($X252))),"",IF(OR(INDEX('得意先'!$D$5:$D$104,$W252)="",INDEX('得意先'!$E$5:$E$104,$W252)="",INDEX('得意先'!$F$5:$F$104,$W252)=""),"",IF(INDEX('得意先'!$F$5:$F$104,$W252)="末",DATE(YEAR($X252),(MONTH($X252)+IF(INDEX('得意先'!$D$5:$D$104,$W252)="末",0,IF(DAY($X252)&lt;=INDEX('得意先'!$D$5:$D$104,$W252),0,1))+N(INDEX('得意先'!$E$5:$E$104,$W252)))+1,0),DATE(YEAR($X252),(MONTH($X252)+IF(INDEX('得意先'!$D$5:$D$104,$W252)="末",0,IF(DAY($X252)&lt;=INDEX('得意先'!$D$5:$D$104,$W252),0,1))+N(INDEX('得意先'!$E$5:$E$104,$W252))),MIN(INDEX('得意先'!$F$5:$F$104,$W252),DAY(DATE(YEAR($X252),(MONTH($X252)+IF(INDEX('得意先'!$D$5:$D$104,$W252)="末",0,IF(DAY($X252)&lt;=INDEX('得意先'!$D$5:$D$104,$W252),0,1))+N(INDEX('得意先'!$E$5:$E$104,$W252)))+1,0)))))))</f>
        <v/>
      </c>
      <c r="N252" s="26" t="n"/>
      <c r="O252" s="29">
        <f>IF($A252="","",IF(ISNUMBER($N252),$N252,$M252))</f>
        <v/>
      </c>
      <c r="P252" s="28">
        <f>IF($A252="","",SUMIF('入金消込'!$F$5:$F$1004,$A252,'入金消込'!$G$5:$G$1004))</f>
        <v/>
      </c>
      <c r="Q252" s="28">
        <f>IF($A252="","",SUMIF('入金消込'!$F$5:$F$1004,$A252,'入金消込'!$H$5:$H$1004)+SUMIF('入金消込'!$F$5:$F$1004,$A252,'入金消込'!$I$5:$I$1004))</f>
        <v/>
      </c>
      <c r="R252" s="28">
        <f>IF($A252="","",$L252-$P252-$Q252)</f>
        <v/>
      </c>
      <c r="S252" s="30">
        <f>IF($A252="","",IF($R252=0,IF($L252=0,"請求額0","回収済"),IF($L252&lt;0,IF($R252&lt;0,"差し引き待ち","差し引きすぎ"),IF($R252&lt;0,"入金が多い",IF($P252+$Q252=0,"未入金","一部入金")))))</f>
        <v/>
      </c>
      <c r="T252" s="31">
        <f>IF(OR($A252="",N($R252)&lt;=0,NOT(ISNUMBER($O252))),"",IF($O252&lt;'設定'!$B$7,'設定'!$B$7-$O252,""))</f>
        <v/>
      </c>
      <c r="U252" s="30">
        <f>IF(OR($A252="",N($R252)&lt;=0),"",IF(NOT(ISNUMBER($O252)),'設定'!$B$22,IF($O252&gt;='設定'!$B$7,'設定'!$B$17,IF('設定'!$B$7-$O252&lt;='設定'!$B$12,'設定'!$B$18,IF('設定'!$B$7-$O252&lt;='設定'!$B$13,'設定'!$B$19,IF('設定'!$B$7-$O252&lt;='設定'!$B$14,'設定'!$B$20,'設定'!$B$21))))))</f>
        <v/>
      </c>
      <c r="V252" s="56" t="n"/>
      <c r="W252" s="32">
        <f>IF($C252="","",IFERROR(MATCH($C252,'得意先'!$B$5:$B$104,0),"なし"))</f>
        <v/>
      </c>
      <c r="X252" s="33">
        <f>IF($A252="","",IF(ISNUMBER($E252),$E252,IF(ISNUMBER($B252),$B252,"")))</f>
        <v/>
      </c>
      <c r="Y252" s="34">
        <f>IF($T252="","",$O252+ROW()/1000000)</f>
        <v/>
      </c>
      <c r="Z252" s="35">
        <f>IF(OR($A252="",$C252="",$C252&lt;&gt;'売掛帳'!$B$3,NOT(ISNUMBER($X252))),"",IF(AND($X252&gt;='売掛帳'!$Q$3,$X252&lt;='売掛帳'!$Q$4),$X252+ROW()/10000000,""))</f>
        <v/>
      </c>
    </row>
    <row r="253" ht="18" customHeight="1">
      <c r="A253" s="18" t="n"/>
      <c r="B253" s="26" t="n"/>
      <c r="C253" s="18" t="n"/>
      <c r="D253" s="20">
        <f>IF($W253="","",IF($W253="なし","※得意先にないコード",INDEX('得意先'!$C$5:$C$104,$W253)&amp;""))</f>
        <v/>
      </c>
      <c r="E253" s="26" t="n"/>
      <c r="F253" s="19" t="n"/>
      <c r="G253" s="27" t="n"/>
      <c r="H253" s="27" t="n"/>
      <c r="I253" s="27" t="n"/>
      <c r="J253" s="28">
        <f>IF($A253="","",IF('設定'!$B$10="四捨五入",ROUND(IF('設定'!$B$9="税込",N($G253)*10/110,N($G253)*10/100),0),IF('設定'!$B$10="切り上げ",ROUNDUP(IF('設定'!$B$9="税込",N($G253)*10/110,N($G253)*10/100),0),ROUNDDOWN(IF('設定'!$B$9="税込",N($G253)*10/110,N($G253)*10/100),0))))</f>
        <v/>
      </c>
      <c r="K253" s="28">
        <f>IF($A253="","",IF('設定'!$B$10="四捨五入",ROUND(IF('設定'!$B$9="税込",N($H253)*8/108,N($H253)*8/100),0),IF('設定'!$B$10="切り上げ",ROUNDUP(IF('設定'!$B$9="税込",N($H253)*8/108,N($H253)*8/100),0),ROUNDDOWN(IF('設定'!$B$9="税込",N($H253)*8/108,N($H253)*8/100),0))))</f>
        <v/>
      </c>
      <c r="L253" s="28">
        <f>IF($A253="","",N($G253)+N($H253)+N($I253)+IF('設定'!$B$9="税込",0,$J253+$K253))</f>
        <v/>
      </c>
      <c r="M253" s="29">
        <f>IF(OR($A253="",NOT(ISNUMBER($W253)),NOT(ISNUMBER($X253))),"",IF(OR(INDEX('得意先'!$D$5:$D$104,$W253)="",INDEX('得意先'!$E$5:$E$104,$W253)="",INDEX('得意先'!$F$5:$F$104,$W253)=""),"",IF(INDEX('得意先'!$F$5:$F$104,$W253)="末",DATE(YEAR($X253),(MONTH($X253)+IF(INDEX('得意先'!$D$5:$D$104,$W253)="末",0,IF(DAY($X253)&lt;=INDEX('得意先'!$D$5:$D$104,$W253),0,1))+N(INDEX('得意先'!$E$5:$E$104,$W253)))+1,0),DATE(YEAR($X253),(MONTH($X253)+IF(INDEX('得意先'!$D$5:$D$104,$W253)="末",0,IF(DAY($X253)&lt;=INDEX('得意先'!$D$5:$D$104,$W253),0,1))+N(INDEX('得意先'!$E$5:$E$104,$W253))),MIN(INDEX('得意先'!$F$5:$F$104,$W253),DAY(DATE(YEAR($X253),(MONTH($X253)+IF(INDEX('得意先'!$D$5:$D$104,$W253)="末",0,IF(DAY($X253)&lt;=INDEX('得意先'!$D$5:$D$104,$W253),0,1))+N(INDEX('得意先'!$E$5:$E$104,$W253)))+1,0)))))))</f>
        <v/>
      </c>
      <c r="N253" s="26" t="n"/>
      <c r="O253" s="29">
        <f>IF($A253="","",IF(ISNUMBER($N253),$N253,$M253))</f>
        <v/>
      </c>
      <c r="P253" s="28">
        <f>IF($A253="","",SUMIF('入金消込'!$F$5:$F$1004,$A253,'入金消込'!$G$5:$G$1004))</f>
        <v/>
      </c>
      <c r="Q253" s="28">
        <f>IF($A253="","",SUMIF('入金消込'!$F$5:$F$1004,$A253,'入金消込'!$H$5:$H$1004)+SUMIF('入金消込'!$F$5:$F$1004,$A253,'入金消込'!$I$5:$I$1004))</f>
        <v/>
      </c>
      <c r="R253" s="28">
        <f>IF($A253="","",$L253-$P253-$Q253)</f>
        <v/>
      </c>
      <c r="S253" s="30">
        <f>IF($A253="","",IF($R253=0,IF($L253=0,"請求額0","回収済"),IF($L253&lt;0,IF($R253&lt;0,"差し引き待ち","差し引きすぎ"),IF($R253&lt;0,"入金が多い",IF($P253+$Q253=0,"未入金","一部入金")))))</f>
        <v/>
      </c>
      <c r="T253" s="31">
        <f>IF(OR($A253="",N($R253)&lt;=0,NOT(ISNUMBER($O253))),"",IF($O253&lt;'設定'!$B$7,'設定'!$B$7-$O253,""))</f>
        <v/>
      </c>
      <c r="U253" s="30">
        <f>IF(OR($A253="",N($R253)&lt;=0),"",IF(NOT(ISNUMBER($O253)),'設定'!$B$22,IF($O253&gt;='設定'!$B$7,'設定'!$B$17,IF('設定'!$B$7-$O253&lt;='設定'!$B$12,'設定'!$B$18,IF('設定'!$B$7-$O253&lt;='設定'!$B$13,'設定'!$B$19,IF('設定'!$B$7-$O253&lt;='設定'!$B$14,'設定'!$B$20,'設定'!$B$21))))))</f>
        <v/>
      </c>
      <c r="V253" s="56" t="n"/>
      <c r="W253" s="32">
        <f>IF($C253="","",IFERROR(MATCH($C253,'得意先'!$B$5:$B$104,0),"なし"))</f>
        <v/>
      </c>
      <c r="X253" s="33">
        <f>IF($A253="","",IF(ISNUMBER($E253),$E253,IF(ISNUMBER($B253),$B253,"")))</f>
        <v/>
      </c>
      <c r="Y253" s="34">
        <f>IF($T253="","",$O253+ROW()/1000000)</f>
        <v/>
      </c>
      <c r="Z253" s="35">
        <f>IF(OR($A253="",$C253="",$C253&lt;&gt;'売掛帳'!$B$3,NOT(ISNUMBER($X253))),"",IF(AND($X253&gt;='売掛帳'!$Q$3,$X253&lt;='売掛帳'!$Q$4),$X253+ROW()/10000000,""))</f>
        <v/>
      </c>
    </row>
    <row r="254" ht="18" customHeight="1">
      <c r="A254" s="18" t="n"/>
      <c r="B254" s="26" t="n"/>
      <c r="C254" s="18" t="n"/>
      <c r="D254" s="20">
        <f>IF($W254="","",IF($W254="なし","※得意先にないコード",INDEX('得意先'!$C$5:$C$104,$W254)&amp;""))</f>
        <v/>
      </c>
      <c r="E254" s="26" t="n"/>
      <c r="F254" s="19" t="n"/>
      <c r="G254" s="27" t="n"/>
      <c r="H254" s="27" t="n"/>
      <c r="I254" s="27" t="n"/>
      <c r="J254" s="28">
        <f>IF($A254="","",IF('設定'!$B$10="四捨五入",ROUND(IF('設定'!$B$9="税込",N($G254)*10/110,N($G254)*10/100),0),IF('設定'!$B$10="切り上げ",ROUNDUP(IF('設定'!$B$9="税込",N($G254)*10/110,N($G254)*10/100),0),ROUNDDOWN(IF('設定'!$B$9="税込",N($G254)*10/110,N($G254)*10/100),0))))</f>
        <v/>
      </c>
      <c r="K254" s="28">
        <f>IF($A254="","",IF('設定'!$B$10="四捨五入",ROUND(IF('設定'!$B$9="税込",N($H254)*8/108,N($H254)*8/100),0),IF('設定'!$B$10="切り上げ",ROUNDUP(IF('設定'!$B$9="税込",N($H254)*8/108,N($H254)*8/100),0),ROUNDDOWN(IF('設定'!$B$9="税込",N($H254)*8/108,N($H254)*8/100),0))))</f>
        <v/>
      </c>
      <c r="L254" s="28">
        <f>IF($A254="","",N($G254)+N($H254)+N($I254)+IF('設定'!$B$9="税込",0,$J254+$K254))</f>
        <v/>
      </c>
      <c r="M254" s="29">
        <f>IF(OR($A254="",NOT(ISNUMBER($W254)),NOT(ISNUMBER($X254))),"",IF(OR(INDEX('得意先'!$D$5:$D$104,$W254)="",INDEX('得意先'!$E$5:$E$104,$W254)="",INDEX('得意先'!$F$5:$F$104,$W254)=""),"",IF(INDEX('得意先'!$F$5:$F$104,$W254)="末",DATE(YEAR($X254),(MONTH($X254)+IF(INDEX('得意先'!$D$5:$D$104,$W254)="末",0,IF(DAY($X254)&lt;=INDEX('得意先'!$D$5:$D$104,$W254),0,1))+N(INDEX('得意先'!$E$5:$E$104,$W254)))+1,0),DATE(YEAR($X254),(MONTH($X254)+IF(INDEX('得意先'!$D$5:$D$104,$W254)="末",0,IF(DAY($X254)&lt;=INDEX('得意先'!$D$5:$D$104,$W254),0,1))+N(INDEX('得意先'!$E$5:$E$104,$W254))),MIN(INDEX('得意先'!$F$5:$F$104,$W254),DAY(DATE(YEAR($X254),(MONTH($X254)+IF(INDEX('得意先'!$D$5:$D$104,$W254)="末",0,IF(DAY($X254)&lt;=INDEX('得意先'!$D$5:$D$104,$W254),0,1))+N(INDEX('得意先'!$E$5:$E$104,$W254)))+1,0)))))))</f>
        <v/>
      </c>
      <c r="N254" s="26" t="n"/>
      <c r="O254" s="29">
        <f>IF($A254="","",IF(ISNUMBER($N254),$N254,$M254))</f>
        <v/>
      </c>
      <c r="P254" s="28">
        <f>IF($A254="","",SUMIF('入金消込'!$F$5:$F$1004,$A254,'入金消込'!$G$5:$G$1004))</f>
        <v/>
      </c>
      <c r="Q254" s="28">
        <f>IF($A254="","",SUMIF('入金消込'!$F$5:$F$1004,$A254,'入金消込'!$H$5:$H$1004)+SUMIF('入金消込'!$F$5:$F$1004,$A254,'入金消込'!$I$5:$I$1004))</f>
        <v/>
      </c>
      <c r="R254" s="28">
        <f>IF($A254="","",$L254-$P254-$Q254)</f>
        <v/>
      </c>
      <c r="S254" s="30">
        <f>IF($A254="","",IF($R254=0,IF($L254=0,"請求額0","回収済"),IF($L254&lt;0,IF($R254&lt;0,"差し引き待ち","差し引きすぎ"),IF($R254&lt;0,"入金が多い",IF($P254+$Q254=0,"未入金","一部入金")))))</f>
        <v/>
      </c>
      <c r="T254" s="31">
        <f>IF(OR($A254="",N($R254)&lt;=0,NOT(ISNUMBER($O254))),"",IF($O254&lt;'設定'!$B$7,'設定'!$B$7-$O254,""))</f>
        <v/>
      </c>
      <c r="U254" s="30">
        <f>IF(OR($A254="",N($R254)&lt;=0),"",IF(NOT(ISNUMBER($O254)),'設定'!$B$22,IF($O254&gt;='設定'!$B$7,'設定'!$B$17,IF('設定'!$B$7-$O254&lt;='設定'!$B$12,'設定'!$B$18,IF('設定'!$B$7-$O254&lt;='設定'!$B$13,'設定'!$B$19,IF('設定'!$B$7-$O254&lt;='設定'!$B$14,'設定'!$B$20,'設定'!$B$21))))))</f>
        <v/>
      </c>
      <c r="V254" s="56" t="n"/>
      <c r="W254" s="32">
        <f>IF($C254="","",IFERROR(MATCH($C254,'得意先'!$B$5:$B$104,0),"なし"))</f>
        <v/>
      </c>
      <c r="X254" s="33">
        <f>IF($A254="","",IF(ISNUMBER($E254),$E254,IF(ISNUMBER($B254),$B254,"")))</f>
        <v/>
      </c>
      <c r="Y254" s="34">
        <f>IF($T254="","",$O254+ROW()/1000000)</f>
        <v/>
      </c>
      <c r="Z254" s="35">
        <f>IF(OR($A254="",$C254="",$C254&lt;&gt;'売掛帳'!$B$3,NOT(ISNUMBER($X254))),"",IF(AND($X254&gt;='売掛帳'!$Q$3,$X254&lt;='売掛帳'!$Q$4),$X254+ROW()/10000000,""))</f>
        <v/>
      </c>
    </row>
    <row r="255" ht="18" customHeight="1">
      <c r="A255" s="18" t="n"/>
      <c r="B255" s="26" t="n"/>
      <c r="C255" s="18" t="n"/>
      <c r="D255" s="20">
        <f>IF($W255="","",IF($W255="なし","※得意先にないコード",INDEX('得意先'!$C$5:$C$104,$W255)&amp;""))</f>
        <v/>
      </c>
      <c r="E255" s="26" t="n"/>
      <c r="F255" s="19" t="n"/>
      <c r="G255" s="27" t="n"/>
      <c r="H255" s="27" t="n"/>
      <c r="I255" s="27" t="n"/>
      <c r="J255" s="28">
        <f>IF($A255="","",IF('設定'!$B$10="四捨五入",ROUND(IF('設定'!$B$9="税込",N($G255)*10/110,N($G255)*10/100),0),IF('設定'!$B$10="切り上げ",ROUNDUP(IF('設定'!$B$9="税込",N($G255)*10/110,N($G255)*10/100),0),ROUNDDOWN(IF('設定'!$B$9="税込",N($G255)*10/110,N($G255)*10/100),0))))</f>
        <v/>
      </c>
      <c r="K255" s="28">
        <f>IF($A255="","",IF('設定'!$B$10="四捨五入",ROUND(IF('設定'!$B$9="税込",N($H255)*8/108,N($H255)*8/100),0),IF('設定'!$B$10="切り上げ",ROUNDUP(IF('設定'!$B$9="税込",N($H255)*8/108,N($H255)*8/100),0),ROUNDDOWN(IF('設定'!$B$9="税込",N($H255)*8/108,N($H255)*8/100),0))))</f>
        <v/>
      </c>
      <c r="L255" s="28">
        <f>IF($A255="","",N($G255)+N($H255)+N($I255)+IF('設定'!$B$9="税込",0,$J255+$K255))</f>
        <v/>
      </c>
      <c r="M255" s="29">
        <f>IF(OR($A255="",NOT(ISNUMBER($W255)),NOT(ISNUMBER($X255))),"",IF(OR(INDEX('得意先'!$D$5:$D$104,$W255)="",INDEX('得意先'!$E$5:$E$104,$W255)="",INDEX('得意先'!$F$5:$F$104,$W255)=""),"",IF(INDEX('得意先'!$F$5:$F$104,$W255)="末",DATE(YEAR($X255),(MONTH($X255)+IF(INDEX('得意先'!$D$5:$D$104,$W255)="末",0,IF(DAY($X255)&lt;=INDEX('得意先'!$D$5:$D$104,$W255),0,1))+N(INDEX('得意先'!$E$5:$E$104,$W255)))+1,0),DATE(YEAR($X255),(MONTH($X255)+IF(INDEX('得意先'!$D$5:$D$104,$W255)="末",0,IF(DAY($X255)&lt;=INDEX('得意先'!$D$5:$D$104,$W255),0,1))+N(INDEX('得意先'!$E$5:$E$104,$W255))),MIN(INDEX('得意先'!$F$5:$F$104,$W255),DAY(DATE(YEAR($X255),(MONTH($X255)+IF(INDEX('得意先'!$D$5:$D$104,$W255)="末",0,IF(DAY($X255)&lt;=INDEX('得意先'!$D$5:$D$104,$W255),0,1))+N(INDEX('得意先'!$E$5:$E$104,$W255)))+1,0)))))))</f>
        <v/>
      </c>
      <c r="N255" s="26" t="n"/>
      <c r="O255" s="29">
        <f>IF($A255="","",IF(ISNUMBER($N255),$N255,$M255))</f>
        <v/>
      </c>
      <c r="P255" s="28">
        <f>IF($A255="","",SUMIF('入金消込'!$F$5:$F$1004,$A255,'入金消込'!$G$5:$G$1004))</f>
        <v/>
      </c>
      <c r="Q255" s="28">
        <f>IF($A255="","",SUMIF('入金消込'!$F$5:$F$1004,$A255,'入金消込'!$H$5:$H$1004)+SUMIF('入金消込'!$F$5:$F$1004,$A255,'入金消込'!$I$5:$I$1004))</f>
        <v/>
      </c>
      <c r="R255" s="28">
        <f>IF($A255="","",$L255-$P255-$Q255)</f>
        <v/>
      </c>
      <c r="S255" s="30">
        <f>IF($A255="","",IF($R255=0,IF($L255=0,"請求額0","回収済"),IF($L255&lt;0,IF($R255&lt;0,"差し引き待ち","差し引きすぎ"),IF($R255&lt;0,"入金が多い",IF($P255+$Q255=0,"未入金","一部入金")))))</f>
        <v/>
      </c>
      <c r="T255" s="31">
        <f>IF(OR($A255="",N($R255)&lt;=0,NOT(ISNUMBER($O255))),"",IF($O255&lt;'設定'!$B$7,'設定'!$B$7-$O255,""))</f>
        <v/>
      </c>
      <c r="U255" s="30">
        <f>IF(OR($A255="",N($R255)&lt;=0),"",IF(NOT(ISNUMBER($O255)),'設定'!$B$22,IF($O255&gt;='設定'!$B$7,'設定'!$B$17,IF('設定'!$B$7-$O255&lt;='設定'!$B$12,'設定'!$B$18,IF('設定'!$B$7-$O255&lt;='設定'!$B$13,'設定'!$B$19,IF('設定'!$B$7-$O255&lt;='設定'!$B$14,'設定'!$B$20,'設定'!$B$21))))))</f>
        <v/>
      </c>
      <c r="V255" s="56" t="n"/>
      <c r="W255" s="32">
        <f>IF($C255="","",IFERROR(MATCH($C255,'得意先'!$B$5:$B$104,0),"なし"))</f>
        <v/>
      </c>
      <c r="X255" s="33">
        <f>IF($A255="","",IF(ISNUMBER($E255),$E255,IF(ISNUMBER($B255),$B255,"")))</f>
        <v/>
      </c>
      <c r="Y255" s="34">
        <f>IF($T255="","",$O255+ROW()/1000000)</f>
        <v/>
      </c>
      <c r="Z255" s="35">
        <f>IF(OR($A255="",$C255="",$C255&lt;&gt;'売掛帳'!$B$3,NOT(ISNUMBER($X255))),"",IF(AND($X255&gt;='売掛帳'!$Q$3,$X255&lt;='売掛帳'!$Q$4),$X255+ROW()/10000000,""))</f>
        <v/>
      </c>
    </row>
    <row r="256" ht="18" customHeight="1">
      <c r="A256" s="18" t="n"/>
      <c r="B256" s="26" t="n"/>
      <c r="C256" s="18" t="n"/>
      <c r="D256" s="20">
        <f>IF($W256="","",IF($W256="なし","※得意先にないコード",INDEX('得意先'!$C$5:$C$104,$W256)&amp;""))</f>
        <v/>
      </c>
      <c r="E256" s="26" t="n"/>
      <c r="F256" s="19" t="n"/>
      <c r="G256" s="27" t="n"/>
      <c r="H256" s="27" t="n"/>
      <c r="I256" s="27" t="n"/>
      <c r="J256" s="28">
        <f>IF($A256="","",IF('設定'!$B$10="四捨五入",ROUND(IF('設定'!$B$9="税込",N($G256)*10/110,N($G256)*10/100),0),IF('設定'!$B$10="切り上げ",ROUNDUP(IF('設定'!$B$9="税込",N($G256)*10/110,N($G256)*10/100),0),ROUNDDOWN(IF('設定'!$B$9="税込",N($G256)*10/110,N($G256)*10/100),0))))</f>
        <v/>
      </c>
      <c r="K256" s="28">
        <f>IF($A256="","",IF('設定'!$B$10="四捨五入",ROUND(IF('設定'!$B$9="税込",N($H256)*8/108,N($H256)*8/100),0),IF('設定'!$B$10="切り上げ",ROUNDUP(IF('設定'!$B$9="税込",N($H256)*8/108,N($H256)*8/100),0),ROUNDDOWN(IF('設定'!$B$9="税込",N($H256)*8/108,N($H256)*8/100),0))))</f>
        <v/>
      </c>
      <c r="L256" s="28">
        <f>IF($A256="","",N($G256)+N($H256)+N($I256)+IF('設定'!$B$9="税込",0,$J256+$K256))</f>
        <v/>
      </c>
      <c r="M256" s="29">
        <f>IF(OR($A256="",NOT(ISNUMBER($W256)),NOT(ISNUMBER($X256))),"",IF(OR(INDEX('得意先'!$D$5:$D$104,$W256)="",INDEX('得意先'!$E$5:$E$104,$W256)="",INDEX('得意先'!$F$5:$F$104,$W256)=""),"",IF(INDEX('得意先'!$F$5:$F$104,$W256)="末",DATE(YEAR($X256),(MONTH($X256)+IF(INDEX('得意先'!$D$5:$D$104,$W256)="末",0,IF(DAY($X256)&lt;=INDEX('得意先'!$D$5:$D$104,$W256),0,1))+N(INDEX('得意先'!$E$5:$E$104,$W256)))+1,0),DATE(YEAR($X256),(MONTH($X256)+IF(INDEX('得意先'!$D$5:$D$104,$W256)="末",0,IF(DAY($X256)&lt;=INDEX('得意先'!$D$5:$D$104,$W256),0,1))+N(INDEX('得意先'!$E$5:$E$104,$W256))),MIN(INDEX('得意先'!$F$5:$F$104,$W256),DAY(DATE(YEAR($X256),(MONTH($X256)+IF(INDEX('得意先'!$D$5:$D$104,$W256)="末",0,IF(DAY($X256)&lt;=INDEX('得意先'!$D$5:$D$104,$W256),0,1))+N(INDEX('得意先'!$E$5:$E$104,$W256)))+1,0)))))))</f>
        <v/>
      </c>
      <c r="N256" s="26" t="n"/>
      <c r="O256" s="29">
        <f>IF($A256="","",IF(ISNUMBER($N256),$N256,$M256))</f>
        <v/>
      </c>
      <c r="P256" s="28">
        <f>IF($A256="","",SUMIF('入金消込'!$F$5:$F$1004,$A256,'入金消込'!$G$5:$G$1004))</f>
        <v/>
      </c>
      <c r="Q256" s="28">
        <f>IF($A256="","",SUMIF('入金消込'!$F$5:$F$1004,$A256,'入金消込'!$H$5:$H$1004)+SUMIF('入金消込'!$F$5:$F$1004,$A256,'入金消込'!$I$5:$I$1004))</f>
        <v/>
      </c>
      <c r="R256" s="28">
        <f>IF($A256="","",$L256-$P256-$Q256)</f>
        <v/>
      </c>
      <c r="S256" s="30">
        <f>IF($A256="","",IF($R256=0,IF($L256=0,"請求額0","回収済"),IF($L256&lt;0,IF($R256&lt;0,"差し引き待ち","差し引きすぎ"),IF($R256&lt;0,"入金が多い",IF($P256+$Q256=0,"未入金","一部入金")))))</f>
        <v/>
      </c>
      <c r="T256" s="31">
        <f>IF(OR($A256="",N($R256)&lt;=0,NOT(ISNUMBER($O256))),"",IF($O256&lt;'設定'!$B$7,'設定'!$B$7-$O256,""))</f>
        <v/>
      </c>
      <c r="U256" s="30">
        <f>IF(OR($A256="",N($R256)&lt;=0),"",IF(NOT(ISNUMBER($O256)),'設定'!$B$22,IF($O256&gt;='設定'!$B$7,'設定'!$B$17,IF('設定'!$B$7-$O256&lt;='設定'!$B$12,'設定'!$B$18,IF('設定'!$B$7-$O256&lt;='設定'!$B$13,'設定'!$B$19,IF('設定'!$B$7-$O256&lt;='設定'!$B$14,'設定'!$B$20,'設定'!$B$21))))))</f>
        <v/>
      </c>
      <c r="V256" s="56" t="n"/>
      <c r="W256" s="32">
        <f>IF($C256="","",IFERROR(MATCH($C256,'得意先'!$B$5:$B$104,0),"なし"))</f>
        <v/>
      </c>
      <c r="X256" s="33">
        <f>IF($A256="","",IF(ISNUMBER($E256),$E256,IF(ISNUMBER($B256),$B256,"")))</f>
        <v/>
      </c>
      <c r="Y256" s="34">
        <f>IF($T256="","",$O256+ROW()/1000000)</f>
        <v/>
      </c>
      <c r="Z256" s="35">
        <f>IF(OR($A256="",$C256="",$C256&lt;&gt;'売掛帳'!$B$3,NOT(ISNUMBER($X256))),"",IF(AND($X256&gt;='売掛帳'!$Q$3,$X256&lt;='売掛帳'!$Q$4),$X256+ROW()/10000000,""))</f>
        <v/>
      </c>
    </row>
    <row r="257" ht="18" customHeight="1">
      <c r="A257" s="18" t="n"/>
      <c r="B257" s="26" t="n"/>
      <c r="C257" s="18" t="n"/>
      <c r="D257" s="20">
        <f>IF($W257="","",IF($W257="なし","※得意先にないコード",INDEX('得意先'!$C$5:$C$104,$W257)&amp;""))</f>
        <v/>
      </c>
      <c r="E257" s="26" t="n"/>
      <c r="F257" s="19" t="n"/>
      <c r="G257" s="27" t="n"/>
      <c r="H257" s="27" t="n"/>
      <c r="I257" s="27" t="n"/>
      <c r="J257" s="28">
        <f>IF($A257="","",IF('設定'!$B$10="四捨五入",ROUND(IF('設定'!$B$9="税込",N($G257)*10/110,N($G257)*10/100),0),IF('設定'!$B$10="切り上げ",ROUNDUP(IF('設定'!$B$9="税込",N($G257)*10/110,N($G257)*10/100),0),ROUNDDOWN(IF('設定'!$B$9="税込",N($G257)*10/110,N($G257)*10/100),0))))</f>
        <v/>
      </c>
      <c r="K257" s="28">
        <f>IF($A257="","",IF('設定'!$B$10="四捨五入",ROUND(IF('設定'!$B$9="税込",N($H257)*8/108,N($H257)*8/100),0),IF('設定'!$B$10="切り上げ",ROUNDUP(IF('設定'!$B$9="税込",N($H257)*8/108,N($H257)*8/100),0),ROUNDDOWN(IF('設定'!$B$9="税込",N($H257)*8/108,N($H257)*8/100),0))))</f>
        <v/>
      </c>
      <c r="L257" s="28">
        <f>IF($A257="","",N($G257)+N($H257)+N($I257)+IF('設定'!$B$9="税込",0,$J257+$K257))</f>
        <v/>
      </c>
      <c r="M257" s="29">
        <f>IF(OR($A257="",NOT(ISNUMBER($W257)),NOT(ISNUMBER($X257))),"",IF(OR(INDEX('得意先'!$D$5:$D$104,$W257)="",INDEX('得意先'!$E$5:$E$104,$W257)="",INDEX('得意先'!$F$5:$F$104,$W257)=""),"",IF(INDEX('得意先'!$F$5:$F$104,$W257)="末",DATE(YEAR($X257),(MONTH($X257)+IF(INDEX('得意先'!$D$5:$D$104,$W257)="末",0,IF(DAY($X257)&lt;=INDEX('得意先'!$D$5:$D$104,$W257),0,1))+N(INDEX('得意先'!$E$5:$E$104,$W257)))+1,0),DATE(YEAR($X257),(MONTH($X257)+IF(INDEX('得意先'!$D$5:$D$104,$W257)="末",0,IF(DAY($X257)&lt;=INDEX('得意先'!$D$5:$D$104,$W257),0,1))+N(INDEX('得意先'!$E$5:$E$104,$W257))),MIN(INDEX('得意先'!$F$5:$F$104,$W257),DAY(DATE(YEAR($X257),(MONTH($X257)+IF(INDEX('得意先'!$D$5:$D$104,$W257)="末",0,IF(DAY($X257)&lt;=INDEX('得意先'!$D$5:$D$104,$W257),0,1))+N(INDEX('得意先'!$E$5:$E$104,$W257)))+1,0)))))))</f>
        <v/>
      </c>
      <c r="N257" s="26" t="n"/>
      <c r="O257" s="29">
        <f>IF($A257="","",IF(ISNUMBER($N257),$N257,$M257))</f>
        <v/>
      </c>
      <c r="P257" s="28">
        <f>IF($A257="","",SUMIF('入金消込'!$F$5:$F$1004,$A257,'入金消込'!$G$5:$G$1004))</f>
        <v/>
      </c>
      <c r="Q257" s="28">
        <f>IF($A257="","",SUMIF('入金消込'!$F$5:$F$1004,$A257,'入金消込'!$H$5:$H$1004)+SUMIF('入金消込'!$F$5:$F$1004,$A257,'入金消込'!$I$5:$I$1004))</f>
        <v/>
      </c>
      <c r="R257" s="28">
        <f>IF($A257="","",$L257-$P257-$Q257)</f>
        <v/>
      </c>
      <c r="S257" s="30">
        <f>IF($A257="","",IF($R257=0,IF($L257=0,"請求額0","回収済"),IF($L257&lt;0,IF($R257&lt;0,"差し引き待ち","差し引きすぎ"),IF($R257&lt;0,"入金が多い",IF($P257+$Q257=0,"未入金","一部入金")))))</f>
        <v/>
      </c>
      <c r="T257" s="31">
        <f>IF(OR($A257="",N($R257)&lt;=0,NOT(ISNUMBER($O257))),"",IF($O257&lt;'設定'!$B$7,'設定'!$B$7-$O257,""))</f>
        <v/>
      </c>
      <c r="U257" s="30">
        <f>IF(OR($A257="",N($R257)&lt;=0),"",IF(NOT(ISNUMBER($O257)),'設定'!$B$22,IF($O257&gt;='設定'!$B$7,'設定'!$B$17,IF('設定'!$B$7-$O257&lt;='設定'!$B$12,'設定'!$B$18,IF('設定'!$B$7-$O257&lt;='設定'!$B$13,'設定'!$B$19,IF('設定'!$B$7-$O257&lt;='設定'!$B$14,'設定'!$B$20,'設定'!$B$21))))))</f>
        <v/>
      </c>
      <c r="V257" s="56" t="n"/>
      <c r="W257" s="32">
        <f>IF($C257="","",IFERROR(MATCH($C257,'得意先'!$B$5:$B$104,0),"なし"))</f>
        <v/>
      </c>
      <c r="X257" s="33">
        <f>IF($A257="","",IF(ISNUMBER($E257),$E257,IF(ISNUMBER($B257),$B257,"")))</f>
        <v/>
      </c>
      <c r="Y257" s="34">
        <f>IF($T257="","",$O257+ROW()/1000000)</f>
        <v/>
      </c>
      <c r="Z257" s="35">
        <f>IF(OR($A257="",$C257="",$C257&lt;&gt;'売掛帳'!$B$3,NOT(ISNUMBER($X257))),"",IF(AND($X257&gt;='売掛帳'!$Q$3,$X257&lt;='売掛帳'!$Q$4),$X257+ROW()/10000000,""))</f>
        <v/>
      </c>
    </row>
    <row r="258" ht="18" customHeight="1">
      <c r="A258" s="18" t="n"/>
      <c r="B258" s="26" t="n"/>
      <c r="C258" s="18" t="n"/>
      <c r="D258" s="20">
        <f>IF($W258="","",IF($W258="なし","※得意先にないコード",INDEX('得意先'!$C$5:$C$104,$W258)&amp;""))</f>
        <v/>
      </c>
      <c r="E258" s="26" t="n"/>
      <c r="F258" s="19" t="n"/>
      <c r="G258" s="27" t="n"/>
      <c r="H258" s="27" t="n"/>
      <c r="I258" s="27" t="n"/>
      <c r="J258" s="28">
        <f>IF($A258="","",IF('設定'!$B$10="四捨五入",ROUND(IF('設定'!$B$9="税込",N($G258)*10/110,N($G258)*10/100),0),IF('設定'!$B$10="切り上げ",ROUNDUP(IF('設定'!$B$9="税込",N($G258)*10/110,N($G258)*10/100),0),ROUNDDOWN(IF('設定'!$B$9="税込",N($G258)*10/110,N($G258)*10/100),0))))</f>
        <v/>
      </c>
      <c r="K258" s="28">
        <f>IF($A258="","",IF('設定'!$B$10="四捨五入",ROUND(IF('設定'!$B$9="税込",N($H258)*8/108,N($H258)*8/100),0),IF('設定'!$B$10="切り上げ",ROUNDUP(IF('設定'!$B$9="税込",N($H258)*8/108,N($H258)*8/100),0),ROUNDDOWN(IF('設定'!$B$9="税込",N($H258)*8/108,N($H258)*8/100),0))))</f>
        <v/>
      </c>
      <c r="L258" s="28">
        <f>IF($A258="","",N($G258)+N($H258)+N($I258)+IF('設定'!$B$9="税込",0,$J258+$K258))</f>
        <v/>
      </c>
      <c r="M258" s="29">
        <f>IF(OR($A258="",NOT(ISNUMBER($W258)),NOT(ISNUMBER($X258))),"",IF(OR(INDEX('得意先'!$D$5:$D$104,$W258)="",INDEX('得意先'!$E$5:$E$104,$W258)="",INDEX('得意先'!$F$5:$F$104,$W258)=""),"",IF(INDEX('得意先'!$F$5:$F$104,$W258)="末",DATE(YEAR($X258),(MONTH($X258)+IF(INDEX('得意先'!$D$5:$D$104,$W258)="末",0,IF(DAY($X258)&lt;=INDEX('得意先'!$D$5:$D$104,$W258),0,1))+N(INDEX('得意先'!$E$5:$E$104,$W258)))+1,0),DATE(YEAR($X258),(MONTH($X258)+IF(INDEX('得意先'!$D$5:$D$104,$W258)="末",0,IF(DAY($X258)&lt;=INDEX('得意先'!$D$5:$D$104,$W258),0,1))+N(INDEX('得意先'!$E$5:$E$104,$W258))),MIN(INDEX('得意先'!$F$5:$F$104,$W258),DAY(DATE(YEAR($X258),(MONTH($X258)+IF(INDEX('得意先'!$D$5:$D$104,$W258)="末",0,IF(DAY($X258)&lt;=INDEX('得意先'!$D$5:$D$104,$W258),0,1))+N(INDEX('得意先'!$E$5:$E$104,$W258)))+1,0)))))))</f>
        <v/>
      </c>
      <c r="N258" s="26" t="n"/>
      <c r="O258" s="29">
        <f>IF($A258="","",IF(ISNUMBER($N258),$N258,$M258))</f>
        <v/>
      </c>
      <c r="P258" s="28">
        <f>IF($A258="","",SUMIF('入金消込'!$F$5:$F$1004,$A258,'入金消込'!$G$5:$G$1004))</f>
        <v/>
      </c>
      <c r="Q258" s="28">
        <f>IF($A258="","",SUMIF('入金消込'!$F$5:$F$1004,$A258,'入金消込'!$H$5:$H$1004)+SUMIF('入金消込'!$F$5:$F$1004,$A258,'入金消込'!$I$5:$I$1004))</f>
        <v/>
      </c>
      <c r="R258" s="28">
        <f>IF($A258="","",$L258-$P258-$Q258)</f>
        <v/>
      </c>
      <c r="S258" s="30">
        <f>IF($A258="","",IF($R258=0,IF($L258=0,"請求額0","回収済"),IF($L258&lt;0,IF($R258&lt;0,"差し引き待ち","差し引きすぎ"),IF($R258&lt;0,"入金が多い",IF($P258+$Q258=0,"未入金","一部入金")))))</f>
        <v/>
      </c>
      <c r="T258" s="31">
        <f>IF(OR($A258="",N($R258)&lt;=0,NOT(ISNUMBER($O258))),"",IF($O258&lt;'設定'!$B$7,'設定'!$B$7-$O258,""))</f>
        <v/>
      </c>
      <c r="U258" s="30">
        <f>IF(OR($A258="",N($R258)&lt;=0),"",IF(NOT(ISNUMBER($O258)),'設定'!$B$22,IF($O258&gt;='設定'!$B$7,'設定'!$B$17,IF('設定'!$B$7-$O258&lt;='設定'!$B$12,'設定'!$B$18,IF('設定'!$B$7-$O258&lt;='設定'!$B$13,'設定'!$B$19,IF('設定'!$B$7-$O258&lt;='設定'!$B$14,'設定'!$B$20,'設定'!$B$21))))))</f>
        <v/>
      </c>
      <c r="V258" s="56" t="n"/>
      <c r="W258" s="32">
        <f>IF($C258="","",IFERROR(MATCH($C258,'得意先'!$B$5:$B$104,0),"なし"))</f>
        <v/>
      </c>
      <c r="X258" s="33">
        <f>IF($A258="","",IF(ISNUMBER($E258),$E258,IF(ISNUMBER($B258),$B258,"")))</f>
        <v/>
      </c>
      <c r="Y258" s="34">
        <f>IF($T258="","",$O258+ROW()/1000000)</f>
        <v/>
      </c>
      <c r="Z258" s="35">
        <f>IF(OR($A258="",$C258="",$C258&lt;&gt;'売掛帳'!$B$3,NOT(ISNUMBER($X258))),"",IF(AND($X258&gt;='売掛帳'!$Q$3,$X258&lt;='売掛帳'!$Q$4),$X258+ROW()/10000000,""))</f>
        <v/>
      </c>
    </row>
    <row r="259" ht="18" customHeight="1">
      <c r="A259" s="18" t="n"/>
      <c r="B259" s="26" t="n"/>
      <c r="C259" s="18" t="n"/>
      <c r="D259" s="20">
        <f>IF($W259="","",IF($W259="なし","※得意先にないコード",INDEX('得意先'!$C$5:$C$104,$W259)&amp;""))</f>
        <v/>
      </c>
      <c r="E259" s="26" t="n"/>
      <c r="F259" s="19" t="n"/>
      <c r="G259" s="27" t="n"/>
      <c r="H259" s="27" t="n"/>
      <c r="I259" s="27" t="n"/>
      <c r="J259" s="28">
        <f>IF($A259="","",IF('設定'!$B$10="四捨五入",ROUND(IF('設定'!$B$9="税込",N($G259)*10/110,N($G259)*10/100),0),IF('設定'!$B$10="切り上げ",ROUNDUP(IF('設定'!$B$9="税込",N($G259)*10/110,N($G259)*10/100),0),ROUNDDOWN(IF('設定'!$B$9="税込",N($G259)*10/110,N($G259)*10/100),0))))</f>
        <v/>
      </c>
      <c r="K259" s="28">
        <f>IF($A259="","",IF('設定'!$B$10="四捨五入",ROUND(IF('設定'!$B$9="税込",N($H259)*8/108,N($H259)*8/100),0),IF('設定'!$B$10="切り上げ",ROUNDUP(IF('設定'!$B$9="税込",N($H259)*8/108,N($H259)*8/100),0),ROUNDDOWN(IF('設定'!$B$9="税込",N($H259)*8/108,N($H259)*8/100),0))))</f>
        <v/>
      </c>
      <c r="L259" s="28">
        <f>IF($A259="","",N($G259)+N($H259)+N($I259)+IF('設定'!$B$9="税込",0,$J259+$K259))</f>
        <v/>
      </c>
      <c r="M259" s="29">
        <f>IF(OR($A259="",NOT(ISNUMBER($W259)),NOT(ISNUMBER($X259))),"",IF(OR(INDEX('得意先'!$D$5:$D$104,$W259)="",INDEX('得意先'!$E$5:$E$104,$W259)="",INDEX('得意先'!$F$5:$F$104,$W259)=""),"",IF(INDEX('得意先'!$F$5:$F$104,$W259)="末",DATE(YEAR($X259),(MONTH($X259)+IF(INDEX('得意先'!$D$5:$D$104,$W259)="末",0,IF(DAY($X259)&lt;=INDEX('得意先'!$D$5:$D$104,$W259),0,1))+N(INDEX('得意先'!$E$5:$E$104,$W259)))+1,0),DATE(YEAR($X259),(MONTH($X259)+IF(INDEX('得意先'!$D$5:$D$104,$W259)="末",0,IF(DAY($X259)&lt;=INDEX('得意先'!$D$5:$D$104,$W259),0,1))+N(INDEX('得意先'!$E$5:$E$104,$W259))),MIN(INDEX('得意先'!$F$5:$F$104,$W259),DAY(DATE(YEAR($X259),(MONTH($X259)+IF(INDEX('得意先'!$D$5:$D$104,$W259)="末",0,IF(DAY($X259)&lt;=INDEX('得意先'!$D$5:$D$104,$W259),0,1))+N(INDEX('得意先'!$E$5:$E$104,$W259)))+1,0)))))))</f>
        <v/>
      </c>
      <c r="N259" s="26" t="n"/>
      <c r="O259" s="29">
        <f>IF($A259="","",IF(ISNUMBER($N259),$N259,$M259))</f>
        <v/>
      </c>
      <c r="P259" s="28">
        <f>IF($A259="","",SUMIF('入金消込'!$F$5:$F$1004,$A259,'入金消込'!$G$5:$G$1004))</f>
        <v/>
      </c>
      <c r="Q259" s="28">
        <f>IF($A259="","",SUMIF('入金消込'!$F$5:$F$1004,$A259,'入金消込'!$H$5:$H$1004)+SUMIF('入金消込'!$F$5:$F$1004,$A259,'入金消込'!$I$5:$I$1004))</f>
        <v/>
      </c>
      <c r="R259" s="28">
        <f>IF($A259="","",$L259-$P259-$Q259)</f>
        <v/>
      </c>
      <c r="S259" s="30">
        <f>IF($A259="","",IF($R259=0,IF($L259=0,"請求額0","回収済"),IF($L259&lt;0,IF($R259&lt;0,"差し引き待ち","差し引きすぎ"),IF($R259&lt;0,"入金が多い",IF($P259+$Q259=0,"未入金","一部入金")))))</f>
        <v/>
      </c>
      <c r="T259" s="31">
        <f>IF(OR($A259="",N($R259)&lt;=0,NOT(ISNUMBER($O259))),"",IF($O259&lt;'設定'!$B$7,'設定'!$B$7-$O259,""))</f>
        <v/>
      </c>
      <c r="U259" s="30">
        <f>IF(OR($A259="",N($R259)&lt;=0),"",IF(NOT(ISNUMBER($O259)),'設定'!$B$22,IF($O259&gt;='設定'!$B$7,'設定'!$B$17,IF('設定'!$B$7-$O259&lt;='設定'!$B$12,'設定'!$B$18,IF('設定'!$B$7-$O259&lt;='設定'!$B$13,'設定'!$B$19,IF('設定'!$B$7-$O259&lt;='設定'!$B$14,'設定'!$B$20,'設定'!$B$21))))))</f>
        <v/>
      </c>
      <c r="V259" s="56" t="n"/>
      <c r="W259" s="32">
        <f>IF($C259="","",IFERROR(MATCH($C259,'得意先'!$B$5:$B$104,0),"なし"))</f>
        <v/>
      </c>
      <c r="X259" s="33">
        <f>IF($A259="","",IF(ISNUMBER($E259),$E259,IF(ISNUMBER($B259),$B259,"")))</f>
        <v/>
      </c>
      <c r="Y259" s="34">
        <f>IF($T259="","",$O259+ROW()/1000000)</f>
        <v/>
      </c>
      <c r="Z259" s="35">
        <f>IF(OR($A259="",$C259="",$C259&lt;&gt;'売掛帳'!$B$3,NOT(ISNUMBER($X259))),"",IF(AND($X259&gt;='売掛帳'!$Q$3,$X259&lt;='売掛帳'!$Q$4),$X259+ROW()/10000000,""))</f>
        <v/>
      </c>
    </row>
    <row r="260" ht="18" customHeight="1">
      <c r="A260" s="18" t="n"/>
      <c r="B260" s="26" t="n"/>
      <c r="C260" s="18" t="n"/>
      <c r="D260" s="20">
        <f>IF($W260="","",IF($W260="なし","※得意先にないコード",INDEX('得意先'!$C$5:$C$104,$W260)&amp;""))</f>
        <v/>
      </c>
      <c r="E260" s="26" t="n"/>
      <c r="F260" s="19" t="n"/>
      <c r="G260" s="27" t="n"/>
      <c r="H260" s="27" t="n"/>
      <c r="I260" s="27" t="n"/>
      <c r="J260" s="28">
        <f>IF($A260="","",IF('設定'!$B$10="四捨五入",ROUND(IF('設定'!$B$9="税込",N($G260)*10/110,N($G260)*10/100),0),IF('設定'!$B$10="切り上げ",ROUNDUP(IF('設定'!$B$9="税込",N($G260)*10/110,N($G260)*10/100),0),ROUNDDOWN(IF('設定'!$B$9="税込",N($G260)*10/110,N($G260)*10/100),0))))</f>
        <v/>
      </c>
      <c r="K260" s="28">
        <f>IF($A260="","",IF('設定'!$B$10="四捨五入",ROUND(IF('設定'!$B$9="税込",N($H260)*8/108,N($H260)*8/100),0),IF('設定'!$B$10="切り上げ",ROUNDUP(IF('設定'!$B$9="税込",N($H260)*8/108,N($H260)*8/100),0),ROUNDDOWN(IF('設定'!$B$9="税込",N($H260)*8/108,N($H260)*8/100),0))))</f>
        <v/>
      </c>
      <c r="L260" s="28">
        <f>IF($A260="","",N($G260)+N($H260)+N($I260)+IF('設定'!$B$9="税込",0,$J260+$K260))</f>
        <v/>
      </c>
      <c r="M260" s="29">
        <f>IF(OR($A260="",NOT(ISNUMBER($W260)),NOT(ISNUMBER($X260))),"",IF(OR(INDEX('得意先'!$D$5:$D$104,$W260)="",INDEX('得意先'!$E$5:$E$104,$W260)="",INDEX('得意先'!$F$5:$F$104,$W260)=""),"",IF(INDEX('得意先'!$F$5:$F$104,$W260)="末",DATE(YEAR($X260),(MONTH($X260)+IF(INDEX('得意先'!$D$5:$D$104,$W260)="末",0,IF(DAY($X260)&lt;=INDEX('得意先'!$D$5:$D$104,$W260),0,1))+N(INDEX('得意先'!$E$5:$E$104,$W260)))+1,0),DATE(YEAR($X260),(MONTH($X260)+IF(INDEX('得意先'!$D$5:$D$104,$W260)="末",0,IF(DAY($X260)&lt;=INDEX('得意先'!$D$5:$D$104,$W260),0,1))+N(INDEX('得意先'!$E$5:$E$104,$W260))),MIN(INDEX('得意先'!$F$5:$F$104,$W260),DAY(DATE(YEAR($X260),(MONTH($X260)+IF(INDEX('得意先'!$D$5:$D$104,$W260)="末",0,IF(DAY($X260)&lt;=INDEX('得意先'!$D$5:$D$104,$W260),0,1))+N(INDEX('得意先'!$E$5:$E$104,$W260)))+1,0)))))))</f>
        <v/>
      </c>
      <c r="N260" s="26" t="n"/>
      <c r="O260" s="29">
        <f>IF($A260="","",IF(ISNUMBER($N260),$N260,$M260))</f>
        <v/>
      </c>
      <c r="P260" s="28">
        <f>IF($A260="","",SUMIF('入金消込'!$F$5:$F$1004,$A260,'入金消込'!$G$5:$G$1004))</f>
        <v/>
      </c>
      <c r="Q260" s="28">
        <f>IF($A260="","",SUMIF('入金消込'!$F$5:$F$1004,$A260,'入金消込'!$H$5:$H$1004)+SUMIF('入金消込'!$F$5:$F$1004,$A260,'入金消込'!$I$5:$I$1004))</f>
        <v/>
      </c>
      <c r="R260" s="28">
        <f>IF($A260="","",$L260-$P260-$Q260)</f>
        <v/>
      </c>
      <c r="S260" s="30">
        <f>IF($A260="","",IF($R260=0,IF($L260=0,"請求額0","回収済"),IF($L260&lt;0,IF($R260&lt;0,"差し引き待ち","差し引きすぎ"),IF($R260&lt;0,"入金が多い",IF($P260+$Q260=0,"未入金","一部入金")))))</f>
        <v/>
      </c>
      <c r="T260" s="31">
        <f>IF(OR($A260="",N($R260)&lt;=0,NOT(ISNUMBER($O260))),"",IF($O260&lt;'設定'!$B$7,'設定'!$B$7-$O260,""))</f>
        <v/>
      </c>
      <c r="U260" s="30">
        <f>IF(OR($A260="",N($R260)&lt;=0),"",IF(NOT(ISNUMBER($O260)),'設定'!$B$22,IF($O260&gt;='設定'!$B$7,'設定'!$B$17,IF('設定'!$B$7-$O260&lt;='設定'!$B$12,'設定'!$B$18,IF('設定'!$B$7-$O260&lt;='設定'!$B$13,'設定'!$B$19,IF('設定'!$B$7-$O260&lt;='設定'!$B$14,'設定'!$B$20,'設定'!$B$21))))))</f>
        <v/>
      </c>
      <c r="V260" s="56" t="n"/>
      <c r="W260" s="32">
        <f>IF($C260="","",IFERROR(MATCH($C260,'得意先'!$B$5:$B$104,0),"なし"))</f>
        <v/>
      </c>
      <c r="X260" s="33">
        <f>IF($A260="","",IF(ISNUMBER($E260),$E260,IF(ISNUMBER($B260),$B260,"")))</f>
        <v/>
      </c>
      <c r="Y260" s="34">
        <f>IF($T260="","",$O260+ROW()/1000000)</f>
        <v/>
      </c>
      <c r="Z260" s="35">
        <f>IF(OR($A260="",$C260="",$C260&lt;&gt;'売掛帳'!$B$3,NOT(ISNUMBER($X260))),"",IF(AND($X260&gt;='売掛帳'!$Q$3,$X260&lt;='売掛帳'!$Q$4),$X260+ROW()/10000000,""))</f>
        <v/>
      </c>
    </row>
    <row r="261" ht="18" customHeight="1">
      <c r="A261" s="18" t="n"/>
      <c r="B261" s="26" t="n"/>
      <c r="C261" s="18" t="n"/>
      <c r="D261" s="20">
        <f>IF($W261="","",IF($W261="なし","※得意先にないコード",INDEX('得意先'!$C$5:$C$104,$W261)&amp;""))</f>
        <v/>
      </c>
      <c r="E261" s="26" t="n"/>
      <c r="F261" s="19" t="n"/>
      <c r="G261" s="27" t="n"/>
      <c r="H261" s="27" t="n"/>
      <c r="I261" s="27" t="n"/>
      <c r="J261" s="28">
        <f>IF($A261="","",IF('設定'!$B$10="四捨五入",ROUND(IF('設定'!$B$9="税込",N($G261)*10/110,N($G261)*10/100),0),IF('設定'!$B$10="切り上げ",ROUNDUP(IF('設定'!$B$9="税込",N($G261)*10/110,N($G261)*10/100),0),ROUNDDOWN(IF('設定'!$B$9="税込",N($G261)*10/110,N($G261)*10/100),0))))</f>
        <v/>
      </c>
      <c r="K261" s="28">
        <f>IF($A261="","",IF('設定'!$B$10="四捨五入",ROUND(IF('設定'!$B$9="税込",N($H261)*8/108,N($H261)*8/100),0),IF('設定'!$B$10="切り上げ",ROUNDUP(IF('設定'!$B$9="税込",N($H261)*8/108,N($H261)*8/100),0),ROUNDDOWN(IF('設定'!$B$9="税込",N($H261)*8/108,N($H261)*8/100),0))))</f>
        <v/>
      </c>
      <c r="L261" s="28">
        <f>IF($A261="","",N($G261)+N($H261)+N($I261)+IF('設定'!$B$9="税込",0,$J261+$K261))</f>
        <v/>
      </c>
      <c r="M261" s="29">
        <f>IF(OR($A261="",NOT(ISNUMBER($W261)),NOT(ISNUMBER($X261))),"",IF(OR(INDEX('得意先'!$D$5:$D$104,$W261)="",INDEX('得意先'!$E$5:$E$104,$W261)="",INDEX('得意先'!$F$5:$F$104,$W261)=""),"",IF(INDEX('得意先'!$F$5:$F$104,$W261)="末",DATE(YEAR($X261),(MONTH($X261)+IF(INDEX('得意先'!$D$5:$D$104,$W261)="末",0,IF(DAY($X261)&lt;=INDEX('得意先'!$D$5:$D$104,$W261),0,1))+N(INDEX('得意先'!$E$5:$E$104,$W261)))+1,0),DATE(YEAR($X261),(MONTH($X261)+IF(INDEX('得意先'!$D$5:$D$104,$W261)="末",0,IF(DAY($X261)&lt;=INDEX('得意先'!$D$5:$D$104,$W261),0,1))+N(INDEX('得意先'!$E$5:$E$104,$W261))),MIN(INDEX('得意先'!$F$5:$F$104,$W261),DAY(DATE(YEAR($X261),(MONTH($X261)+IF(INDEX('得意先'!$D$5:$D$104,$W261)="末",0,IF(DAY($X261)&lt;=INDEX('得意先'!$D$5:$D$104,$W261),0,1))+N(INDEX('得意先'!$E$5:$E$104,$W261)))+1,0)))))))</f>
        <v/>
      </c>
      <c r="N261" s="26" t="n"/>
      <c r="O261" s="29">
        <f>IF($A261="","",IF(ISNUMBER($N261),$N261,$M261))</f>
        <v/>
      </c>
      <c r="P261" s="28">
        <f>IF($A261="","",SUMIF('入金消込'!$F$5:$F$1004,$A261,'入金消込'!$G$5:$G$1004))</f>
        <v/>
      </c>
      <c r="Q261" s="28">
        <f>IF($A261="","",SUMIF('入金消込'!$F$5:$F$1004,$A261,'入金消込'!$H$5:$H$1004)+SUMIF('入金消込'!$F$5:$F$1004,$A261,'入金消込'!$I$5:$I$1004))</f>
        <v/>
      </c>
      <c r="R261" s="28">
        <f>IF($A261="","",$L261-$P261-$Q261)</f>
        <v/>
      </c>
      <c r="S261" s="30">
        <f>IF($A261="","",IF($R261=0,IF($L261=0,"請求額0","回収済"),IF($L261&lt;0,IF($R261&lt;0,"差し引き待ち","差し引きすぎ"),IF($R261&lt;0,"入金が多い",IF($P261+$Q261=0,"未入金","一部入金")))))</f>
        <v/>
      </c>
      <c r="T261" s="31">
        <f>IF(OR($A261="",N($R261)&lt;=0,NOT(ISNUMBER($O261))),"",IF($O261&lt;'設定'!$B$7,'設定'!$B$7-$O261,""))</f>
        <v/>
      </c>
      <c r="U261" s="30">
        <f>IF(OR($A261="",N($R261)&lt;=0),"",IF(NOT(ISNUMBER($O261)),'設定'!$B$22,IF($O261&gt;='設定'!$B$7,'設定'!$B$17,IF('設定'!$B$7-$O261&lt;='設定'!$B$12,'設定'!$B$18,IF('設定'!$B$7-$O261&lt;='設定'!$B$13,'設定'!$B$19,IF('設定'!$B$7-$O261&lt;='設定'!$B$14,'設定'!$B$20,'設定'!$B$21))))))</f>
        <v/>
      </c>
      <c r="V261" s="56" t="n"/>
      <c r="W261" s="32">
        <f>IF($C261="","",IFERROR(MATCH($C261,'得意先'!$B$5:$B$104,0),"なし"))</f>
        <v/>
      </c>
      <c r="X261" s="33">
        <f>IF($A261="","",IF(ISNUMBER($E261),$E261,IF(ISNUMBER($B261),$B261,"")))</f>
        <v/>
      </c>
      <c r="Y261" s="34">
        <f>IF($T261="","",$O261+ROW()/1000000)</f>
        <v/>
      </c>
      <c r="Z261" s="35">
        <f>IF(OR($A261="",$C261="",$C261&lt;&gt;'売掛帳'!$B$3,NOT(ISNUMBER($X261))),"",IF(AND($X261&gt;='売掛帳'!$Q$3,$X261&lt;='売掛帳'!$Q$4),$X261+ROW()/10000000,""))</f>
        <v/>
      </c>
    </row>
    <row r="262" ht="18" customHeight="1">
      <c r="A262" s="18" t="n"/>
      <c r="B262" s="26" t="n"/>
      <c r="C262" s="18" t="n"/>
      <c r="D262" s="20">
        <f>IF($W262="","",IF($W262="なし","※得意先にないコード",INDEX('得意先'!$C$5:$C$104,$W262)&amp;""))</f>
        <v/>
      </c>
      <c r="E262" s="26" t="n"/>
      <c r="F262" s="19" t="n"/>
      <c r="G262" s="27" t="n"/>
      <c r="H262" s="27" t="n"/>
      <c r="I262" s="27" t="n"/>
      <c r="J262" s="28">
        <f>IF($A262="","",IF('設定'!$B$10="四捨五入",ROUND(IF('設定'!$B$9="税込",N($G262)*10/110,N($G262)*10/100),0),IF('設定'!$B$10="切り上げ",ROUNDUP(IF('設定'!$B$9="税込",N($G262)*10/110,N($G262)*10/100),0),ROUNDDOWN(IF('設定'!$B$9="税込",N($G262)*10/110,N($G262)*10/100),0))))</f>
        <v/>
      </c>
      <c r="K262" s="28">
        <f>IF($A262="","",IF('設定'!$B$10="四捨五入",ROUND(IF('設定'!$B$9="税込",N($H262)*8/108,N($H262)*8/100),0),IF('設定'!$B$10="切り上げ",ROUNDUP(IF('設定'!$B$9="税込",N($H262)*8/108,N($H262)*8/100),0),ROUNDDOWN(IF('設定'!$B$9="税込",N($H262)*8/108,N($H262)*8/100),0))))</f>
        <v/>
      </c>
      <c r="L262" s="28">
        <f>IF($A262="","",N($G262)+N($H262)+N($I262)+IF('設定'!$B$9="税込",0,$J262+$K262))</f>
        <v/>
      </c>
      <c r="M262" s="29">
        <f>IF(OR($A262="",NOT(ISNUMBER($W262)),NOT(ISNUMBER($X262))),"",IF(OR(INDEX('得意先'!$D$5:$D$104,$W262)="",INDEX('得意先'!$E$5:$E$104,$W262)="",INDEX('得意先'!$F$5:$F$104,$W262)=""),"",IF(INDEX('得意先'!$F$5:$F$104,$W262)="末",DATE(YEAR($X262),(MONTH($X262)+IF(INDEX('得意先'!$D$5:$D$104,$W262)="末",0,IF(DAY($X262)&lt;=INDEX('得意先'!$D$5:$D$104,$W262),0,1))+N(INDEX('得意先'!$E$5:$E$104,$W262)))+1,0),DATE(YEAR($X262),(MONTH($X262)+IF(INDEX('得意先'!$D$5:$D$104,$W262)="末",0,IF(DAY($X262)&lt;=INDEX('得意先'!$D$5:$D$104,$W262),0,1))+N(INDEX('得意先'!$E$5:$E$104,$W262))),MIN(INDEX('得意先'!$F$5:$F$104,$W262),DAY(DATE(YEAR($X262),(MONTH($X262)+IF(INDEX('得意先'!$D$5:$D$104,$W262)="末",0,IF(DAY($X262)&lt;=INDEX('得意先'!$D$5:$D$104,$W262),0,1))+N(INDEX('得意先'!$E$5:$E$104,$W262)))+1,0)))))))</f>
        <v/>
      </c>
      <c r="N262" s="26" t="n"/>
      <c r="O262" s="29">
        <f>IF($A262="","",IF(ISNUMBER($N262),$N262,$M262))</f>
        <v/>
      </c>
      <c r="P262" s="28">
        <f>IF($A262="","",SUMIF('入金消込'!$F$5:$F$1004,$A262,'入金消込'!$G$5:$G$1004))</f>
        <v/>
      </c>
      <c r="Q262" s="28">
        <f>IF($A262="","",SUMIF('入金消込'!$F$5:$F$1004,$A262,'入金消込'!$H$5:$H$1004)+SUMIF('入金消込'!$F$5:$F$1004,$A262,'入金消込'!$I$5:$I$1004))</f>
        <v/>
      </c>
      <c r="R262" s="28">
        <f>IF($A262="","",$L262-$P262-$Q262)</f>
        <v/>
      </c>
      <c r="S262" s="30">
        <f>IF($A262="","",IF($R262=0,IF($L262=0,"請求額0","回収済"),IF($L262&lt;0,IF($R262&lt;0,"差し引き待ち","差し引きすぎ"),IF($R262&lt;0,"入金が多い",IF($P262+$Q262=0,"未入金","一部入金")))))</f>
        <v/>
      </c>
      <c r="T262" s="31">
        <f>IF(OR($A262="",N($R262)&lt;=0,NOT(ISNUMBER($O262))),"",IF($O262&lt;'設定'!$B$7,'設定'!$B$7-$O262,""))</f>
        <v/>
      </c>
      <c r="U262" s="30">
        <f>IF(OR($A262="",N($R262)&lt;=0),"",IF(NOT(ISNUMBER($O262)),'設定'!$B$22,IF($O262&gt;='設定'!$B$7,'設定'!$B$17,IF('設定'!$B$7-$O262&lt;='設定'!$B$12,'設定'!$B$18,IF('設定'!$B$7-$O262&lt;='設定'!$B$13,'設定'!$B$19,IF('設定'!$B$7-$O262&lt;='設定'!$B$14,'設定'!$B$20,'設定'!$B$21))))))</f>
        <v/>
      </c>
      <c r="V262" s="56" t="n"/>
      <c r="W262" s="32">
        <f>IF($C262="","",IFERROR(MATCH($C262,'得意先'!$B$5:$B$104,0),"なし"))</f>
        <v/>
      </c>
      <c r="X262" s="33">
        <f>IF($A262="","",IF(ISNUMBER($E262),$E262,IF(ISNUMBER($B262),$B262,"")))</f>
        <v/>
      </c>
      <c r="Y262" s="34">
        <f>IF($T262="","",$O262+ROW()/1000000)</f>
        <v/>
      </c>
      <c r="Z262" s="35">
        <f>IF(OR($A262="",$C262="",$C262&lt;&gt;'売掛帳'!$B$3,NOT(ISNUMBER($X262))),"",IF(AND($X262&gt;='売掛帳'!$Q$3,$X262&lt;='売掛帳'!$Q$4),$X262+ROW()/10000000,""))</f>
        <v/>
      </c>
    </row>
    <row r="263" ht="18" customHeight="1">
      <c r="A263" s="18" t="n"/>
      <c r="B263" s="26" t="n"/>
      <c r="C263" s="18" t="n"/>
      <c r="D263" s="20">
        <f>IF($W263="","",IF($W263="なし","※得意先にないコード",INDEX('得意先'!$C$5:$C$104,$W263)&amp;""))</f>
        <v/>
      </c>
      <c r="E263" s="26" t="n"/>
      <c r="F263" s="19" t="n"/>
      <c r="G263" s="27" t="n"/>
      <c r="H263" s="27" t="n"/>
      <c r="I263" s="27" t="n"/>
      <c r="J263" s="28">
        <f>IF($A263="","",IF('設定'!$B$10="四捨五入",ROUND(IF('設定'!$B$9="税込",N($G263)*10/110,N($G263)*10/100),0),IF('設定'!$B$10="切り上げ",ROUNDUP(IF('設定'!$B$9="税込",N($G263)*10/110,N($G263)*10/100),0),ROUNDDOWN(IF('設定'!$B$9="税込",N($G263)*10/110,N($G263)*10/100),0))))</f>
        <v/>
      </c>
      <c r="K263" s="28">
        <f>IF($A263="","",IF('設定'!$B$10="四捨五入",ROUND(IF('設定'!$B$9="税込",N($H263)*8/108,N($H263)*8/100),0),IF('設定'!$B$10="切り上げ",ROUNDUP(IF('設定'!$B$9="税込",N($H263)*8/108,N($H263)*8/100),0),ROUNDDOWN(IF('設定'!$B$9="税込",N($H263)*8/108,N($H263)*8/100),0))))</f>
        <v/>
      </c>
      <c r="L263" s="28">
        <f>IF($A263="","",N($G263)+N($H263)+N($I263)+IF('設定'!$B$9="税込",0,$J263+$K263))</f>
        <v/>
      </c>
      <c r="M263" s="29">
        <f>IF(OR($A263="",NOT(ISNUMBER($W263)),NOT(ISNUMBER($X263))),"",IF(OR(INDEX('得意先'!$D$5:$D$104,$W263)="",INDEX('得意先'!$E$5:$E$104,$W263)="",INDEX('得意先'!$F$5:$F$104,$W263)=""),"",IF(INDEX('得意先'!$F$5:$F$104,$W263)="末",DATE(YEAR($X263),(MONTH($X263)+IF(INDEX('得意先'!$D$5:$D$104,$W263)="末",0,IF(DAY($X263)&lt;=INDEX('得意先'!$D$5:$D$104,$W263),0,1))+N(INDEX('得意先'!$E$5:$E$104,$W263)))+1,0),DATE(YEAR($X263),(MONTH($X263)+IF(INDEX('得意先'!$D$5:$D$104,$W263)="末",0,IF(DAY($X263)&lt;=INDEX('得意先'!$D$5:$D$104,$W263),0,1))+N(INDEX('得意先'!$E$5:$E$104,$W263))),MIN(INDEX('得意先'!$F$5:$F$104,$W263),DAY(DATE(YEAR($X263),(MONTH($X263)+IF(INDEX('得意先'!$D$5:$D$104,$W263)="末",0,IF(DAY($X263)&lt;=INDEX('得意先'!$D$5:$D$104,$W263),0,1))+N(INDEX('得意先'!$E$5:$E$104,$W263)))+1,0)))))))</f>
        <v/>
      </c>
      <c r="N263" s="26" t="n"/>
      <c r="O263" s="29">
        <f>IF($A263="","",IF(ISNUMBER($N263),$N263,$M263))</f>
        <v/>
      </c>
      <c r="P263" s="28">
        <f>IF($A263="","",SUMIF('入金消込'!$F$5:$F$1004,$A263,'入金消込'!$G$5:$G$1004))</f>
        <v/>
      </c>
      <c r="Q263" s="28">
        <f>IF($A263="","",SUMIF('入金消込'!$F$5:$F$1004,$A263,'入金消込'!$H$5:$H$1004)+SUMIF('入金消込'!$F$5:$F$1004,$A263,'入金消込'!$I$5:$I$1004))</f>
        <v/>
      </c>
      <c r="R263" s="28">
        <f>IF($A263="","",$L263-$P263-$Q263)</f>
        <v/>
      </c>
      <c r="S263" s="30">
        <f>IF($A263="","",IF($R263=0,IF($L263=0,"請求額0","回収済"),IF($L263&lt;0,IF($R263&lt;0,"差し引き待ち","差し引きすぎ"),IF($R263&lt;0,"入金が多い",IF($P263+$Q263=0,"未入金","一部入金")))))</f>
        <v/>
      </c>
      <c r="T263" s="31">
        <f>IF(OR($A263="",N($R263)&lt;=0,NOT(ISNUMBER($O263))),"",IF($O263&lt;'設定'!$B$7,'設定'!$B$7-$O263,""))</f>
        <v/>
      </c>
      <c r="U263" s="30">
        <f>IF(OR($A263="",N($R263)&lt;=0),"",IF(NOT(ISNUMBER($O263)),'設定'!$B$22,IF($O263&gt;='設定'!$B$7,'設定'!$B$17,IF('設定'!$B$7-$O263&lt;='設定'!$B$12,'設定'!$B$18,IF('設定'!$B$7-$O263&lt;='設定'!$B$13,'設定'!$B$19,IF('設定'!$B$7-$O263&lt;='設定'!$B$14,'設定'!$B$20,'設定'!$B$21))))))</f>
        <v/>
      </c>
      <c r="V263" s="56" t="n"/>
      <c r="W263" s="32">
        <f>IF($C263="","",IFERROR(MATCH($C263,'得意先'!$B$5:$B$104,0),"なし"))</f>
        <v/>
      </c>
      <c r="X263" s="33">
        <f>IF($A263="","",IF(ISNUMBER($E263),$E263,IF(ISNUMBER($B263),$B263,"")))</f>
        <v/>
      </c>
      <c r="Y263" s="34">
        <f>IF($T263="","",$O263+ROW()/1000000)</f>
        <v/>
      </c>
      <c r="Z263" s="35">
        <f>IF(OR($A263="",$C263="",$C263&lt;&gt;'売掛帳'!$B$3,NOT(ISNUMBER($X263))),"",IF(AND($X263&gt;='売掛帳'!$Q$3,$X263&lt;='売掛帳'!$Q$4),$X263+ROW()/10000000,""))</f>
        <v/>
      </c>
    </row>
    <row r="264" ht="18" customHeight="1">
      <c r="A264" s="18" t="n"/>
      <c r="B264" s="26" t="n"/>
      <c r="C264" s="18" t="n"/>
      <c r="D264" s="20">
        <f>IF($W264="","",IF($W264="なし","※得意先にないコード",INDEX('得意先'!$C$5:$C$104,$W264)&amp;""))</f>
        <v/>
      </c>
      <c r="E264" s="26" t="n"/>
      <c r="F264" s="19" t="n"/>
      <c r="G264" s="27" t="n"/>
      <c r="H264" s="27" t="n"/>
      <c r="I264" s="27" t="n"/>
      <c r="J264" s="28">
        <f>IF($A264="","",IF('設定'!$B$10="四捨五入",ROUND(IF('設定'!$B$9="税込",N($G264)*10/110,N($G264)*10/100),0),IF('設定'!$B$10="切り上げ",ROUNDUP(IF('設定'!$B$9="税込",N($G264)*10/110,N($G264)*10/100),0),ROUNDDOWN(IF('設定'!$B$9="税込",N($G264)*10/110,N($G264)*10/100),0))))</f>
        <v/>
      </c>
      <c r="K264" s="28">
        <f>IF($A264="","",IF('設定'!$B$10="四捨五入",ROUND(IF('設定'!$B$9="税込",N($H264)*8/108,N($H264)*8/100),0),IF('設定'!$B$10="切り上げ",ROUNDUP(IF('設定'!$B$9="税込",N($H264)*8/108,N($H264)*8/100),0),ROUNDDOWN(IF('設定'!$B$9="税込",N($H264)*8/108,N($H264)*8/100),0))))</f>
        <v/>
      </c>
      <c r="L264" s="28">
        <f>IF($A264="","",N($G264)+N($H264)+N($I264)+IF('設定'!$B$9="税込",0,$J264+$K264))</f>
        <v/>
      </c>
      <c r="M264" s="29">
        <f>IF(OR($A264="",NOT(ISNUMBER($W264)),NOT(ISNUMBER($X264))),"",IF(OR(INDEX('得意先'!$D$5:$D$104,$W264)="",INDEX('得意先'!$E$5:$E$104,$W264)="",INDEX('得意先'!$F$5:$F$104,$W264)=""),"",IF(INDEX('得意先'!$F$5:$F$104,$W264)="末",DATE(YEAR($X264),(MONTH($X264)+IF(INDEX('得意先'!$D$5:$D$104,$W264)="末",0,IF(DAY($X264)&lt;=INDEX('得意先'!$D$5:$D$104,$W264),0,1))+N(INDEX('得意先'!$E$5:$E$104,$W264)))+1,0),DATE(YEAR($X264),(MONTH($X264)+IF(INDEX('得意先'!$D$5:$D$104,$W264)="末",0,IF(DAY($X264)&lt;=INDEX('得意先'!$D$5:$D$104,$W264),0,1))+N(INDEX('得意先'!$E$5:$E$104,$W264))),MIN(INDEX('得意先'!$F$5:$F$104,$W264),DAY(DATE(YEAR($X264),(MONTH($X264)+IF(INDEX('得意先'!$D$5:$D$104,$W264)="末",0,IF(DAY($X264)&lt;=INDEX('得意先'!$D$5:$D$104,$W264),0,1))+N(INDEX('得意先'!$E$5:$E$104,$W264)))+1,0)))))))</f>
        <v/>
      </c>
      <c r="N264" s="26" t="n"/>
      <c r="O264" s="29">
        <f>IF($A264="","",IF(ISNUMBER($N264),$N264,$M264))</f>
        <v/>
      </c>
      <c r="P264" s="28">
        <f>IF($A264="","",SUMIF('入金消込'!$F$5:$F$1004,$A264,'入金消込'!$G$5:$G$1004))</f>
        <v/>
      </c>
      <c r="Q264" s="28">
        <f>IF($A264="","",SUMIF('入金消込'!$F$5:$F$1004,$A264,'入金消込'!$H$5:$H$1004)+SUMIF('入金消込'!$F$5:$F$1004,$A264,'入金消込'!$I$5:$I$1004))</f>
        <v/>
      </c>
      <c r="R264" s="28">
        <f>IF($A264="","",$L264-$P264-$Q264)</f>
        <v/>
      </c>
      <c r="S264" s="30">
        <f>IF($A264="","",IF($R264=0,IF($L264=0,"請求額0","回収済"),IF($L264&lt;0,IF($R264&lt;0,"差し引き待ち","差し引きすぎ"),IF($R264&lt;0,"入金が多い",IF($P264+$Q264=0,"未入金","一部入金")))))</f>
        <v/>
      </c>
      <c r="T264" s="31">
        <f>IF(OR($A264="",N($R264)&lt;=0,NOT(ISNUMBER($O264))),"",IF($O264&lt;'設定'!$B$7,'設定'!$B$7-$O264,""))</f>
        <v/>
      </c>
      <c r="U264" s="30">
        <f>IF(OR($A264="",N($R264)&lt;=0),"",IF(NOT(ISNUMBER($O264)),'設定'!$B$22,IF($O264&gt;='設定'!$B$7,'設定'!$B$17,IF('設定'!$B$7-$O264&lt;='設定'!$B$12,'設定'!$B$18,IF('設定'!$B$7-$O264&lt;='設定'!$B$13,'設定'!$B$19,IF('設定'!$B$7-$O264&lt;='設定'!$B$14,'設定'!$B$20,'設定'!$B$21))))))</f>
        <v/>
      </c>
      <c r="V264" s="56" t="n"/>
      <c r="W264" s="32">
        <f>IF($C264="","",IFERROR(MATCH($C264,'得意先'!$B$5:$B$104,0),"なし"))</f>
        <v/>
      </c>
      <c r="X264" s="33">
        <f>IF($A264="","",IF(ISNUMBER($E264),$E264,IF(ISNUMBER($B264),$B264,"")))</f>
        <v/>
      </c>
      <c r="Y264" s="34">
        <f>IF($T264="","",$O264+ROW()/1000000)</f>
        <v/>
      </c>
      <c r="Z264" s="35">
        <f>IF(OR($A264="",$C264="",$C264&lt;&gt;'売掛帳'!$B$3,NOT(ISNUMBER($X264))),"",IF(AND($X264&gt;='売掛帳'!$Q$3,$X264&lt;='売掛帳'!$Q$4),$X264+ROW()/10000000,""))</f>
        <v/>
      </c>
    </row>
    <row r="265" ht="18" customHeight="1">
      <c r="A265" s="18" t="n"/>
      <c r="B265" s="26" t="n"/>
      <c r="C265" s="18" t="n"/>
      <c r="D265" s="20">
        <f>IF($W265="","",IF($W265="なし","※得意先にないコード",INDEX('得意先'!$C$5:$C$104,$W265)&amp;""))</f>
        <v/>
      </c>
      <c r="E265" s="26" t="n"/>
      <c r="F265" s="19" t="n"/>
      <c r="G265" s="27" t="n"/>
      <c r="H265" s="27" t="n"/>
      <c r="I265" s="27" t="n"/>
      <c r="J265" s="28">
        <f>IF($A265="","",IF('設定'!$B$10="四捨五入",ROUND(IF('設定'!$B$9="税込",N($G265)*10/110,N($G265)*10/100),0),IF('設定'!$B$10="切り上げ",ROUNDUP(IF('設定'!$B$9="税込",N($G265)*10/110,N($G265)*10/100),0),ROUNDDOWN(IF('設定'!$B$9="税込",N($G265)*10/110,N($G265)*10/100),0))))</f>
        <v/>
      </c>
      <c r="K265" s="28">
        <f>IF($A265="","",IF('設定'!$B$10="四捨五入",ROUND(IF('設定'!$B$9="税込",N($H265)*8/108,N($H265)*8/100),0),IF('設定'!$B$10="切り上げ",ROUNDUP(IF('設定'!$B$9="税込",N($H265)*8/108,N($H265)*8/100),0),ROUNDDOWN(IF('設定'!$B$9="税込",N($H265)*8/108,N($H265)*8/100),0))))</f>
        <v/>
      </c>
      <c r="L265" s="28">
        <f>IF($A265="","",N($G265)+N($H265)+N($I265)+IF('設定'!$B$9="税込",0,$J265+$K265))</f>
        <v/>
      </c>
      <c r="M265" s="29">
        <f>IF(OR($A265="",NOT(ISNUMBER($W265)),NOT(ISNUMBER($X265))),"",IF(OR(INDEX('得意先'!$D$5:$D$104,$W265)="",INDEX('得意先'!$E$5:$E$104,$W265)="",INDEX('得意先'!$F$5:$F$104,$W265)=""),"",IF(INDEX('得意先'!$F$5:$F$104,$W265)="末",DATE(YEAR($X265),(MONTH($X265)+IF(INDEX('得意先'!$D$5:$D$104,$W265)="末",0,IF(DAY($X265)&lt;=INDEX('得意先'!$D$5:$D$104,$W265),0,1))+N(INDEX('得意先'!$E$5:$E$104,$W265)))+1,0),DATE(YEAR($X265),(MONTH($X265)+IF(INDEX('得意先'!$D$5:$D$104,$W265)="末",0,IF(DAY($X265)&lt;=INDEX('得意先'!$D$5:$D$104,$W265),0,1))+N(INDEX('得意先'!$E$5:$E$104,$W265))),MIN(INDEX('得意先'!$F$5:$F$104,$W265),DAY(DATE(YEAR($X265),(MONTH($X265)+IF(INDEX('得意先'!$D$5:$D$104,$W265)="末",0,IF(DAY($X265)&lt;=INDEX('得意先'!$D$5:$D$104,$W265),0,1))+N(INDEX('得意先'!$E$5:$E$104,$W265)))+1,0)))))))</f>
        <v/>
      </c>
      <c r="N265" s="26" t="n"/>
      <c r="O265" s="29">
        <f>IF($A265="","",IF(ISNUMBER($N265),$N265,$M265))</f>
        <v/>
      </c>
      <c r="P265" s="28">
        <f>IF($A265="","",SUMIF('入金消込'!$F$5:$F$1004,$A265,'入金消込'!$G$5:$G$1004))</f>
        <v/>
      </c>
      <c r="Q265" s="28">
        <f>IF($A265="","",SUMIF('入金消込'!$F$5:$F$1004,$A265,'入金消込'!$H$5:$H$1004)+SUMIF('入金消込'!$F$5:$F$1004,$A265,'入金消込'!$I$5:$I$1004))</f>
        <v/>
      </c>
      <c r="R265" s="28">
        <f>IF($A265="","",$L265-$P265-$Q265)</f>
        <v/>
      </c>
      <c r="S265" s="30">
        <f>IF($A265="","",IF($R265=0,IF($L265=0,"請求額0","回収済"),IF($L265&lt;0,IF($R265&lt;0,"差し引き待ち","差し引きすぎ"),IF($R265&lt;0,"入金が多い",IF($P265+$Q265=0,"未入金","一部入金")))))</f>
        <v/>
      </c>
      <c r="T265" s="31">
        <f>IF(OR($A265="",N($R265)&lt;=0,NOT(ISNUMBER($O265))),"",IF($O265&lt;'設定'!$B$7,'設定'!$B$7-$O265,""))</f>
        <v/>
      </c>
      <c r="U265" s="30">
        <f>IF(OR($A265="",N($R265)&lt;=0),"",IF(NOT(ISNUMBER($O265)),'設定'!$B$22,IF($O265&gt;='設定'!$B$7,'設定'!$B$17,IF('設定'!$B$7-$O265&lt;='設定'!$B$12,'設定'!$B$18,IF('設定'!$B$7-$O265&lt;='設定'!$B$13,'設定'!$B$19,IF('設定'!$B$7-$O265&lt;='設定'!$B$14,'設定'!$B$20,'設定'!$B$21))))))</f>
        <v/>
      </c>
      <c r="V265" s="56" t="n"/>
      <c r="W265" s="32">
        <f>IF($C265="","",IFERROR(MATCH($C265,'得意先'!$B$5:$B$104,0),"なし"))</f>
        <v/>
      </c>
      <c r="X265" s="33">
        <f>IF($A265="","",IF(ISNUMBER($E265),$E265,IF(ISNUMBER($B265),$B265,"")))</f>
        <v/>
      </c>
      <c r="Y265" s="34">
        <f>IF($T265="","",$O265+ROW()/1000000)</f>
        <v/>
      </c>
      <c r="Z265" s="35">
        <f>IF(OR($A265="",$C265="",$C265&lt;&gt;'売掛帳'!$B$3,NOT(ISNUMBER($X265))),"",IF(AND($X265&gt;='売掛帳'!$Q$3,$X265&lt;='売掛帳'!$Q$4),$X265+ROW()/10000000,""))</f>
        <v/>
      </c>
    </row>
    <row r="266" ht="18" customHeight="1">
      <c r="A266" s="18" t="n"/>
      <c r="B266" s="26" t="n"/>
      <c r="C266" s="18" t="n"/>
      <c r="D266" s="20">
        <f>IF($W266="","",IF($W266="なし","※得意先にないコード",INDEX('得意先'!$C$5:$C$104,$W266)&amp;""))</f>
        <v/>
      </c>
      <c r="E266" s="26" t="n"/>
      <c r="F266" s="19" t="n"/>
      <c r="G266" s="27" t="n"/>
      <c r="H266" s="27" t="n"/>
      <c r="I266" s="27" t="n"/>
      <c r="J266" s="28">
        <f>IF($A266="","",IF('設定'!$B$10="四捨五入",ROUND(IF('設定'!$B$9="税込",N($G266)*10/110,N($G266)*10/100),0),IF('設定'!$B$10="切り上げ",ROUNDUP(IF('設定'!$B$9="税込",N($G266)*10/110,N($G266)*10/100),0),ROUNDDOWN(IF('設定'!$B$9="税込",N($G266)*10/110,N($G266)*10/100),0))))</f>
        <v/>
      </c>
      <c r="K266" s="28">
        <f>IF($A266="","",IF('設定'!$B$10="四捨五入",ROUND(IF('設定'!$B$9="税込",N($H266)*8/108,N($H266)*8/100),0),IF('設定'!$B$10="切り上げ",ROUNDUP(IF('設定'!$B$9="税込",N($H266)*8/108,N($H266)*8/100),0),ROUNDDOWN(IF('設定'!$B$9="税込",N($H266)*8/108,N($H266)*8/100),0))))</f>
        <v/>
      </c>
      <c r="L266" s="28">
        <f>IF($A266="","",N($G266)+N($H266)+N($I266)+IF('設定'!$B$9="税込",0,$J266+$K266))</f>
        <v/>
      </c>
      <c r="M266" s="29">
        <f>IF(OR($A266="",NOT(ISNUMBER($W266)),NOT(ISNUMBER($X266))),"",IF(OR(INDEX('得意先'!$D$5:$D$104,$W266)="",INDEX('得意先'!$E$5:$E$104,$W266)="",INDEX('得意先'!$F$5:$F$104,$W266)=""),"",IF(INDEX('得意先'!$F$5:$F$104,$W266)="末",DATE(YEAR($X266),(MONTH($X266)+IF(INDEX('得意先'!$D$5:$D$104,$W266)="末",0,IF(DAY($X266)&lt;=INDEX('得意先'!$D$5:$D$104,$W266),0,1))+N(INDEX('得意先'!$E$5:$E$104,$W266)))+1,0),DATE(YEAR($X266),(MONTH($X266)+IF(INDEX('得意先'!$D$5:$D$104,$W266)="末",0,IF(DAY($X266)&lt;=INDEX('得意先'!$D$5:$D$104,$W266),0,1))+N(INDEX('得意先'!$E$5:$E$104,$W266))),MIN(INDEX('得意先'!$F$5:$F$104,$W266),DAY(DATE(YEAR($X266),(MONTH($X266)+IF(INDEX('得意先'!$D$5:$D$104,$W266)="末",0,IF(DAY($X266)&lt;=INDEX('得意先'!$D$5:$D$104,$W266),0,1))+N(INDEX('得意先'!$E$5:$E$104,$W266)))+1,0)))))))</f>
        <v/>
      </c>
      <c r="N266" s="26" t="n"/>
      <c r="O266" s="29">
        <f>IF($A266="","",IF(ISNUMBER($N266),$N266,$M266))</f>
        <v/>
      </c>
      <c r="P266" s="28">
        <f>IF($A266="","",SUMIF('入金消込'!$F$5:$F$1004,$A266,'入金消込'!$G$5:$G$1004))</f>
        <v/>
      </c>
      <c r="Q266" s="28">
        <f>IF($A266="","",SUMIF('入金消込'!$F$5:$F$1004,$A266,'入金消込'!$H$5:$H$1004)+SUMIF('入金消込'!$F$5:$F$1004,$A266,'入金消込'!$I$5:$I$1004))</f>
        <v/>
      </c>
      <c r="R266" s="28">
        <f>IF($A266="","",$L266-$P266-$Q266)</f>
        <v/>
      </c>
      <c r="S266" s="30">
        <f>IF($A266="","",IF($R266=0,IF($L266=0,"請求額0","回収済"),IF($L266&lt;0,IF($R266&lt;0,"差し引き待ち","差し引きすぎ"),IF($R266&lt;0,"入金が多い",IF($P266+$Q266=0,"未入金","一部入金")))))</f>
        <v/>
      </c>
      <c r="T266" s="31">
        <f>IF(OR($A266="",N($R266)&lt;=0,NOT(ISNUMBER($O266))),"",IF($O266&lt;'設定'!$B$7,'設定'!$B$7-$O266,""))</f>
        <v/>
      </c>
      <c r="U266" s="30">
        <f>IF(OR($A266="",N($R266)&lt;=0),"",IF(NOT(ISNUMBER($O266)),'設定'!$B$22,IF($O266&gt;='設定'!$B$7,'設定'!$B$17,IF('設定'!$B$7-$O266&lt;='設定'!$B$12,'設定'!$B$18,IF('設定'!$B$7-$O266&lt;='設定'!$B$13,'設定'!$B$19,IF('設定'!$B$7-$O266&lt;='設定'!$B$14,'設定'!$B$20,'設定'!$B$21))))))</f>
        <v/>
      </c>
      <c r="V266" s="56" t="n"/>
      <c r="W266" s="32">
        <f>IF($C266="","",IFERROR(MATCH($C266,'得意先'!$B$5:$B$104,0),"なし"))</f>
        <v/>
      </c>
      <c r="X266" s="33">
        <f>IF($A266="","",IF(ISNUMBER($E266),$E266,IF(ISNUMBER($B266),$B266,"")))</f>
        <v/>
      </c>
      <c r="Y266" s="34">
        <f>IF($T266="","",$O266+ROW()/1000000)</f>
        <v/>
      </c>
      <c r="Z266" s="35">
        <f>IF(OR($A266="",$C266="",$C266&lt;&gt;'売掛帳'!$B$3,NOT(ISNUMBER($X266))),"",IF(AND($X266&gt;='売掛帳'!$Q$3,$X266&lt;='売掛帳'!$Q$4),$X266+ROW()/10000000,""))</f>
        <v/>
      </c>
    </row>
    <row r="267" ht="18" customHeight="1">
      <c r="A267" s="18" t="n"/>
      <c r="B267" s="26" t="n"/>
      <c r="C267" s="18" t="n"/>
      <c r="D267" s="20">
        <f>IF($W267="","",IF($W267="なし","※得意先にないコード",INDEX('得意先'!$C$5:$C$104,$W267)&amp;""))</f>
        <v/>
      </c>
      <c r="E267" s="26" t="n"/>
      <c r="F267" s="19" t="n"/>
      <c r="G267" s="27" t="n"/>
      <c r="H267" s="27" t="n"/>
      <c r="I267" s="27" t="n"/>
      <c r="J267" s="28">
        <f>IF($A267="","",IF('設定'!$B$10="四捨五入",ROUND(IF('設定'!$B$9="税込",N($G267)*10/110,N($G267)*10/100),0),IF('設定'!$B$10="切り上げ",ROUNDUP(IF('設定'!$B$9="税込",N($G267)*10/110,N($G267)*10/100),0),ROUNDDOWN(IF('設定'!$B$9="税込",N($G267)*10/110,N($G267)*10/100),0))))</f>
        <v/>
      </c>
      <c r="K267" s="28">
        <f>IF($A267="","",IF('設定'!$B$10="四捨五入",ROUND(IF('設定'!$B$9="税込",N($H267)*8/108,N($H267)*8/100),0),IF('設定'!$B$10="切り上げ",ROUNDUP(IF('設定'!$B$9="税込",N($H267)*8/108,N($H267)*8/100),0),ROUNDDOWN(IF('設定'!$B$9="税込",N($H267)*8/108,N($H267)*8/100),0))))</f>
        <v/>
      </c>
      <c r="L267" s="28">
        <f>IF($A267="","",N($G267)+N($H267)+N($I267)+IF('設定'!$B$9="税込",0,$J267+$K267))</f>
        <v/>
      </c>
      <c r="M267" s="29">
        <f>IF(OR($A267="",NOT(ISNUMBER($W267)),NOT(ISNUMBER($X267))),"",IF(OR(INDEX('得意先'!$D$5:$D$104,$W267)="",INDEX('得意先'!$E$5:$E$104,$W267)="",INDEX('得意先'!$F$5:$F$104,$W267)=""),"",IF(INDEX('得意先'!$F$5:$F$104,$W267)="末",DATE(YEAR($X267),(MONTH($X267)+IF(INDEX('得意先'!$D$5:$D$104,$W267)="末",0,IF(DAY($X267)&lt;=INDEX('得意先'!$D$5:$D$104,$W267),0,1))+N(INDEX('得意先'!$E$5:$E$104,$W267)))+1,0),DATE(YEAR($X267),(MONTH($X267)+IF(INDEX('得意先'!$D$5:$D$104,$W267)="末",0,IF(DAY($X267)&lt;=INDEX('得意先'!$D$5:$D$104,$W267),0,1))+N(INDEX('得意先'!$E$5:$E$104,$W267))),MIN(INDEX('得意先'!$F$5:$F$104,$W267),DAY(DATE(YEAR($X267),(MONTH($X267)+IF(INDEX('得意先'!$D$5:$D$104,$W267)="末",0,IF(DAY($X267)&lt;=INDEX('得意先'!$D$5:$D$104,$W267),0,1))+N(INDEX('得意先'!$E$5:$E$104,$W267)))+1,0)))))))</f>
        <v/>
      </c>
      <c r="N267" s="26" t="n"/>
      <c r="O267" s="29">
        <f>IF($A267="","",IF(ISNUMBER($N267),$N267,$M267))</f>
        <v/>
      </c>
      <c r="P267" s="28">
        <f>IF($A267="","",SUMIF('入金消込'!$F$5:$F$1004,$A267,'入金消込'!$G$5:$G$1004))</f>
        <v/>
      </c>
      <c r="Q267" s="28">
        <f>IF($A267="","",SUMIF('入金消込'!$F$5:$F$1004,$A267,'入金消込'!$H$5:$H$1004)+SUMIF('入金消込'!$F$5:$F$1004,$A267,'入金消込'!$I$5:$I$1004))</f>
        <v/>
      </c>
      <c r="R267" s="28">
        <f>IF($A267="","",$L267-$P267-$Q267)</f>
        <v/>
      </c>
      <c r="S267" s="30">
        <f>IF($A267="","",IF($R267=0,IF($L267=0,"請求額0","回収済"),IF($L267&lt;0,IF($R267&lt;0,"差し引き待ち","差し引きすぎ"),IF($R267&lt;0,"入金が多い",IF($P267+$Q267=0,"未入金","一部入金")))))</f>
        <v/>
      </c>
      <c r="T267" s="31">
        <f>IF(OR($A267="",N($R267)&lt;=0,NOT(ISNUMBER($O267))),"",IF($O267&lt;'設定'!$B$7,'設定'!$B$7-$O267,""))</f>
        <v/>
      </c>
      <c r="U267" s="30">
        <f>IF(OR($A267="",N($R267)&lt;=0),"",IF(NOT(ISNUMBER($O267)),'設定'!$B$22,IF($O267&gt;='設定'!$B$7,'設定'!$B$17,IF('設定'!$B$7-$O267&lt;='設定'!$B$12,'設定'!$B$18,IF('設定'!$B$7-$O267&lt;='設定'!$B$13,'設定'!$B$19,IF('設定'!$B$7-$O267&lt;='設定'!$B$14,'設定'!$B$20,'設定'!$B$21))))))</f>
        <v/>
      </c>
      <c r="V267" s="56" t="n"/>
      <c r="W267" s="32">
        <f>IF($C267="","",IFERROR(MATCH($C267,'得意先'!$B$5:$B$104,0),"なし"))</f>
        <v/>
      </c>
      <c r="X267" s="33">
        <f>IF($A267="","",IF(ISNUMBER($E267),$E267,IF(ISNUMBER($B267),$B267,"")))</f>
        <v/>
      </c>
      <c r="Y267" s="34">
        <f>IF($T267="","",$O267+ROW()/1000000)</f>
        <v/>
      </c>
      <c r="Z267" s="35">
        <f>IF(OR($A267="",$C267="",$C267&lt;&gt;'売掛帳'!$B$3,NOT(ISNUMBER($X267))),"",IF(AND($X267&gt;='売掛帳'!$Q$3,$X267&lt;='売掛帳'!$Q$4),$X267+ROW()/10000000,""))</f>
        <v/>
      </c>
    </row>
    <row r="268" ht="18" customHeight="1">
      <c r="A268" s="18" t="n"/>
      <c r="B268" s="26" t="n"/>
      <c r="C268" s="18" t="n"/>
      <c r="D268" s="20">
        <f>IF($W268="","",IF($W268="なし","※得意先にないコード",INDEX('得意先'!$C$5:$C$104,$W268)&amp;""))</f>
        <v/>
      </c>
      <c r="E268" s="26" t="n"/>
      <c r="F268" s="19" t="n"/>
      <c r="G268" s="27" t="n"/>
      <c r="H268" s="27" t="n"/>
      <c r="I268" s="27" t="n"/>
      <c r="J268" s="28">
        <f>IF($A268="","",IF('設定'!$B$10="四捨五入",ROUND(IF('設定'!$B$9="税込",N($G268)*10/110,N($G268)*10/100),0),IF('設定'!$B$10="切り上げ",ROUNDUP(IF('設定'!$B$9="税込",N($G268)*10/110,N($G268)*10/100),0),ROUNDDOWN(IF('設定'!$B$9="税込",N($G268)*10/110,N($G268)*10/100),0))))</f>
        <v/>
      </c>
      <c r="K268" s="28">
        <f>IF($A268="","",IF('設定'!$B$10="四捨五入",ROUND(IF('設定'!$B$9="税込",N($H268)*8/108,N($H268)*8/100),0),IF('設定'!$B$10="切り上げ",ROUNDUP(IF('設定'!$B$9="税込",N($H268)*8/108,N($H268)*8/100),0),ROUNDDOWN(IF('設定'!$B$9="税込",N($H268)*8/108,N($H268)*8/100),0))))</f>
        <v/>
      </c>
      <c r="L268" s="28">
        <f>IF($A268="","",N($G268)+N($H268)+N($I268)+IF('設定'!$B$9="税込",0,$J268+$K268))</f>
        <v/>
      </c>
      <c r="M268" s="29">
        <f>IF(OR($A268="",NOT(ISNUMBER($W268)),NOT(ISNUMBER($X268))),"",IF(OR(INDEX('得意先'!$D$5:$D$104,$W268)="",INDEX('得意先'!$E$5:$E$104,$W268)="",INDEX('得意先'!$F$5:$F$104,$W268)=""),"",IF(INDEX('得意先'!$F$5:$F$104,$W268)="末",DATE(YEAR($X268),(MONTH($X268)+IF(INDEX('得意先'!$D$5:$D$104,$W268)="末",0,IF(DAY($X268)&lt;=INDEX('得意先'!$D$5:$D$104,$W268),0,1))+N(INDEX('得意先'!$E$5:$E$104,$W268)))+1,0),DATE(YEAR($X268),(MONTH($X268)+IF(INDEX('得意先'!$D$5:$D$104,$W268)="末",0,IF(DAY($X268)&lt;=INDEX('得意先'!$D$5:$D$104,$W268),0,1))+N(INDEX('得意先'!$E$5:$E$104,$W268))),MIN(INDEX('得意先'!$F$5:$F$104,$W268),DAY(DATE(YEAR($X268),(MONTH($X268)+IF(INDEX('得意先'!$D$5:$D$104,$W268)="末",0,IF(DAY($X268)&lt;=INDEX('得意先'!$D$5:$D$104,$W268),0,1))+N(INDEX('得意先'!$E$5:$E$104,$W268)))+1,0)))))))</f>
        <v/>
      </c>
      <c r="N268" s="26" t="n"/>
      <c r="O268" s="29">
        <f>IF($A268="","",IF(ISNUMBER($N268),$N268,$M268))</f>
        <v/>
      </c>
      <c r="P268" s="28">
        <f>IF($A268="","",SUMIF('入金消込'!$F$5:$F$1004,$A268,'入金消込'!$G$5:$G$1004))</f>
        <v/>
      </c>
      <c r="Q268" s="28">
        <f>IF($A268="","",SUMIF('入金消込'!$F$5:$F$1004,$A268,'入金消込'!$H$5:$H$1004)+SUMIF('入金消込'!$F$5:$F$1004,$A268,'入金消込'!$I$5:$I$1004))</f>
        <v/>
      </c>
      <c r="R268" s="28">
        <f>IF($A268="","",$L268-$P268-$Q268)</f>
        <v/>
      </c>
      <c r="S268" s="30">
        <f>IF($A268="","",IF($R268=0,IF($L268=0,"請求額0","回収済"),IF($L268&lt;0,IF($R268&lt;0,"差し引き待ち","差し引きすぎ"),IF($R268&lt;0,"入金が多い",IF($P268+$Q268=0,"未入金","一部入金")))))</f>
        <v/>
      </c>
      <c r="T268" s="31">
        <f>IF(OR($A268="",N($R268)&lt;=0,NOT(ISNUMBER($O268))),"",IF($O268&lt;'設定'!$B$7,'設定'!$B$7-$O268,""))</f>
        <v/>
      </c>
      <c r="U268" s="30">
        <f>IF(OR($A268="",N($R268)&lt;=0),"",IF(NOT(ISNUMBER($O268)),'設定'!$B$22,IF($O268&gt;='設定'!$B$7,'設定'!$B$17,IF('設定'!$B$7-$O268&lt;='設定'!$B$12,'設定'!$B$18,IF('設定'!$B$7-$O268&lt;='設定'!$B$13,'設定'!$B$19,IF('設定'!$B$7-$O268&lt;='設定'!$B$14,'設定'!$B$20,'設定'!$B$21))))))</f>
        <v/>
      </c>
      <c r="V268" s="56" t="n"/>
      <c r="W268" s="32">
        <f>IF($C268="","",IFERROR(MATCH($C268,'得意先'!$B$5:$B$104,0),"なし"))</f>
        <v/>
      </c>
      <c r="X268" s="33">
        <f>IF($A268="","",IF(ISNUMBER($E268),$E268,IF(ISNUMBER($B268),$B268,"")))</f>
        <v/>
      </c>
      <c r="Y268" s="34">
        <f>IF($T268="","",$O268+ROW()/1000000)</f>
        <v/>
      </c>
      <c r="Z268" s="35">
        <f>IF(OR($A268="",$C268="",$C268&lt;&gt;'売掛帳'!$B$3,NOT(ISNUMBER($X268))),"",IF(AND($X268&gt;='売掛帳'!$Q$3,$X268&lt;='売掛帳'!$Q$4),$X268+ROW()/10000000,""))</f>
        <v/>
      </c>
    </row>
    <row r="269" ht="18" customHeight="1">
      <c r="A269" s="18" t="n"/>
      <c r="B269" s="26" t="n"/>
      <c r="C269" s="18" t="n"/>
      <c r="D269" s="20">
        <f>IF($W269="","",IF($W269="なし","※得意先にないコード",INDEX('得意先'!$C$5:$C$104,$W269)&amp;""))</f>
        <v/>
      </c>
      <c r="E269" s="26" t="n"/>
      <c r="F269" s="19" t="n"/>
      <c r="G269" s="27" t="n"/>
      <c r="H269" s="27" t="n"/>
      <c r="I269" s="27" t="n"/>
      <c r="J269" s="28">
        <f>IF($A269="","",IF('設定'!$B$10="四捨五入",ROUND(IF('設定'!$B$9="税込",N($G269)*10/110,N($G269)*10/100),0),IF('設定'!$B$10="切り上げ",ROUNDUP(IF('設定'!$B$9="税込",N($G269)*10/110,N($G269)*10/100),0),ROUNDDOWN(IF('設定'!$B$9="税込",N($G269)*10/110,N($G269)*10/100),0))))</f>
        <v/>
      </c>
      <c r="K269" s="28">
        <f>IF($A269="","",IF('設定'!$B$10="四捨五入",ROUND(IF('設定'!$B$9="税込",N($H269)*8/108,N($H269)*8/100),0),IF('設定'!$B$10="切り上げ",ROUNDUP(IF('設定'!$B$9="税込",N($H269)*8/108,N($H269)*8/100),0),ROUNDDOWN(IF('設定'!$B$9="税込",N($H269)*8/108,N($H269)*8/100),0))))</f>
        <v/>
      </c>
      <c r="L269" s="28">
        <f>IF($A269="","",N($G269)+N($H269)+N($I269)+IF('設定'!$B$9="税込",0,$J269+$K269))</f>
        <v/>
      </c>
      <c r="M269" s="29">
        <f>IF(OR($A269="",NOT(ISNUMBER($W269)),NOT(ISNUMBER($X269))),"",IF(OR(INDEX('得意先'!$D$5:$D$104,$W269)="",INDEX('得意先'!$E$5:$E$104,$W269)="",INDEX('得意先'!$F$5:$F$104,$W269)=""),"",IF(INDEX('得意先'!$F$5:$F$104,$W269)="末",DATE(YEAR($X269),(MONTH($X269)+IF(INDEX('得意先'!$D$5:$D$104,$W269)="末",0,IF(DAY($X269)&lt;=INDEX('得意先'!$D$5:$D$104,$W269),0,1))+N(INDEX('得意先'!$E$5:$E$104,$W269)))+1,0),DATE(YEAR($X269),(MONTH($X269)+IF(INDEX('得意先'!$D$5:$D$104,$W269)="末",0,IF(DAY($X269)&lt;=INDEX('得意先'!$D$5:$D$104,$W269),0,1))+N(INDEX('得意先'!$E$5:$E$104,$W269))),MIN(INDEX('得意先'!$F$5:$F$104,$W269),DAY(DATE(YEAR($X269),(MONTH($X269)+IF(INDEX('得意先'!$D$5:$D$104,$W269)="末",0,IF(DAY($X269)&lt;=INDEX('得意先'!$D$5:$D$104,$W269),0,1))+N(INDEX('得意先'!$E$5:$E$104,$W269)))+1,0)))))))</f>
        <v/>
      </c>
      <c r="N269" s="26" t="n"/>
      <c r="O269" s="29">
        <f>IF($A269="","",IF(ISNUMBER($N269),$N269,$M269))</f>
        <v/>
      </c>
      <c r="P269" s="28">
        <f>IF($A269="","",SUMIF('入金消込'!$F$5:$F$1004,$A269,'入金消込'!$G$5:$G$1004))</f>
        <v/>
      </c>
      <c r="Q269" s="28">
        <f>IF($A269="","",SUMIF('入金消込'!$F$5:$F$1004,$A269,'入金消込'!$H$5:$H$1004)+SUMIF('入金消込'!$F$5:$F$1004,$A269,'入金消込'!$I$5:$I$1004))</f>
        <v/>
      </c>
      <c r="R269" s="28">
        <f>IF($A269="","",$L269-$P269-$Q269)</f>
        <v/>
      </c>
      <c r="S269" s="30">
        <f>IF($A269="","",IF($R269=0,IF($L269=0,"請求額0","回収済"),IF($L269&lt;0,IF($R269&lt;0,"差し引き待ち","差し引きすぎ"),IF($R269&lt;0,"入金が多い",IF($P269+$Q269=0,"未入金","一部入金")))))</f>
        <v/>
      </c>
      <c r="T269" s="31">
        <f>IF(OR($A269="",N($R269)&lt;=0,NOT(ISNUMBER($O269))),"",IF($O269&lt;'設定'!$B$7,'設定'!$B$7-$O269,""))</f>
        <v/>
      </c>
      <c r="U269" s="30">
        <f>IF(OR($A269="",N($R269)&lt;=0),"",IF(NOT(ISNUMBER($O269)),'設定'!$B$22,IF($O269&gt;='設定'!$B$7,'設定'!$B$17,IF('設定'!$B$7-$O269&lt;='設定'!$B$12,'設定'!$B$18,IF('設定'!$B$7-$O269&lt;='設定'!$B$13,'設定'!$B$19,IF('設定'!$B$7-$O269&lt;='設定'!$B$14,'設定'!$B$20,'設定'!$B$21))))))</f>
        <v/>
      </c>
      <c r="V269" s="56" t="n"/>
      <c r="W269" s="32">
        <f>IF($C269="","",IFERROR(MATCH($C269,'得意先'!$B$5:$B$104,0),"なし"))</f>
        <v/>
      </c>
      <c r="X269" s="33">
        <f>IF($A269="","",IF(ISNUMBER($E269),$E269,IF(ISNUMBER($B269),$B269,"")))</f>
        <v/>
      </c>
      <c r="Y269" s="34">
        <f>IF($T269="","",$O269+ROW()/1000000)</f>
        <v/>
      </c>
      <c r="Z269" s="35">
        <f>IF(OR($A269="",$C269="",$C269&lt;&gt;'売掛帳'!$B$3,NOT(ISNUMBER($X269))),"",IF(AND($X269&gt;='売掛帳'!$Q$3,$X269&lt;='売掛帳'!$Q$4),$X269+ROW()/10000000,""))</f>
        <v/>
      </c>
    </row>
    <row r="270" ht="18" customHeight="1">
      <c r="A270" s="18" t="n"/>
      <c r="B270" s="26" t="n"/>
      <c r="C270" s="18" t="n"/>
      <c r="D270" s="20">
        <f>IF($W270="","",IF($W270="なし","※得意先にないコード",INDEX('得意先'!$C$5:$C$104,$W270)&amp;""))</f>
        <v/>
      </c>
      <c r="E270" s="26" t="n"/>
      <c r="F270" s="19" t="n"/>
      <c r="G270" s="27" t="n"/>
      <c r="H270" s="27" t="n"/>
      <c r="I270" s="27" t="n"/>
      <c r="J270" s="28">
        <f>IF($A270="","",IF('設定'!$B$10="四捨五入",ROUND(IF('設定'!$B$9="税込",N($G270)*10/110,N($G270)*10/100),0),IF('設定'!$B$10="切り上げ",ROUNDUP(IF('設定'!$B$9="税込",N($G270)*10/110,N($G270)*10/100),0),ROUNDDOWN(IF('設定'!$B$9="税込",N($G270)*10/110,N($G270)*10/100),0))))</f>
        <v/>
      </c>
      <c r="K270" s="28">
        <f>IF($A270="","",IF('設定'!$B$10="四捨五入",ROUND(IF('設定'!$B$9="税込",N($H270)*8/108,N($H270)*8/100),0),IF('設定'!$B$10="切り上げ",ROUNDUP(IF('設定'!$B$9="税込",N($H270)*8/108,N($H270)*8/100),0),ROUNDDOWN(IF('設定'!$B$9="税込",N($H270)*8/108,N($H270)*8/100),0))))</f>
        <v/>
      </c>
      <c r="L270" s="28">
        <f>IF($A270="","",N($G270)+N($H270)+N($I270)+IF('設定'!$B$9="税込",0,$J270+$K270))</f>
        <v/>
      </c>
      <c r="M270" s="29">
        <f>IF(OR($A270="",NOT(ISNUMBER($W270)),NOT(ISNUMBER($X270))),"",IF(OR(INDEX('得意先'!$D$5:$D$104,$W270)="",INDEX('得意先'!$E$5:$E$104,$W270)="",INDEX('得意先'!$F$5:$F$104,$W270)=""),"",IF(INDEX('得意先'!$F$5:$F$104,$W270)="末",DATE(YEAR($X270),(MONTH($X270)+IF(INDEX('得意先'!$D$5:$D$104,$W270)="末",0,IF(DAY($X270)&lt;=INDEX('得意先'!$D$5:$D$104,$W270),0,1))+N(INDEX('得意先'!$E$5:$E$104,$W270)))+1,0),DATE(YEAR($X270),(MONTH($X270)+IF(INDEX('得意先'!$D$5:$D$104,$W270)="末",0,IF(DAY($X270)&lt;=INDEX('得意先'!$D$5:$D$104,$W270),0,1))+N(INDEX('得意先'!$E$5:$E$104,$W270))),MIN(INDEX('得意先'!$F$5:$F$104,$W270),DAY(DATE(YEAR($X270),(MONTH($X270)+IF(INDEX('得意先'!$D$5:$D$104,$W270)="末",0,IF(DAY($X270)&lt;=INDEX('得意先'!$D$5:$D$104,$W270),0,1))+N(INDEX('得意先'!$E$5:$E$104,$W270)))+1,0)))))))</f>
        <v/>
      </c>
      <c r="N270" s="26" t="n"/>
      <c r="O270" s="29">
        <f>IF($A270="","",IF(ISNUMBER($N270),$N270,$M270))</f>
        <v/>
      </c>
      <c r="P270" s="28">
        <f>IF($A270="","",SUMIF('入金消込'!$F$5:$F$1004,$A270,'入金消込'!$G$5:$G$1004))</f>
        <v/>
      </c>
      <c r="Q270" s="28">
        <f>IF($A270="","",SUMIF('入金消込'!$F$5:$F$1004,$A270,'入金消込'!$H$5:$H$1004)+SUMIF('入金消込'!$F$5:$F$1004,$A270,'入金消込'!$I$5:$I$1004))</f>
        <v/>
      </c>
      <c r="R270" s="28">
        <f>IF($A270="","",$L270-$P270-$Q270)</f>
        <v/>
      </c>
      <c r="S270" s="30">
        <f>IF($A270="","",IF($R270=0,IF($L270=0,"請求額0","回収済"),IF($L270&lt;0,IF($R270&lt;0,"差し引き待ち","差し引きすぎ"),IF($R270&lt;0,"入金が多い",IF($P270+$Q270=0,"未入金","一部入金")))))</f>
        <v/>
      </c>
      <c r="T270" s="31">
        <f>IF(OR($A270="",N($R270)&lt;=0,NOT(ISNUMBER($O270))),"",IF($O270&lt;'設定'!$B$7,'設定'!$B$7-$O270,""))</f>
        <v/>
      </c>
      <c r="U270" s="30">
        <f>IF(OR($A270="",N($R270)&lt;=0),"",IF(NOT(ISNUMBER($O270)),'設定'!$B$22,IF($O270&gt;='設定'!$B$7,'設定'!$B$17,IF('設定'!$B$7-$O270&lt;='設定'!$B$12,'設定'!$B$18,IF('設定'!$B$7-$O270&lt;='設定'!$B$13,'設定'!$B$19,IF('設定'!$B$7-$O270&lt;='設定'!$B$14,'設定'!$B$20,'設定'!$B$21))))))</f>
        <v/>
      </c>
      <c r="V270" s="56" t="n"/>
      <c r="W270" s="32">
        <f>IF($C270="","",IFERROR(MATCH($C270,'得意先'!$B$5:$B$104,0),"なし"))</f>
        <v/>
      </c>
      <c r="X270" s="33">
        <f>IF($A270="","",IF(ISNUMBER($E270),$E270,IF(ISNUMBER($B270),$B270,"")))</f>
        <v/>
      </c>
      <c r="Y270" s="34">
        <f>IF($T270="","",$O270+ROW()/1000000)</f>
        <v/>
      </c>
      <c r="Z270" s="35">
        <f>IF(OR($A270="",$C270="",$C270&lt;&gt;'売掛帳'!$B$3,NOT(ISNUMBER($X270))),"",IF(AND($X270&gt;='売掛帳'!$Q$3,$X270&lt;='売掛帳'!$Q$4),$X270+ROW()/10000000,""))</f>
        <v/>
      </c>
    </row>
    <row r="271" ht="18" customHeight="1">
      <c r="A271" s="18" t="n"/>
      <c r="B271" s="26" t="n"/>
      <c r="C271" s="18" t="n"/>
      <c r="D271" s="20">
        <f>IF($W271="","",IF($W271="なし","※得意先にないコード",INDEX('得意先'!$C$5:$C$104,$W271)&amp;""))</f>
        <v/>
      </c>
      <c r="E271" s="26" t="n"/>
      <c r="F271" s="19" t="n"/>
      <c r="G271" s="27" t="n"/>
      <c r="H271" s="27" t="n"/>
      <c r="I271" s="27" t="n"/>
      <c r="J271" s="28">
        <f>IF($A271="","",IF('設定'!$B$10="四捨五入",ROUND(IF('設定'!$B$9="税込",N($G271)*10/110,N($G271)*10/100),0),IF('設定'!$B$10="切り上げ",ROUNDUP(IF('設定'!$B$9="税込",N($G271)*10/110,N($G271)*10/100),0),ROUNDDOWN(IF('設定'!$B$9="税込",N($G271)*10/110,N($G271)*10/100),0))))</f>
        <v/>
      </c>
      <c r="K271" s="28">
        <f>IF($A271="","",IF('設定'!$B$10="四捨五入",ROUND(IF('設定'!$B$9="税込",N($H271)*8/108,N($H271)*8/100),0),IF('設定'!$B$10="切り上げ",ROUNDUP(IF('設定'!$B$9="税込",N($H271)*8/108,N($H271)*8/100),0),ROUNDDOWN(IF('設定'!$B$9="税込",N($H271)*8/108,N($H271)*8/100),0))))</f>
        <v/>
      </c>
      <c r="L271" s="28">
        <f>IF($A271="","",N($G271)+N($H271)+N($I271)+IF('設定'!$B$9="税込",0,$J271+$K271))</f>
        <v/>
      </c>
      <c r="M271" s="29">
        <f>IF(OR($A271="",NOT(ISNUMBER($W271)),NOT(ISNUMBER($X271))),"",IF(OR(INDEX('得意先'!$D$5:$D$104,$W271)="",INDEX('得意先'!$E$5:$E$104,$W271)="",INDEX('得意先'!$F$5:$F$104,$W271)=""),"",IF(INDEX('得意先'!$F$5:$F$104,$W271)="末",DATE(YEAR($X271),(MONTH($X271)+IF(INDEX('得意先'!$D$5:$D$104,$W271)="末",0,IF(DAY($X271)&lt;=INDEX('得意先'!$D$5:$D$104,$W271),0,1))+N(INDEX('得意先'!$E$5:$E$104,$W271)))+1,0),DATE(YEAR($X271),(MONTH($X271)+IF(INDEX('得意先'!$D$5:$D$104,$W271)="末",0,IF(DAY($X271)&lt;=INDEX('得意先'!$D$5:$D$104,$W271),0,1))+N(INDEX('得意先'!$E$5:$E$104,$W271))),MIN(INDEX('得意先'!$F$5:$F$104,$W271),DAY(DATE(YEAR($X271),(MONTH($X271)+IF(INDEX('得意先'!$D$5:$D$104,$W271)="末",0,IF(DAY($X271)&lt;=INDEX('得意先'!$D$5:$D$104,$W271),0,1))+N(INDEX('得意先'!$E$5:$E$104,$W271)))+1,0)))))))</f>
        <v/>
      </c>
      <c r="N271" s="26" t="n"/>
      <c r="O271" s="29">
        <f>IF($A271="","",IF(ISNUMBER($N271),$N271,$M271))</f>
        <v/>
      </c>
      <c r="P271" s="28">
        <f>IF($A271="","",SUMIF('入金消込'!$F$5:$F$1004,$A271,'入金消込'!$G$5:$G$1004))</f>
        <v/>
      </c>
      <c r="Q271" s="28">
        <f>IF($A271="","",SUMIF('入金消込'!$F$5:$F$1004,$A271,'入金消込'!$H$5:$H$1004)+SUMIF('入金消込'!$F$5:$F$1004,$A271,'入金消込'!$I$5:$I$1004))</f>
        <v/>
      </c>
      <c r="R271" s="28">
        <f>IF($A271="","",$L271-$P271-$Q271)</f>
        <v/>
      </c>
      <c r="S271" s="30">
        <f>IF($A271="","",IF($R271=0,IF($L271=0,"請求額0","回収済"),IF($L271&lt;0,IF($R271&lt;0,"差し引き待ち","差し引きすぎ"),IF($R271&lt;0,"入金が多い",IF($P271+$Q271=0,"未入金","一部入金")))))</f>
        <v/>
      </c>
      <c r="T271" s="31">
        <f>IF(OR($A271="",N($R271)&lt;=0,NOT(ISNUMBER($O271))),"",IF($O271&lt;'設定'!$B$7,'設定'!$B$7-$O271,""))</f>
        <v/>
      </c>
      <c r="U271" s="30">
        <f>IF(OR($A271="",N($R271)&lt;=0),"",IF(NOT(ISNUMBER($O271)),'設定'!$B$22,IF($O271&gt;='設定'!$B$7,'設定'!$B$17,IF('設定'!$B$7-$O271&lt;='設定'!$B$12,'設定'!$B$18,IF('設定'!$B$7-$O271&lt;='設定'!$B$13,'設定'!$B$19,IF('設定'!$B$7-$O271&lt;='設定'!$B$14,'設定'!$B$20,'設定'!$B$21))))))</f>
        <v/>
      </c>
      <c r="V271" s="56" t="n"/>
      <c r="W271" s="32">
        <f>IF($C271="","",IFERROR(MATCH($C271,'得意先'!$B$5:$B$104,0),"なし"))</f>
        <v/>
      </c>
      <c r="X271" s="33">
        <f>IF($A271="","",IF(ISNUMBER($E271),$E271,IF(ISNUMBER($B271),$B271,"")))</f>
        <v/>
      </c>
      <c r="Y271" s="34">
        <f>IF($T271="","",$O271+ROW()/1000000)</f>
        <v/>
      </c>
      <c r="Z271" s="35">
        <f>IF(OR($A271="",$C271="",$C271&lt;&gt;'売掛帳'!$B$3,NOT(ISNUMBER($X271))),"",IF(AND($X271&gt;='売掛帳'!$Q$3,$X271&lt;='売掛帳'!$Q$4),$X271+ROW()/10000000,""))</f>
        <v/>
      </c>
    </row>
    <row r="272" ht="18" customHeight="1">
      <c r="A272" s="18" t="n"/>
      <c r="B272" s="26" t="n"/>
      <c r="C272" s="18" t="n"/>
      <c r="D272" s="20">
        <f>IF($W272="","",IF($W272="なし","※得意先にないコード",INDEX('得意先'!$C$5:$C$104,$W272)&amp;""))</f>
        <v/>
      </c>
      <c r="E272" s="26" t="n"/>
      <c r="F272" s="19" t="n"/>
      <c r="G272" s="27" t="n"/>
      <c r="H272" s="27" t="n"/>
      <c r="I272" s="27" t="n"/>
      <c r="J272" s="28">
        <f>IF($A272="","",IF('設定'!$B$10="四捨五入",ROUND(IF('設定'!$B$9="税込",N($G272)*10/110,N($G272)*10/100),0),IF('設定'!$B$10="切り上げ",ROUNDUP(IF('設定'!$B$9="税込",N($G272)*10/110,N($G272)*10/100),0),ROUNDDOWN(IF('設定'!$B$9="税込",N($G272)*10/110,N($G272)*10/100),0))))</f>
        <v/>
      </c>
      <c r="K272" s="28">
        <f>IF($A272="","",IF('設定'!$B$10="四捨五入",ROUND(IF('設定'!$B$9="税込",N($H272)*8/108,N($H272)*8/100),0),IF('設定'!$B$10="切り上げ",ROUNDUP(IF('設定'!$B$9="税込",N($H272)*8/108,N($H272)*8/100),0),ROUNDDOWN(IF('設定'!$B$9="税込",N($H272)*8/108,N($H272)*8/100),0))))</f>
        <v/>
      </c>
      <c r="L272" s="28">
        <f>IF($A272="","",N($G272)+N($H272)+N($I272)+IF('設定'!$B$9="税込",0,$J272+$K272))</f>
        <v/>
      </c>
      <c r="M272" s="29">
        <f>IF(OR($A272="",NOT(ISNUMBER($W272)),NOT(ISNUMBER($X272))),"",IF(OR(INDEX('得意先'!$D$5:$D$104,$W272)="",INDEX('得意先'!$E$5:$E$104,$W272)="",INDEX('得意先'!$F$5:$F$104,$W272)=""),"",IF(INDEX('得意先'!$F$5:$F$104,$W272)="末",DATE(YEAR($X272),(MONTH($X272)+IF(INDEX('得意先'!$D$5:$D$104,$W272)="末",0,IF(DAY($X272)&lt;=INDEX('得意先'!$D$5:$D$104,$W272),0,1))+N(INDEX('得意先'!$E$5:$E$104,$W272)))+1,0),DATE(YEAR($X272),(MONTH($X272)+IF(INDEX('得意先'!$D$5:$D$104,$W272)="末",0,IF(DAY($X272)&lt;=INDEX('得意先'!$D$5:$D$104,$W272),0,1))+N(INDEX('得意先'!$E$5:$E$104,$W272))),MIN(INDEX('得意先'!$F$5:$F$104,$W272),DAY(DATE(YEAR($X272),(MONTH($X272)+IF(INDEX('得意先'!$D$5:$D$104,$W272)="末",0,IF(DAY($X272)&lt;=INDEX('得意先'!$D$5:$D$104,$W272),0,1))+N(INDEX('得意先'!$E$5:$E$104,$W272)))+1,0)))))))</f>
        <v/>
      </c>
      <c r="N272" s="26" t="n"/>
      <c r="O272" s="29">
        <f>IF($A272="","",IF(ISNUMBER($N272),$N272,$M272))</f>
        <v/>
      </c>
      <c r="P272" s="28">
        <f>IF($A272="","",SUMIF('入金消込'!$F$5:$F$1004,$A272,'入金消込'!$G$5:$G$1004))</f>
        <v/>
      </c>
      <c r="Q272" s="28">
        <f>IF($A272="","",SUMIF('入金消込'!$F$5:$F$1004,$A272,'入金消込'!$H$5:$H$1004)+SUMIF('入金消込'!$F$5:$F$1004,$A272,'入金消込'!$I$5:$I$1004))</f>
        <v/>
      </c>
      <c r="R272" s="28">
        <f>IF($A272="","",$L272-$P272-$Q272)</f>
        <v/>
      </c>
      <c r="S272" s="30">
        <f>IF($A272="","",IF($R272=0,IF($L272=0,"請求額0","回収済"),IF($L272&lt;0,IF($R272&lt;0,"差し引き待ち","差し引きすぎ"),IF($R272&lt;0,"入金が多い",IF($P272+$Q272=0,"未入金","一部入金")))))</f>
        <v/>
      </c>
      <c r="T272" s="31">
        <f>IF(OR($A272="",N($R272)&lt;=0,NOT(ISNUMBER($O272))),"",IF($O272&lt;'設定'!$B$7,'設定'!$B$7-$O272,""))</f>
        <v/>
      </c>
      <c r="U272" s="30">
        <f>IF(OR($A272="",N($R272)&lt;=0),"",IF(NOT(ISNUMBER($O272)),'設定'!$B$22,IF($O272&gt;='設定'!$B$7,'設定'!$B$17,IF('設定'!$B$7-$O272&lt;='設定'!$B$12,'設定'!$B$18,IF('設定'!$B$7-$O272&lt;='設定'!$B$13,'設定'!$B$19,IF('設定'!$B$7-$O272&lt;='設定'!$B$14,'設定'!$B$20,'設定'!$B$21))))))</f>
        <v/>
      </c>
      <c r="V272" s="56" t="n"/>
      <c r="W272" s="32">
        <f>IF($C272="","",IFERROR(MATCH($C272,'得意先'!$B$5:$B$104,0),"なし"))</f>
        <v/>
      </c>
      <c r="X272" s="33">
        <f>IF($A272="","",IF(ISNUMBER($E272),$E272,IF(ISNUMBER($B272),$B272,"")))</f>
        <v/>
      </c>
      <c r="Y272" s="34">
        <f>IF($T272="","",$O272+ROW()/1000000)</f>
        <v/>
      </c>
      <c r="Z272" s="35">
        <f>IF(OR($A272="",$C272="",$C272&lt;&gt;'売掛帳'!$B$3,NOT(ISNUMBER($X272))),"",IF(AND($X272&gt;='売掛帳'!$Q$3,$X272&lt;='売掛帳'!$Q$4),$X272+ROW()/10000000,""))</f>
        <v/>
      </c>
    </row>
    <row r="273" ht="18" customHeight="1">
      <c r="A273" s="18" t="n"/>
      <c r="B273" s="26" t="n"/>
      <c r="C273" s="18" t="n"/>
      <c r="D273" s="20">
        <f>IF($W273="","",IF($W273="なし","※得意先にないコード",INDEX('得意先'!$C$5:$C$104,$W273)&amp;""))</f>
        <v/>
      </c>
      <c r="E273" s="26" t="n"/>
      <c r="F273" s="19" t="n"/>
      <c r="G273" s="27" t="n"/>
      <c r="H273" s="27" t="n"/>
      <c r="I273" s="27" t="n"/>
      <c r="J273" s="28">
        <f>IF($A273="","",IF('設定'!$B$10="四捨五入",ROUND(IF('設定'!$B$9="税込",N($G273)*10/110,N($G273)*10/100),0),IF('設定'!$B$10="切り上げ",ROUNDUP(IF('設定'!$B$9="税込",N($G273)*10/110,N($G273)*10/100),0),ROUNDDOWN(IF('設定'!$B$9="税込",N($G273)*10/110,N($G273)*10/100),0))))</f>
        <v/>
      </c>
      <c r="K273" s="28">
        <f>IF($A273="","",IF('設定'!$B$10="四捨五入",ROUND(IF('設定'!$B$9="税込",N($H273)*8/108,N($H273)*8/100),0),IF('設定'!$B$10="切り上げ",ROUNDUP(IF('設定'!$B$9="税込",N($H273)*8/108,N($H273)*8/100),0),ROUNDDOWN(IF('設定'!$B$9="税込",N($H273)*8/108,N($H273)*8/100),0))))</f>
        <v/>
      </c>
      <c r="L273" s="28">
        <f>IF($A273="","",N($G273)+N($H273)+N($I273)+IF('設定'!$B$9="税込",0,$J273+$K273))</f>
        <v/>
      </c>
      <c r="M273" s="29">
        <f>IF(OR($A273="",NOT(ISNUMBER($W273)),NOT(ISNUMBER($X273))),"",IF(OR(INDEX('得意先'!$D$5:$D$104,$W273)="",INDEX('得意先'!$E$5:$E$104,$W273)="",INDEX('得意先'!$F$5:$F$104,$W273)=""),"",IF(INDEX('得意先'!$F$5:$F$104,$W273)="末",DATE(YEAR($X273),(MONTH($X273)+IF(INDEX('得意先'!$D$5:$D$104,$W273)="末",0,IF(DAY($X273)&lt;=INDEX('得意先'!$D$5:$D$104,$W273),0,1))+N(INDEX('得意先'!$E$5:$E$104,$W273)))+1,0),DATE(YEAR($X273),(MONTH($X273)+IF(INDEX('得意先'!$D$5:$D$104,$W273)="末",0,IF(DAY($X273)&lt;=INDEX('得意先'!$D$5:$D$104,$W273),0,1))+N(INDEX('得意先'!$E$5:$E$104,$W273))),MIN(INDEX('得意先'!$F$5:$F$104,$W273),DAY(DATE(YEAR($X273),(MONTH($X273)+IF(INDEX('得意先'!$D$5:$D$104,$W273)="末",0,IF(DAY($X273)&lt;=INDEX('得意先'!$D$5:$D$104,$W273),0,1))+N(INDEX('得意先'!$E$5:$E$104,$W273)))+1,0)))))))</f>
        <v/>
      </c>
      <c r="N273" s="26" t="n"/>
      <c r="O273" s="29">
        <f>IF($A273="","",IF(ISNUMBER($N273),$N273,$M273))</f>
        <v/>
      </c>
      <c r="P273" s="28">
        <f>IF($A273="","",SUMIF('入金消込'!$F$5:$F$1004,$A273,'入金消込'!$G$5:$G$1004))</f>
        <v/>
      </c>
      <c r="Q273" s="28">
        <f>IF($A273="","",SUMIF('入金消込'!$F$5:$F$1004,$A273,'入金消込'!$H$5:$H$1004)+SUMIF('入金消込'!$F$5:$F$1004,$A273,'入金消込'!$I$5:$I$1004))</f>
        <v/>
      </c>
      <c r="R273" s="28">
        <f>IF($A273="","",$L273-$P273-$Q273)</f>
        <v/>
      </c>
      <c r="S273" s="30">
        <f>IF($A273="","",IF($R273=0,IF($L273=0,"請求額0","回収済"),IF($L273&lt;0,IF($R273&lt;0,"差し引き待ち","差し引きすぎ"),IF($R273&lt;0,"入金が多い",IF($P273+$Q273=0,"未入金","一部入金")))))</f>
        <v/>
      </c>
      <c r="T273" s="31">
        <f>IF(OR($A273="",N($R273)&lt;=0,NOT(ISNUMBER($O273))),"",IF($O273&lt;'設定'!$B$7,'設定'!$B$7-$O273,""))</f>
        <v/>
      </c>
      <c r="U273" s="30">
        <f>IF(OR($A273="",N($R273)&lt;=0),"",IF(NOT(ISNUMBER($O273)),'設定'!$B$22,IF($O273&gt;='設定'!$B$7,'設定'!$B$17,IF('設定'!$B$7-$O273&lt;='設定'!$B$12,'設定'!$B$18,IF('設定'!$B$7-$O273&lt;='設定'!$B$13,'設定'!$B$19,IF('設定'!$B$7-$O273&lt;='設定'!$B$14,'設定'!$B$20,'設定'!$B$21))))))</f>
        <v/>
      </c>
      <c r="V273" s="56" t="n"/>
      <c r="W273" s="32">
        <f>IF($C273="","",IFERROR(MATCH($C273,'得意先'!$B$5:$B$104,0),"なし"))</f>
        <v/>
      </c>
      <c r="X273" s="33">
        <f>IF($A273="","",IF(ISNUMBER($E273),$E273,IF(ISNUMBER($B273),$B273,"")))</f>
        <v/>
      </c>
      <c r="Y273" s="34">
        <f>IF($T273="","",$O273+ROW()/1000000)</f>
        <v/>
      </c>
      <c r="Z273" s="35">
        <f>IF(OR($A273="",$C273="",$C273&lt;&gt;'売掛帳'!$B$3,NOT(ISNUMBER($X273))),"",IF(AND($X273&gt;='売掛帳'!$Q$3,$X273&lt;='売掛帳'!$Q$4),$X273+ROW()/10000000,""))</f>
        <v/>
      </c>
    </row>
    <row r="274" ht="18" customHeight="1">
      <c r="A274" s="18" t="n"/>
      <c r="B274" s="26" t="n"/>
      <c r="C274" s="18" t="n"/>
      <c r="D274" s="20">
        <f>IF($W274="","",IF($W274="なし","※得意先にないコード",INDEX('得意先'!$C$5:$C$104,$W274)&amp;""))</f>
        <v/>
      </c>
      <c r="E274" s="26" t="n"/>
      <c r="F274" s="19" t="n"/>
      <c r="G274" s="27" t="n"/>
      <c r="H274" s="27" t="n"/>
      <c r="I274" s="27" t="n"/>
      <c r="J274" s="28">
        <f>IF($A274="","",IF('設定'!$B$10="四捨五入",ROUND(IF('設定'!$B$9="税込",N($G274)*10/110,N($G274)*10/100),0),IF('設定'!$B$10="切り上げ",ROUNDUP(IF('設定'!$B$9="税込",N($G274)*10/110,N($G274)*10/100),0),ROUNDDOWN(IF('設定'!$B$9="税込",N($G274)*10/110,N($G274)*10/100),0))))</f>
        <v/>
      </c>
      <c r="K274" s="28">
        <f>IF($A274="","",IF('設定'!$B$10="四捨五入",ROUND(IF('設定'!$B$9="税込",N($H274)*8/108,N($H274)*8/100),0),IF('設定'!$B$10="切り上げ",ROUNDUP(IF('設定'!$B$9="税込",N($H274)*8/108,N($H274)*8/100),0),ROUNDDOWN(IF('設定'!$B$9="税込",N($H274)*8/108,N($H274)*8/100),0))))</f>
        <v/>
      </c>
      <c r="L274" s="28">
        <f>IF($A274="","",N($G274)+N($H274)+N($I274)+IF('設定'!$B$9="税込",0,$J274+$K274))</f>
        <v/>
      </c>
      <c r="M274" s="29">
        <f>IF(OR($A274="",NOT(ISNUMBER($W274)),NOT(ISNUMBER($X274))),"",IF(OR(INDEX('得意先'!$D$5:$D$104,$W274)="",INDEX('得意先'!$E$5:$E$104,$W274)="",INDEX('得意先'!$F$5:$F$104,$W274)=""),"",IF(INDEX('得意先'!$F$5:$F$104,$W274)="末",DATE(YEAR($X274),(MONTH($X274)+IF(INDEX('得意先'!$D$5:$D$104,$W274)="末",0,IF(DAY($X274)&lt;=INDEX('得意先'!$D$5:$D$104,$W274),0,1))+N(INDEX('得意先'!$E$5:$E$104,$W274)))+1,0),DATE(YEAR($X274),(MONTH($X274)+IF(INDEX('得意先'!$D$5:$D$104,$W274)="末",0,IF(DAY($X274)&lt;=INDEX('得意先'!$D$5:$D$104,$W274),0,1))+N(INDEX('得意先'!$E$5:$E$104,$W274))),MIN(INDEX('得意先'!$F$5:$F$104,$W274),DAY(DATE(YEAR($X274),(MONTH($X274)+IF(INDEX('得意先'!$D$5:$D$104,$W274)="末",0,IF(DAY($X274)&lt;=INDEX('得意先'!$D$5:$D$104,$W274),0,1))+N(INDEX('得意先'!$E$5:$E$104,$W274)))+1,0)))))))</f>
        <v/>
      </c>
      <c r="N274" s="26" t="n"/>
      <c r="O274" s="29">
        <f>IF($A274="","",IF(ISNUMBER($N274),$N274,$M274))</f>
        <v/>
      </c>
      <c r="P274" s="28">
        <f>IF($A274="","",SUMIF('入金消込'!$F$5:$F$1004,$A274,'入金消込'!$G$5:$G$1004))</f>
        <v/>
      </c>
      <c r="Q274" s="28">
        <f>IF($A274="","",SUMIF('入金消込'!$F$5:$F$1004,$A274,'入金消込'!$H$5:$H$1004)+SUMIF('入金消込'!$F$5:$F$1004,$A274,'入金消込'!$I$5:$I$1004))</f>
        <v/>
      </c>
      <c r="R274" s="28">
        <f>IF($A274="","",$L274-$P274-$Q274)</f>
        <v/>
      </c>
      <c r="S274" s="30">
        <f>IF($A274="","",IF($R274=0,IF($L274=0,"請求額0","回収済"),IF($L274&lt;0,IF($R274&lt;0,"差し引き待ち","差し引きすぎ"),IF($R274&lt;0,"入金が多い",IF($P274+$Q274=0,"未入金","一部入金")))))</f>
        <v/>
      </c>
      <c r="T274" s="31">
        <f>IF(OR($A274="",N($R274)&lt;=0,NOT(ISNUMBER($O274))),"",IF($O274&lt;'設定'!$B$7,'設定'!$B$7-$O274,""))</f>
        <v/>
      </c>
      <c r="U274" s="30">
        <f>IF(OR($A274="",N($R274)&lt;=0),"",IF(NOT(ISNUMBER($O274)),'設定'!$B$22,IF($O274&gt;='設定'!$B$7,'設定'!$B$17,IF('設定'!$B$7-$O274&lt;='設定'!$B$12,'設定'!$B$18,IF('設定'!$B$7-$O274&lt;='設定'!$B$13,'設定'!$B$19,IF('設定'!$B$7-$O274&lt;='設定'!$B$14,'設定'!$B$20,'設定'!$B$21))))))</f>
        <v/>
      </c>
      <c r="V274" s="56" t="n"/>
      <c r="W274" s="32">
        <f>IF($C274="","",IFERROR(MATCH($C274,'得意先'!$B$5:$B$104,0),"なし"))</f>
        <v/>
      </c>
      <c r="X274" s="33">
        <f>IF($A274="","",IF(ISNUMBER($E274),$E274,IF(ISNUMBER($B274),$B274,"")))</f>
        <v/>
      </c>
      <c r="Y274" s="34">
        <f>IF($T274="","",$O274+ROW()/1000000)</f>
        <v/>
      </c>
      <c r="Z274" s="35">
        <f>IF(OR($A274="",$C274="",$C274&lt;&gt;'売掛帳'!$B$3,NOT(ISNUMBER($X274))),"",IF(AND($X274&gt;='売掛帳'!$Q$3,$X274&lt;='売掛帳'!$Q$4),$X274+ROW()/10000000,""))</f>
        <v/>
      </c>
    </row>
    <row r="275" ht="18" customHeight="1">
      <c r="A275" s="18" t="n"/>
      <c r="B275" s="26" t="n"/>
      <c r="C275" s="18" t="n"/>
      <c r="D275" s="20">
        <f>IF($W275="","",IF($W275="なし","※得意先にないコード",INDEX('得意先'!$C$5:$C$104,$W275)&amp;""))</f>
        <v/>
      </c>
      <c r="E275" s="26" t="n"/>
      <c r="F275" s="19" t="n"/>
      <c r="G275" s="27" t="n"/>
      <c r="H275" s="27" t="n"/>
      <c r="I275" s="27" t="n"/>
      <c r="J275" s="28">
        <f>IF($A275="","",IF('設定'!$B$10="四捨五入",ROUND(IF('設定'!$B$9="税込",N($G275)*10/110,N($G275)*10/100),0),IF('設定'!$B$10="切り上げ",ROUNDUP(IF('設定'!$B$9="税込",N($G275)*10/110,N($G275)*10/100),0),ROUNDDOWN(IF('設定'!$B$9="税込",N($G275)*10/110,N($G275)*10/100),0))))</f>
        <v/>
      </c>
      <c r="K275" s="28">
        <f>IF($A275="","",IF('設定'!$B$10="四捨五入",ROUND(IF('設定'!$B$9="税込",N($H275)*8/108,N($H275)*8/100),0),IF('設定'!$B$10="切り上げ",ROUNDUP(IF('設定'!$B$9="税込",N($H275)*8/108,N($H275)*8/100),0),ROUNDDOWN(IF('設定'!$B$9="税込",N($H275)*8/108,N($H275)*8/100),0))))</f>
        <v/>
      </c>
      <c r="L275" s="28">
        <f>IF($A275="","",N($G275)+N($H275)+N($I275)+IF('設定'!$B$9="税込",0,$J275+$K275))</f>
        <v/>
      </c>
      <c r="M275" s="29">
        <f>IF(OR($A275="",NOT(ISNUMBER($W275)),NOT(ISNUMBER($X275))),"",IF(OR(INDEX('得意先'!$D$5:$D$104,$W275)="",INDEX('得意先'!$E$5:$E$104,$W275)="",INDEX('得意先'!$F$5:$F$104,$W275)=""),"",IF(INDEX('得意先'!$F$5:$F$104,$W275)="末",DATE(YEAR($X275),(MONTH($X275)+IF(INDEX('得意先'!$D$5:$D$104,$W275)="末",0,IF(DAY($X275)&lt;=INDEX('得意先'!$D$5:$D$104,$W275),0,1))+N(INDEX('得意先'!$E$5:$E$104,$W275)))+1,0),DATE(YEAR($X275),(MONTH($X275)+IF(INDEX('得意先'!$D$5:$D$104,$W275)="末",0,IF(DAY($X275)&lt;=INDEX('得意先'!$D$5:$D$104,$W275),0,1))+N(INDEX('得意先'!$E$5:$E$104,$W275))),MIN(INDEX('得意先'!$F$5:$F$104,$W275),DAY(DATE(YEAR($X275),(MONTH($X275)+IF(INDEX('得意先'!$D$5:$D$104,$W275)="末",0,IF(DAY($X275)&lt;=INDEX('得意先'!$D$5:$D$104,$W275),0,1))+N(INDEX('得意先'!$E$5:$E$104,$W275)))+1,0)))))))</f>
        <v/>
      </c>
      <c r="N275" s="26" t="n"/>
      <c r="O275" s="29">
        <f>IF($A275="","",IF(ISNUMBER($N275),$N275,$M275))</f>
        <v/>
      </c>
      <c r="P275" s="28">
        <f>IF($A275="","",SUMIF('入金消込'!$F$5:$F$1004,$A275,'入金消込'!$G$5:$G$1004))</f>
        <v/>
      </c>
      <c r="Q275" s="28">
        <f>IF($A275="","",SUMIF('入金消込'!$F$5:$F$1004,$A275,'入金消込'!$H$5:$H$1004)+SUMIF('入金消込'!$F$5:$F$1004,$A275,'入金消込'!$I$5:$I$1004))</f>
        <v/>
      </c>
      <c r="R275" s="28">
        <f>IF($A275="","",$L275-$P275-$Q275)</f>
        <v/>
      </c>
      <c r="S275" s="30">
        <f>IF($A275="","",IF($R275=0,IF($L275=0,"請求額0","回収済"),IF($L275&lt;0,IF($R275&lt;0,"差し引き待ち","差し引きすぎ"),IF($R275&lt;0,"入金が多い",IF($P275+$Q275=0,"未入金","一部入金")))))</f>
        <v/>
      </c>
      <c r="T275" s="31">
        <f>IF(OR($A275="",N($R275)&lt;=0,NOT(ISNUMBER($O275))),"",IF($O275&lt;'設定'!$B$7,'設定'!$B$7-$O275,""))</f>
        <v/>
      </c>
      <c r="U275" s="30">
        <f>IF(OR($A275="",N($R275)&lt;=0),"",IF(NOT(ISNUMBER($O275)),'設定'!$B$22,IF($O275&gt;='設定'!$B$7,'設定'!$B$17,IF('設定'!$B$7-$O275&lt;='設定'!$B$12,'設定'!$B$18,IF('設定'!$B$7-$O275&lt;='設定'!$B$13,'設定'!$B$19,IF('設定'!$B$7-$O275&lt;='設定'!$B$14,'設定'!$B$20,'設定'!$B$21))))))</f>
        <v/>
      </c>
      <c r="V275" s="56" t="n"/>
      <c r="W275" s="32">
        <f>IF($C275="","",IFERROR(MATCH($C275,'得意先'!$B$5:$B$104,0),"なし"))</f>
        <v/>
      </c>
      <c r="X275" s="33">
        <f>IF($A275="","",IF(ISNUMBER($E275),$E275,IF(ISNUMBER($B275),$B275,"")))</f>
        <v/>
      </c>
      <c r="Y275" s="34">
        <f>IF($T275="","",$O275+ROW()/1000000)</f>
        <v/>
      </c>
      <c r="Z275" s="35">
        <f>IF(OR($A275="",$C275="",$C275&lt;&gt;'売掛帳'!$B$3,NOT(ISNUMBER($X275))),"",IF(AND($X275&gt;='売掛帳'!$Q$3,$X275&lt;='売掛帳'!$Q$4),$X275+ROW()/10000000,""))</f>
        <v/>
      </c>
    </row>
    <row r="276" ht="18" customHeight="1">
      <c r="A276" s="18" t="n"/>
      <c r="B276" s="26" t="n"/>
      <c r="C276" s="18" t="n"/>
      <c r="D276" s="20">
        <f>IF($W276="","",IF($W276="なし","※得意先にないコード",INDEX('得意先'!$C$5:$C$104,$W276)&amp;""))</f>
        <v/>
      </c>
      <c r="E276" s="26" t="n"/>
      <c r="F276" s="19" t="n"/>
      <c r="G276" s="27" t="n"/>
      <c r="H276" s="27" t="n"/>
      <c r="I276" s="27" t="n"/>
      <c r="J276" s="28">
        <f>IF($A276="","",IF('設定'!$B$10="四捨五入",ROUND(IF('設定'!$B$9="税込",N($G276)*10/110,N($G276)*10/100),0),IF('設定'!$B$10="切り上げ",ROUNDUP(IF('設定'!$B$9="税込",N($G276)*10/110,N($G276)*10/100),0),ROUNDDOWN(IF('設定'!$B$9="税込",N($G276)*10/110,N($G276)*10/100),0))))</f>
        <v/>
      </c>
      <c r="K276" s="28">
        <f>IF($A276="","",IF('設定'!$B$10="四捨五入",ROUND(IF('設定'!$B$9="税込",N($H276)*8/108,N($H276)*8/100),0),IF('設定'!$B$10="切り上げ",ROUNDUP(IF('設定'!$B$9="税込",N($H276)*8/108,N($H276)*8/100),0),ROUNDDOWN(IF('設定'!$B$9="税込",N($H276)*8/108,N($H276)*8/100),0))))</f>
        <v/>
      </c>
      <c r="L276" s="28">
        <f>IF($A276="","",N($G276)+N($H276)+N($I276)+IF('設定'!$B$9="税込",0,$J276+$K276))</f>
        <v/>
      </c>
      <c r="M276" s="29">
        <f>IF(OR($A276="",NOT(ISNUMBER($W276)),NOT(ISNUMBER($X276))),"",IF(OR(INDEX('得意先'!$D$5:$D$104,$W276)="",INDEX('得意先'!$E$5:$E$104,$W276)="",INDEX('得意先'!$F$5:$F$104,$W276)=""),"",IF(INDEX('得意先'!$F$5:$F$104,$W276)="末",DATE(YEAR($X276),(MONTH($X276)+IF(INDEX('得意先'!$D$5:$D$104,$W276)="末",0,IF(DAY($X276)&lt;=INDEX('得意先'!$D$5:$D$104,$W276),0,1))+N(INDEX('得意先'!$E$5:$E$104,$W276)))+1,0),DATE(YEAR($X276),(MONTH($X276)+IF(INDEX('得意先'!$D$5:$D$104,$W276)="末",0,IF(DAY($X276)&lt;=INDEX('得意先'!$D$5:$D$104,$W276),0,1))+N(INDEX('得意先'!$E$5:$E$104,$W276))),MIN(INDEX('得意先'!$F$5:$F$104,$W276),DAY(DATE(YEAR($X276),(MONTH($X276)+IF(INDEX('得意先'!$D$5:$D$104,$W276)="末",0,IF(DAY($X276)&lt;=INDEX('得意先'!$D$5:$D$104,$W276),0,1))+N(INDEX('得意先'!$E$5:$E$104,$W276)))+1,0)))))))</f>
        <v/>
      </c>
      <c r="N276" s="26" t="n"/>
      <c r="O276" s="29">
        <f>IF($A276="","",IF(ISNUMBER($N276),$N276,$M276))</f>
        <v/>
      </c>
      <c r="P276" s="28">
        <f>IF($A276="","",SUMIF('入金消込'!$F$5:$F$1004,$A276,'入金消込'!$G$5:$G$1004))</f>
        <v/>
      </c>
      <c r="Q276" s="28">
        <f>IF($A276="","",SUMIF('入金消込'!$F$5:$F$1004,$A276,'入金消込'!$H$5:$H$1004)+SUMIF('入金消込'!$F$5:$F$1004,$A276,'入金消込'!$I$5:$I$1004))</f>
        <v/>
      </c>
      <c r="R276" s="28">
        <f>IF($A276="","",$L276-$P276-$Q276)</f>
        <v/>
      </c>
      <c r="S276" s="30">
        <f>IF($A276="","",IF($R276=0,IF($L276=0,"請求額0","回収済"),IF($L276&lt;0,IF($R276&lt;0,"差し引き待ち","差し引きすぎ"),IF($R276&lt;0,"入金が多い",IF($P276+$Q276=0,"未入金","一部入金")))))</f>
        <v/>
      </c>
      <c r="T276" s="31">
        <f>IF(OR($A276="",N($R276)&lt;=0,NOT(ISNUMBER($O276))),"",IF($O276&lt;'設定'!$B$7,'設定'!$B$7-$O276,""))</f>
        <v/>
      </c>
      <c r="U276" s="30">
        <f>IF(OR($A276="",N($R276)&lt;=0),"",IF(NOT(ISNUMBER($O276)),'設定'!$B$22,IF($O276&gt;='設定'!$B$7,'設定'!$B$17,IF('設定'!$B$7-$O276&lt;='設定'!$B$12,'設定'!$B$18,IF('設定'!$B$7-$O276&lt;='設定'!$B$13,'設定'!$B$19,IF('設定'!$B$7-$O276&lt;='設定'!$B$14,'設定'!$B$20,'設定'!$B$21))))))</f>
        <v/>
      </c>
      <c r="V276" s="56" t="n"/>
      <c r="W276" s="32">
        <f>IF($C276="","",IFERROR(MATCH($C276,'得意先'!$B$5:$B$104,0),"なし"))</f>
        <v/>
      </c>
      <c r="X276" s="33">
        <f>IF($A276="","",IF(ISNUMBER($E276),$E276,IF(ISNUMBER($B276),$B276,"")))</f>
        <v/>
      </c>
      <c r="Y276" s="34">
        <f>IF($T276="","",$O276+ROW()/1000000)</f>
        <v/>
      </c>
      <c r="Z276" s="35">
        <f>IF(OR($A276="",$C276="",$C276&lt;&gt;'売掛帳'!$B$3,NOT(ISNUMBER($X276))),"",IF(AND($X276&gt;='売掛帳'!$Q$3,$X276&lt;='売掛帳'!$Q$4),$X276+ROW()/10000000,""))</f>
        <v/>
      </c>
    </row>
    <row r="277" ht="18" customHeight="1">
      <c r="A277" s="18" t="n"/>
      <c r="B277" s="26" t="n"/>
      <c r="C277" s="18" t="n"/>
      <c r="D277" s="20">
        <f>IF($W277="","",IF($W277="なし","※得意先にないコード",INDEX('得意先'!$C$5:$C$104,$W277)&amp;""))</f>
        <v/>
      </c>
      <c r="E277" s="26" t="n"/>
      <c r="F277" s="19" t="n"/>
      <c r="G277" s="27" t="n"/>
      <c r="H277" s="27" t="n"/>
      <c r="I277" s="27" t="n"/>
      <c r="J277" s="28">
        <f>IF($A277="","",IF('設定'!$B$10="四捨五入",ROUND(IF('設定'!$B$9="税込",N($G277)*10/110,N($G277)*10/100),0),IF('設定'!$B$10="切り上げ",ROUNDUP(IF('設定'!$B$9="税込",N($G277)*10/110,N($G277)*10/100),0),ROUNDDOWN(IF('設定'!$B$9="税込",N($G277)*10/110,N($G277)*10/100),0))))</f>
        <v/>
      </c>
      <c r="K277" s="28">
        <f>IF($A277="","",IF('設定'!$B$10="四捨五入",ROUND(IF('設定'!$B$9="税込",N($H277)*8/108,N($H277)*8/100),0),IF('設定'!$B$10="切り上げ",ROUNDUP(IF('設定'!$B$9="税込",N($H277)*8/108,N($H277)*8/100),0),ROUNDDOWN(IF('設定'!$B$9="税込",N($H277)*8/108,N($H277)*8/100),0))))</f>
        <v/>
      </c>
      <c r="L277" s="28">
        <f>IF($A277="","",N($G277)+N($H277)+N($I277)+IF('設定'!$B$9="税込",0,$J277+$K277))</f>
        <v/>
      </c>
      <c r="M277" s="29">
        <f>IF(OR($A277="",NOT(ISNUMBER($W277)),NOT(ISNUMBER($X277))),"",IF(OR(INDEX('得意先'!$D$5:$D$104,$W277)="",INDEX('得意先'!$E$5:$E$104,$W277)="",INDEX('得意先'!$F$5:$F$104,$W277)=""),"",IF(INDEX('得意先'!$F$5:$F$104,$W277)="末",DATE(YEAR($X277),(MONTH($X277)+IF(INDEX('得意先'!$D$5:$D$104,$W277)="末",0,IF(DAY($X277)&lt;=INDEX('得意先'!$D$5:$D$104,$W277),0,1))+N(INDEX('得意先'!$E$5:$E$104,$W277)))+1,0),DATE(YEAR($X277),(MONTH($X277)+IF(INDEX('得意先'!$D$5:$D$104,$W277)="末",0,IF(DAY($X277)&lt;=INDEX('得意先'!$D$5:$D$104,$W277),0,1))+N(INDEX('得意先'!$E$5:$E$104,$W277))),MIN(INDEX('得意先'!$F$5:$F$104,$W277),DAY(DATE(YEAR($X277),(MONTH($X277)+IF(INDEX('得意先'!$D$5:$D$104,$W277)="末",0,IF(DAY($X277)&lt;=INDEX('得意先'!$D$5:$D$104,$W277),0,1))+N(INDEX('得意先'!$E$5:$E$104,$W277)))+1,0)))))))</f>
        <v/>
      </c>
      <c r="N277" s="26" t="n"/>
      <c r="O277" s="29">
        <f>IF($A277="","",IF(ISNUMBER($N277),$N277,$M277))</f>
        <v/>
      </c>
      <c r="P277" s="28">
        <f>IF($A277="","",SUMIF('入金消込'!$F$5:$F$1004,$A277,'入金消込'!$G$5:$G$1004))</f>
        <v/>
      </c>
      <c r="Q277" s="28">
        <f>IF($A277="","",SUMIF('入金消込'!$F$5:$F$1004,$A277,'入金消込'!$H$5:$H$1004)+SUMIF('入金消込'!$F$5:$F$1004,$A277,'入金消込'!$I$5:$I$1004))</f>
        <v/>
      </c>
      <c r="R277" s="28">
        <f>IF($A277="","",$L277-$P277-$Q277)</f>
        <v/>
      </c>
      <c r="S277" s="30">
        <f>IF($A277="","",IF($R277=0,IF($L277=0,"請求額0","回収済"),IF($L277&lt;0,IF($R277&lt;0,"差し引き待ち","差し引きすぎ"),IF($R277&lt;0,"入金が多い",IF($P277+$Q277=0,"未入金","一部入金")))))</f>
        <v/>
      </c>
      <c r="T277" s="31">
        <f>IF(OR($A277="",N($R277)&lt;=0,NOT(ISNUMBER($O277))),"",IF($O277&lt;'設定'!$B$7,'設定'!$B$7-$O277,""))</f>
        <v/>
      </c>
      <c r="U277" s="30">
        <f>IF(OR($A277="",N($R277)&lt;=0),"",IF(NOT(ISNUMBER($O277)),'設定'!$B$22,IF($O277&gt;='設定'!$B$7,'設定'!$B$17,IF('設定'!$B$7-$O277&lt;='設定'!$B$12,'設定'!$B$18,IF('設定'!$B$7-$O277&lt;='設定'!$B$13,'設定'!$B$19,IF('設定'!$B$7-$O277&lt;='設定'!$B$14,'設定'!$B$20,'設定'!$B$21))))))</f>
        <v/>
      </c>
      <c r="V277" s="56" t="n"/>
      <c r="W277" s="32">
        <f>IF($C277="","",IFERROR(MATCH($C277,'得意先'!$B$5:$B$104,0),"なし"))</f>
        <v/>
      </c>
      <c r="X277" s="33">
        <f>IF($A277="","",IF(ISNUMBER($E277),$E277,IF(ISNUMBER($B277),$B277,"")))</f>
        <v/>
      </c>
      <c r="Y277" s="34">
        <f>IF($T277="","",$O277+ROW()/1000000)</f>
        <v/>
      </c>
      <c r="Z277" s="35">
        <f>IF(OR($A277="",$C277="",$C277&lt;&gt;'売掛帳'!$B$3,NOT(ISNUMBER($X277))),"",IF(AND($X277&gt;='売掛帳'!$Q$3,$X277&lt;='売掛帳'!$Q$4),$X277+ROW()/10000000,""))</f>
        <v/>
      </c>
    </row>
    <row r="278" ht="18" customHeight="1">
      <c r="A278" s="18" t="n"/>
      <c r="B278" s="26" t="n"/>
      <c r="C278" s="18" t="n"/>
      <c r="D278" s="20">
        <f>IF($W278="","",IF($W278="なし","※得意先にないコード",INDEX('得意先'!$C$5:$C$104,$W278)&amp;""))</f>
        <v/>
      </c>
      <c r="E278" s="26" t="n"/>
      <c r="F278" s="19" t="n"/>
      <c r="G278" s="27" t="n"/>
      <c r="H278" s="27" t="n"/>
      <c r="I278" s="27" t="n"/>
      <c r="J278" s="28">
        <f>IF($A278="","",IF('設定'!$B$10="四捨五入",ROUND(IF('設定'!$B$9="税込",N($G278)*10/110,N($G278)*10/100),0),IF('設定'!$B$10="切り上げ",ROUNDUP(IF('設定'!$B$9="税込",N($G278)*10/110,N($G278)*10/100),0),ROUNDDOWN(IF('設定'!$B$9="税込",N($G278)*10/110,N($G278)*10/100),0))))</f>
        <v/>
      </c>
      <c r="K278" s="28">
        <f>IF($A278="","",IF('設定'!$B$10="四捨五入",ROUND(IF('設定'!$B$9="税込",N($H278)*8/108,N($H278)*8/100),0),IF('設定'!$B$10="切り上げ",ROUNDUP(IF('設定'!$B$9="税込",N($H278)*8/108,N($H278)*8/100),0),ROUNDDOWN(IF('設定'!$B$9="税込",N($H278)*8/108,N($H278)*8/100),0))))</f>
        <v/>
      </c>
      <c r="L278" s="28">
        <f>IF($A278="","",N($G278)+N($H278)+N($I278)+IF('設定'!$B$9="税込",0,$J278+$K278))</f>
        <v/>
      </c>
      <c r="M278" s="29">
        <f>IF(OR($A278="",NOT(ISNUMBER($W278)),NOT(ISNUMBER($X278))),"",IF(OR(INDEX('得意先'!$D$5:$D$104,$W278)="",INDEX('得意先'!$E$5:$E$104,$W278)="",INDEX('得意先'!$F$5:$F$104,$W278)=""),"",IF(INDEX('得意先'!$F$5:$F$104,$W278)="末",DATE(YEAR($X278),(MONTH($X278)+IF(INDEX('得意先'!$D$5:$D$104,$W278)="末",0,IF(DAY($X278)&lt;=INDEX('得意先'!$D$5:$D$104,$W278),0,1))+N(INDEX('得意先'!$E$5:$E$104,$W278)))+1,0),DATE(YEAR($X278),(MONTH($X278)+IF(INDEX('得意先'!$D$5:$D$104,$W278)="末",0,IF(DAY($X278)&lt;=INDEX('得意先'!$D$5:$D$104,$W278),0,1))+N(INDEX('得意先'!$E$5:$E$104,$W278))),MIN(INDEX('得意先'!$F$5:$F$104,$W278),DAY(DATE(YEAR($X278),(MONTH($X278)+IF(INDEX('得意先'!$D$5:$D$104,$W278)="末",0,IF(DAY($X278)&lt;=INDEX('得意先'!$D$5:$D$104,$W278),0,1))+N(INDEX('得意先'!$E$5:$E$104,$W278)))+1,0)))))))</f>
        <v/>
      </c>
      <c r="N278" s="26" t="n"/>
      <c r="O278" s="29">
        <f>IF($A278="","",IF(ISNUMBER($N278),$N278,$M278))</f>
        <v/>
      </c>
      <c r="P278" s="28">
        <f>IF($A278="","",SUMIF('入金消込'!$F$5:$F$1004,$A278,'入金消込'!$G$5:$G$1004))</f>
        <v/>
      </c>
      <c r="Q278" s="28">
        <f>IF($A278="","",SUMIF('入金消込'!$F$5:$F$1004,$A278,'入金消込'!$H$5:$H$1004)+SUMIF('入金消込'!$F$5:$F$1004,$A278,'入金消込'!$I$5:$I$1004))</f>
        <v/>
      </c>
      <c r="R278" s="28">
        <f>IF($A278="","",$L278-$P278-$Q278)</f>
        <v/>
      </c>
      <c r="S278" s="30">
        <f>IF($A278="","",IF($R278=0,IF($L278=0,"請求額0","回収済"),IF($L278&lt;0,IF($R278&lt;0,"差し引き待ち","差し引きすぎ"),IF($R278&lt;0,"入金が多い",IF($P278+$Q278=0,"未入金","一部入金")))))</f>
        <v/>
      </c>
      <c r="T278" s="31">
        <f>IF(OR($A278="",N($R278)&lt;=0,NOT(ISNUMBER($O278))),"",IF($O278&lt;'設定'!$B$7,'設定'!$B$7-$O278,""))</f>
        <v/>
      </c>
      <c r="U278" s="30">
        <f>IF(OR($A278="",N($R278)&lt;=0),"",IF(NOT(ISNUMBER($O278)),'設定'!$B$22,IF($O278&gt;='設定'!$B$7,'設定'!$B$17,IF('設定'!$B$7-$O278&lt;='設定'!$B$12,'設定'!$B$18,IF('設定'!$B$7-$O278&lt;='設定'!$B$13,'設定'!$B$19,IF('設定'!$B$7-$O278&lt;='設定'!$B$14,'設定'!$B$20,'設定'!$B$21))))))</f>
        <v/>
      </c>
      <c r="V278" s="56" t="n"/>
      <c r="W278" s="32">
        <f>IF($C278="","",IFERROR(MATCH($C278,'得意先'!$B$5:$B$104,0),"なし"))</f>
        <v/>
      </c>
      <c r="X278" s="33">
        <f>IF($A278="","",IF(ISNUMBER($E278),$E278,IF(ISNUMBER($B278),$B278,"")))</f>
        <v/>
      </c>
      <c r="Y278" s="34">
        <f>IF($T278="","",$O278+ROW()/1000000)</f>
        <v/>
      </c>
      <c r="Z278" s="35">
        <f>IF(OR($A278="",$C278="",$C278&lt;&gt;'売掛帳'!$B$3,NOT(ISNUMBER($X278))),"",IF(AND($X278&gt;='売掛帳'!$Q$3,$X278&lt;='売掛帳'!$Q$4),$X278+ROW()/10000000,""))</f>
        <v/>
      </c>
    </row>
    <row r="279" ht="18" customHeight="1">
      <c r="A279" s="18" t="n"/>
      <c r="B279" s="26" t="n"/>
      <c r="C279" s="18" t="n"/>
      <c r="D279" s="20">
        <f>IF($W279="","",IF($W279="なし","※得意先にないコード",INDEX('得意先'!$C$5:$C$104,$W279)&amp;""))</f>
        <v/>
      </c>
      <c r="E279" s="26" t="n"/>
      <c r="F279" s="19" t="n"/>
      <c r="G279" s="27" t="n"/>
      <c r="H279" s="27" t="n"/>
      <c r="I279" s="27" t="n"/>
      <c r="J279" s="28">
        <f>IF($A279="","",IF('設定'!$B$10="四捨五入",ROUND(IF('設定'!$B$9="税込",N($G279)*10/110,N($G279)*10/100),0),IF('設定'!$B$10="切り上げ",ROUNDUP(IF('設定'!$B$9="税込",N($G279)*10/110,N($G279)*10/100),0),ROUNDDOWN(IF('設定'!$B$9="税込",N($G279)*10/110,N($G279)*10/100),0))))</f>
        <v/>
      </c>
      <c r="K279" s="28">
        <f>IF($A279="","",IF('設定'!$B$10="四捨五入",ROUND(IF('設定'!$B$9="税込",N($H279)*8/108,N($H279)*8/100),0),IF('設定'!$B$10="切り上げ",ROUNDUP(IF('設定'!$B$9="税込",N($H279)*8/108,N($H279)*8/100),0),ROUNDDOWN(IF('設定'!$B$9="税込",N($H279)*8/108,N($H279)*8/100),0))))</f>
        <v/>
      </c>
      <c r="L279" s="28">
        <f>IF($A279="","",N($G279)+N($H279)+N($I279)+IF('設定'!$B$9="税込",0,$J279+$K279))</f>
        <v/>
      </c>
      <c r="M279" s="29">
        <f>IF(OR($A279="",NOT(ISNUMBER($W279)),NOT(ISNUMBER($X279))),"",IF(OR(INDEX('得意先'!$D$5:$D$104,$W279)="",INDEX('得意先'!$E$5:$E$104,$W279)="",INDEX('得意先'!$F$5:$F$104,$W279)=""),"",IF(INDEX('得意先'!$F$5:$F$104,$W279)="末",DATE(YEAR($X279),(MONTH($X279)+IF(INDEX('得意先'!$D$5:$D$104,$W279)="末",0,IF(DAY($X279)&lt;=INDEX('得意先'!$D$5:$D$104,$W279),0,1))+N(INDEX('得意先'!$E$5:$E$104,$W279)))+1,0),DATE(YEAR($X279),(MONTH($X279)+IF(INDEX('得意先'!$D$5:$D$104,$W279)="末",0,IF(DAY($X279)&lt;=INDEX('得意先'!$D$5:$D$104,$W279),0,1))+N(INDEX('得意先'!$E$5:$E$104,$W279))),MIN(INDEX('得意先'!$F$5:$F$104,$W279),DAY(DATE(YEAR($X279),(MONTH($X279)+IF(INDEX('得意先'!$D$5:$D$104,$W279)="末",0,IF(DAY($X279)&lt;=INDEX('得意先'!$D$5:$D$104,$W279),0,1))+N(INDEX('得意先'!$E$5:$E$104,$W279)))+1,0)))))))</f>
        <v/>
      </c>
      <c r="N279" s="26" t="n"/>
      <c r="O279" s="29">
        <f>IF($A279="","",IF(ISNUMBER($N279),$N279,$M279))</f>
        <v/>
      </c>
      <c r="P279" s="28">
        <f>IF($A279="","",SUMIF('入金消込'!$F$5:$F$1004,$A279,'入金消込'!$G$5:$G$1004))</f>
        <v/>
      </c>
      <c r="Q279" s="28">
        <f>IF($A279="","",SUMIF('入金消込'!$F$5:$F$1004,$A279,'入金消込'!$H$5:$H$1004)+SUMIF('入金消込'!$F$5:$F$1004,$A279,'入金消込'!$I$5:$I$1004))</f>
        <v/>
      </c>
      <c r="R279" s="28">
        <f>IF($A279="","",$L279-$P279-$Q279)</f>
        <v/>
      </c>
      <c r="S279" s="30">
        <f>IF($A279="","",IF($R279=0,IF($L279=0,"請求額0","回収済"),IF($L279&lt;0,IF($R279&lt;0,"差し引き待ち","差し引きすぎ"),IF($R279&lt;0,"入金が多い",IF($P279+$Q279=0,"未入金","一部入金")))))</f>
        <v/>
      </c>
      <c r="T279" s="31">
        <f>IF(OR($A279="",N($R279)&lt;=0,NOT(ISNUMBER($O279))),"",IF($O279&lt;'設定'!$B$7,'設定'!$B$7-$O279,""))</f>
        <v/>
      </c>
      <c r="U279" s="30">
        <f>IF(OR($A279="",N($R279)&lt;=0),"",IF(NOT(ISNUMBER($O279)),'設定'!$B$22,IF($O279&gt;='設定'!$B$7,'設定'!$B$17,IF('設定'!$B$7-$O279&lt;='設定'!$B$12,'設定'!$B$18,IF('設定'!$B$7-$O279&lt;='設定'!$B$13,'設定'!$B$19,IF('設定'!$B$7-$O279&lt;='設定'!$B$14,'設定'!$B$20,'設定'!$B$21))))))</f>
        <v/>
      </c>
      <c r="V279" s="56" t="n"/>
      <c r="W279" s="32">
        <f>IF($C279="","",IFERROR(MATCH($C279,'得意先'!$B$5:$B$104,0),"なし"))</f>
        <v/>
      </c>
      <c r="X279" s="33">
        <f>IF($A279="","",IF(ISNUMBER($E279),$E279,IF(ISNUMBER($B279),$B279,"")))</f>
        <v/>
      </c>
      <c r="Y279" s="34">
        <f>IF($T279="","",$O279+ROW()/1000000)</f>
        <v/>
      </c>
      <c r="Z279" s="35">
        <f>IF(OR($A279="",$C279="",$C279&lt;&gt;'売掛帳'!$B$3,NOT(ISNUMBER($X279))),"",IF(AND($X279&gt;='売掛帳'!$Q$3,$X279&lt;='売掛帳'!$Q$4),$X279+ROW()/10000000,""))</f>
        <v/>
      </c>
    </row>
    <row r="280" ht="18" customHeight="1">
      <c r="A280" s="18" t="n"/>
      <c r="B280" s="26" t="n"/>
      <c r="C280" s="18" t="n"/>
      <c r="D280" s="20">
        <f>IF($W280="","",IF($W280="なし","※得意先にないコード",INDEX('得意先'!$C$5:$C$104,$W280)&amp;""))</f>
        <v/>
      </c>
      <c r="E280" s="26" t="n"/>
      <c r="F280" s="19" t="n"/>
      <c r="G280" s="27" t="n"/>
      <c r="H280" s="27" t="n"/>
      <c r="I280" s="27" t="n"/>
      <c r="J280" s="28">
        <f>IF($A280="","",IF('設定'!$B$10="四捨五入",ROUND(IF('設定'!$B$9="税込",N($G280)*10/110,N($G280)*10/100),0),IF('設定'!$B$10="切り上げ",ROUNDUP(IF('設定'!$B$9="税込",N($G280)*10/110,N($G280)*10/100),0),ROUNDDOWN(IF('設定'!$B$9="税込",N($G280)*10/110,N($G280)*10/100),0))))</f>
        <v/>
      </c>
      <c r="K280" s="28">
        <f>IF($A280="","",IF('設定'!$B$10="四捨五入",ROUND(IF('設定'!$B$9="税込",N($H280)*8/108,N($H280)*8/100),0),IF('設定'!$B$10="切り上げ",ROUNDUP(IF('設定'!$B$9="税込",N($H280)*8/108,N($H280)*8/100),0),ROUNDDOWN(IF('設定'!$B$9="税込",N($H280)*8/108,N($H280)*8/100),0))))</f>
        <v/>
      </c>
      <c r="L280" s="28">
        <f>IF($A280="","",N($G280)+N($H280)+N($I280)+IF('設定'!$B$9="税込",0,$J280+$K280))</f>
        <v/>
      </c>
      <c r="M280" s="29">
        <f>IF(OR($A280="",NOT(ISNUMBER($W280)),NOT(ISNUMBER($X280))),"",IF(OR(INDEX('得意先'!$D$5:$D$104,$W280)="",INDEX('得意先'!$E$5:$E$104,$W280)="",INDEX('得意先'!$F$5:$F$104,$W280)=""),"",IF(INDEX('得意先'!$F$5:$F$104,$W280)="末",DATE(YEAR($X280),(MONTH($X280)+IF(INDEX('得意先'!$D$5:$D$104,$W280)="末",0,IF(DAY($X280)&lt;=INDEX('得意先'!$D$5:$D$104,$W280),0,1))+N(INDEX('得意先'!$E$5:$E$104,$W280)))+1,0),DATE(YEAR($X280),(MONTH($X280)+IF(INDEX('得意先'!$D$5:$D$104,$W280)="末",0,IF(DAY($X280)&lt;=INDEX('得意先'!$D$5:$D$104,$W280),0,1))+N(INDEX('得意先'!$E$5:$E$104,$W280))),MIN(INDEX('得意先'!$F$5:$F$104,$W280),DAY(DATE(YEAR($X280),(MONTH($X280)+IF(INDEX('得意先'!$D$5:$D$104,$W280)="末",0,IF(DAY($X280)&lt;=INDEX('得意先'!$D$5:$D$104,$W280),0,1))+N(INDEX('得意先'!$E$5:$E$104,$W280)))+1,0)))))))</f>
        <v/>
      </c>
      <c r="N280" s="26" t="n"/>
      <c r="O280" s="29">
        <f>IF($A280="","",IF(ISNUMBER($N280),$N280,$M280))</f>
        <v/>
      </c>
      <c r="P280" s="28">
        <f>IF($A280="","",SUMIF('入金消込'!$F$5:$F$1004,$A280,'入金消込'!$G$5:$G$1004))</f>
        <v/>
      </c>
      <c r="Q280" s="28">
        <f>IF($A280="","",SUMIF('入金消込'!$F$5:$F$1004,$A280,'入金消込'!$H$5:$H$1004)+SUMIF('入金消込'!$F$5:$F$1004,$A280,'入金消込'!$I$5:$I$1004))</f>
        <v/>
      </c>
      <c r="R280" s="28">
        <f>IF($A280="","",$L280-$P280-$Q280)</f>
        <v/>
      </c>
      <c r="S280" s="30">
        <f>IF($A280="","",IF($R280=0,IF($L280=0,"請求額0","回収済"),IF($L280&lt;0,IF($R280&lt;0,"差し引き待ち","差し引きすぎ"),IF($R280&lt;0,"入金が多い",IF($P280+$Q280=0,"未入金","一部入金")))))</f>
        <v/>
      </c>
      <c r="T280" s="31">
        <f>IF(OR($A280="",N($R280)&lt;=0,NOT(ISNUMBER($O280))),"",IF($O280&lt;'設定'!$B$7,'設定'!$B$7-$O280,""))</f>
        <v/>
      </c>
      <c r="U280" s="30">
        <f>IF(OR($A280="",N($R280)&lt;=0),"",IF(NOT(ISNUMBER($O280)),'設定'!$B$22,IF($O280&gt;='設定'!$B$7,'設定'!$B$17,IF('設定'!$B$7-$O280&lt;='設定'!$B$12,'設定'!$B$18,IF('設定'!$B$7-$O280&lt;='設定'!$B$13,'設定'!$B$19,IF('設定'!$B$7-$O280&lt;='設定'!$B$14,'設定'!$B$20,'設定'!$B$21))))))</f>
        <v/>
      </c>
      <c r="V280" s="56" t="n"/>
      <c r="W280" s="32">
        <f>IF($C280="","",IFERROR(MATCH($C280,'得意先'!$B$5:$B$104,0),"なし"))</f>
        <v/>
      </c>
      <c r="X280" s="33">
        <f>IF($A280="","",IF(ISNUMBER($E280),$E280,IF(ISNUMBER($B280),$B280,"")))</f>
        <v/>
      </c>
      <c r="Y280" s="34">
        <f>IF($T280="","",$O280+ROW()/1000000)</f>
        <v/>
      </c>
      <c r="Z280" s="35">
        <f>IF(OR($A280="",$C280="",$C280&lt;&gt;'売掛帳'!$B$3,NOT(ISNUMBER($X280))),"",IF(AND($X280&gt;='売掛帳'!$Q$3,$X280&lt;='売掛帳'!$Q$4),$X280+ROW()/10000000,""))</f>
        <v/>
      </c>
    </row>
    <row r="281" ht="18" customHeight="1">
      <c r="A281" s="18" t="n"/>
      <c r="B281" s="26" t="n"/>
      <c r="C281" s="18" t="n"/>
      <c r="D281" s="20">
        <f>IF($W281="","",IF($W281="なし","※得意先にないコード",INDEX('得意先'!$C$5:$C$104,$W281)&amp;""))</f>
        <v/>
      </c>
      <c r="E281" s="26" t="n"/>
      <c r="F281" s="19" t="n"/>
      <c r="G281" s="27" t="n"/>
      <c r="H281" s="27" t="n"/>
      <c r="I281" s="27" t="n"/>
      <c r="J281" s="28">
        <f>IF($A281="","",IF('設定'!$B$10="四捨五入",ROUND(IF('設定'!$B$9="税込",N($G281)*10/110,N($G281)*10/100),0),IF('設定'!$B$10="切り上げ",ROUNDUP(IF('設定'!$B$9="税込",N($G281)*10/110,N($G281)*10/100),0),ROUNDDOWN(IF('設定'!$B$9="税込",N($G281)*10/110,N($G281)*10/100),0))))</f>
        <v/>
      </c>
      <c r="K281" s="28">
        <f>IF($A281="","",IF('設定'!$B$10="四捨五入",ROUND(IF('設定'!$B$9="税込",N($H281)*8/108,N($H281)*8/100),0),IF('設定'!$B$10="切り上げ",ROUNDUP(IF('設定'!$B$9="税込",N($H281)*8/108,N($H281)*8/100),0),ROUNDDOWN(IF('設定'!$B$9="税込",N($H281)*8/108,N($H281)*8/100),0))))</f>
        <v/>
      </c>
      <c r="L281" s="28">
        <f>IF($A281="","",N($G281)+N($H281)+N($I281)+IF('設定'!$B$9="税込",0,$J281+$K281))</f>
        <v/>
      </c>
      <c r="M281" s="29">
        <f>IF(OR($A281="",NOT(ISNUMBER($W281)),NOT(ISNUMBER($X281))),"",IF(OR(INDEX('得意先'!$D$5:$D$104,$W281)="",INDEX('得意先'!$E$5:$E$104,$W281)="",INDEX('得意先'!$F$5:$F$104,$W281)=""),"",IF(INDEX('得意先'!$F$5:$F$104,$W281)="末",DATE(YEAR($X281),(MONTH($X281)+IF(INDEX('得意先'!$D$5:$D$104,$W281)="末",0,IF(DAY($X281)&lt;=INDEX('得意先'!$D$5:$D$104,$W281),0,1))+N(INDEX('得意先'!$E$5:$E$104,$W281)))+1,0),DATE(YEAR($X281),(MONTH($X281)+IF(INDEX('得意先'!$D$5:$D$104,$W281)="末",0,IF(DAY($X281)&lt;=INDEX('得意先'!$D$5:$D$104,$W281),0,1))+N(INDEX('得意先'!$E$5:$E$104,$W281))),MIN(INDEX('得意先'!$F$5:$F$104,$W281),DAY(DATE(YEAR($X281),(MONTH($X281)+IF(INDEX('得意先'!$D$5:$D$104,$W281)="末",0,IF(DAY($X281)&lt;=INDEX('得意先'!$D$5:$D$104,$W281),0,1))+N(INDEX('得意先'!$E$5:$E$104,$W281)))+1,0)))))))</f>
        <v/>
      </c>
      <c r="N281" s="26" t="n"/>
      <c r="O281" s="29">
        <f>IF($A281="","",IF(ISNUMBER($N281),$N281,$M281))</f>
        <v/>
      </c>
      <c r="P281" s="28">
        <f>IF($A281="","",SUMIF('入金消込'!$F$5:$F$1004,$A281,'入金消込'!$G$5:$G$1004))</f>
        <v/>
      </c>
      <c r="Q281" s="28">
        <f>IF($A281="","",SUMIF('入金消込'!$F$5:$F$1004,$A281,'入金消込'!$H$5:$H$1004)+SUMIF('入金消込'!$F$5:$F$1004,$A281,'入金消込'!$I$5:$I$1004))</f>
        <v/>
      </c>
      <c r="R281" s="28">
        <f>IF($A281="","",$L281-$P281-$Q281)</f>
        <v/>
      </c>
      <c r="S281" s="30">
        <f>IF($A281="","",IF($R281=0,IF($L281=0,"請求額0","回収済"),IF($L281&lt;0,IF($R281&lt;0,"差し引き待ち","差し引きすぎ"),IF($R281&lt;0,"入金が多い",IF($P281+$Q281=0,"未入金","一部入金")))))</f>
        <v/>
      </c>
      <c r="T281" s="31">
        <f>IF(OR($A281="",N($R281)&lt;=0,NOT(ISNUMBER($O281))),"",IF($O281&lt;'設定'!$B$7,'設定'!$B$7-$O281,""))</f>
        <v/>
      </c>
      <c r="U281" s="30">
        <f>IF(OR($A281="",N($R281)&lt;=0),"",IF(NOT(ISNUMBER($O281)),'設定'!$B$22,IF($O281&gt;='設定'!$B$7,'設定'!$B$17,IF('設定'!$B$7-$O281&lt;='設定'!$B$12,'設定'!$B$18,IF('設定'!$B$7-$O281&lt;='設定'!$B$13,'設定'!$B$19,IF('設定'!$B$7-$O281&lt;='設定'!$B$14,'設定'!$B$20,'設定'!$B$21))))))</f>
        <v/>
      </c>
      <c r="V281" s="56" t="n"/>
      <c r="W281" s="32">
        <f>IF($C281="","",IFERROR(MATCH($C281,'得意先'!$B$5:$B$104,0),"なし"))</f>
        <v/>
      </c>
      <c r="X281" s="33">
        <f>IF($A281="","",IF(ISNUMBER($E281),$E281,IF(ISNUMBER($B281),$B281,"")))</f>
        <v/>
      </c>
      <c r="Y281" s="34">
        <f>IF($T281="","",$O281+ROW()/1000000)</f>
        <v/>
      </c>
      <c r="Z281" s="35">
        <f>IF(OR($A281="",$C281="",$C281&lt;&gt;'売掛帳'!$B$3,NOT(ISNUMBER($X281))),"",IF(AND($X281&gt;='売掛帳'!$Q$3,$X281&lt;='売掛帳'!$Q$4),$X281+ROW()/10000000,""))</f>
        <v/>
      </c>
    </row>
    <row r="282" ht="18" customHeight="1">
      <c r="A282" s="18" t="n"/>
      <c r="B282" s="26" t="n"/>
      <c r="C282" s="18" t="n"/>
      <c r="D282" s="20">
        <f>IF($W282="","",IF($W282="なし","※得意先にないコード",INDEX('得意先'!$C$5:$C$104,$W282)&amp;""))</f>
        <v/>
      </c>
      <c r="E282" s="26" t="n"/>
      <c r="F282" s="19" t="n"/>
      <c r="G282" s="27" t="n"/>
      <c r="H282" s="27" t="n"/>
      <c r="I282" s="27" t="n"/>
      <c r="J282" s="28">
        <f>IF($A282="","",IF('設定'!$B$10="四捨五入",ROUND(IF('設定'!$B$9="税込",N($G282)*10/110,N($G282)*10/100),0),IF('設定'!$B$10="切り上げ",ROUNDUP(IF('設定'!$B$9="税込",N($G282)*10/110,N($G282)*10/100),0),ROUNDDOWN(IF('設定'!$B$9="税込",N($G282)*10/110,N($G282)*10/100),0))))</f>
        <v/>
      </c>
      <c r="K282" s="28">
        <f>IF($A282="","",IF('設定'!$B$10="四捨五入",ROUND(IF('設定'!$B$9="税込",N($H282)*8/108,N($H282)*8/100),0),IF('設定'!$B$10="切り上げ",ROUNDUP(IF('設定'!$B$9="税込",N($H282)*8/108,N($H282)*8/100),0),ROUNDDOWN(IF('設定'!$B$9="税込",N($H282)*8/108,N($H282)*8/100),0))))</f>
        <v/>
      </c>
      <c r="L282" s="28">
        <f>IF($A282="","",N($G282)+N($H282)+N($I282)+IF('設定'!$B$9="税込",0,$J282+$K282))</f>
        <v/>
      </c>
      <c r="M282" s="29">
        <f>IF(OR($A282="",NOT(ISNUMBER($W282)),NOT(ISNUMBER($X282))),"",IF(OR(INDEX('得意先'!$D$5:$D$104,$W282)="",INDEX('得意先'!$E$5:$E$104,$W282)="",INDEX('得意先'!$F$5:$F$104,$W282)=""),"",IF(INDEX('得意先'!$F$5:$F$104,$W282)="末",DATE(YEAR($X282),(MONTH($X282)+IF(INDEX('得意先'!$D$5:$D$104,$W282)="末",0,IF(DAY($X282)&lt;=INDEX('得意先'!$D$5:$D$104,$W282),0,1))+N(INDEX('得意先'!$E$5:$E$104,$W282)))+1,0),DATE(YEAR($X282),(MONTH($X282)+IF(INDEX('得意先'!$D$5:$D$104,$W282)="末",0,IF(DAY($X282)&lt;=INDEX('得意先'!$D$5:$D$104,$W282),0,1))+N(INDEX('得意先'!$E$5:$E$104,$W282))),MIN(INDEX('得意先'!$F$5:$F$104,$W282),DAY(DATE(YEAR($X282),(MONTH($X282)+IF(INDEX('得意先'!$D$5:$D$104,$W282)="末",0,IF(DAY($X282)&lt;=INDEX('得意先'!$D$5:$D$104,$W282),0,1))+N(INDEX('得意先'!$E$5:$E$104,$W282)))+1,0)))))))</f>
        <v/>
      </c>
      <c r="N282" s="26" t="n"/>
      <c r="O282" s="29">
        <f>IF($A282="","",IF(ISNUMBER($N282),$N282,$M282))</f>
        <v/>
      </c>
      <c r="P282" s="28">
        <f>IF($A282="","",SUMIF('入金消込'!$F$5:$F$1004,$A282,'入金消込'!$G$5:$G$1004))</f>
        <v/>
      </c>
      <c r="Q282" s="28">
        <f>IF($A282="","",SUMIF('入金消込'!$F$5:$F$1004,$A282,'入金消込'!$H$5:$H$1004)+SUMIF('入金消込'!$F$5:$F$1004,$A282,'入金消込'!$I$5:$I$1004))</f>
        <v/>
      </c>
      <c r="R282" s="28">
        <f>IF($A282="","",$L282-$P282-$Q282)</f>
        <v/>
      </c>
      <c r="S282" s="30">
        <f>IF($A282="","",IF($R282=0,IF($L282=0,"請求額0","回収済"),IF($L282&lt;0,IF($R282&lt;0,"差し引き待ち","差し引きすぎ"),IF($R282&lt;0,"入金が多い",IF($P282+$Q282=0,"未入金","一部入金")))))</f>
        <v/>
      </c>
      <c r="T282" s="31">
        <f>IF(OR($A282="",N($R282)&lt;=0,NOT(ISNUMBER($O282))),"",IF($O282&lt;'設定'!$B$7,'設定'!$B$7-$O282,""))</f>
        <v/>
      </c>
      <c r="U282" s="30">
        <f>IF(OR($A282="",N($R282)&lt;=0),"",IF(NOT(ISNUMBER($O282)),'設定'!$B$22,IF($O282&gt;='設定'!$B$7,'設定'!$B$17,IF('設定'!$B$7-$O282&lt;='設定'!$B$12,'設定'!$B$18,IF('設定'!$B$7-$O282&lt;='設定'!$B$13,'設定'!$B$19,IF('設定'!$B$7-$O282&lt;='設定'!$B$14,'設定'!$B$20,'設定'!$B$21))))))</f>
        <v/>
      </c>
      <c r="V282" s="56" t="n"/>
      <c r="W282" s="32">
        <f>IF($C282="","",IFERROR(MATCH($C282,'得意先'!$B$5:$B$104,0),"なし"))</f>
        <v/>
      </c>
      <c r="X282" s="33">
        <f>IF($A282="","",IF(ISNUMBER($E282),$E282,IF(ISNUMBER($B282),$B282,"")))</f>
        <v/>
      </c>
      <c r="Y282" s="34">
        <f>IF($T282="","",$O282+ROW()/1000000)</f>
        <v/>
      </c>
      <c r="Z282" s="35">
        <f>IF(OR($A282="",$C282="",$C282&lt;&gt;'売掛帳'!$B$3,NOT(ISNUMBER($X282))),"",IF(AND($X282&gt;='売掛帳'!$Q$3,$X282&lt;='売掛帳'!$Q$4),$X282+ROW()/10000000,""))</f>
        <v/>
      </c>
    </row>
    <row r="283" ht="18" customHeight="1">
      <c r="A283" s="18" t="n"/>
      <c r="B283" s="26" t="n"/>
      <c r="C283" s="18" t="n"/>
      <c r="D283" s="20">
        <f>IF($W283="","",IF($W283="なし","※得意先にないコード",INDEX('得意先'!$C$5:$C$104,$W283)&amp;""))</f>
        <v/>
      </c>
      <c r="E283" s="26" t="n"/>
      <c r="F283" s="19" t="n"/>
      <c r="G283" s="27" t="n"/>
      <c r="H283" s="27" t="n"/>
      <c r="I283" s="27" t="n"/>
      <c r="J283" s="28">
        <f>IF($A283="","",IF('設定'!$B$10="四捨五入",ROUND(IF('設定'!$B$9="税込",N($G283)*10/110,N($G283)*10/100),0),IF('設定'!$B$10="切り上げ",ROUNDUP(IF('設定'!$B$9="税込",N($G283)*10/110,N($G283)*10/100),0),ROUNDDOWN(IF('設定'!$B$9="税込",N($G283)*10/110,N($G283)*10/100),0))))</f>
        <v/>
      </c>
      <c r="K283" s="28">
        <f>IF($A283="","",IF('設定'!$B$10="四捨五入",ROUND(IF('設定'!$B$9="税込",N($H283)*8/108,N($H283)*8/100),0),IF('設定'!$B$10="切り上げ",ROUNDUP(IF('設定'!$B$9="税込",N($H283)*8/108,N($H283)*8/100),0),ROUNDDOWN(IF('設定'!$B$9="税込",N($H283)*8/108,N($H283)*8/100),0))))</f>
        <v/>
      </c>
      <c r="L283" s="28">
        <f>IF($A283="","",N($G283)+N($H283)+N($I283)+IF('設定'!$B$9="税込",0,$J283+$K283))</f>
        <v/>
      </c>
      <c r="M283" s="29">
        <f>IF(OR($A283="",NOT(ISNUMBER($W283)),NOT(ISNUMBER($X283))),"",IF(OR(INDEX('得意先'!$D$5:$D$104,$W283)="",INDEX('得意先'!$E$5:$E$104,$W283)="",INDEX('得意先'!$F$5:$F$104,$W283)=""),"",IF(INDEX('得意先'!$F$5:$F$104,$W283)="末",DATE(YEAR($X283),(MONTH($X283)+IF(INDEX('得意先'!$D$5:$D$104,$W283)="末",0,IF(DAY($X283)&lt;=INDEX('得意先'!$D$5:$D$104,$W283),0,1))+N(INDEX('得意先'!$E$5:$E$104,$W283)))+1,0),DATE(YEAR($X283),(MONTH($X283)+IF(INDEX('得意先'!$D$5:$D$104,$W283)="末",0,IF(DAY($X283)&lt;=INDEX('得意先'!$D$5:$D$104,$W283),0,1))+N(INDEX('得意先'!$E$5:$E$104,$W283))),MIN(INDEX('得意先'!$F$5:$F$104,$W283),DAY(DATE(YEAR($X283),(MONTH($X283)+IF(INDEX('得意先'!$D$5:$D$104,$W283)="末",0,IF(DAY($X283)&lt;=INDEX('得意先'!$D$5:$D$104,$W283),0,1))+N(INDEX('得意先'!$E$5:$E$104,$W283)))+1,0)))))))</f>
        <v/>
      </c>
      <c r="N283" s="26" t="n"/>
      <c r="O283" s="29">
        <f>IF($A283="","",IF(ISNUMBER($N283),$N283,$M283))</f>
        <v/>
      </c>
      <c r="P283" s="28">
        <f>IF($A283="","",SUMIF('入金消込'!$F$5:$F$1004,$A283,'入金消込'!$G$5:$G$1004))</f>
        <v/>
      </c>
      <c r="Q283" s="28">
        <f>IF($A283="","",SUMIF('入金消込'!$F$5:$F$1004,$A283,'入金消込'!$H$5:$H$1004)+SUMIF('入金消込'!$F$5:$F$1004,$A283,'入金消込'!$I$5:$I$1004))</f>
        <v/>
      </c>
      <c r="R283" s="28">
        <f>IF($A283="","",$L283-$P283-$Q283)</f>
        <v/>
      </c>
      <c r="S283" s="30">
        <f>IF($A283="","",IF($R283=0,IF($L283=0,"請求額0","回収済"),IF($L283&lt;0,IF($R283&lt;0,"差し引き待ち","差し引きすぎ"),IF($R283&lt;0,"入金が多い",IF($P283+$Q283=0,"未入金","一部入金")))))</f>
        <v/>
      </c>
      <c r="T283" s="31">
        <f>IF(OR($A283="",N($R283)&lt;=0,NOT(ISNUMBER($O283))),"",IF($O283&lt;'設定'!$B$7,'設定'!$B$7-$O283,""))</f>
        <v/>
      </c>
      <c r="U283" s="30">
        <f>IF(OR($A283="",N($R283)&lt;=0),"",IF(NOT(ISNUMBER($O283)),'設定'!$B$22,IF($O283&gt;='設定'!$B$7,'設定'!$B$17,IF('設定'!$B$7-$O283&lt;='設定'!$B$12,'設定'!$B$18,IF('設定'!$B$7-$O283&lt;='設定'!$B$13,'設定'!$B$19,IF('設定'!$B$7-$O283&lt;='設定'!$B$14,'設定'!$B$20,'設定'!$B$21))))))</f>
        <v/>
      </c>
      <c r="V283" s="56" t="n"/>
      <c r="W283" s="32">
        <f>IF($C283="","",IFERROR(MATCH($C283,'得意先'!$B$5:$B$104,0),"なし"))</f>
        <v/>
      </c>
      <c r="X283" s="33">
        <f>IF($A283="","",IF(ISNUMBER($E283),$E283,IF(ISNUMBER($B283),$B283,"")))</f>
        <v/>
      </c>
      <c r="Y283" s="34">
        <f>IF($T283="","",$O283+ROW()/1000000)</f>
        <v/>
      </c>
      <c r="Z283" s="35">
        <f>IF(OR($A283="",$C283="",$C283&lt;&gt;'売掛帳'!$B$3,NOT(ISNUMBER($X283))),"",IF(AND($X283&gt;='売掛帳'!$Q$3,$X283&lt;='売掛帳'!$Q$4),$X283+ROW()/10000000,""))</f>
        <v/>
      </c>
    </row>
    <row r="284" ht="18" customHeight="1">
      <c r="A284" s="18" t="n"/>
      <c r="B284" s="26" t="n"/>
      <c r="C284" s="18" t="n"/>
      <c r="D284" s="20">
        <f>IF($W284="","",IF($W284="なし","※得意先にないコード",INDEX('得意先'!$C$5:$C$104,$W284)&amp;""))</f>
        <v/>
      </c>
      <c r="E284" s="26" t="n"/>
      <c r="F284" s="19" t="n"/>
      <c r="G284" s="27" t="n"/>
      <c r="H284" s="27" t="n"/>
      <c r="I284" s="27" t="n"/>
      <c r="J284" s="28">
        <f>IF($A284="","",IF('設定'!$B$10="四捨五入",ROUND(IF('設定'!$B$9="税込",N($G284)*10/110,N($G284)*10/100),0),IF('設定'!$B$10="切り上げ",ROUNDUP(IF('設定'!$B$9="税込",N($G284)*10/110,N($G284)*10/100),0),ROUNDDOWN(IF('設定'!$B$9="税込",N($G284)*10/110,N($G284)*10/100),0))))</f>
        <v/>
      </c>
      <c r="K284" s="28">
        <f>IF($A284="","",IF('設定'!$B$10="四捨五入",ROUND(IF('設定'!$B$9="税込",N($H284)*8/108,N($H284)*8/100),0),IF('設定'!$B$10="切り上げ",ROUNDUP(IF('設定'!$B$9="税込",N($H284)*8/108,N($H284)*8/100),0),ROUNDDOWN(IF('設定'!$B$9="税込",N($H284)*8/108,N($H284)*8/100),0))))</f>
        <v/>
      </c>
      <c r="L284" s="28">
        <f>IF($A284="","",N($G284)+N($H284)+N($I284)+IF('設定'!$B$9="税込",0,$J284+$K284))</f>
        <v/>
      </c>
      <c r="M284" s="29">
        <f>IF(OR($A284="",NOT(ISNUMBER($W284)),NOT(ISNUMBER($X284))),"",IF(OR(INDEX('得意先'!$D$5:$D$104,$W284)="",INDEX('得意先'!$E$5:$E$104,$W284)="",INDEX('得意先'!$F$5:$F$104,$W284)=""),"",IF(INDEX('得意先'!$F$5:$F$104,$W284)="末",DATE(YEAR($X284),(MONTH($X284)+IF(INDEX('得意先'!$D$5:$D$104,$W284)="末",0,IF(DAY($X284)&lt;=INDEX('得意先'!$D$5:$D$104,$W284),0,1))+N(INDEX('得意先'!$E$5:$E$104,$W284)))+1,0),DATE(YEAR($X284),(MONTH($X284)+IF(INDEX('得意先'!$D$5:$D$104,$W284)="末",0,IF(DAY($X284)&lt;=INDEX('得意先'!$D$5:$D$104,$W284),0,1))+N(INDEX('得意先'!$E$5:$E$104,$W284))),MIN(INDEX('得意先'!$F$5:$F$104,$W284),DAY(DATE(YEAR($X284),(MONTH($X284)+IF(INDEX('得意先'!$D$5:$D$104,$W284)="末",0,IF(DAY($X284)&lt;=INDEX('得意先'!$D$5:$D$104,$W284),0,1))+N(INDEX('得意先'!$E$5:$E$104,$W284)))+1,0)))))))</f>
        <v/>
      </c>
      <c r="N284" s="26" t="n"/>
      <c r="O284" s="29">
        <f>IF($A284="","",IF(ISNUMBER($N284),$N284,$M284))</f>
        <v/>
      </c>
      <c r="P284" s="28">
        <f>IF($A284="","",SUMIF('入金消込'!$F$5:$F$1004,$A284,'入金消込'!$G$5:$G$1004))</f>
        <v/>
      </c>
      <c r="Q284" s="28">
        <f>IF($A284="","",SUMIF('入金消込'!$F$5:$F$1004,$A284,'入金消込'!$H$5:$H$1004)+SUMIF('入金消込'!$F$5:$F$1004,$A284,'入金消込'!$I$5:$I$1004))</f>
        <v/>
      </c>
      <c r="R284" s="28">
        <f>IF($A284="","",$L284-$P284-$Q284)</f>
        <v/>
      </c>
      <c r="S284" s="30">
        <f>IF($A284="","",IF($R284=0,IF($L284=0,"請求額0","回収済"),IF($L284&lt;0,IF($R284&lt;0,"差し引き待ち","差し引きすぎ"),IF($R284&lt;0,"入金が多い",IF($P284+$Q284=0,"未入金","一部入金")))))</f>
        <v/>
      </c>
      <c r="T284" s="31">
        <f>IF(OR($A284="",N($R284)&lt;=0,NOT(ISNUMBER($O284))),"",IF($O284&lt;'設定'!$B$7,'設定'!$B$7-$O284,""))</f>
        <v/>
      </c>
      <c r="U284" s="30">
        <f>IF(OR($A284="",N($R284)&lt;=0),"",IF(NOT(ISNUMBER($O284)),'設定'!$B$22,IF($O284&gt;='設定'!$B$7,'設定'!$B$17,IF('設定'!$B$7-$O284&lt;='設定'!$B$12,'設定'!$B$18,IF('設定'!$B$7-$O284&lt;='設定'!$B$13,'設定'!$B$19,IF('設定'!$B$7-$O284&lt;='設定'!$B$14,'設定'!$B$20,'設定'!$B$21))))))</f>
        <v/>
      </c>
      <c r="V284" s="56" t="n"/>
      <c r="W284" s="32">
        <f>IF($C284="","",IFERROR(MATCH($C284,'得意先'!$B$5:$B$104,0),"なし"))</f>
        <v/>
      </c>
      <c r="X284" s="33">
        <f>IF($A284="","",IF(ISNUMBER($E284),$E284,IF(ISNUMBER($B284),$B284,"")))</f>
        <v/>
      </c>
      <c r="Y284" s="34">
        <f>IF($T284="","",$O284+ROW()/1000000)</f>
        <v/>
      </c>
      <c r="Z284" s="35">
        <f>IF(OR($A284="",$C284="",$C284&lt;&gt;'売掛帳'!$B$3,NOT(ISNUMBER($X284))),"",IF(AND($X284&gt;='売掛帳'!$Q$3,$X284&lt;='売掛帳'!$Q$4),$X284+ROW()/10000000,""))</f>
        <v/>
      </c>
    </row>
    <row r="285" ht="18" customHeight="1">
      <c r="A285" s="18" t="n"/>
      <c r="B285" s="26" t="n"/>
      <c r="C285" s="18" t="n"/>
      <c r="D285" s="20">
        <f>IF($W285="","",IF($W285="なし","※得意先にないコード",INDEX('得意先'!$C$5:$C$104,$W285)&amp;""))</f>
        <v/>
      </c>
      <c r="E285" s="26" t="n"/>
      <c r="F285" s="19" t="n"/>
      <c r="G285" s="27" t="n"/>
      <c r="H285" s="27" t="n"/>
      <c r="I285" s="27" t="n"/>
      <c r="J285" s="28">
        <f>IF($A285="","",IF('設定'!$B$10="四捨五入",ROUND(IF('設定'!$B$9="税込",N($G285)*10/110,N($G285)*10/100),0),IF('設定'!$B$10="切り上げ",ROUNDUP(IF('設定'!$B$9="税込",N($G285)*10/110,N($G285)*10/100),0),ROUNDDOWN(IF('設定'!$B$9="税込",N($G285)*10/110,N($G285)*10/100),0))))</f>
        <v/>
      </c>
      <c r="K285" s="28">
        <f>IF($A285="","",IF('設定'!$B$10="四捨五入",ROUND(IF('設定'!$B$9="税込",N($H285)*8/108,N($H285)*8/100),0),IF('設定'!$B$10="切り上げ",ROUNDUP(IF('設定'!$B$9="税込",N($H285)*8/108,N($H285)*8/100),0),ROUNDDOWN(IF('設定'!$B$9="税込",N($H285)*8/108,N($H285)*8/100),0))))</f>
        <v/>
      </c>
      <c r="L285" s="28">
        <f>IF($A285="","",N($G285)+N($H285)+N($I285)+IF('設定'!$B$9="税込",0,$J285+$K285))</f>
        <v/>
      </c>
      <c r="M285" s="29">
        <f>IF(OR($A285="",NOT(ISNUMBER($W285)),NOT(ISNUMBER($X285))),"",IF(OR(INDEX('得意先'!$D$5:$D$104,$W285)="",INDEX('得意先'!$E$5:$E$104,$W285)="",INDEX('得意先'!$F$5:$F$104,$W285)=""),"",IF(INDEX('得意先'!$F$5:$F$104,$W285)="末",DATE(YEAR($X285),(MONTH($X285)+IF(INDEX('得意先'!$D$5:$D$104,$W285)="末",0,IF(DAY($X285)&lt;=INDEX('得意先'!$D$5:$D$104,$W285),0,1))+N(INDEX('得意先'!$E$5:$E$104,$W285)))+1,0),DATE(YEAR($X285),(MONTH($X285)+IF(INDEX('得意先'!$D$5:$D$104,$W285)="末",0,IF(DAY($X285)&lt;=INDEX('得意先'!$D$5:$D$104,$W285),0,1))+N(INDEX('得意先'!$E$5:$E$104,$W285))),MIN(INDEX('得意先'!$F$5:$F$104,$W285),DAY(DATE(YEAR($X285),(MONTH($X285)+IF(INDEX('得意先'!$D$5:$D$104,$W285)="末",0,IF(DAY($X285)&lt;=INDEX('得意先'!$D$5:$D$104,$W285),0,1))+N(INDEX('得意先'!$E$5:$E$104,$W285)))+1,0)))))))</f>
        <v/>
      </c>
      <c r="N285" s="26" t="n"/>
      <c r="O285" s="29">
        <f>IF($A285="","",IF(ISNUMBER($N285),$N285,$M285))</f>
        <v/>
      </c>
      <c r="P285" s="28">
        <f>IF($A285="","",SUMIF('入金消込'!$F$5:$F$1004,$A285,'入金消込'!$G$5:$G$1004))</f>
        <v/>
      </c>
      <c r="Q285" s="28">
        <f>IF($A285="","",SUMIF('入金消込'!$F$5:$F$1004,$A285,'入金消込'!$H$5:$H$1004)+SUMIF('入金消込'!$F$5:$F$1004,$A285,'入金消込'!$I$5:$I$1004))</f>
        <v/>
      </c>
      <c r="R285" s="28">
        <f>IF($A285="","",$L285-$P285-$Q285)</f>
        <v/>
      </c>
      <c r="S285" s="30">
        <f>IF($A285="","",IF($R285=0,IF($L285=0,"請求額0","回収済"),IF($L285&lt;0,IF($R285&lt;0,"差し引き待ち","差し引きすぎ"),IF($R285&lt;0,"入金が多い",IF($P285+$Q285=0,"未入金","一部入金")))))</f>
        <v/>
      </c>
      <c r="T285" s="31">
        <f>IF(OR($A285="",N($R285)&lt;=0,NOT(ISNUMBER($O285))),"",IF($O285&lt;'設定'!$B$7,'設定'!$B$7-$O285,""))</f>
        <v/>
      </c>
      <c r="U285" s="30">
        <f>IF(OR($A285="",N($R285)&lt;=0),"",IF(NOT(ISNUMBER($O285)),'設定'!$B$22,IF($O285&gt;='設定'!$B$7,'設定'!$B$17,IF('設定'!$B$7-$O285&lt;='設定'!$B$12,'設定'!$B$18,IF('設定'!$B$7-$O285&lt;='設定'!$B$13,'設定'!$B$19,IF('設定'!$B$7-$O285&lt;='設定'!$B$14,'設定'!$B$20,'設定'!$B$21))))))</f>
        <v/>
      </c>
      <c r="V285" s="56" t="n"/>
      <c r="W285" s="32">
        <f>IF($C285="","",IFERROR(MATCH($C285,'得意先'!$B$5:$B$104,0),"なし"))</f>
        <v/>
      </c>
      <c r="X285" s="33">
        <f>IF($A285="","",IF(ISNUMBER($E285),$E285,IF(ISNUMBER($B285),$B285,"")))</f>
        <v/>
      </c>
      <c r="Y285" s="34">
        <f>IF($T285="","",$O285+ROW()/1000000)</f>
        <v/>
      </c>
      <c r="Z285" s="35">
        <f>IF(OR($A285="",$C285="",$C285&lt;&gt;'売掛帳'!$B$3,NOT(ISNUMBER($X285))),"",IF(AND($X285&gt;='売掛帳'!$Q$3,$X285&lt;='売掛帳'!$Q$4),$X285+ROW()/10000000,""))</f>
        <v/>
      </c>
    </row>
    <row r="286" ht="18" customHeight="1">
      <c r="A286" s="18" t="n"/>
      <c r="B286" s="26" t="n"/>
      <c r="C286" s="18" t="n"/>
      <c r="D286" s="20">
        <f>IF($W286="","",IF($W286="なし","※得意先にないコード",INDEX('得意先'!$C$5:$C$104,$W286)&amp;""))</f>
        <v/>
      </c>
      <c r="E286" s="26" t="n"/>
      <c r="F286" s="19" t="n"/>
      <c r="G286" s="27" t="n"/>
      <c r="H286" s="27" t="n"/>
      <c r="I286" s="27" t="n"/>
      <c r="J286" s="28">
        <f>IF($A286="","",IF('設定'!$B$10="四捨五入",ROUND(IF('設定'!$B$9="税込",N($G286)*10/110,N($G286)*10/100),0),IF('設定'!$B$10="切り上げ",ROUNDUP(IF('設定'!$B$9="税込",N($G286)*10/110,N($G286)*10/100),0),ROUNDDOWN(IF('設定'!$B$9="税込",N($G286)*10/110,N($G286)*10/100),0))))</f>
        <v/>
      </c>
      <c r="K286" s="28">
        <f>IF($A286="","",IF('設定'!$B$10="四捨五入",ROUND(IF('設定'!$B$9="税込",N($H286)*8/108,N($H286)*8/100),0),IF('設定'!$B$10="切り上げ",ROUNDUP(IF('設定'!$B$9="税込",N($H286)*8/108,N($H286)*8/100),0),ROUNDDOWN(IF('設定'!$B$9="税込",N($H286)*8/108,N($H286)*8/100),0))))</f>
        <v/>
      </c>
      <c r="L286" s="28">
        <f>IF($A286="","",N($G286)+N($H286)+N($I286)+IF('設定'!$B$9="税込",0,$J286+$K286))</f>
        <v/>
      </c>
      <c r="M286" s="29">
        <f>IF(OR($A286="",NOT(ISNUMBER($W286)),NOT(ISNUMBER($X286))),"",IF(OR(INDEX('得意先'!$D$5:$D$104,$W286)="",INDEX('得意先'!$E$5:$E$104,$W286)="",INDEX('得意先'!$F$5:$F$104,$W286)=""),"",IF(INDEX('得意先'!$F$5:$F$104,$W286)="末",DATE(YEAR($X286),(MONTH($X286)+IF(INDEX('得意先'!$D$5:$D$104,$W286)="末",0,IF(DAY($X286)&lt;=INDEX('得意先'!$D$5:$D$104,$W286),0,1))+N(INDEX('得意先'!$E$5:$E$104,$W286)))+1,0),DATE(YEAR($X286),(MONTH($X286)+IF(INDEX('得意先'!$D$5:$D$104,$W286)="末",0,IF(DAY($X286)&lt;=INDEX('得意先'!$D$5:$D$104,$W286),0,1))+N(INDEX('得意先'!$E$5:$E$104,$W286))),MIN(INDEX('得意先'!$F$5:$F$104,$W286),DAY(DATE(YEAR($X286),(MONTH($X286)+IF(INDEX('得意先'!$D$5:$D$104,$W286)="末",0,IF(DAY($X286)&lt;=INDEX('得意先'!$D$5:$D$104,$W286),0,1))+N(INDEX('得意先'!$E$5:$E$104,$W286)))+1,0)))))))</f>
        <v/>
      </c>
      <c r="N286" s="26" t="n"/>
      <c r="O286" s="29">
        <f>IF($A286="","",IF(ISNUMBER($N286),$N286,$M286))</f>
        <v/>
      </c>
      <c r="P286" s="28">
        <f>IF($A286="","",SUMIF('入金消込'!$F$5:$F$1004,$A286,'入金消込'!$G$5:$G$1004))</f>
        <v/>
      </c>
      <c r="Q286" s="28">
        <f>IF($A286="","",SUMIF('入金消込'!$F$5:$F$1004,$A286,'入金消込'!$H$5:$H$1004)+SUMIF('入金消込'!$F$5:$F$1004,$A286,'入金消込'!$I$5:$I$1004))</f>
        <v/>
      </c>
      <c r="R286" s="28">
        <f>IF($A286="","",$L286-$P286-$Q286)</f>
        <v/>
      </c>
      <c r="S286" s="30">
        <f>IF($A286="","",IF($R286=0,IF($L286=0,"請求額0","回収済"),IF($L286&lt;0,IF($R286&lt;0,"差し引き待ち","差し引きすぎ"),IF($R286&lt;0,"入金が多い",IF($P286+$Q286=0,"未入金","一部入金")))))</f>
        <v/>
      </c>
      <c r="T286" s="31">
        <f>IF(OR($A286="",N($R286)&lt;=0,NOT(ISNUMBER($O286))),"",IF($O286&lt;'設定'!$B$7,'設定'!$B$7-$O286,""))</f>
        <v/>
      </c>
      <c r="U286" s="30">
        <f>IF(OR($A286="",N($R286)&lt;=0),"",IF(NOT(ISNUMBER($O286)),'設定'!$B$22,IF($O286&gt;='設定'!$B$7,'設定'!$B$17,IF('設定'!$B$7-$O286&lt;='設定'!$B$12,'設定'!$B$18,IF('設定'!$B$7-$O286&lt;='設定'!$B$13,'設定'!$B$19,IF('設定'!$B$7-$O286&lt;='設定'!$B$14,'設定'!$B$20,'設定'!$B$21))))))</f>
        <v/>
      </c>
      <c r="V286" s="56" t="n"/>
      <c r="W286" s="32">
        <f>IF($C286="","",IFERROR(MATCH($C286,'得意先'!$B$5:$B$104,0),"なし"))</f>
        <v/>
      </c>
      <c r="X286" s="33">
        <f>IF($A286="","",IF(ISNUMBER($E286),$E286,IF(ISNUMBER($B286),$B286,"")))</f>
        <v/>
      </c>
      <c r="Y286" s="34">
        <f>IF($T286="","",$O286+ROW()/1000000)</f>
        <v/>
      </c>
      <c r="Z286" s="35">
        <f>IF(OR($A286="",$C286="",$C286&lt;&gt;'売掛帳'!$B$3,NOT(ISNUMBER($X286))),"",IF(AND($X286&gt;='売掛帳'!$Q$3,$X286&lt;='売掛帳'!$Q$4),$X286+ROW()/10000000,""))</f>
        <v/>
      </c>
    </row>
    <row r="287" ht="18" customHeight="1">
      <c r="A287" s="18" t="n"/>
      <c r="B287" s="26" t="n"/>
      <c r="C287" s="18" t="n"/>
      <c r="D287" s="20">
        <f>IF($W287="","",IF($W287="なし","※得意先にないコード",INDEX('得意先'!$C$5:$C$104,$W287)&amp;""))</f>
        <v/>
      </c>
      <c r="E287" s="26" t="n"/>
      <c r="F287" s="19" t="n"/>
      <c r="G287" s="27" t="n"/>
      <c r="H287" s="27" t="n"/>
      <c r="I287" s="27" t="n"/>
      <c r="J287" s="28">
        <f>IF($A287="","",IF('設定'!$B$10="四捨五入",ROUND(IF('設定'!$B$9="税込",N($G287)*10/110,N($G287)*10/100),0),IF('設定'!$B$10="切り上げ",ROUNDUP(IF('設定'!$B$9="税込",N($G287)*10/110,N($G287)*10/100),0),ROUNDDOWN(IF('設定'!$B$9="税込",N($G287)*10/110,N($G287)*10/100),0))))</f>
        <v/>
      </c>
      <c r="K287" s="28">
        <f>IF($A287="","",IF('設定'!$B$10="四捨五入",ROUND(IF('設定'!$B$9="税込",N($H287)*8/108,N($H287)*8/100),0),IF('設定'!$B$10="切り上げ",ROUNDUP(IF('設定'!$B$9="税込",N($H287)*8/108,N($H287)*8/100),0),ROUNDDOWN(IF('設定'!$B$9="税込",N($H287)*8/108,N($H287)*8/100),0))))</f>
        <v/>
      </c>
      <c r="L287" s="28">
        <f>IF($A287="","",N($G287)+N($H287)+N($I287)+IF('設定'!$B$9="税込",0,$J287+$K287))</f>
        <v/>
      </c>
      <c r="M287" s="29">
        <f>IF(OR($A287="",NOT(ISNUMBER($W287)),NOT(ISNUMBER($X287))),"",IF(OR(INDEX('得意先'!$D$5:$D$104,$W287)="",INDEX('得意先'!$E$5:$E$104,$W287)="",INDEX('得意先'!$F$5:$F$104,$W287)=""),"",IF(INDEX('得意先'!$F$5:$F$104,$W287)="末",DATE(YEAR($X287),(MONTH($X287)+IF(INDEX('得意先'!$D$5:$D$104,$W287)="末",0,IF(DAY($X287)&lt;=INDEX('得意先'!$D$5:$D$104,$W287),0,1))+N(INDEX('得意先'!$E$5:$E$104,$W287)))+1,0),DATE(YEAR($X287),(MONTH($X287)+IF(INDEX('得意先'!$D$5:$D$104,$W287)="末",0,IF(DAY($X287)&lt;=INDEX('得意先'!$D$5:$D$104,$W287),0,1))+N(INDEX('得意先'!$E$5:$E$104,$W287))),MIN(INDEX('得意先'!$F$5:$F$104,$W287),DAY(DATE(YEAR($X287),(MONTH($X287)+IF(INDEX('得意先'!$D$5:$D$104,$W287)="末",0,IF(DAY($X287)&lt;=INDEX('得意先'!$D$5:$D$104,$W287),0,1))+N(INDEX('得意先'!$E$5:$E$104,$W287)))+1,0)))))))</f>
        <v/>
      </c>
      <c r="N287" s="26" t="n"/>
      <c r="O287" s="29">
        <f>IF($A287="","",IF(ISNUMBER($N287),$N287,$M287))</f>
        <v/>
      </c>
      <c r="P287" s="28">
        <f>IF($A287="","",SUMIF('入金消込'!$F$5:$F$1004,$A287,'入金消込'!$G$5:$G$1004))</f>
        <v/>
      </c>
      <c r="Q287" s="28">
        <f>IF($A287="","",SUMIF('入金消込'!$F$5:$F$1004,$A287,'入金消込'!$H$5:$H$1004)+SUMIF('入金消込'!$F$5:$F$1004,$A287,'入金消込'!$I$5:$I$1004))</f>
        <v/>
      </c>
      <c r="R287" s="28">
        <f>IF($A287="","",$L287-$P287-$Q287)</f>
        <v/>
      </c>
      <c r="S287" s="30">
        <f>IF($A287="","",IF($R287=0,IF($L287=0,"請求額0","回収済"),IF($L287&lt;0,IF($R287&lt;0,"差し引き待ち","差し引きすぎ"),IF($R287&lt;0,"入金が多い",IF($P287+$Q287=0,"未入金","一部入金")))))</f>
        <v/>
      </c>
      <c r="T287" s="31">
        <f>IF(OR($A287="",N($R287)&lt;=0,NOT(ISNUMBER($O287))),"",IF($O287&lt;'設定'!$B$7,'設定'!$B$7-$O287,""))</f>
        <v/>
      </c>
      <c r="U287" s="30">
        <f>IF(OR($A287="",N($R287)&lt;=0),"",IF(NOT(ISNUMBER($O287)),'設定'!$B$22,IF($O287&gt;='設定'!$B$7,'設定'!$B$17,IF('設定'!$B$7-$O287&lt;='設定'!$B$12,'設定'!$B$18,IF('設定'!$B$7-$O287&lt;='設定'!$B$13,'設定'!$B$19,IF('設定'!$B$7-$O287&lt;='設定'!$B$14,'設定'!$B$20,'設定'!$B$21))))))</f>
        <v/>
      </c>
      <c r="V287" s="56" t="n"/>
      <c r="W287" s="32">
        <f>IF($C287="","",IFERROR(MATCH($C287,'得意先'!$B$5:$B$104,0),"なし"))</f>
        <v/>
      </c>
      <c r="X287" s="33">
        <f>IF($A287="","",IF(ISNUMBER($E287),$E287,IF(ISNUMBER($B287),$B287,"")))</f>
        <v/>
      </c>
      <c r="Y287" s="34">
        <f>IF($T287="","",$O287+ROW()/1000000)</f>
        <v/>
      </c>
      <c r="Z287" s="35">
        <f>IF(OR($A287="",$C287="",$C287&lt;&gt;'売掛帳'!$B$3,NOT(ISNUMBER($X287))),"",IF(AND($X287&gt;='売掛帳'!$Q$3,$X287&lt;='売掛帳'!$Q$4),$X287+ROW()/10000000,""))</f>
        <v/>
      </c>
    </row>
    <row r="288" ht="18" customHeight="1">
      <c r="A288" s="18" t="n"/>
      <c r="B288" s="26" t="n"/>
      <c r="C288" s="18" t="n"/>
      <c r="D288" s="20">
        <f>IF($W288="","",IF($W288="なし","※得意先にないコード",INDEX('得意先'!$C$5:$C$104,$W288)&amp;""))</f>
        <v/>
      </c>
      <c r="E288" s="26" t="n"/>
      <c r="F288" s="19" t="n"/>
      <c r="G288" s="27" t="n"/>
      <c r="H288" s="27" t="n"/>
      <c r="I288" s="27" t="n"/>
      <c r="J288" s="28">
        <f>IF($A288="","",IF('設定'!$B$10="四捨五入",ROUND(IF('設定'!$B$9="税込",N($G288)*10/110,N($G288)*10/100),0),IF('設定'!$B$10="切り上げ",ROUNDUP(IF('設定'!$B$9="税込",N($G288)*10/110,N($G288)*10/100),0),ROUNDDOWN(IF('設定'!$B$9="税込",N($G288)*10/110,N($G288)*10/100),0))))</f>
        <v/>
      </c>
      <c r="K288" s="28">
        <f>IF($A288="","",IF('設定'!$B$10="四捨五入",ROUND(IF('設定'!$B$9="税込",N($H288)*8/108,N($H288)*8/100),0),IF('設定'!$B$10="切り上げ",ROUNDUP(IF('設定'!$B$9="税込",N($H288)*8/108,N($H288)*8/100),0),ROUNDDOWN(IF('設定'!$B$9="税込",N($H288)*8/108,N($H288)*8/100),0))))</f>
        <v/>
      </c>
      <c r="L288" s="28">
        <f>IF($A288="","",N($G288)+N($H288)+N($I288)+IF('設定'!$B$9="税込",0,$J288+$K288))</f>
        <v/>
      </c>
      <c r="M288" s="29">
        <f>IF(OR($A288="",NOT(ISNUMBER($W288)),NOT(ISNUMBER($X288))),"",IF(OR(INDEX('得意先'!$D$5:$D$104,$W288)="",INDEX('得意先'!$E$5:$E$104,$W288)="",INDEX('得意先'!$F$5:$F$104,$W288)=""),"",IF(INDEX('得意先'!$F$5:$F$104,$W288)="末",DATE(YEAR($X288),(MONTH($X288)+IF(INDEX('得意先'!$D$5:$D$104,$W288)="末",0,IF(DAY($X288)&lt;=INDEX('得意先'!$D$5:$D$104,$W288),0,1))+N(INDEX('得意先'!$E$5:$E$104,$W288)))+1,0),DATE(YEAR($X288),(MONTH($X288)+IF(INDEX('得意先'!$D$5:$D$104,$W288)="末",0,IF(DAY($X288)&lt;=INDEX('得意先'!$D$5:$D$104,$W288),0,1))+N(INDEX('得意先'!$E$5:$E$104,$W288))),MIN(INDEX('得意先'!$F$5:$F$104,$W288),DAY(DATE(YEAR($X288),(MONTH($X288)+IF(INDEX('得意先'!$D$5:$D$104,$W288)="末",0,IF(DAY($X288)&lt;=INDEX('得意先'!$D$5:$D$104,$W288),0,1))+N(INDEX('得意先'!$E$5:$E$104,$W288)))+1,0)))))))</f>
        <v/>
      </c>
      <c r="N288" s="26" t="n"/>
      <c r="O288" s="29">
        <f>IF($A288="","",IF(ISNUMBER($N288),$N288,$M288))</f>
        <v/>
      </c>
      <c r="P288" s="28">
        <f>IF($A288="","",SUMIF('入金消込'!$F$5:$F$1004,$A288,'入金消込'!$G$5:$G$1004))</f>
        <v/>
      </c>
      <c r="Q288" s="28">
        <f>IF($A288="","",SUMIF('入金消込'!$F$5:$F$1004,$A288,'入金消込'!$H$5:$H$1004)+SUMIF('入金消込'!$F$5:$F$1004,$A288,'入金消込'!$I$5:$I$1004))</f>
        <v/>
      </c>
      <c r="R288" s="28">
        <f>IF($A288="","",$L288-$P288-$Q288)</f>
        <v/>
      </c>
      <c r="S288" s="30">
        <f>IF($A288="","",IF($R288=0,IF($L288=0,"請求額0","回収済"),IF($L288&lt;0,IF($R288&lt;0,"差し引き待ち","差し引きすぎ"),IF($R288&lt;0,"入金が多い",IF($P288+$Q288=0,"未入金","一部入金")))))</f>
        <v/>
      </c>
      <c r="T288" s="31">
        <f>IF(OR($A288="",N($R288)&lt;=0,NOT(ISNUMBER($O288))),"",IF($O288&lt;'設定'!$B$7,'設定'!$B$7-$O288,""))</f>
        <v/>
      </c>
      <c r="U288" s="30">
        <f>IF(OR($A288="",N($R288)&lt;=0),"",IF(NOT(ISNUMBER($O288)),'設定'!$B$22,IF($O288&gt;='設定'!$B$7,'設定'!$B$17,IF('設定'!$B$7-$O288&lt;='設定'!$B$12,'設定'!$B$18,IF('設定'!$B$7-$O288&lt;='設定'!$B$13,'設定'!$B$19,IF('設定'!$B$7-$O288&lt;='設定'!$B$14,'設定'!$B$20,'設定'!$B$21))))))</f>
        <v/>
      </c>
      <c r="V288" s="56" t="n"/>
      <c r="W288" s="32">
        <f>IF($C288="","",IFERROR(MATCH($C288,'得意先'!$B$5:$B$104,0),"なし"))</f>
        <v/>
      </c>
      <c r="X288" s="33">
        <f>IF($A288="","",IF(ISNUMBER($E288),$E288,IF(ISNUMBER($B288),$B288,"")))</f>
        <v/>
      </c>
      <c r="Y288" s="34">
        <f>IF($T288="","",$O288+ROW()/1000000)</f>
        <v/>
      </c>
      <c r="Z288" s="35">
        <f>IF(OR($A288="",$C288="",$C288&lt;&gt;'売掛帳'!$B$3,NOT(ISNUMBER($X288))),"",IF(AND($X288&gt;='売掛帳'!$Q$3,$X288&lt;='売掛帳'!$Q$4),$X288+ROW()/10000000,""))</f>
        <v/>
      </c>
    </row>
    <row r="289" ht="18" customHeight="1">
      <c r="A289" s="18" t="n"/>
      <c r="B289" s="26" t="n"/>
      <c r="C289" s="18" t="n"/>
      <c r="D289" s="20">
        <f>IF($W289="","",IF($W289="なし","※得意先にないコード",INDEX('得意先'!$C$5:$C$104,$W289)&amp;""))</f>
        <v/>
      </c>
      <c r="E289" s="26" t="n"/>
      <c r="F289" s="19" t="n"/>
      <c r="G289" s="27" t="n"/>
      <c r="H289" s="27" t="n"/>
      <c r="I289" s="27" t="n"/>
      <c r="J289" s="28">
        <f>IF($A289="","",IF('設定'!$B$10="四捨五入",ROUND(IF('設定'!$B$9="税込",N($G289)*10/110,N($G289)*10/100),0),IF('設定'!$B$10="切り上げ",ROUNDUP(IF('設定'!$B$9="税込",N($G289)*10/110,N($G289)*10/100),0),ROUNDDOWN(IF('設定'!$B$9="税込",N($G289)*10/110,N($G289)*10/100),0))))</f>
        <v/>
      </c>
      <c r="K289" s="28">
        <f>IF($A289="","",IF('設定'!$B$10="四捨五入",ROUND(IF('設定'!$B$9="税込",N($H289)*8/108,N($H289)*8/100),0),IF('設定'!$B$10="切り上げ",ROUNDUP(IF('設定'!$B$9="税込",N($H289)*8/108,N($H289)*8/100),0),ROUNDDOWN(IF('設定'!$B$9="税込",N($H289)*8/108,N($H289)*8/100),0))))</f>
        <v/>
      </c>
      <c r="L289" s="28">
        <f>IF($A289="","",N($G289)+N($H289)+N($I289)+IF('設定'!$B$9="税込",0,$J289+$K289))</f>
        <v/>
      </c>
      <c r="M289" s="29">
        <f>IF(OR($A289="",NOT(ISNUMBER($W289)),NOT(ISNUMBER($X289))),"",IF(OR(INDEX('得意先'!$D$5:$D$104,$W289)="",INDEX('得意先'!$E$5:$E$104,$W289)="",INDEX('得意先'!$F$5:$F$104,$W289)=""),"",IF(INDEX('得意先'!$F$5:$F$104,$W289)="末",DATE(YEAR($X289),(MONTH($X289)+IF(INDEX('得意先'!$D$5:$D$104,$W289)="末",0,IF(DAY($X289)&lt;=INDEX('得意先'!$D$5:$D$104,$W289),0,1))+N(INDEX('得意先'!$E$5:$E$104,$W289)))+1,0),DATE(YEAR($X289),(MONTH($X289)+IF(INDEX('得意先'!$D$5:$D$104,$W289)="末",0,IF(DAY($X289)&lt;=INDEX('得意先'!$D$5:$D$104,$W289),0,1))+N(INDEX('得意先'!$E$5:$E$104,$W289))),MIN(INDEX('得意先'!$F$5:$F$104,$W289),DAY(DATE(YEAR($X289),(MONTH($X289)+IF(INDEX('得意先'!$D$5:$D$104,$W289)="末",0,IF(DAY($X289)&lt;=INDEX('得意先'!$D$5:$D$104,$W289),0,1))+N(INDEX('得意先'!$E$5:$E$104,$W289)))+1,0)))))))</f>
        <v/>
      </c>
      <c r="N289" s="26" t="n"/>
      <c r="O289" s="29">
        <f>IF($A289="","",IF(ISNUMBER($N289),$N289,$M289))</f>
        <v/>
      </c>
      <c r="P289" s="28">
        <f>IF($A289="","",SUMIF('入金消込'!$F$5:$F$1004,$A289,'入金消込'!$G$5:$G$1004))</f>
        <v/>
      </c>
      <c r="Q289" s="28">
        <f>IF($A289="","",SUMIF('入金消込'!$F$5:$F$1004,$A289,'入金消込'!$H$5:$H$1004)+SUMIF('入金消込'!$F$5:$F$1004,$A289,'入金消込'!$I$5:$I$1004))</f>
        <v/>
      </c>
      <c r="R289" s="28">
        <f>IF($A289="","",$L289-$P289-$Q289)</f>
        <v/>
      </c>
      <c r="S289" s="30">
        <f>IF($A289="","",IF($R289=0,IF($L289=0,"請求額0","回収済"),IF($L289&lt;0,IF($R289&lt;0,"差し引き待ち","差し引きすぎ"),IF($R289&lt;0,"入金が多い",IF($P289+$Q289=0,"未入金","一部入金")))))</f>
        <v/>
      </c>
      <c r="T289" s="31">
        <f>IF(OR($A289="",N($R289)&lt;=0,NOT(ISNUMBER($O289))),"",IF($O289&lt;'設定'!$B$7,'設定'!$B$7-$O289,""))</f>
        <v/>
      </c>
      <c r="U289" s="30">
        <f>IF(OR($A289="",N($R289)&lt;=0),"",IF(NOT(ISNUMBER($O289)),'設定'!$B$22,IF($O289&gt;='設定'!$B$7,'設定'!$B$17,IF('設定'!$B$7-$O289&lt;='設定'!$B$12,'設定'!$B$18,IF('設定'!$B$7-$O289&lt;='設定'!$B$13,'設定'!$B$19,IF('設定'!$B$7-$O289&lt;='設定'!$B$14,'設定'!$B$20,'設定'!$B$21))))))</f>
        <v/>
      </c>
      <c r="V289" s="56" t="n"/>
      <c r="W289" s="32">
        <f>IF($C289="","",IFERROR(MATCH($C289,'得意先'!$B$5:$B$104,0),"なし"))</f>
        <v/>
      </c>
      <c r="X289" s="33">
        <f>IF($A289="","",IF(ISNUMBER($E289),$E289,IF(ISNUMBER($B289),$B289,"")))</f>
        <v/>
      </c>
      <c r="Y289" s="34">
        <f>IF($T289="","",$O289+ROW()/1000000)</f>
        <v/>
      </c>
      <c r="Z289" s="35">
        <f>IF(OR($A289="",$C289="",$C289&lt;&gt;'売掛帳'!$B$3,NOT(ISNUMBER($X289))),"",IF(AND($X289&gt;='売掛帳'!$Q$3,$X289&lt;='売掛帳'!$Q$4),$X289+ROW()/10000000,""))</f>
        <v/>
      </c>
    </row>
    <row r="290" ht="18" customHeight="1">
      <c r="A290" s="18" t="n"/>
      <c r="B290" s="26" t="n"/>
      <c r="C290" s="18" t="n"/>
      <c r="D290" s="20">
        <f>IF($W290="","",IF($W290="なし","※得意先にないコード",INDEX('得意先'!$C$5:$C$104,$W290)&amp;""))</f>
        <v/>
      </c>
      <c r="E290" s="26" t="n"/>
      <c r="F290" s="19" t="n"/>
      <c r="G290" s="27" t="n"/>
      <c r="H290" s="27" t="n"/>
      <c r="I290" s="27" t="n"/>
      <c r="J290" s="28">
        <f>IF($A290="","",IF('設定'!$B$10="四捨五入",ROUND(IF('設定'!$B$9="税込",N($G290)*10/110,N($G290)*10/100),0),IF('設定'!$B$10="切り上げ",ROUNDUP(IF('設定'!$B$9="税込",N($G290)*10/110,N($G290)*10/100),0),ROUNDDOWN(IF('設定'!$B$9="税込",N($G290)*10/110,N($G290)*10/100),0))))</f>
        <v/>
      </c>
      <c r="K290" s="28">
        <f>IF($A290="","",IF('設定'!$B$10="四捨五入",ROUND(IF('設定'!$B$9="税込",N($H290)*8/108,N($H290)*8/100),0),IF('設定'!$B$10="切り上げ",ROUNDUP(IF('設定'!$B$9="税込",N($H290)*8/108,N($H290)*8/100),0),ROUNDDOWN(IF('設定'!$B$9="税込",N($H290)*8/108,N($H290)*8/100),0))))</f>
        <v/>
      </c>
      <c r="L290" s="28">
        <f>IF($A290="","",N($G290)+N($H290)+N($I290)+IF('設定'!$B$9="税込",0,$J290+$K290))</f>
        <v/>
      </c>
      <c r="M290" s="29">
        <f>IF(OR($A290="",NOT(ISNUMBER($W290)),NOT(ISNUMBER($X290))),"",IF(OR(INDEX('得意先'!$D$5:$D$104,$W290)="",INDEX('得意先'!$E$5:$E$104,$W290)="",INDEX('得意先'!$F$5:$F$104,$W290)=""),"",IF(INDEX('得意先'!$F$5:$F$104,$W290)="末",DATE(YEAR($X290),(MONTH($X290)+IF(INDEX('得意先'!$D$5:$D$104,$W290)="末",0,IF(DAY($X290)&lt;=INDEX('得意先'!$D$5:$D$104,$W290),0,1))+N(INDEX('得意先'!$E$5:$E$104,$W290)))+1,0),DATE(YEAR($X290),(MONTH($X290)+IF(INDEX('得意先'!$D$5:$D$104,$W290)="末",0,IF(DAY($X290)&lt;=INDEX('得意先'!$D$5:$D$104,$W290),0,1))+N(INDEX('得意先'!$E$5:$E$104,$W290))),MIN(INDEX('得意先'!$F$5:$F$104,$W290),DAY(DATE(YEAR($X290),(MONTH($X290)+IF(INDEX('得意先'!$D$5:$D$104,$W290)="末",0,IF(DAY($X290)&lt;=INDEX('得意先'!$D$5:$D$104,$W290),0,1))+N(INDEX('得意先'!$E$5:$E$104,$W290)))+1,0)))))))</f>
        <v/>
      </c>
      <c r="N290" s="26" t="n"/>
      <c r="O290" s="29">
        <f>IF($A290="","",IF(ISNUMBER($N290),$N290,$M290))</f>
        <v/>
      </c>
      <c r="P290" s="28">
        <f>IF($A290="","",SUMIF('入金消込'!$F$5:$F$1004,$A290,'入金消込'!$G$5:$G$1004))</f>
        <v/>
      </c>
      <c r="Q290" s="28">
        <f>IF($A290="","",SUMIF('入金消込'!$F$5:$F$1004,$A290,'入金消込'!$H$5:$H$1004)+SUMIF('入金消込'!$F$5:$F$1004,$A290,'入金消込'!$I$5:$I$1004))</f>
        <v/>
      </c>
      <c r="R290" s="28">
        <f>IF($A290="","",$L290-$P290-$Q290)</f>
        <v/>
      </c>
      <c r="S290" s="30">
        <f>IF($A290="","",IF($R290=0,IF($L290=0,"請求額0","回収済"),IF($L290&lt;0,IF($R290&lt;0,"差し引き待ち","差し引きすぎ"),IF($R290&lt;0,"入金が多い",IF($P290+$Q290=0,"未入金","一部入金")))))</f>
        <v/>
      </c>
      <c r="T290" s="31">
        <f>IF(OR($A290="",N($R290)&lt;=0,NOT(ISNUMBER($O290))),"",IF($O290&lt;'設定'!$B$7,'設定'!$B$7-$O290,""))</f>
        <v/>
      </c>
      <c r="U290" s="30">
        <f>IF(OR($A290="",N($R290)&lt;=0),"",IF(NOT(ISNUMBER($O290)),'設定'!$B$22,IF($O290&gt;='設定'!$B$7,'設定'!$B$17,IF('設定'!$B$7-$O290&lt;='設定'!$B$12,'設定'!$B$18,IF('設定'!$B$7-$O290&lt;='設定'!$B$13,'設定'!$B$19,IF('設定'!$B$7-$O290&lt;='設定'!$B$14,'設定'!$B$20,'設定'!$B$21))))))</f>
        <v/>
      </c>
      <c r="V290" s="56" t="n"/>
      <c r="W290" s="32">
        <f>IF($C290="","",IFERROR(MATCH($C290,'得意先'!$B$5:$B$104,0),"なし"))</f>
        <v/>
      </c>
      <c r="X290" s="33">
        <f>IF($A290="","",IF(ISNUMBER($E290),$E290,IF(ISNUMBER($B290),$B290,"")))</f>
        <v/>
      </c>
      <c r="Y290" s="34">
        <f>IF($T290="","",$O290+ROW()/1000000)</f>
        <v/>
      </c>
      <c r="Z290" s="35">
        <f>IF(OR($A290="",$C290="",$C290&lt;&gt;'売掛帳'!$B$3,NOT(ISNUMBER($X290))),"",IF(AND($X290&gt;='売掛帳'!$Q$3,$X290&lt;='売掛帳'!$Q$4),$X290+ROW()/10000000,""))</f>
        <v/>
      </c>
    </row>
    <row r="291" ht="18" customHeight="1">
      <c r="A291" s="18" t="n"/>
      <c r="B291" s="26" t="n"/>
      <c r="C291" s="18" t="n"/>
      <c r="D291" s="20">
        <f>IF($W291="","",IF($W291="なし","※得意先にないコード",INDEX('得意先'!$C$5:$C$104,$W291)&amp;""))</f>
        <v/>
      </c>
      <c r="E291" s="26" t="n"/>
      <c r="F291" s="19" t="n"/>
      <c r="G291" s="27" t="n"/>
      <c r="H291" s="27" t="n"/>
      <c r="I291" s="27" t="n"/>
      <c r="J291" s="28">
        <f>IF($A291="","",IF('設定'!$B$10="四捨五入",ROUND(IF('設定'!$B$9="税込",N($G291)*10/110,N($G291)*10/100),0),IF('設定'!$B$10="切り上げ",ROUNDUP(IF('設定'!$B$9="税込",N($G291)*10/110,N($G291)*10/100),0),ROUNDDOWN(IF('設定'!$B$9="税込",N($G291)*10/110,N($G291)*10/100),0))))</f>
        <v/>
      </c>
      <c r="K291" s="28">
        <f>IF($A291="","",IF('設定'!$B$10="四捨五入",ROUND(IF('設定'!$B$9="税込",N($H291)*8/108,N($H291)*8/100),0),IF('設定'!$B$10="切り上げ",ROUNDUP(IF('設定'!$B$9="税込",N($H291)*8/108,N($H291)*8/100),0),ROUNDDOWN(IF('設定'!$B$9="税込",N($H291)*8/108,N($H291)*8/100),0))))</f>
        <v/>
      </c>
      <c r="L291" s="28">
        <f>IF($A291="","",N($G291)+N($H291)+N($I291)+IF('設定'!$B$9="税込",0,$J291+$K291))</f>
        <v/>
      </c>
      <c r="M291" s="29">
        <f>IF(OR($A291="",NOT(ISNUMBER($W291)),NOT(ISNUMBER($X291))),"",IF(OR(INDEX('得意先'!$D$5:$D$104,$W291)="",INDEX('得意先'!$E$5:$E$104,$W291)="",INDEX('得意先'!$F$5:$F$104,$W291)=""),"",IF(INDEX('得意先'!$F$5:$F$104,$W291)="末",DATE(YEAR($X291),(MONTH($X291)+IF(INDEX('得意先'!$D$5:$D$104,$W291)="末",0,IF(DAY($X291)&lt;=INDEX('得意先'!$D$5:$D$104,$W291),0,1))+N(INDEX('得意先'!$E$5:$E$104,$W291)))+1,0),DATE(YEAR($X291),(MONTH($X291)+IF(INDEX('得意先'!$D$5:$D$104,$W291)="末",0,IF(DAY($X291)&lt;=INDEX('得意先'!$D$5:$D$104,$W291),0,1))+N(INDEX('得意先'!$E$5:$E$104,$W291))),MIN(INDEX('得意先'!$F$5:$F$104,$W291),DAY(DATE(YEAR($X291),(MONTH($X291)+IF(INDEX('得意先'!$D$5:$D$104,$W291)="末",0,IF(DAY($X291)&lt;=INDEX('得意先'!$D$5:$D$104,$W291),0,1))+N(INDEX('得意先'!$E$5:$E$104,$W291)))+1,0)))))))</f>
        <v/>
      </c>
      <c r="N291" s="26" t="n"/>
      <c r="O291" s="29">
        <f>IF($A291="","",IF(ISNUMBER($N291),$N291,$M291))</f>
        <v/>
      </c>
      <c r="P291" s="28">
        <f>IF($A291="","",SUMIF('入金消込'!$F$5:$F$1004,$A291,'入金消込'!$G$5:$G$1004))</f>
        <v/>
      </c>
      <c r="Q291" s="28">
        <f>IF($A291="","",SUMIF('入金消込'!$F$5:$F$1004,$A291,'入金消込'!$H$5:$H$1004)+SUMIF('入金消込'!$F$5:$F$1004,$A291,'入金消込'!$I$5:$I$1004))</f>
        <v/>
      </c>
      <c r="R291" s="28">
        <f>IF($A291="","",$L291-$P291-$Q291)</f>
        <v/>
      </c>
      <c r="S291" s="30">
        <f>IF($A291="","",IF($R291=0,IF($L291=0,"請求額0","回収済"),IF($L291&lt;0,IF($R291&lt;0,"差し引き待ち","差し引きすぎ"),IF($R291&lt;0,"入金が多い",IF($P291+$Q291=0,"未入金","一部入金")))))</f>
        <v/>
      </c>
      <c r="T291" s="31">
        <f>IF(OR($A291="",N($R291)&lt;=0,NOT(ISNUMBER($O291))),"",IF($O291&lt;'設定'!$B$7,'設定'!$B$7-$O291,""))</f>
        <v/>
      </c>
      <c r="U291" s="30">
        <f>IF(OR($A291="",N($R291)&lt;=0),"",IF(NOT(ISNUMBER($O291)),'設定'!$B$22,IF($O291&gt;='設定'!$B$7,'設定'!$B$17,IF('設定'!$B$7-$O291&lt;='設定'!$B$12,'設定'!$B$18,IF('設定'!$B$7-$O291&lt;='設定'!$B$13,'設定'!$B$19,IF('設定'!$B$7-$O291&lt;='設定'!$B$14,'設定'!$B$20,'設定'!$B$21))))))</f>
        <v/>
      </c>
      <c r="V291" s="56" t="n"/>
      <c r="W291" s="32">
        <f>IF($C291="","",IFERROR(MATCH($C291,'得意先'!$B$5:$B$104,0),"なし"))</f>
        <v/>
      </c>
      <c r="X291" s="33">
        <f>IF($A291="","",IF(ISNUMBER($E291),$E291,IF(ISNUMBER($B291),$B291,"")))</f>
        <v/>
      </c>
      <c r="Y291" s="34">
        <f>IF($T291="","",$O291+ROW()/1000000)</f>
        <v/>
      </c>
      <c r="Z291" s="35">
        <f>IF(OR($A291="",$C291="",$C291&lt;&gt;'売掛帳'!$B$3,NOT(ISNUMBER($X291))),"",IF(AND($X291&gt;='売掛帳'!$Q$3,$X291&lt;='売掛帳'!$Q$4),$X291+ROW()/10000000,""))</f>
        <v/>
      </c>
    </row>
    <row r="292" ht="18" customHeight="1">
      <c r="A292" s="18" t="n"/>
      <c r="B292" s="26" t="n"/>
      <c r="C292" s="18" t="n"/>
      <c r="D292" s="20">
        <f>IF($W292="","",IF($W292="なし","※得意先にないコード",INDEX('得意先'!$C$5:$C$104,$W292)&amp;""))</f>
        <v/>
      </c>
      <c r="E292" s="26" t="n"/>
      <c r="F292" s="19" t="n"/>
      <c r="G292" s="27" t="n"/>
      <c r="H292" s="27" t="n"/>
      <c r="I292" s="27" t="n"/>
      <c r="J292" s="28">
        <f>IF($A292="","",IF('設定'!$B$10="四捨五入",ROUND(IF('設定'!$B$9="税込",N($G292)*10/110,N($G292)*10/100),0),IF('設定'!$B$10="切り上げ",ROUNDUP(IF('設定'!$B$9="税込",N($G292)*10/110,N($G292)*10/100),0),ROUNDDOWN(IF('設定'!$B$9="税込",N($G292)*10/110,N($G292)*10/100),0))))</f>
        <v/>
      </c>
      <c r="K292" s="28">
        <f>IF($A292="","",IF('設定'!$B$10="四捨五入",ROUND(IF('設定'!$B$9="税込",N($H292)*8/108,N($H292)*8/100),0),IF('設定'!$B$10="切り上げ",ROUNDUP(IF('設定'!$B$9="税込",N($H292)*8/108,N($H292)*8/100),0),ROUNDDOWN(IF('設定'!$B$9="税込",N($H292)*8/108,N($H292)*8/100),0))))</f>
        <v/>
      </c>
      <c r="L292" s="28">
        <f>IF($A292="","",N($G292)+N($H292)+N($I292)+IF('設定'!$B$9="税込",0,$J292+$K292))</f>
        <v/>
      </c>
      <c r="M292" s="29">
        <f>IF(OR($A292="",NOT(ISNUMBER($W292)),NOT(ISNUMBER($X292))),"",IF(OR(INDEX('得意先'!$D$5:$D$104,$W292)="",INDEX('得意先'!$E$5:$E$104,$W292)="",INDEX('得意先'!$F$5:$F$104,$W292)=""),"",IF(INDEX('得意先'!$F$5:$F$104,$W292)="末",DATE(YEAR($X292),(MONTH($X292)+IF(INDEX('得意先'!$D$5:$D$104,$W292)="末",0,IF(DAY($X292)&lt;=INDEX('得意先'!$D$5:$D$104,$W292),0,1))+N(INDEX('得意先'!$E$5:$E$104,$W292)))+1,0),DATE(YEAR($X292),(MONTH($X292)+IF(INDEX('得意先'!$D$5:$D$104,$W292)="末",0,IF(DAY($X292)&lt;=INDEX('得意先'!$D$5:$D$104,$W292),0,1))+N(INDEX('得意先'!$E$5:$E$104,$W292))),MIN(INDEX('得意先'!$F$5:$F$104,$W292),DAY(DATE(YEAR($X292),(MONTH($X292)+IF(INDEX('得意先'!$D$5:$D$104,$W292)="末",0,IF(DAY($X292)&lt;=INDEX('得意先'!$D$5:$D$104,$W292),0,1))+N(INDEX('得意先'!$E$5:$E$104,$W292)))+1,0)))))))</f>
        <v/>
      </c>
      <c r="N292" s="26" t="n"/>
      <c r="O292" s="29">
        <f>IF($A292="","",IF(ISNUMBER($N292),$N292,$M292))</f>
        <v/>
      </c>
      <c r="P292" s="28">
        <f>IF($A292="","",SUMIF('入金消込'!$F$5:$F$1004,$A292,'入金消込'!$G$5:$G$1004))</f>
        <v/>
      </c>
      <c r="Q292" s="28">
        <f>IF($A292="","",SUMIF('入金消込'!$F$5:$F$1004,$A292,'入金消込'!$H$5:$H$1004)+SUMIF('入金消込'!$F$5:$F$1004,$A292,'入金消込'!$I$5:$I$1004))</f>
        <v/>
      </c>
      <c r="R292" s="28">
        <f>IF($A292="","",$L292-$P292-$Q292)</f>
        <v/>
      </c>
      <c r="S292" s="30">
        <f>IF($A292="","",IF($R292=0,IF($L292=0,"請求額0","回収済"),IF($L292&lt;0,IF($R292&lt;0,"差し引き待ち","差し引きすぎ"),IF($R292&lt;0,"入金が多い",IF($P292+$Q292=0,"未入金","一部入金")))))</f>
        <v/>
      </c>
      <c r="T292" s="31">
        <f>IF(OR($A292="",N($R292)&lt;=0,NOT(ISNUMBER($O292))),"",IF($O292&lt;'設定'!$B$7,'設定'!$B$7-$O292,""))</f>
        <v/>
      </c>
      <c r="U292" s="30">
        <f>IF(OR($A292="",N($R292)&lt;=0),"",IF(NOT(ISNUMBER($O292)),'設定'!$B$22,IF($O292&gt;='設定'!$B$7,'設定'!$B$17,IF('設定'!$B$7-$O292&lt;='設定'!$B$12,'設定'!$B$18,IF('設定'!$B$7-$O292&lt;='設定'!$B$13,'設定'!$B$19,IF('設定'!$B$7-$O292&lt;='設定'!$B$14,'設定'!$B$20,'設定'!$B$21))))))</f>
        <v/>
      </c>
      <c r="V292" s="56" t="n"/>
      <c r="W292" s="32">
        <f>IF($C292="","",IFERROR(MATCH($C292,'得意先'!$B$5:$B$104,0),"なし"))</f>
        <v/>
      </c>
      <c r="X292" s="33">
        <f>IF($A292="","",IF(ISNUMBER($E292),$E292,IF(ISNUMBER($B292),$B292,"")))</f>
        <v/>
      </c>
      <c r="Y292" s="34">
        <f>IF($T292="","",$O292+ROW()/1000000)</f>
        <v/>
      </c>
      <c r="Z292" s="35">
        <f>IF(OR($A292="",$C292="",$C292&lt;&gt;'売掛帳'!$B$3,NOT(ISNUMBER($X292))),"",IF(AND($X292&gt;='売掛帳'!$Q$3,$X292&lt;='売掛帳'!$Q$4),$X292+ROW()/10000000,""))</f>
        <v/>
      </c>
    </row>
    <row r="293" ht="18" customHeight="1">
      <c r="A293" s="18" t="n"/>
      <c r="B293" s="26" t="n"/>
      <c r="C293" s="18" t="n"/>
      <c r="D293" s="20">
        <f>IF($W293="","",IF($W293="なし","※得意先にないコード",INDEX('得意先'!$C$5:$C$104,$W293)&amp;""))</f>
        <v/>
      </c>
      <c r="E293" s="26" t="n"/>
      <c r="F293" s="19" t="n"/>
      <c r="G293" s="27" t="n"/>
      <c r="H293" s="27" t="n"/>
      <c r="I293" s="27" t="n"/>
      <c r="J293" s="28">
        <f>IF($A293="","",IF('設定'!$B$10="四捨五入",ROUND(IF('設定'!$B$9="税込",N($G293)*10/110,N($G293)*10/100),0),IF('設定'!$B$10="切り上げ",ROUNDUP(IF('設定'!$B$9="税込",N($G293)*10/110,N($G293)*10/100),0),ROUNDDOWN(IF('設定'!$B$9="税込",N($G293)*10/110,N($G293)*10/100),0))))</f>
        <v/>
      </c>
      <c r="K293" s="28">
        <f>IF($A293="","",IF('設定'!$B$10="四捨五入",ROUND(IF('設定'!$B$9="税込",N($H293)*8/108,N($H293)*8/100),0),IF('設定'!$B$10="切り上げ",ROUNDUP(IF('設定'!$B$9="税込",N($H293)*8/108,N($H293)*8/100),0),ROUNDDOWN(IF('設定'!$B$9="税込",N($H293)*8/108,N($H293)*8/100),0))))</f>
        <v/>
      </c>
      <c r="L293" s="28">
        <f>IF($A293="","",N($G293)+N($H293)+N($I293)+IF('設定'!$B$9="税込",0,$J293+$K293))</f>
        <v/>
      </c>
      <c r="M293" s="29">
        <f>IF(OR($A293="",NOT(ISNUMBER($W293)),NOT(ISNUMBER($X293))),"",IF(OR(INDEX('得意先'!$D$5:$D$104,$W293)="",INDEX('得意先'!$E$5:$E$104,$W293)="",INDEX('得意先'!$F$5:$F$104,$W293)=""),"",IF(INDEX('得意先'!$F$5:$F$104,$W293)="末",DATE(YEAR($X293),(MONTH($X293)+IF(INDEX('得意先'!$D$5:$D$104,$W293)="末",0,IF(DAY($X293)&lt;=INDEX('得意先'!$D$5:$D$104,$W293),0,1))+N(INDEX('得意先'!$E$5:$E$104,$W293)))+1,0),DATE(YEAR($X293),(MONTH($X293)+IF(INDEX('得意先'!$D$5:$D$104,$W293)="末",0,IF(DAY($X293)&lt;=INDEX('得意先'!$D$5:$D$104,$W293),0,1))+N(INDEX('得意先'!$E$5:$E$104,$W293))),MIN(INDEX('得意先'!$F$5:$F$104,$W293),DAY(DATE(YEAR($X293),(MONTH($X293)+IF(INDEX('得意先'!$D$5:$D$104,$W293)="末",0,IF(DAY($X293)&lt;=INDEX('得意先'!$D$5:$D$104,$W293),0,1))+N(INDEX('得意先'!$E$5:$E$104,$W293)))+1,0)))))))</f>
        <v/>
      </c>
      <c r="N293" s="26" t="n"/>
      <c r="O293" s="29">
        <f>IF($A293="","",IF(ISNUMBER($N293),$N293,$M293))</f>
        <v/>
      </c>
      <c r="P293" s="28">
        <f>IF($A293="","",SUMIF('入金消込'!$F$5:$F$1004,$A293,'入金消込'!$G$5:$G$1004))</f>
        <v/>
      </c>
      <c r="Q293" s="28">
        <f>IF($A293="","",SUMIF('入金消込'!$F$5:$F$1004,$A293,'入金消込'!$H$5:$H$1004)+SUMIF('入金消込'!$F$5:$F$1004,$A293,'入金消込'!$I$5:$I$1004))</f>
        <v/>
      </c>
      <c r="R293" s="28">
        <f>IF($A293="","",$L293-$P293-$Q293)</f>
        <v/>
      </c>
      <c r="S293" s="30">
        <f>IF($A293="","",IF($R293=0,IF($L293=0,"請求額0","回収済"),IF($L293&lt;0,IF($R293&lt;0,"差し引き待ち","差し引きすぎ"),IF($R293&lt;0,"入金が多い",IF($P293+$Q293=0,"未入金","一部入金")))))</f>
        <v/>
      </c>
      <c r="T293" s="31">
        <f>IF(OR($A293="",N($R293)&lt;=0,NOT(ISNUMBER($O293))),"",IF($O293&lt;'設定'!$B$7,'設定'!$B$7-$O293,""))</f>
        <v/>
      </c>
      <c r="U293" s="30">
        <f>IF(OR($A293="",N($R293)&lt;=0),"",IF(NOT(ISNUMBER($O293)),'設定'!$B$22,IF($O293&gt;='設定'!$B$7,'設定'!$B$17,IF('設定'!$B$7-$O293&lt;='設定'!$B$12,'設定'!$B$18,IF('設定'!$B$7-$O293&lt;='設定'!$B$13,'設定'!$B$19,IF('設定'!$B$7-$O293&lt;='設定'!$B$14,'設定'!$B$20,'設定'!$B$21))))))</f>
        <v/>
      </c>
      <c r="V293" s="56" t="n"/>
      <c r="W293" s="32">
        <f>IF($C293="","",IFERROR(MATCH($C293,'得意先'!$B$5:$B$104,0),"なし"))</f>
        <v/>
      </c>
      <c r="X293" s="33">
        <f>IF($A293="","",IF(ISNUMBER($E293),$E293,IF(ISNUMBER($B293),$B293,"")))</f>
        <v/>
      </c>
      <c r="Y293" s="34">
        <f>IF($T293="","",$O293+ROW()/1000000)</f>
        <v/>
      </c>
      <c r="Z293" s="35">
        <f>IF(OR($A293="",$C293="",$C293&lt;&gt;'売掛帳'!$B$3,NOT(ISNUMBER($X293))),"",IF(AND($X293&gt;='売掛帳'!$Q$3,$X293&lt;='売掛帳'!$Q$4),$X293+ROW()/10000000,""))</f>
        <v/>
      </c>
    </row>
    <row r="294" ht="18" customHeight="1">
      <c r="A294" s="18" t="n"/>
      <c r="B294" s="26" t="n"/>
      <c r="C294" s="18" t="n"/>
      <c r="D294" s="20">
        <f>IF($W294="","",IF($W294="なし","※得意先にないコード",INDEX('得意先'!$C$5:$C$104,$W294)&amp;""))</f>
        <v/>
      </c>
      <c r="E294" s="26" t="n"/>
      <c r="F294" s="19" t="n"/>
      <c r="G294" s="27" t="n"/>
      <c r="H294" s="27" t="n"/>
      <c r="I294" s="27" t="n"/>
      <c r="J294" s="28">
        <f>IF($A294="","",IF('設定'!$B$10="四捨五入",ROUND(IF('設定'!$B$9="税込",N($G294)*10/110,N($G294)*10/100),0),IF('設定'!$B$10="切り上げ",ROUNDUP(IF('設定'!$B$9="税込",N($G294)*10/110,N($G294)*10/100),0),ROUNDDOWN(IF('設定'!$B$9="税込",N($G294)*10/110,N($G294)*10/100),0))))</f>
        <v/>
      </c>
      <c r="K294" s="28">
        <f>IF($A294="","",IF('設定'!$B$10="四捨五入",ROUND(IF('設定'!$B$9="税込",N($H294)*8/108,N($H294)*8/100),0),IF('設定'!$B$10="切り上げ",ROUNDUP(IF('設定'!$B$9="税込",N($H294)*8/108,N($H294)*8/100),0),ROUNDDOWN(IF('設定'!$B$9="税込",N($H294)*8/108,N($H294)*8/100),0))))</f>
        <v/>
      </c>
      <c r="L294" s="28">
        <f>IF($A294="","",N($G294)+N($H294)+N($I294)+IF('設定'!$B$9="税込",0,$J294+$K294))</f>
        <v/>
      </c>
      <c r="M294" s="29">
        <f>IF(OR($A294="",NOT(ISNUMBER($W294)),NOT(ISNUMBER($X294))),"",IF(OR(INDEX('得意先'!$D$5:$D$104,$W294)="",INDEX('得意先'!$E$5:$E$104,$W294)="",INDEX('得意先'!$F$5:$F$104,$W294)=""),"",IF(INDEX('得意先'!$F$5:$F$104,$W294)="末",DATE(YEAR($X294),(MONTH($X294)+IF(INDEX('得意先'!$D$5:$D$104,$W294)="末",0,IF(DAY($X294)&lt;=INDEX('得意先'!$D$5:$D$104,$W294),0,1))+N(INDEX('得意先'!$E$5:$E$104,$W294)))+1,0),DATE(YEAR($X294),(MONTH($X294)+IF(INDEX('得意先'!$D$5:$D$104,$W294)="末",0,IF(DAY($X294)&lt;=INDEX('得意先'!$D$5:$D$104,$W294),0,1))+N(INDEX('得意先'!$E$5:$E$104,$W294))),MIN(INDEX('得意先'!$F$5:$F$104,$W294),DAY(DATE(YEAR($X294),(MONTH($X294)+IF(INDEX('得意先'!$D$5:$D$104,$W294)="末",0,IF(DAY($X294)&lt;=INDEX('得意先'!$D$5:$D$104,$W294),0,1))+N(INDEX('得意先'!$E$5:$E$104,$W294)))+1,0)))))))</f>
        <v/>
      </c>
      <c r="N294" s="26" t="n"/>
      <c r="O294" s="29">
        <f>IF($A294="","",IF(ISNUMBER($N294),$N294,$M294))</f>
        <v/>
      </c>
      <c r="P294" s="28">
        <f>IF($A294="","",SUMIF('入金消込'!$F$5:$F$1004,$A294,'入金消込'!$G$5:$G$1004))</f>
        <v/>
      </c>
      <c r="Q294" s="28">
        <f>IF($A294="","",SUMIF('入金消込'!$F$5:$F$1004,$A294,'入金消込'!$H$5:$H$1004)+SUMIF('入金消込'!$F$5:$F$1004,$A294,'入金消込'!$I$5:$I$1004))</f>
        <v/>
      </c>
      <c r="R294" s="28">
        <f>IF($A294="","",$L294-$P294-$Q294)</f>
        <v/>
      </c>
      <c r="S294" s="30">
        <f>IF($A294="","",IF($R294=0,IF($L294=0,"請求額0","回収済"),IF($L294&lt;0,IF($R294&lt;0,"差し引き待ち","差し引きすぎ"),IF($R294&lt;0,"入金が多い",IF($P294+$Q294=0,"未入金","一部入金")))))</f>
        <v/>
      </c>
      <c r="T294" s="31">
        <f>IF(OR($A294="",N($R294)&lt;=0,NOT(ISNUMBER($O294))),"",IF($O294&lt;'設定'!$B$7,'設定'!$B$7-$O294,""))</f>
        <v/>
      </c>
      <c r="U294" s="30">
        <f>IF(OR($A294="",N($R294)&lt;=0),"",IF(NOT(ISNUMBER($O294)),'設定'!$B$22,IF($O294&gt;='設定'!$B$7,'設定'!$B$17,IF('設定'!$B$7-$O294&lt;='設定'!$B$12,'設定'!$B$18,IF('設定'!$B$7-$O294&lt;='設定'!$B$13,'設定'!$B$19,IF('設定'!$B$7-$O294&lt;='設定'!$B$14,'設定'!$B$20,'設定'!$B$21))))))</f>
        <v/>
      </c>
      <c r="V294" s="56" t="n"/>
      <c r="W294" s="32">
        <f>IF($C294="","",IFERROR(MATCH($C294,'得意先'!$B$5:$B$104,0),"なし"))</f>
        <v/>
      </c>
      <c r="X294" s="33">
        <f>IF($A294="","",IF(ISNUMBER($E294),$E294,IF(ISNUMBER($B294),$B294,"")))</f>
        <v/>
      </c>
      <c r="Y294" s="34">
        <f>IF($T294="","",$O294+ROW()/1000000)</f>
        <v/>
      </c>
      <c r="Z294" s="35">
        <f>IF(OR($A294="",$C294="",$C294&lt;&gt;'売掛帳'!$B$3,NOT(ISNUMBER($X294))),"",IF(AND($X294&gt;='売掛帳'!$Q$3,$X294&lt;='売掛帳'!$Q$4),$X294+ROW()/10000000,""))</f>
        <v/>
      </c>
    </row>
    <row r="295" ht="18" customHeight="1">
      <c r="A295" s="18" t="n"/>
      <c r="B295" s="26" t="n"/>
      <c r="C295" s="18" t="n"/>
      <c r="D295" s="20">
        <f>IF($W295="","",IF($W295="なし","※得意先にないコード",INDEX('得意先'!$C$5:$C$104,$W295)&amp;""))</f>
        <v/>
      </c>
      <c r="E295" s="26" t="n"/>
      <c r="F295" s="19" t="n"/>
      <c r="G295" s="27" t="n"/>
      <c r="H295" s="27" t="n"/>
      <c r="I295" s="27" t="n"/>
      <c r="J295" s="28">
        <f>IF($A295="","",IF('設定'!$B$10="四捨五入",ROUND(IF('設定'!$B$9="税込",N($G295)*10/110,N($G295)*10/100),0),IF('設定'!$B$10="切り上げ",ROUNDUP(IF('設定'!$B$9="税込",N($G295)*10/110,N($G295)*10/100),0),ROUNDDOWN(IF('設定'!$B$9="税込",N($G295)*10/110,N($G295)*10/100),0))))</f>
        <v/>
      </c>
      <c r="K295" s="28">
        <f>IF($A295="","",IF('設定'!$B$10="四捨五入",ROUND(IF('設定'!$B$9="税込",N($H295)*8/108,N($H295)*8/100),0),IF('設定'!$B$10="切り上げ",ROUNDUP(IF('設定'!$B$9="税込",N($H295)*8/108,N($H295)*8/100),0),ROUNDDOWN(IF('設定'!$B$9="税込",N($H295)*8/108,N($H295)*8/100),0))))</f>
        <v/>
      </c>
      <c r="L295" s="28">
        <f>IF($A295="","",N($G295)+N($H295)+N($I295)+IF('設定'!$B$9="税込",0,$J295+$K295))</f>
        <v/>
      </c>
      <c r="M295" s="29">
        <f>IF(OR($A295="",NOT(ISNUMBER($W295)),NOT(ISNUMBER($X295))),"",IF(OR(INDEX('得意先'!$D$5:$D$104,$W295)="",INDEX('得意先'!$E$5:$E$104,$W295)="",INDEX('得意先'!$F$5:$F$104,$W295)=""),"",IF(INDEX('得意先'!$F$5:$F$104,$W295)="末",DATE(YEAR($X295),(MONTH($X295)+IF(INDEX('得意先'!$D$5:$D$104,$W295)="末",0,IF(DAY($X295)&lt;=INDEX('得意先'!$D$5:$D$104,$W295),0,1))+N(INDEX('得意先'!$E$5:$E$104,$W295)))+1,0),DATE(YEAR($X295),(MONTH($X295)+IF(INDEX('得意先'!$D$5:$D$104,$W295)="末",0,IF(DAY($X295)&lt;=INDEX('得意先'!$D$5:$D$104,$W295),0,1))+N(INDEX('得意先'!$E$5:$E$104,$W295))),MIN(INDEX('得意先'!$F$5:$F$104,$W295),DAY(DATE(YEAR($X295),(MONTH($X295)+IF(INDEX('得意先'!$D$5:$D$104,$W295)="末",0,IF(DAY($X295)&lt;=INDEX('得意先'!$D$5:$D$104,$W295),0,1))+N(INDEX('得意先'!$E$5:$E$104,$W295)))+1,0)))))))</f>
        <v/>
      </c>
      <c r="N295" s="26" t="n"/>
      <c r="O295" s="29">
        <f>IF($A295="","",IF(ISNUMBER($N295),$N295,$M295))</f>
        <v/>
      </c>
      <c r="P295" s="28">
        <f>IF($A295="","",SUMIF('入金消込'!$F$5:$F$1004,$A295,'入金消込'!$G$5:$G$1004))</f>
        <v/>
      </c>
      <c r="Q295" s="28">
        <f>IF($A295="","",SUMIF('入金消込'!$F$5:$F$1004,$A295,'入金消込'!$H$5:$H$1004)+SUMIF('入金消込'!$F$5:$F$1004,$A295,'入金消込'!$I$5:$I$1004))</f>
        <v/>
      </c>
      <c r="R295" s="28">
        <f>IF($A295="","",$L295-$P295-$Q295)</f>
        <v/>
      </c>
      <c r="S295" s="30">
        <f>IF($A295="","",IF($R295=0,IF($L295=0,"請求額0","回収済"),IF($L295&lt;0,IF($R295&lt;0,"差し引き待ち","差し引きすぎ"),IF($R295&lt;0,"入金が多い",IF($P295+$Q295=0,"未入金","一部入金")))))</f>
        <v/>
      </c>
      <c r="T295" s="31">
        <f>IF(OR($A295="",N($R295)&lt;=0,NOT(ISNUMBER($O295))),"",IF($O295&lt;'設定'!$B$7,'設定'!$B$7-$O295,""))</f>
        <v/>
      </c>
      <c r="U295" s="30">
        <f>IF(OR($A295="",N($R295)&lt;=0),"",IF(NOT(ISNUMBER($O295)),'設定'!$B$22,IF($O295&gt;='設定'!$B$7,'設定'!$B$17,IF('設定'!$B$7-$O295&lt;='設定'!$B$12,'設定'!$B$18,IF('設定'!$B$7-$O295&lt;='設定'!$B$13,'設定'!$B$19,IF('設定'!$B$7-$O295&lt;='設定'!$B$14,'設定'!$B$20,'設定'!$B$21))))))</f>
        <v/>
      </c>
      <c r="V295" s="56" t="n"/>
      <c r="W295" s="32">
        <f>IF($C295="","",IFERROR(MATCH($C295,'得意先'!$B$5:$B$104,0),"なし"))</f>
        <v/>
      </c>
      <c r="X295" s="33">
        <f>IF($A295="","",IF(ISNUMBER($E295),$E295,IF(ISNUMBER($B295),$B295,"")))</f>
        <v/>
      </c>
      <c r="Y295" s="34">
        <f>IF($T295="","",$O295+ROW()/1000000)</f>
        <v/>
      </c>
      <c r="Z295" s="35">
        <f>IF(OR($A295="",$C295="",$C295&lt;&gt;'売掛帳'!$B$3,NOT(ISNUMBER($X295))),"",IF(AND($X295&gt;='売掛帳'!$Q$3,$X295&lt;='売掛帳'!$Q$4),$X295+ROW()/10000000,""))</f>
        <v/>
      </c>
    </row>
    <row r="296" ht="18" customHeight="1">
      <c r="A296" s="18" t="n"/>
      <c r="B296" s="26" t="n"/>
      <c r="C296" s="18" t="n"/>
      <c r="D296" s="20">
        <f>IF($W296="","",IF($W296="なし","※得意先にないコード",INDEX('得意先'!$C$5:$C$104,$W296)&amp;""))</f>
        <v/>
      </c>
      <c r="E296" s="26" t="n"/>
      <c r="F296" s="19" t="n"/>
      <c r="G296" s="27" t="n"/>
      <c r="H296" s="27" t="n"/>
      <c r="I296" s="27" t="n"/>
      <c r="J296" s="28">
        <f>IF($A296="","",IF('設定'!$B$10="四捨五入",ROUND(IF('設定'!$B$9="税込",N($G296)*10/110,N($G296)*10/100),0),IF('設定'!$B$10="切り上げ",ROUNDUP(IF('設定'!$B$9="税込",N($G296)*10/110,N($G296)*10/100),0),ROUNDDOWN(IF('設定'!$B$9="税込",N($G296)*10/110,N($G296)*10/100),0))))</f>
        <v/>
      </c>
      <c r="K296" s="28">
        <f>IF($A296="","",IF('設定'!$B$10="四捨五入",ROUND(IF('設定'!$B$9="税込",N($H296)*8/108,N($H296)*8/100),0),IF('設定'!$B$10="切り上げ",ROUNDUP(IF('設定'!$B$9="税込",N($H296)*8/108,N($H296)*8/100),0),ROUNDDOWN(IF('設定'!$B$9="税込",N($H296)*8/108,N($H296)*8/100),0))))</f>
        <v/>
      </c>
      <c r="L296" s="28">
        <f>IF($A296="","",N($G296)+N($H296)+N($I296)+IF('設定'!$B$9="税込",0,$J296+$K296))</f>
        <v/>
      </c>
      <c r="M296" s="29">
        <f>IF(OR($A296="",NOT(ISNUMBER($W296)),NOT(ISNUMBER($X296))),"",IF(OR(INDEX('得意先'!$D$5:$D$104,$W296)="",INDEX('得意先'!$E$5:$E$104,$W296)="",INDEX('得意先'!$F$5:$F$104,$W296)=""),"",IF(INDEX('得意先'!$F$5:$F$104,$W296)="末",DATE(YEAR($X296),(MONTH($X296)+IF(INDEX('得意先'!$D$5:$D$104,$W296)="末",0,IF(DAY($X296)&lt;=INDEX('得意先'!$D$5:$D$104,$W296),0,1))+N(INDEX('得意先'!$E$5:$E$104,$W296)))+1,0),DATE(YEAR($X296),(MONTH($X296)+IF(INDEX('得意先'!$D$5:$D$104,$W296)="末",0,IF(DAY($X296)&lt;=INDEX('得意先'!$D$5:$D$104,$W296),0,1))+N(INDEX('得意先'!$E$5:$E$104,$W296))),MIN(INDEX('得意先'!$F$5:$F$104,$W296),DAY(DATE(YEAR($X296),(MONTH($X296)+IF(INDEX('得意先'!$D$5:$D$104,$W296)="末",0,IF(DAY($X296)&lt;=INDEX('得意先'!$D$5:$D$104,$W296),0,1))+N(INDEX('得意先'!$E$5:$E$104,$W296)))+1,0)))))))</f>
        <v/>
      </c>
      <c r="N296" s="26" t="n"/>
      <c r="O296" s="29">
        <f>IF($A296="","",IF(ISNUMBER($N296),$N296,$M296))</f>
        <v/>
      </c>
      <c r="P296" s="28">
        <f>IF($A296="","",SUMIF('入金消込'!$F$5:$F$1004,$A296,'入金消込'!$G$5:$G$1004))</f>
        <v/>
      </c>
      <c r="Q296" s="28">
        <f>IF($A296="","",SUMIF('入金消込'!$F$5:$F$1004,$A296,'入金消込'!$H$5:$H$1004)+SUMIF('入金消込'!$F$5:$F$1004,$A296,'入金消込'!$I$5:$I$1004))</f>
        <v/>
      </c>
      <c r="R296" s="28">
        <f>IF($A296="","",$L296-$P296-$Q296)</f>
        <v/>
      </c>
      <c r="S296" s="30">
        <f>IF($A296="","",IF($R296=0,IF($L296=0,"請求額0","回収済"),IF($L296&lt;0,IF($R296&lt;0,"差し引き待ち","差し引きすぎ"),IF($R296&lt;0,"入金が多い",IF($P296+$Q296=0,"未入金","一部入金")))))</f>
        <v/>
      </c>
      <c r="T296" s="31">
        <f>IF(OR($A296="",N($R296)&lt;=0,NOT(ISNUMBER($O296))),"",IF($O296&lt;'設定'!$B$7,'設定'!$B$7-$O296,""))</f>
        <v/>
      </c>
      <c r="U296" s="30">
        <f>IF(OR($A296="",N($R296)&lt;=0),"",IF(NOT(ISNUMBER($O296)),'設定'!$B$22,IF($O296&gt;='設定'!$B$7,'設定'!$B$17,IF('設定'!$B$7-$O296&lt;='設定'!$B$12,'設定'!$B$18,IF('設定'!$B$7-$O296&lt;='設定'!$B$13,'設定'!$B$19,IF('設定'!$B$7-$O296&lt;='設定'!$B$14,'設定'!$B$20,'設定'!$B$21))))))</f>
        <v/>
      </c>
      <c r="V296" s="56" t="n"/>
      <c r="W296" s="32">
        <f>IF($C296="","",IFERROR(MATCH($C296,'得意先'!$B$5:$B$104,0),"なし"))</f>
        <v/>
      </c>
      <c r="X296" s="33">
        <f>IF($A296="","",IF(ISNUMBER($E296),$E296,IF(ISNUMBER($B296),$B296,"")))</f>
        <v/>
      </c>
      <c r="Y296" s="34">
        <f>IF($T296="","",$O296+ROW()/1000000)</f>
        <v/>
      </c>
      <c r="Z296" s="35">
        <f>IF(OR($A296="",$C296="",$C296&lt;&gt;'売掛帳'!$B$3,NOT(ISNUMBER($X296))),"",IF(AND($X296&gt;='売掛帳'!$Q$3,$X296&lt;='売掛帳'!$Q$4),$X296+ROW()/10000000,""))</f>
        <v/>
      </c>
    </row>
    <row r="297" ht="18" customHeight="1">
      <c r="A297" s="18" t="n"/>
      <c r="B297" s="26" t="n"/>
      <c r="C297" s="18" t="n"/>
      <c r="D297" s="20">
        <f>IF($W297="","",IF($W297="なし","※得意先にないコード",INDEX('得意先'!$C$5:$C$104,$W297)&amp;""))</f>
        <v/>
      </c>
      <c r="E297" s="26" t="n"/>
      <c r="F297" s="19" t="n"/>
      <c r="G297" s="27" t="n"/>
      <c r="H297" s="27" t="n"/>
      <c r="I297" s="27" t="n"/>
      <c r="J297" s="28">
        <f>IF($A297="","",IF('設定'!$B$10="四捨五入",ROUND(IF('設定'!$B$9="税込",N($G297)*10/110,N($G297)*10/100),0),IF('設定'!$B$10="切り上げ",ROUNDUP(IF('設定'!$B$9="税込",N($G297)*10/110,N($G297)*10/100),0),ROUNDDOWN(IF('設定'!$B$9="税込",N($G297)*10/110,N($G297)*10/100),0))))</f>
        <v/>
      </c>
      <c r="K297" s="28">
        <f>IF($A297="","",IF('設定'!$B$10="四捨五入",ROUND(IF('設定'!$B$9="税込",N($H297)*8/108,N($H297)*8/100),0),IF('設定'!$B$10="切り上げ",ROUNDUP(IF('設定'!$B$9="税込",N($H297)*8/108,N($H297)*8/100),0),ROUNDDOWN(IF('設定'!$B$9="税込",N($H297)*8/108,N($H297)*8/100),0))))</f>
        <v/>
      </c>
      <c r="L297" s="28">
        <f>IF($A297="","",N($G297)+N($H297)+N($I297)+IF('設定'!$B$9="税込",0,$J297+$K297))</f>
        <v/>
      </c>
      <c r="M297" s="29">
        <f>IF(OR($A297="",NOT(ISNUMBER($W297)),NOT(ISNUMBER($X297))),"",IF(OR(INDEX('得意先'!$D$5:$D$104,$W297)="",INDEX('得意先'!$E$5:$E$104,$W297)="",INDEX('得意先'!$F$5:$F$104,$W297)=""),"",IF(INDEX('得意先'!$F$5:$F$104,$W297)="末",DATE(YEAR($X297),(MONTH($X297)+IF(INDEX('得意先'!$D$5:$D$104,$W297)="末",0,IF(DAY($X297)&lt;=INDEX('得意先'!$D$5:$D$104,$W297),0,1))+N(INDEX('得意先'!$E$5:$E$104,$W297)))+1,0),DATE(YEAR($X297),(MONTH($X297)+IF(INDEX('得意先'!$D$5:$D$104,$W297)="末",0,IF(DAY($X297)&lt;=INDEX('得意先'!$D$5:$D$104,$W297),0,1))+N(INDEX('得意先'!$E$5:$E$104,$W297))),MIN(INDEX('得意先'!$F$5:$F$104,$W297),DAY(DATE(YEAR($X297),(MONTH($X297)+IF(INDEX('得意先'!$D$5:$D$104,$W297)="末",0,IF(DAY($X297)&lt;=INDEX('得意先'!$D$5:$D$104,$W297),0,1))+N(INDEX('得意先'!$E$5:$E$104,$W297)))+1,0)))))))</f>
        <v/>
      </c>
      <c r="N297" s="26" t="n"/>
      <c r="O297" s="29">
        <f>IF($A297="","",IF(ISNUMBER($N297),$N297,$M297))</f>
        <v/>
      </c>
      <c r="P297" s="28">
        <f>IF($A297="","",SUMIF('入金消込'!$F$5:$F$1004,$A297,'入金消込'!$G$5:$G$1004))</f>
        <v/>
      </c>
      <c r="Q297" s="28">
        <f>IF($A297="","",SUMIF('入金消込'!$F$5:$F$1004,$A297,'入金消込'!$H$5:$H$1004)+SUMIF('入金消込'!$F$5:$F$1004,$A297,'入金消込'!$I$5:$I$1004))</f>
        <v/>
      </c>
      <c r="R297" s="28">
        <f>IF($A297="","",$L297-$P297-$Q297)</f>
        <v/>
      </c>
      <c r="S297" s="30">
        <f>IF($A297="","",IF($R297=0,IF($L297=0,"請求額0","回収済"),IF($L297&lt;0,IF($R297&lt;0,"差し引き待ち","差し引きすぎ"),IF($R297&lt;0,"入金が多い",IF($P297+$Q297=0,"未入金","一部入金")))))</f>
        <v/>
      </c>
      <c r="T297" s="31">
        <f>IF(OR($A297="",N($R297)&lt;=0,NOT(ISNUMBER($O297))),"",IF($O297&lt;'設定'!$B$7,'設定'!$B$7-$O297,""))</f>
        <v/>
      </c>
      <c r="U297" s="30">
        <f>IF(OR($A297="",N($R297)&lt;=0),"",IF(NOT(ISNUMBER($O297)),'設定'!$B$22,IF($O297&gt;='設定'!$B$7,'設定'!$B$17,IF('設定'!$B$7-$O297&lt;='設定'!$B$12,'設定'!$B$18,IF('設定'!$B$7-$O297&lt;='設定'!$B$13,'設定'!$B$19,IF('設定'!$B$7-$O297&lt;='設定'!$B$14,'設定'!$B$20,'設定'!$B$21))))))</f>
        <v/>
      </c>
      <c r="V297" s="56" t="n"/>
      <c r="W297" s="32">
        <f>IF($C297="","",IFERROR(MATCH($C297,'得意先'!$B$5:$B$104,0),"なし"))</f>
        <v/>
      </c>
      <c r="X297" s="33">
        <f>IF($A297="","",IF(ISNUMBER($E297),$E297,IF(ISNUMBER($B297),$B297,"")))</f>
        <v/>
      </c>
      <c r="Y297" s="34">
        <f>IF($T297="","",$O297+ROW()/1000000)</f>
        <v/>
      </c>
      <c r="Z297" s="35">
        <f>IF(OR($A297="",$C297="",$C297&lt;&gt;'売掛帳'!$B$3,NOT(ISNUMBER($X297))),"",IF(AND($X297&gt;='売掛帳'!$Q$3,$X297&lt;='売掛帳'!$Q$4),$X297+ROW()/10000000,""))</f>
        <v/>
      </c>
    </row>
    <row r="298" ht="18" customHeight="1">
      <c r="A298" s="18" t="n"/>
      <c r="B298" s="26" t="n"/>
      <c r="C298" s="18" t="n"/>
      <c r="D298" s="20">
        <f>IF($W298="","",IF($W298="なし","※得意先にないコード",INDEX('得意先'!$C$5:$C$104,$W298)&amp;""))</f>
        <v/>
      </c>
      <c r="E298" s="26" t="n"/>
      <c r="F298" s="19" t="n"/>
      <c r="G298" s="27" t="n"/>
      <c r="H298" s="27" t="n"/>
      <c r="I298" s="27" t="n"/>
      <c r="J298" s="28">
        <f>IF($A298="","",IF('設定'!$B$10="四捨五入",ROUND(IF('設定'!$B$9="税込",N($G298)*10/110,N($G298)*10/100),0),IF('設定'!$B$10="切り上げ",ROUNDUP(IF('設定'!$B$9="税込",N($G298)*10/110,N($G298)*10/100),0),ROUNDDOWN(IF('設定'!$B$9="税込",N($G298)*10/110,N($G298)*10/100),0))))</f>
        <v/>
      </c>
      <c r="K298" s="28">
        <f>IF($A298="","",IF('設定'!$B$10="四捨五入",ROUND(IF('設定'!$B$9="税込",N($H298)*8/108,N($H298)*8/100),0),IF('設定'!$B$10="切り上げ",ROUNDUP(IF('設定'!$B$9="税込",N($H298)*8/108,N($H298)*8/100),0),ROUNDDOWN(IF('設定'!$B$9="税込",N($H298)*8/108,N($H298)*8/100),0))))</f>
        <v/>
      </c>
      <c r="L298" s="28">
        <f>IF($A298="","",N($G298)+N($H298)+N($I298)+IF('設定'!$B$9="税込",0,$J298+$K298))</f>
        <v/>
      </c>
      <c r="M298" s="29">
        <f>IF(OR($A298="",NOT(ISNUMBER($W298)),NOT(ISNUMBER($X298))),"",IF(OR(INDEX('得意先'!$D$5:$D$104,$W298)="",INDEX('得意先'!$E$5:$E$104,$W298)="",INDEX('得意先'!$F$5:$F$104,$W298)=""),"",IF(INDEX('得意先'!$F$5:$F$104,$W298)="末",DATE(YEAR($X298),(MONTH($X298)+IF(INDEX('得意先'!$D$5:$D$104,$W298)="末",0,IF(DAY($X298)&lt;=INDEX('得意先'!$D$5:$D$104,$W298),0,1))+N(INDEX('得意先'!$E$5:$E$104,$W298)))+1,0),DATE(YEAR($X298),(MONTH($X298)+IF(INDEX('得意先'!$D$5:$D$104,$W298)="末",0,IF(DAY($X298)&lt;=INDEX('得意先'!$D$5:$D$104,$W298),0,1))+N(INDEX('得意先'!$E$5:$E$104,$W298))),MIN(INDEX('得意先'!$F$5:$F$104,$W298),DAY(DATE(YEAR($X298),(MONTH($X298)+IF(INDEX('得意先'!$D$5:$D$104,$W298)="末",0,IF(DAY($X298)&lt;=INDEX('得意先'!$D$5:$D$104,$W298),0,1))+N(INDEX('得意先'!$E$5:$E$104,$W298)))+1,0)))))))</f>
        <v/>
      </c>
      <c r="N298" s="26" t="n"/>
      <c r="O298" s="29">
        <f>IF($A298="","",IF(ISNUMBER($N298),$N298,$M298))</f>
        <v/>
      </c>
      <c r="P298" s="28">
        <f>IF($A298="","",SUMIF('入金消込'!$F$5:$F$1004,$A298,'入金消込'!$G$5:$G$1004))</f>
        <v/>
      </c>
      <c r="Q298" s="28">
        <f>IF($A298="","",SUMIF('入金消込'!$F$5:$F$1004,$A298,'入金消込'!$H$5:$H$1004)+SUMIF('入金消込'!$F$5:$F$1004,$A298,'入金消込'!$I$5:$I$1004))</f>
        <v/>
      </c>
      <c r="R298" s="28">
        <f>IF($A298="","",$L298-$P298-$Q298)</f>
        <v/>
      </c>
      <c r="S298" s="30">
        <f>IF($A298="","",IF($R298=0,IF($L298=0,"請求額0","回収済"),IF($L298&lt;0,IF($R298&lt;0,"差し引き待ち","差し引きすぎ"),IF($R298&lt;0,"入金が多い",IF($P298+$Q298=0,"未入金","一部入金")))))</f>
        <v/>
      </c>
      <c r="T298" s="31">
        <f>IF(OR($A298="",N($R298)&lt;=0,NOT(ISNUMBER($O298))),"",IF($O298&lt;'設定'!$B$7,'設定'!$B$7-$O298,""))</f>
        <v/>
      </c>
      <c r="U298" s="30">
        <f>IF(OR($A298="",N($R298)&lt;=0),"",IF(NOT(ISNUMBER($O298)),'設定'!$B$22,IF($O298&gt;='設定'!$B$7,'設定'!$B$17,IF('設定'!$B$7-$O298&lt;='設定'!$B$12,'設定'!$B$18,IF('設定'!$B$7-$O298&lt;='設定'!$B$13,'設定'!$B$19,IF('設定'!$B$7-$O298&lt;='設定'!$B$14,'設定'!$B$20,'設定'!$B$21))))))</f>
        <v/>
      </c>
      <c r="V298" s="56" t="n"/>
      <c r="W298" s="32">
        <f>IF($C298="","",IFERROR(MATCH($C298,'得意先'!$B$5:$B$104,0),"なし"))</f>
        <v/>
      </c>
      <c r="X298" s="33">
        <f>IF($A298="","",IF(ISNUMBER($E298),$E298,IF(ISNUMBER($B298),$B298,"")))</f>
        <v/>
      </c>
      <c r="Y298" s="34">
        <f>IF($T298="","",$O298+ROW()/1000000)</f>
        <v/>
      </c>
      <c r="Z298" s="35">
        <f>IF(OR($A298="",$C298="",$C298&lt;&gt;'売掛帳'!$B$3,NOT(ISNUMBER($X298))),"",IF(AND($X298&gt;='売掛帳'!$Q$3,$X298&lt;='売掛帳'!$Q$4),$X298+ROW()/10000000,""))</f>
        <v/>
      </c>
    </row>
    <row r="299" ht="18" customHeight="1">
      <c r="A299" s="18" t="n"/>
      <c r="B299" s="26" t="n"/>
      <c r="C299" s="18" t="n"/>
      <c r="D299" s="20">
        <f>IF($W299="","",IF($W299="なし","※得意先にないコード",INDEX('得意先'!$C$5:$C$104,$W299)&amp;""))</f>
        <v/>
      </c>
      <c r="E299" s="26" t="n"/>
      <c r="F299" s="19" t="n"/>
      <c r="G299" s="27" t="n"/>
      <c r="H299" s="27" t="n"/>
      <c r="I299" s="27" t="n"/>
      <c r="J299" s="28">
        <f>IF($A299="","",IF('設定'!$B$10="四捨五入",ROUND(IF('設定'!$B$9="税込",N($G299)*10/110,N($G299)*10/100),0),IF('設定'!$B$10="切り上げ",ROUNDUP(IF('設定'!$B$9="税込",N($G299)*10/110,N($G299)*10/100),0),ROUNDDOWN(IF('設定'!$B$9="税込",N($G299)*10/110,N($G299)*10/100),0))))</f>
        <v/>
      </c>
      <c r="K299" s="28">
        <f>IF($A299="","",IF('設定'!$B$10="四捨五入",ROUND(IF('設定'!$B$9="税込",N($H299)*8/108,N($H299)*8/100),0),IF('設定'!$B$10="切り上げ",ROUNDUP(IF('設定'!$B$9="税込",N($H299)*8/108,N($H299)*8/100),0),ROUNDDOWN(IF('設定'!$B$9="税込",N($H299)*8/108,N($H299)*8/100),0))))</f>
        <v/>
      </c>
      <c r="L299" s="28">
        <f>IF($A299="","",N($G299)+N($H299)+N($I299)+IF('設定'!$B$9="税込",0,$J299+$K299))</f>
        <v/>
      </c>
      <c r="M299" s="29">
        <f>IF(OR($A299="",NOT(ISNUMBER($W299)),NOT(ISNUMBER($X299))),"",IF(OR(INDEX('得意先'!$D$5:$D$104,$W299)="",INDEX('得意先'!$E$5:$E$104,$W299)="",INDEX('得意先'!$F$5:$F$104,$W299)=""),"",IF(INDEX('得意先'!$F$5:$F$104,$W299)="末",DATE(YEAR($X299),(MONTH($X299)+IF(INDEX('得意先'!$D$5:$D$104,$W299)="末",0,IF(DAY($X299)&lt;=INDEX('得意先'!$D$5:$D$104,$W299),0,1))+N(INDEX('得意先'!$E$5:$E$104,$W299)))+1,0),DATE(YEAR($X299),(MONTH($X299)+IF(INDEX('得意先'!$D$5:$D$104,$W299)="末",0,IF(DAY($X299)&lt;=INDEX('得意先'!$D$5:$D$104,$W299),0,1))+N(INDEX('得意先'!$E$5:$E$104,$W299))),MIN(INDEX('得意先'!$F$5:$F$104,$W299),DAY(DATE(YEAR($X299),(MONTH($X299)+IF(INDEX('得意先'!$D$5:$D$104,$W299)="末",0,IF(DAY($X299)&lt;=INDEX('得意先'!$D$5:$D$104,$W299),0,1))+N(INDEX('得意先'!$E$5:$E$104,$W299)))+1,0)))))))</f>
        <v/>
      </c>
      <c r="N299" s="26" t="n"/>
      <c r="O299" s="29">
        <f>IF($A299="","",IF(ISNUMBER($N299),$N299,$M299))</f>
        <v/>
      </c>
      <c r="P299" s="28">
        <f>IF($A299="","",SUMIF('入金消込'!$F$5:$F$1004,$A299,'入金消込'!$G$5:$G$1004))</f>
        <v/>
      </c>
      <c r="Q299" s="28">
        <f>IF($A299="","",SUMIF('入金消込'!$F$5:$F$1004,$A299,'入金消込'!$H$5:$H$1004)+SUMIF('入金消込'!$F$5:$F$1004,$A299,'入金消込'!$I$5:$I$1004))</f>
        <v/>
      </c>
      <c r="R299" s="28">
        <f>IF($A299="","",$L299-$P299-$Q299)</f>
        <v/>
      </c>
      <c r="S299" s="30">
        <f>IF($A299="","",IF($R299=0,IF($L299=0,"請求額0","回収済"),IF($L299&lt;0,IF($R299&lt;0,"差し引き待ち","差し引きすぎ"),IF($R299&lt;0,"入金が多い",IF($P299+$Q299=0,"未入金","一部入金")))))</f>
        <v/>
      </c>
      <c r="T299" s="31">
        <f>IF(OR($A299="",N($R299)&lt;=0,NOT(ISNUMBER($O299))),"",IF($O299&lt;'設定'!$B$7,'設定'!$B$7-$O299,""))</f>
        <v/>
      </c>
      <c r="U299" s="30">
        <f>IF(OR($A299="",N($R299)&lt;=0),"",IF(NOT(ISNUMBER($O299)),'設定'!$B$22,IF($O299&gt;='設定'!$B$7,'設定'!$B$17,IF('設定'!$B$7-$O299&lt;='設定'!$B$12,'設定'!$B$18,IF('設定'!$B$7-$O299&lt;='設定'!$B$13,'設定'!$B$19,IF('設定'!$B$7-$O299&lt;='設定'!$B$14,'設定'!$B$20,'設定'!$B$21))))))</f>
        <v/>
      </c>
      <c r="V299" s="56" t="n"/>
      <c r="W299" s="32">
        <f>IF($C299="","",IFERROR(MATCH($C299,'得意先'!$B$5:$B$104,0),"なし"))</f>
        <v/>
      </c>
      <c r="X299" s="33">
        <f>IF($A299="","",IF(ISNUMBER($E299),$E299,IF(ISNUMBER($B299),$B299,"")))</f>
        <v/>
      </c>
      <c r="Y299" s="34">
        <f>IF($T299="","",$O299+ROW()/1000000)</f>
        <v/>
      </c>
      <c r="Z299" s="35">
        <f>IF(OR($A299="",$C299="",$C299&lt;&gt;'売掛帳'!$B$3,NOT(ISNUMBER($X299))),"",IF(AND($X299&gt;='売掛帳'!$Q$3,$X299&lt;='売掛帳'!$Q$4),$X299+ROW()/10000000,""))</f>
        <v/>
      </c>
    </row>
    <row r="300" ht="18" customHeight="1">
      <c r="A300" s="18" t="n"/>
      <c r="B300" s="26" t="n"/>
      <c r="C300" s="18" t="n"/>
      <c r="D300" s="20">
        <f>IF($W300="","",IF($W300="なし","※得意先にないコード",INDEX('得意先'!$C$5:$C$104,$W300)&amp;""))</f>
        <v/>
      </c>
      <c r="E300" s="26" t="n"/>
      <c r="F300" s="19" t="n"/>
      <c r="G300" s="27" t="n"/>
      <c r="H300" s="27" t="n"/>
      <c r="I300" s="27" t="n"/>
      <c r="J300" s="28">
        <f>IF($A300="","",IF('設定'!$B$10="四捨五入",ROUND(IF('設定'!$B$9="税込",N($G300)*10/110,N($G300)*10/100),0),IF('設定'!$B$10="切り上げ",ROUNDUP(IF('設定'!$B$9="税込",N($G300)*10/110,N($G300)*10/100),0),ROUNDDOWN(IF('設定'!$B$9="税込",N($G300)*10/110,N($G300)*10/100),0))))</f>
        <v/>
      </c>
      <c r="K300" s="28">
        <f>IF($A300="","",IF('設定'!$B$10="四捨五入",ROUND(IF('設定'!$B$9="税込",N($H300)*8/108,N($H300)*8/100),0),IF('設定'!$B$10="切り上げ",ROUNDUP(IF('設定'!$B$9="税込",N($H300)*8/108,N($H300)*8/100),0),ROUNDDOWN(IF('設定'!$B$9="税込",N($H300)*8/108,N($H300)*8/100),0))))</f>
        <v/>
      </c>
      <c r="L300" s="28">
        <f>IF($A300="","",N($G300)+N($H300)+N($I300)+IF('設定'!$B$9="税込",0,$J300+$K300))</f>
        <v/>
      </c>
      <c r="M300" s="29">
        <f>IF(OR($A300="",NOT(ISNUMBER($W300)),NOT(ISNUMBER($X300))),"",IF(OR(INDEX('得意先'!$D$5:$D$104,$W300)="",INDEX('得意先'!$E$5:$E$104,$W300)="",INDEX('得意先'!$F$5:$F$104,$W300)=""),"",IF(INDEX('得意先'!$F$5:$F$104,$W300)="末",DATE(YEAR($X300),(MONTH($X300)+IF(INDEX('得意先'!$D$5:$D$104,$W300)="末",0,IF(DAY($X300)&lt;=INDEX('得意先'!$D$5:$D$104,$W300),0,1))+N(INDEX('得意先'!$E$5:$E$104,$W300)))+1,0),DATE(YEAR($X300),(MONTH($X300)+IF(INDEX('得意先'!$D$5:$D$104,$W300)="末",0,IF(DAY($X300)&lt;=INDEX('得意先'!$D$5:$D$104,$W300),0,1))+N(INDEX('得意先'!$E$5:$E$104,$W300))),MIN(INDEX('得意先'!$F$5:$F$104,$W300),DAY(DATE(YEAR($X300),(MONTH($X300)+IF(INDEX('得意先'!$D$5:$D$104,$W300)="末",0,IF(DAY($X300)&lt;=INDEX('得意先'!$D$5:$D$104,$W300),0,1))+N(INDEX('得意先'!$E$5:$E$104,$W300)))+1,0)))))))</f>
        <v/>
      </c>
      <c r="N300" s="26" t="n"/>
      <c r="O300" s="29">
        <f>IF($A300="","",IF(ISNUMBER($N300),$N300,$M300))</f>
        <v/>
      </c>
      <c r="P300" s="28">
        <f>IF($A300="","",SUMIF('入金消込'!$F$5:$F$1004,$A300,'入金消込'!$G$5:$G$1004))</f>
        <v/>
      </c>
      <c r="Q300" s="28">
        <f>IF($A300="","",SUMIF('入金消込'!$F$5:$F$1004,$A300,'入金消込'!$H$5:$H$1004)+SUMIF('入金消込'!$F$5:$F$1004,$A300,'入金消込'!$I$5:$I$1004))</f>
        <v/>
      </c>
      <c r="R300" s="28">
        <f>IF($A300="","",$L300-$P300-$Q300)</f>
        <v/>
      </c>
      <c r="S300" s="30">
        <f>IF($A300="","",IF($R300=0,IF($L300=0,"請求額0","回収済"),IF($L300&lt;0,IF($R300&lt;0,"差し引き待ち","差し引きすぎ"),IF($R300&lt;0,"入金が多い",IF($P300+$Q300=0,"未入金","一部入金")))))</f>
        <v/>
      </c>
      <c r="T300" s="31">
        <f>IF(OR($A300="",N($R300)&lt;=0,NOT(ISNUMBER($O300))),"",IF($O300&lt;'設定'!$B$7,'設定'!$B$7-$O300,""))</f>
        <v/>
      </c>
      <c r="U300" s="30">
        <f>IF(OR($A300="",N($R300)&lt;=0),"",IF(NOT(ISNUMBER($O300)),'設定'!$B$22,IF($O300&gt;='設定'!$B$7,'設定'!$B$17,IF('設定'!$B$7-$O300&lt;='設定'!$B$12,'設定'!$B$18,IF('設定'!$B$7-$O300&lt;='設定'!$B$13,'設定'!$B$19,IF('設定'!$B$7-$O300&lt;='設定'!$B$14,'設定'!$B$20,'設定'!$B$21))))))</f>
        <v/>
      </c>
      <c r="V300" s="56" t="n"/>
      <c r="W300" s="32">
        <f>IF($C300="","",IFERROR(MATCH($C300,'得意先'!$B$5:$B$104,0),"なし"))</f>
        <v/>
      </c>
      <c r="X300" s="33">
        <f>IF($A300="","",IF(ISNUMBER($E300),$E300,IF(ISNUMBER($B300),$B300,"")))</f>
        <v/>
      </c>
      <c r="Y300" s="34">
        <f>IF($T300="","",$O300+ROW()/1000000)</f>
        <v/>
      </c>
      <c r="Z300" s="35">
        <f>IF(OR($A300="",$C300="",$C300&lt;&gt;'売掛帳'!$B$3,NOT(ISNUMBER($X300))),"",IF(AND($X300&gt;='売掛帳'!$Q$3,$X300&lt;='売掛帳'!$Q$4),$X300+ROW()/10000000,""))</f>
        <v/>
      </c>
    </row>
    <row r="301" ht="18" customHeight="1">
      <c r="A301" s="18" t="n"/>
      <c r="B301" s="26" t="n"/>
      <c r="C301" s="18" t="n"/>
      <c r="D301" s="20">
        <f>IF($W301="","",IF($W301="なし","※得意先にないコード",INDEX('得意先'!$C$5:$C$104,$W301)&amp;""))</f>
        <v/>
      </c>
      <c r="E301" s="26" t="n"/>
      <c r="F301" s="19" t="n"/>
      <c r="G301" s="27" t="n"/>
      <c r="H301" s="27" t="n"/>
      <c r="I301" s="27" t="n"/>
      <c r="J301" s="28">
        <f>IF($A301="","",IF('設定'!$B$10="四捨五入",ROUND(IF('設定'!$B$9="税込",N($G301)*10/110,N($G301)*10/100),0),IF('設定'!$B$10="切り上げ",ROUNDUP(IF('設定'!$B$9="税込",N($G301)*10/110,N($G301)*10/100),0),ROUNDDOWN(IF('設定'!$B$9="税込",N($G301)*10/110,N($G301)*10/100),0))))</f>
        <v/>
      </c>
      <c r="K301" s="28">
        <f>IF($A301="","",IF('設定'!$B$10="四捨五入",ROUND(IF('設定'!$B$9="税込",N($H301)*8/108,N($H301)*8/100),0),IF('設定'!$B$10="切り上げ",ROUNDUP(IF('設定'!$B$9="税込",N($H301)*8/108,N($H301)*8/100),0),ROUNDDOWN(IF('設定'!$B$9="税込",N($H301)*8/108,N($H301)*8/100),0))))</f>
        <v/>
      </c>
      <c r="L301" s="28">
        <f>IF($A301="","",N($G301)+N($H301)+N($I301)+IF('設定'!$B$9="税込",0,$J301+$K301))</f>
        <v/>
      </c>
      <c r="M301" s="29">
        <f>IF(OR($A301="",NOT(ISNUMBER($W301)),NOT(ISNUMBER($X301))),"",IF(OR(INDEX('得意先'!$D$5:$D$104,$W301)="",INDEX('得意先'!$E$5:$E$104,$W301)="",INDEX('得意先'!$F$5:$F$104,$W301)=""),"",IF(INDEX('得意先'!$F$5:$F$104,$W301)="末",DATE(YEAR($X301),(MONTH($X301)+IF(INDEX('得意先'!$D$5:$D$104,$W301)="末",0,IF(DAY($X301)&lt;=INDEX('得意先'!$D$5:$D$104,$W301),0,1))+N(INDEX('得意先'!$E$5:$E$104,$W301)))+1,0),DATE(YEAR($X301),(MONTH($X301)+IF(INDEX('得意先'!$D$5:$D$104,$W301)="末",0,IF(DAY($X301)&lt;=INDEX('得意先'!$D$5:$D$104,$W301),0,1))+N(INDEX('得意先'!$E$5:$E$104,$W301))),MIN(INDEX('得意先'!$F$5:$F$104,$W301),DAY(DATE(YEAR($X301),(MONTH($X301)+IF(INDEX('得意先'!$D$5:$D$104,$W301)="末",0,IF(DAY($X301)&lt;=INDEX('得意先'!$D$5:$D$104,$W301),0,1))+N(INDEX('得意先'!$E$5:$E$104,$W301)))+1,0)))))))</f>
        <v/>
      </c>
      <c r="N301" s="26" t="n"/>
      <c r="O301" s="29">
        <f>IF($A301="","",IF(ISNUMBER($N301),$N301,$M301))</f>
        <v/>
      </c>
      <c r="P301" s="28">
        <f>IF($A301="","",SUMIF('入金消込'!$F$5:$F$1004,$A301,'入金消込'!$G$5:$G$1004))</f>
        <v/>
      </c>
      <c r="Q301" s="28">
        <f>IF($A301="","",SUMIF('入金消込'!$F$5:$F$1004,$A301,'入金消込'!$H$5:$H$1004)+SUMIF('入金消込'!$F$5:$F$1004,$A301,'入金消込'!$I$5:$I$1004))</f>
        <v/>
      </c>
      <c r="R301" s="28">
        <f>IF($A301="","",$L301-$P301-$Q301)</f>
        <v/>
      </c>
      <c r="S301" s="30">
        <f>IF($A301="","",IF($R301=0,IF($L301=0,"請求額0","回収済"),IF($L301&lt;0,IF($R301&lt;0,"差し引き待ち","差し引きすぎ"),IF($R301&lt;0,"入金が多い",IF($P301+$Q301=0,"未入金","一部入金")))))</f>
        <v/>
      </c>
      <c r="T301" s="31">
        <f>IF(OR($A301="",N($R301)&lt;=0,NOT(ISNUMBER($O301))),"",IF($O301&lt;'設定'!$B$7,'設定'!$B$7-$O301,""))</f>
        <v/>
      </c>
      <c r="U301" s="30">
        <f>IF(OR($A301="",N($R301)&lt;=0),"",IF(NOT(ISNUMBER($O301)),'設定'!$B$22,IF($O301&gt;='設定'!$B$7,'設定'!$B$17,IF('設定'!$B$7-$O301&lt;='設定'!$B$12,'設定'!$B$18,IF('設定'!$B$7-$O301&lt;='設定'!$B$13,'設定'!$B$19,IF('設定'!$B$7-$O301&lt;='設定'!$B$14,'設定'!$B$20,'設定'!$B$21))))))</f>
        <v/>
      </c>
      <c r="V301" s="56" t="n"/>
      <c r="W301" s="32">
        <f>IF($C301="","",IFERROR(MATCH($C301,'得意先'!$B$5:$B$104,0),"なし"))</f>
        <v/>
      </c>
      <c r="X301" s="33">
        <f>IF($A301="","",IF(ISNUMBER($E301),$E301,IF(ISNUMBER($B301),$B301,"")))</f>
        <v/>
      </c>
      <c r="Y301" s="34">
        <f>IF($T301="","",$O301+ROW()/1000000)</f>
        <v/>
      </c>
      <c r="Z301" s="35">
        <f>IF(OR($A301="",$C301="",$C301&lt;&gt;'売掛帳'!$B$3,NOT(ISNUMBER($X301))),"",IF(AND($X301&gt;='売掛帳'!$Q$3,$X301&lt;='売掛帳'!$Q$4),$X301+ROW()/10000000,""))</f>
        <v/>
      </c>
    </row>
    <row r="302" ht="18" customHeight="1">
      <c r="A302" s="18" t="n"/>
      <c r="B302" s="26" t="n"/>
      <c r="C302" s="18" t="n"/>
      <c r="D302" s="20">
        <f>IF($W302="","",IF($W302="なし","※得意先にないコード",INDEX('得意先'!$C$5:$C$104,$W302)&amp;""))</f>
        <v/>
      </c>
      <c r="E302" s="26" t="n"/>
      <c r="F302" s="19" t="n"/>
      <c r="G302" s="27" t="n"/>
      <c r="H302" s="27" t="n"/>
      <c r="I302" s="27" t="n"/>
      <c r="J302" s="28">
        <f>IF($A302="","",IF('設定'!$B$10="四捨五入",ROUND(IF('設定'!$B$9="税込",N($G302)*10/110,N($G302)*10/100),0),IF('設定'!$B$10="切り上げ",ROUNDUP(IF('設定'!$B$9="税込",N($G302)*10/110,N($G302)*10/100),0),ROUNDDOWN(IF('設定'!$B$9="税込",N($G302)*10/110,N($G302)*10/100),0))))</f>
        <v/>
      </c>
      <c r="K302" s="28">
        <f>IF($A302="","",IF('設定'!$B$10="四捨五入",ROUND(IF('設定'!$B$9="税込",N($H302)*8/108,N($H302)*8/100),0),IF('設定'!$B$10="切り上げ",ROUNDUP(IF('設定'!$B$9="税込",N($H302)*8/108,N($H302)*8/100),0),ROUNDDOWN(IF('設定'!$B$9="税込",N($H302)*8/108,N($H302)*8/100),0))))</f>
        <v/>
      </c>
      <c r="L302" s="28">
        <f>IF($A302="","",N($G302)+N($H302)+N($I302)+IF('設定'!$B$9="税込",0,$J302+$K302))</f>
        <v/>
      </c>
      <c r="M302" s="29">
        <f>IF(OR($A302="",NOT(ISNUMBER($W302)),NOT(ISNUMBER($X302))),"",IF(OR(INDEX('得意先'!$D$5:$D$104,$W302)="",INDEX('得意先'!$E$5:$E$104,$W302)="",INDEX('得意先'!$F$5:$F$104,$W302)=""),"",IF(INDEX('得意先'!$F$5:$F$104,$W302)="末",DATE(YEAR($X302),(MONTH($X302)+IF(INDEX('得意先'!$D$5:$D$104,$W302)="末",0,IF(DAY($X302)&lt;=INDEX('得意先'!$D$5:$D$104,$W302),0,1))+N(INDEX('得意先'!$E$5:$E$104,$W302)))+1,0),DATE(YEAR($X302),(MONTH($X302)+IF(INDEX('得意先'!$D$5:$D$104,$W302)="末",0,IF(DAY($X302)&lt;=INDEX('得意先'!$D$5:$D$104,$W302),0,1))+N(INDEX('得意先'!$E$5:$E$104,$W302))),MIN(INDEX('得意先'!$F$5:$F$104,$W302),DAY(DATE(YEAR($X302),(MONTH($X302)+IF(INDEX('得意先'!$D$5:$D$104,$W302)="末",0,IF(DAY($X302)&lt;=INDEX('得意先'!$D$5:$D$104,$W302),0,1))+N(INDEX('得意先'!$E$5:$E$104,$W302)))+1,0)))))))</f>
        <v/>
      </c>
      <c r="N302" s="26" t="n"/>
      <c r="O302" s="29">
        <f>IF($A302="","",IF(ISNUMBER($N302),$N302,$M302))</f>
        <v/>
      </c>
      <c r="P302" s="28">
        <f>IF($A302="","",SUMIF('入金消込'!$F$5:$F$1004,$A302,'入金消込'!$G$5:$G$1004))</f>
        <v/>
      </c>
      <c r="Q302" s="28">
        <f>IF($A302="","",SUMIF('入金消込'!$F$5:$F$1004,$A302,'入金消込'!$H$5:$H$1004)+SUMIF('入金消込'!$F$5:$F$1004,$A302,'入金消込'!$I$5:$I$1004))</f>
        <v/>
      </c>
      <c r="R302" s="28">
        <f>IF($A302="","",$L302-$P302-$Q302)</f>
        <v/>
      </c>
      <c r="S302" s="30">
        <f>IF($A302="","",IF($R302=0,IF($L302=0,"請求額0","回収済"),IF($L302&lt;0,IF($R302&lt;0,"差し引き待ち","差し引きすぎ"),IF($R302&lt;0,"入金が多い",IF($P302+$Q302=0,"未入金","一部入金")))))</f>
        <v/>
      </c>
      <c r="T302" s="31">
        <f>IF(OR($A302="",N($R302)&lt;=0,NOT(ISNUMBER($O302))),"",IF($O302&lt;'設定'!$B$7,'設定'!$B$7-$O302,""))</f>
        <v/>
      </c>
      <c r="U302" s="30">
        <f>IF(OR($A302="",N($R302)&lt;=0),"",IF(NOT(ISNUMBER($O302)),'設定'!$B$22,IF($O302&gt;='設定'!$B$7,'設定'!$B$17,IF('設定'!$B$7-$O302&lt;='設定'!$B$12,'設定'!$B$18,IF('設定'!$B$7-$O302&lt;='設定'!$B$13,'設定'!$B$19,IF('設定'!$B$7-$O302&lt;='設定'!$B$14,'設定'!$B$20,'設定'!$B$21))))))</f>
        <v/>
      </c>
      <c r="V302" s="56" t="n"/>
      <c r="W302" s="32">
        <f>IF($C302="","",IFERROR(MATCH($C302,'得意先'!$B$5:$B$104,0),"なし"))</f>
        <v/>
      </c>
      <c r="X302" s="33">
        <f>IF($A302="","",IF(ISNUMBER($E302),$E302,IF(ISNUMBER($B302),$B302,"")))</f>
        <v/>
      </c>
      <c r="Y302" s="34">
        <f>IF($T302="","",$O302+ROW()/1000000)</f>
        <v/>
      </c>
      <c r="Z302" s="35">
        <f>IF(OR($A302="",$C302="",$C302&lt;&gt;'売掛帳'!$B$3,NOT(ISNUMBER($X302))),"",IF(AND($X302&gt;='売掛帳'!$Q$3,$X302&lt;='売掛帳'!$Q$4),$X302+ROW()/10000000,""))</f>
        <v/>
      </c>
    </row>
    <row r="303" ht="18" customHeight="1">
      <c r="A303" s="18" t="n"/>
      <c r="B303" s="26" t="n"/>
      <c r="C303" s="18" t="n"/>
      <c r="D303" s="20">
        <f>IF($W303="","",IF($W303="なし","※得意先にないコード",INDEX('得意先'!$C$5:$C$104,$W303)&amp;""))</f>
        <v/>
      </c>
      <c r="E303" s="26" t="n"/>
      <c r="F303" s="19" t="n"/>
      <c r="G303" s="27" t="n"/>
      <c r="H303" s="27" t="n"/>
      <c r="I303" s="27" t="n"/>
      <c r="J303" s="28">
        <f>IF($A303="","",IF('設定'!$B$10="四捨五入",ROUND(IF('設定'!$B$9="税込",N($G303)*10/110,N($G303)*10/100),0),IF('設定'!$B$10="切り上げ",ROUNDUP(IF('設定'!$B$9="税込",N($G303)*10/110,N($G303)*10/100),0),ROUNDDOWN(IF('設定'!$B$9="税込",N($G303)*10/110,N($G303)*10/100),0))))</f>
        <v/>
      </c>
      <c r="K303" s="28">
        <f>IF($A303="","",IF('設定'!$B$10="四捨五入",ROUND(IF('設定'!$B$9="税込",N($H303)*8/108,N($H303)*8/100),0),IF('設定'!$B$10="切り上げ",ROUNDUP(IF('設定'!$B$9="税込",N($H303)*8/108,N($H303)*8/100),0),ROUNDDOWN(IF('設定'!$B$9="税込",N($H303)*8/108,N($H303)*8/100),0))))</f>
        <v/>
      </c>
      <c r="L303" s="28">
        <f>IF($A303="","",N($G303)+N($H303)+N($I303)+IF('設定'!$B$9="税込",0,$J303+$K303))</f>
        <v/>
      </c>
      <c r="M303" s="29">
        <f>IF(OR($A303="",NOT(ISNUMBER($W303)),NOT(ISNUMBER($X303))),"",IF(OR(INDEX('得意先'!$D$5:$D$104,$W303)="",INDEX('得意先'!$E$5:$E$104,$W303)="",INDEX('得意先'!$F$5:$F$104,$W303)=""),"",IF(INDEX('得意先'!$F$5:$F$104,$W303)="末",DATE(YEAR($X303),(MONTH($X303)+IF(INDEX('得意先'!$D$5:$D$104,$W303)="末",0,IF(DAY($X303)&lt;=INDEX('得意先'!$D$5:$D$104,$W303),0,1))+N(INDEX('得意先'!$E$5:$E$104,$W303)))+1,0),DATE(YEAR($X303),(MONTH($X303)+IF(INDEX('得意先'!$D$5:$D$104,$W303)="末",0,IF(DAY($X303)&lt;=INDEX('得意先'!$D$5:$D$104,$W303),0,1))+N(INDEX('得意先'!$E$5:$E$104,$W303))),MIN(INDEX('得意先'!$F$5:$F$104,$W303),DAY(DATE(YEAR($X303),(MONTH($X303)+IF(INDEX('得意先'!$D$5:$D$104,$W303)="末",0,IF(DAY($X303)&lt;=INDEX('得意先'!$D$5:$D$104,$W303),0,1))+N(INDEX('得意先'!$E$5:$E$104,$W303)))+1,0)))))))</f>
        <v/>
      </c>
      <c r="N303" s="26" t="n"/>
      <c r="O303" s="29">
        <f>IF($A303="","",IF(ISNUMBER($N303),$N303,$M303))</f>
        <v/>
      </c>
      <c r="P303" s="28">
        <f>IF($A303="","",SUMIF('入金消込'!$F$5:$F$1004,$A303,'入金消込'!$G$5:$G$1004))</f>
        <v/>
      </c>
      <c r="Q303" s="28">
        <f>IF($A303="","",SUMIF('入金消込'!$F$5:$F$1004,$A303,'入金消込'!$H$5:$H$1004)+SUMIF('入金消込'!$F$5:$F$1004,$A303,'入金消込'!$I$5:$I$1004))</f>
        <v/>
      </c>
      <c r="R303" s="28">
        <f>IF($A303="","",$L303-$P303-$Q303)</f>
        <v/>
      </c>
      <c r="S303" s="30">
        <f>IF($A303="","",IF($R303=0,IF($L303=0,"請求額0","回収済"),IF($L303&lt;0,IF($R303&lt;0,"差し引き待ち","差し引きすぎ"),IF($R303&lt;0,"入金が多い",IF($P303+$Q303=0,"未入金","一部入金")))))</f>
        <v/>
      </c>
      <c r="T303" s="31">
        <f>IF(OR($A303="",N($R303)&lt;=0,NOT(ISNUMBER($O303))),"",IF($O303&lt;'設定'!$B$7,'設定'!$B$7-$O303,""))</f>
        <v/>
      </c>
      <c r="U303" s="30">
        <f>IF(OR($A303="",N($R303)&lt;=0),"",IF(NOT(ISNUMBER($O303)),'設定'!$B$22,IF($O303&gt;='設定'!$B$7,'設定'!$B$17,IF('設定'!$B$7-$O303&lt;='設定'!$B$12,'設定'!$B$18,IF('設定'!$B$7-$O303&lt;='設定'!$B$13,'設定'!$B$19,IF('設定'!$B$7-$O303&lt;='設定'!$B$14,'設定'!$B$20,'設定'!$B$21))))))</f>
        <v/>
      </c>
      <c r="V303" s="56" t="n"/>
      <c r="W303" s="32">
        <f>IF($C303="","",IFERROR(MATCH($C303,'得意先'!$B$5:$B$104,0),"なし"))</f>
        <v/>
      </c>
      <c r="X303" s="33">
        <f>IF($A303="","",IF(ISNUMBER($E303),$E303,IF(ISNUMBER($B303),$B303,"")))</f>
        <v/>
      </c>
      <c r="Y303" s="34">
        <f>IF($T303="","",$O303+ROW()/1000000)</f>
        <v/>
      </c>
      <c r="Z303" s="35">
        <f>IF(OR($A303="",$C303="",$C303&lt;&gt;'売掛帳'!$B$3,NOT(ISNUMBER($X303))),"",IF(AND($X303&gt;='売掛帳'!$Q$3,$X303&lt;='売掛帳'!$Q$4),$X303+ROW()/10000000,""))</f>
        <v/>
      </c>
    </row>
    <row r="304" ht="18" customHeight="1">
      <c r="A304" s="18" t="n"/>
      <c r="B304" s="26" t="n"/>
      <c r="C304" s="18" t="n"/>
      <c r="D304" s="20">
        <f>IF($W304="","",IF($W304="なし","※得意先にないコード",INDEX('得意先'!$C$5:$C$104,$W304)&amp;""))</f>
        <v/>
      </c>
      <c r="E304" s="26" t="n"/>
      <c r="F304" s="19" t="n"/>
      <c r="G304" s="27" t="n"/>
      <c r="H304" s="27" t="n"/>
      <c r="I304" s="27" t="n"/>
      <c r="J304" s="28">
        <f>IF($A304="","",IF('設定'!$B$10="四捨五入",ROUND(IF('設定'!$B$9="税込",N($G304)*10/110,N($G304)*10/100),0),IF('設定'!$B$10="切り上げ",ROUNDUP(IF('設定'!$B$9="税込",N($G304)*10/110,N($G304)*10/100),0),ROUNDDOWN(IF('設定'!$B$9="税込",N($G304)*10/110,N($G304)*10/100),0))))</f>
        <v/>
      </c>
      <c r="K304" s="28">
        <f>IF($A304="","",IF('設定'!$B$10="四捨五入",ROUND(IF('設定'!$B$9="税込",N($H304)*8/108,N($H304)*8/100),0),IF('設定'!$B$10="切り上げ",ROUNDUP(IF('設定'!$B$9="税込",N($H304)*8/108,N($H304)*8/100),0),ROUNDDOWN(IF('設定'!$B$9="税込",N($H304)*8/108,N($H304)*8/100),0))))</f>
        <v/>
      </c>
      <c r="L304" s="28">
        <f>IF($A304="","",N($G304)+N($H304)+N($I304)+IF('設定'!$B$9="税込",0,$J304+$K304))</f>
        <v/>
      </c>
      <c r="M304" s="29">
        <f>IF(OR($A304="",NOT(ISNUMBER($W304)),NOT(ISNUMBER($X304))),"",IF(OR(INDEX('得意先'!$D$5:$D$104,$W304)="",INDEX('得意先'!$E$5:$E$104,$W304)="",INDEX('得意先'!$F$5:$F$104,$W304)=""),"",IF(INDEX('得意先'!$F$5:$F$104,$W304)="末",DATE(YEAR($X304),(MONTH($X304)+IF(INDEX('得意先'!$D$5:$D$104,$W304)="末",0,IF(DAY($X304)&lt;=INDEX('得意先'!$D$5:$D$104,$W304),0,1))+N(INDEX('得意先'!$E$5:$E$104,$W304)))+1,0),DATE(YEAR($X304),(MONTH($X304)+IF(INDEX('得意先'!$D$5:$D$104,$W304)="末",0,IF(DAY($X304)&lt;=INDEX('得意先'!$D$5:$D$104,$W304),0,1))+N(INDEX('得意先'!$E$5:$E$104,$W304))),MIN(INDEX('得意先'!$F$5:$F$104,$W304),DAY(DATE(YEAR($X304),(MONTH($X304)+IF(INDEX('得意先'!$D$5:$D$104,$W304)="末",0,IF(DAY($X304)&lt;=INDEX('得意先'!$D$5:$D$104,$W304),0,1))+N(INDEX('得意先'!$E$5:$E$104,$W304)))+1,0)))))))</f>
        <v/>
      </c>
      <c r="N304" s="26" t="n"/>
      <c r="O304" s="29">
        <f>IF($A304="","",IF(ISNUMBER($N304),$N304,$M304))</f>
        <v/>
      </c>
      <c r="P304" s="28">
        <f>IF($A304="","",SUMIF('入金消込'!$F$5:$F$1004,$A304,'入金消込'!$G$5:$G$1004))</f>
        <v/>
      </c>
      <c r="Q304" s="28">
        <f>IF($A304="","",SUMIF('入金消込'!$F$5:$F$1004,$A304,'入金消込'!$H$5:$H$1004)+SUMIF('入金消込'!$F$5:$F$1004,$A304,'入金消込'!$I$5:$I$1004))</f>
        <v/>
      </c>
      <c r="R304" s="28">
        <f>IF($A304="","",$L304-$P304-$Q304)</f>
        <v/>
      </c>
      <c r="S304" s="30">
        <f>IF($A304="","",IF($R304=0,IF($L304=0,"請求額0","回収済"),IF($L304&lt;0,IF($R304&lt;0,"差し引き待ち","差し引きすぎ"),IF($R304&lt;0,"入金が多い",IF($P304+$Q304=0,"未入金","一部入金")))))</f>
        <v/>
      </c>
      <c r="T304" s="31">
        <f>IF(OR($A304="",N($R304)&lt;=0,NOT(ISNUMBER($O304))),"",IF($O304&lt;'設定'!$B$7,'設定'!$B$7-$O304,""))</f>
        <v/>
      </c>
      <c r="U304" s="30">
        <f>IF(OR($A304="",N($R304)&lt;=0),"",IF(NOT(ISNUMBER($O304)),'設定'!$B$22,IF($O304&gt;='設定'!$B$7,'設定'!$B$17,IF('設定'!$B$7-$O304&lt;='設定'!$B$12,'設定'!$B$18,IF('設定'!$B$7-$O304&lt;='設定'!$B$13,'設定'!$B$19,IF('設定'!$B$7-$O304&lt;='設定'!$B$14,'設定'!$B$20,'設定'!$B$21))))))</f>
        <v/>
      </c>
      <c r="V304" s="56" t="n"/>
      <c r="W304" s="32">
        <f>IF($C304="","",IFERROR(MATCH($C304,'得意先'!$B$5:$B$104,0),"なし"))</f>
        <v/>
      </c>
      <c r="X304" s="33">
        <f>IF($A304="","",IF(ISNUMBER($E304),$E304,IF(ISNUMBER($B304),$B304,"")))</f>
        <v/>
      </c>
      <c r="Y304" s="34">
        <f>IF($T304="","",$O304+ROW()/1000000)</f>
        <v/>
      </c>
      <c r="Z304" s="35">
        <f>IF(OR($A304="",$C304="",$C304&lt;&gt;'売掛帳'!$B$3,NOT(ISNUMBER($X304))),"",IF(AND($X304&gt;='売掛帳'!$Q$3,$X304&lt;='売掛帳'!$Q$4),$X304+ROW()/10000000,""))</f>
        <v/>
      </c>
    </row>
    <row r="305" ht="18" customHeight="1">
      <c r="A305" s="18" t="n"/>
      <c r="B305" s="26" t="n"/>
      <c r="C305" s="18" t="n"/>
      <c r="D305" s="20">
        <f>IF($W305="","",IF($W305="なし","※得意先にないコード",INDEX('得意先'!$C$5:$C$104,$W305)&amp;""))</f>
        <v/>
      </c>
      <c r="E305" s="26" t="n"/>
      <c r="F305" s="19" t="n"/>
      <c r="G305" s="27" t="n"/>
      <c r="H305" s="27" t="n"/>
      <c r="I305" s="27" t="n"/>
      <c r="J305" s="28">
        <f>IF($A305="","",IF('設定'!$B$10="四捨五入",ROUND(IF('設定'!$B$9="税込",N($G305)*10/110,N($G305)*10/100),0),IF('設定'!$B$10="切り上げ",ROUNDUP(IF('設定'!$B$9="税込",N($G305)*10/110,N($G305)*10/100),0),ROUNDDOWN(IF('設定'!$B$9="税込",N($G305)*10/110,N($G305)*10/100),0))))</f>
        <v/>
      </c>
      <c r="K305" s="28">
        <f>IF($A305="","",IF('設定'!$B$10="四捨五入",ROUND(IF('設定'!$B$9="税込",N($H305)*8/108,N($H305)*8/100),0),IF('設定'!$B$10="切り上げ",ROUNDUP(IF('設定'!$B$9="税込",N($H305)*8/108,N($H305)*8/100),0),ROUNDDOWN(IF('設定'!$B$9="税込",N($H305)*8/108,N($H305)*8/100),0))))</f>
        <v/>
      </c>
      <c r="L305" s="28">
        <f>IF($A305="","",N($G305)+N($H305)+N($I305)+IF('設定'!$B$9="税込",0,$J305+$K305))</f>
        <v/>
      </c>
      <c r="M305" s="29">
        <f>IF(OR($A305="",NOT(ISNUMBER($W305)),NOT(ISNUMBER($X305))),"",IF(OR(INDEX('得意先'!$D$5:$D$104,$W305)="",INDEX('得意先'!$E$5:$E$104,$W305)="",INDEX('得意先'!$F$5:$F$104,$W305)=""),"",IF(INDEX('得意先'!$F$5:$F$104,$W305)="末",DATE(YEAR($X305),(MONTH($X305)+IF(INDEX('得意先'!$D$5:$D$104,$W305)="末",0,IF(DAY($X305)&lt;=INDEX('得意先'!$D$5:$D$104,$W305),0,1))+N(INDEX('得意先'!$E$5:$E$104,$W305)))+1,0),DATE(YEAR($X305),(MONTH($X305)+IF(INDEX('得意先'!$D$5:$D$104,$W305)="末",0,IF(DAY($X305)&lt;=INDEX('得意先'!$D$5:$D$104,$W305),0,1))+N(INDEX('得意先'!$E$5:$E$104,$W305))),MIN(INDEX('得意先'!$F$5:$F$104,$W305),DAY(DATE(YEAR($X305),(MONTH($X305)+IF(INDEX('得意先'!$D$5:$D$104,$W305)="末",0,IF(DAY($X305)&lt;=INDEX('得意先'!$D$5:$D$104,$W305),0,1))+N(INDEX('得意先'!$E$5:$E$104,$W305)))+1,0)))))))</f>
        <v/>
      </c>
      <c r="N305" s="26" t="n"/>
      <c r="O305" s="29">
        <f>IF($A305="","",IF(ISNUMBER($N305),$N305,$M305))</f>
        <v/>
      </c>
      <c r="P305" s="28">
        <f>IF($A305="","",SUMIF('入金消込'!$F$5:$F$1004,$A305,'入金消込'!$G$5:$G$1004))</f>
        <v/>
      </c>
      <c r="Q305" s="28">
        <f>IF($A305="","",SUMIF('入金消込'!$F$5:$F$1004,$A305,'入金消込'!$H$5:$H$1004)+SUMIF('入金消込'!$F$5:$F$1004,$A305,'入金消込'!$I$5:$I$1004))</f>
        <v/>
      </c>
      <c r="R305" s="28">
        <f>IF($A305="","",$L305-$P305-$Q305)</f>
        <v/>
      </c>
      <c r="S305" s="30">
        <f>IF($A305="","",IF($R305=0,IF($L305=0,"請求額0","回収済"),IF($L305&lt;0,IF($R305&lt;0,"差し引き待ち","差し引きすぎ"),IF($R305&lt;0,"入金が多い",IF($P305+$Q305=0,"未入金","一部入金")))))</f>
        <v/>
      </c>
      <c r="T305" s="31">
        <f>IF(OR($A305="",N($R305)&lt;=0,NOT(ISNUMBER($O305))),"",IF($O305&lt;'設定'!$B$7,'設定'!$B$7-$O305,""))</f>
        <v/>
      </c>
      <c r="U305" s="30">
        <f>IF(OR($A305="",N($R305)&lt;=0),"",IF(NOT(ISNUMBER($O305)),'設定'!$B$22,IF($O305&gt;='設定'!$B$7,'設定'!$B$17,IF('設定'!$B$7-$O305&lt;='設定'!$B$12,'設定'!$B$18,IF('設定'!$B$7-$O305&lt;='設定'!$B$13,'設定'!$B$19,IF('設定'!$B$7-$O305&lt;='設定'!$B$14,'設定'!$B$20,'設定'!$B$21))))))</f>
        <v/>
      </c>
      <c r="V305" s="56" t="n"/>
      <c r="W305" s="32">
        <f>IF($C305="","",IFERROR(MATCH($C305,'得意先'!$B$5:$B$104,0),"なし"))</f>
        <v/>
      </c>
      <c r="X305" s="33">
        <f>IF($A305="","",IF(ISNUMBER($E305),$E305,IF(ISNUMBER($B305),$B305,"")))</f>
        <v/>
      </c>
      <c r="Y305" s="34">
        <f>IF($T305="","",$O305+ROW()/1000000)</f>
        <v/>
      </c>
      <c r="Z305" s="35">
        <f>IF(OR($A305="",$C305="",$C305&lt;&gt;'売掛帳'!$B$3,NOT(ISNUMBER($X305))),"",IF(AND($X305&gt;='売掛帳'!$Q$3,$X305&lt;='売掛帳'!$Q$4),$X305+ROW()/10000000,""))</f>
        <v/>
      </c>
    </row>
    <row r="306" ht="18" customHeight="1">
      <c r="A306" s="18" t="n"/>
      <c r="B306" s="26" t="n"/>
      <c r="C306" s="18" t="n"/>
      <c r="D306" s="20">
        <f>IF($W306="","",IF($W306="なし","※得意先にないコード",INDEX('得意先'!$C$5:$C$104,$W306)&amp;""))</f>
        <v/>
      </c>
      <c r="E306" s="26" t="n"/>
      <c r="F306" s="19" t="n"/>
      <c r="G306" s="27" t="n"/>
      <c r="H306" s="27" t="n"/>
      <c r="I306" s="27" t="n"/>
      <c r="J306" s="28">
        <f>IF($A306="","",IF('設定'!$B$10="四捨五入",ROUND(IF('設定'!$B$9="税込",N($G306)*10/110,N($G306)*10/100),0),IF('設定'!$B$10="切り上げ",ROUNDUP(IF('設定'!$B$9="税込",N($G306)*10/110,N($G306)*10/100),0),ROUNDDOWN(IF('設定'!$B$9="税込",N($G306)*10/110,N($G306)*10/100),0))))</f>
        <v/>
      </c>
      <c r="K306" s="28">
        <f>IF($A306="","",IF('設定'!$B$10="四捨五入",ROUND(IF('設定'!$B$9="税込",N($H306)*8/108,N($H306)*8/100),0),IF('設定'!$B$10="切り上げ",ROUNDUP(IF('設定'!$B$9="税込",N($H306)*8/108,N($H306)*8/100),0),ROUNDDOWN(IF('設定'!$B$9="税込",N($H306)*8/108,N($H306)*8/100),0))))</f>
        <v/>
      </c>
      <c r="L306" s="28">
        <f>IF($A306="","",N($G306)+N($H306)+N($I306)+IF('設定'!$B$9="税込",0,$J306+$K306))</f>
        <v/>
      </c>
      <c r="M306" s="29">
        <f>IF(OR($A306="",NOT(ISNUMBER($W306)),NOT(ISNUMBER($X306))),"",IF(OR(INDEX('得意先'!$D$5:$D$104,$W306)="",INDEX('得意先'!$E$5:$E$104,$W306)="",INDEX('得意先'!$F$5:$F$104,$W306)=""),"",IF(INDEX('得意先'!$F$5:$F$104,$W306)="末",DATE(YEAR($X306),(MONTH($X306)+IF(INDEX('得意先'!$D$5:$D$104,$W306)="末",0,IF(DAY($X306)&lt;=INDEX('得意先'!$D$5:$D$104,$W306),0,1))+N(INDEX('得意先'!$E$5:$E$104,$W306)))+1,0),DATE(YEAR($X306),(MONTH($X306)+IF(INDEX('得意先'!$D$5:$D$104,$W306)="末",0,IF(DAY($X306)&lt;=INDEX('得意先'!$D$5:$D$104,$W306),0,1))+N(INDEX('得意先'!$E$5:$E$104,$W306))),MIN(INDEX('得意先'!$F$5:$F$104,$W306),DAY(DATE(YEAR($X306),(MONTH($X306)+IF(INDEX('得意先'!$D$5:$D$104,$W306)="末",0,IF(DAY($X306)&lt;=INDEX('得意先'!$D$5:$D$104,$W306),0,1))+N(INDEX('得意先'!$E$5:$E$104,$W306)))+1,0)))))))</f>
        <v/>
      </c>
      <c r="N306" s="26" t="n"/>
      <c r="O306" s="29">
        <f>IF($A306="","",IF(ISNUMBER($N306),$N306,$M306))</f>
        <v/>
      </c>
      <c r="P306" s="28">
        <f>IF($A306="","",SUMIF('入金消込'!$F$5:$F$1004,$A306,'入金消込'!$G$5:$G$1004))</f>
        <v/>
      </c>
      <c r="Q306" s="28">
        <f>IF($A306="","",SUMIF('入金消込'!$F$5:$F$1004,$A306,'入金消込'!$H$5:$H$1004)+SUMIF('入金消込'!$F$5:$F$1004,$A306,'入金消込'!$I$5:$I$1004))</f>
        <v/>
      </c>
      <c r="R306" s="28">
        <f>IF($A306="","",$L306-$P306-$Q306)</f>
        <v/>
      </c>
      <c r="S306" s="30">
        <f>IF($A306="","",IF($R306=0,IF($L306=0,"請求額0","回収済"),IF($L306&lt;0,IF($R306&lt;0,"差し引き待ち","差し引きすぎ"),IF($R306&lt;0,"入金が多い",IF($P306+$Q306=0,"未入金","一部入金")))))</f>
        <v/>
      </c>
      <c r="T306" s="31">
        <f>IF(OR($A306="",N($R306)&lt;=0,NOT(ISNUMBER($O306))),"",IF($O306&lt;'設定'!$B$7,'設定'!$B$7-$O306,""))</f>
        <v/>
      </c>
      <c r="U306" s="30">
        <f>IF(OR($A306="",N($R306)&lt;=0),"",IF(NOT(ISNUMBER($O306)),'設定'!$B$22,IF($O306&gt;='設定'!$B$7,'設定'!$B$17,IF('設定'!$B$7-$O306&lt;='設定'!$B$12,'設定'!$B$18,IF('設定'!$B$7-$O306&lt;='設定'!$B$13,'設定'!$B$19,IF('設定'!$B$7-$O306&lt;='設定'!$B$14,'設定'!$B$20,'設定'!$B$21))))))</f>
        <v/>
      </c>
      <c r="V306" s="56" t="n"/>
      <c r="W306" s="32">
        <f>IF($C306="","",IFERROR(MATCH($C306,'得意先'!$B$5:$B$104,0),"なし"))</f>
        <v/>
      </c>
      <c r="X306" s="33">
        <f>IF($A306="","",IF(ISNUMBER($E306),$E306,IF(ISNUMBER($B306),$B306,"")))</f>
        <v/>
      </c>
      <c r="Y306" s="34">
        <f>IF($T306="","",$O306+ROW()/1000000)</f>
        <v/>
      </c>
      <c r="Z306" s="35">
        <f>IF(OR($A306="",$C306="",$C306&lt;&gt;'売掛帳'!$B$3,NOT(ISNUMBER($X306))),"",IF(AND($X306&gt;='売掛帳'!$Q$3,$X306&lt;='売掛帳'!$Q$4),$X306+ROW()/10000000,""))</f>
        <v/>
      </c>
    </row>
    <row r="307" ht="18" customHeight="1">
      <c r="A307" s="18" t="n"/>
      <c r="B307" s="26" t="n"/>
      <c r="C307" s="18" t="n"/>
      <c r="D307" s="20">
        <f>IF($W307="","",IF($W307="なし","※得意先にないコード",INDEX('得意先'!$C$5:$C$104,$W307)&amp;""))</f>
        <v/>
      </c>
      <c r="E307" s="26" t="n"/>
      <c r="F307" s="19" t="n"/>
      <c r="G307" s="27" t="n"/>
      <c r="H307" s="27" t="n"/>
      <c r="I307" s="27" t="n"/>
      <c r="J307" s="28">
        <f>IF($A307="","",IF('設定'!$B$10="四捨五入",ROUND(IF('設定'!$B$9="税込",N($G307)*10/110,N($G307)*10/100),0),IF('設定'!$B$10="切り上げ",ROUNDUP(IF('設定'!$B$9="税込",N($G307)*10/110,N($G307)*10/100),0),ROUNDDOWN(IF('設定'!$B$9="税込",N($G307)*10/110,N($G307)*10/100),0))))</f>
        <v/>
      </c>
      <c r="K307" s="28">
        <f>IF($A307="","",IF('設定'!$B$10="四捨五入",ROUND(IF('設定'!$B$9="税込",N($H307)*8/108,N($H307)*8/100),0),IF('設定'!$B$10="切り上げ",ROUNDUP(IF('設定'!$B$9="税込",N($H307)*8/108,N($H307)*8/100),0),ROUNDDOWN(IF('設定'!$B$9="税込",N($H307)*8/108,N($H307)*8/100),0))))</f>
        <v/>
      </c>
      <c r="L307" s="28">
        <f>IF($A307="","",N($G307)+N($H307)+N($I307)+IF('設定'!$B$9="税込",0,$J307+$K307))</f>
        <v/>
      </c>
      <c r="M307" s="29">
        <f>IF(OR($A307="",NOT(ISNUMBER($W307)),NOT(ISNUMBER($X307))),"",IF(OR(INDEX('得意先'!$D$5:$D$104,$W307)="",INDEX('得意先'!$E$5:$E$104,$W307)="",INDEX('得意先'!$F$5:$F$104,$W307)=""),"",IF(INDEX('得意先'!$F$5:$F$104,$W307)="末",DATE(YEAR($X307),(MONTH($X307)+IF(INDEX('得意先'!$D$5:$D$104,$W307)="末",0,IF(DAY($X307)&lt;=INDEX('得意先'!$D$5:$D$104,$W307),0,1))+N(INDEX('得意先'!$E$5:$E$104,$W307)))+1,0),DATE(YEAR($X307),(MONTH($X307)+IF(INDEX('得意先'!$D$5:$D$104,$W307)="末",0,IF(DAY($X307)&lt;=INDEX('得意先'!$D$5:$D$104,$W307),0,1))+N(INDEX('得意先'!$E$5:$E$104,$W307))),MIN(INDEX('得意先'!$F$5:$F$104,$W307),DAY(DATE(YEAR($X307),(MONTH($X307)+IF(INDEX('得意先'!$D$5:$D$104,$W307)="末",0,IF(DAY($X307)&lt;=INDEX('得意先'!$D$5:$D$104,$W307),0,1))+N(INDEX('得意先'!$E$5:$E$104,$W307)))+1,0)))))))</f>
        <v/>
      </c>
      <c r="N307" s="26" t="n"/>
      <c r="O307" s="29">
        <f>IF($A307="","",IF(ISNUMBER($N307),$N307,$M307))</f>
        <v/>
      </c>
      <c r="P307" s="28">
        <f>IF($A307="","",SUMIF('入金消込'!$F$5:$F$1004,$A307,'入金消込'!$G$5:$G$1004))</f>
        <v/>
      </c>
      <c r="Q307" s="28">
        <f>IF($A307="","",SUMIF('入金消込'!$F$5:$F$1004,$A307,'入金消込'!$H$5:$H$1004)+SUMIF('入金消込'!$F$5:$F$1004,$A307,'入金消込'!$I$5:$I$1004))</f>
        <v/>
      </c>
      <c r="R307" s="28">
        <f>IF($A307="","",$L307-$P307-$Q307)</f>
        <v/>
      </c>
      <c r="S307" s="30">
        <f>IF($A307="","",IF($R307=0,IF($L307=0,"請求額0","回収済"),IF($L307&lt;0,IF($R307&lt;0,"差し引き待ち","差し引きすぎ"),IF($R307&lt;0,"入金が多い",IF($P307+$Q307=0,"未入金","一部入金")))))</f>
        <v/>
      </c>
      <c r="T307" s="31">
        <f>IF(OR($A307="",N($R307)&lt;=0,NOT(ISNUMBER($O307))),"",IF($O307&lt;'設定'!$B$7,'設定'!$B$7-$O307,""))</f>
        <v/>
      </c>
      <c r="U307" s="30">
        <f>IF(OR($A307="",N($R307)&lt;=0),"",IF(NOT(ISNUMBER($O307)),'設定'!$B$22,IF($O307&gt;='設定'!$B$7,'設定'!$B$17,IF('設定'!$B$7-$O307&lt;='設定'!$B$12,'設定'!$B$18,IF('設定'!$B$7-$O307&lt;='設定'!$B$13,'設定'!$B$19,IF('設定'!$B$7-$O307&lt;='設定'!$B$14,'設定'!$B$20,'設定'!$B$21))))))</f>
        <v/>
      </c>
      <c r="V307" s="56" t="n"/>
      <c r="W307" s="32">
        <f>IF($C307="","",IFERROR(MATCH($C307,'得意先'!$B$5:$B$104,0),"なし"))</f>
        <v/>
      </c>
      <c r="X307" s="33">
        <f>IF($A307="","",IF(ISNUMBER($E307),$E307,IF(ISNUMBER($B307),$B307,"")))</f>
        <v/>
      </c>
      <c r="Y307" s="34">
        <f>IF($T307="","",$O307+ROW()/1000000)</f>
        <v/>
      </c>
      <c r="Z307" s="35">
        <f>IF(OR($A307="",$C307="",$C307&lt;&gt;'売掛帳'!$B$3,NOT(ISNUMBER($X307))),"",IF(AND($X307&gt;='売掛帳'!$Q$3,$X307&lt;='売掛帳'!$Q$4),$X307+ROW()/10000000,""))</f>
        <v/>
      </c>
    </row>
    <row r="308" ht="18" customHeight="1">
      <c r="A308" s="18" t="n"/>
      <c r="B308" s="26" t="n"/>
      <c r="C308" s="18" t="n"/>
      <c r="D308" s="20">
        <f>IF($W308="","",IF($W308="なし","※得意先にないコード",INDEX('得意先'!$C$5:$C$104,$W308)&amp;""))</f>
        <v/>
      </c>
      <c r="E308" s="26" t="n"/>
      <c r="F308" s="19" t="n"/>
      <c r="G308" s="27" t="n"/>
      <c r="H308" s="27" t="n"/>
      <c r="I308" s="27" t="n"/>
      <c r="J308" s="28">
        <f>IF($A308="","",IF('設定'!$B$10="四捨五入",ROUND(IF('設定'!$B$9="税込",N($G308)*10/110,N($G308)*10/100),0),IF('設定'!$B$10="切り上げ",ROUNDUP(IF('設定'!$B$9="税込",N($G308)*10/110,N($G308)*10/100),0),ROUNDDOWN(IF('設定'!$B$9="税込",N($G308)*10/110,N($G308)*10/100),0))))</f>
        <v/>
      </c>
      <c r="K308" s="28">
        <f>IF($A308="","",IF('設定'!$B$10="四捨五入",ROUND(IF('設定'!$B$9="税込",N($H308)*8/108,N($H308)*8/100),0),IF('設定'!$B$10="切り上げ",ROUNDUP(IF('設定'!$B$9="税込",N($H308)*8/108,N($H308)*8/100),0),ROUNDDOWN(IF('設定'!$B$9="税込",N($H308)*8/108,N($H308)*8/100),0))))</f>
        <v/>
      </c>
      <c r="L308" s="28">
        <f>IF($A308="","",N($G308)+N($H308)+N($I308)+IF('設定'!$B$9="税込",0,$J308+$K308))</f>
        <v/>
      </c>
      <c r="M308" s="29">
        <f>IF(OR($A308="",NOT(ISNUMBER($W308)),NOT(ISNUMBER($X308))),"",IF(OR(INDEX('得意先'!$D$5:$D$104,$W308)="",INDEX('得意先'!$E$5:$E$104,$W308)="",INDEX('得意先'!$F$5:$F$104,$W308)=""),"",IF(INDEX('得意先'!$F$5:$F$104,$W308)="末",DATE(YEAR($X308),(MONTH($X308)+IF(INDEX('得意先'!$D$5:$D$104,$W308)="末",0,IF(DAY($X308)&lt;=INDEX('得意先'!$D$5:$D$104,$W308),0,1))+N(INDEX('得意先'!$E$5:$E$104,$W308)))+1,0),DATE(YEAR($X308),(MONTH($X308)+IF(INDEX('得意先'!$D$5:$D$104,$W308)="末",0,IF(DAY($X308)&lt;=INDEX('得意先'!$D$5:$D$104,$W308),0,1))+N(INDEX('得意先'!$E$5:$E$104,$W308))),MIN(INDEX('得意先'!$F$5:$F$104,$W308),DAY(DATE(YEAR($X308),(MONTH($X308)+IF(INDEX('得意先'!$D$5:$D$104,$W308)="末",0,IF(DAY($X308)&lt;=INDEX('得意先'!$D$5:$D$104,$W308),0,1))+N(INDEX('得意先'!$E$5:$E$104,$W308)))+1,0)))))))</f>
        <v/>
      </c>
      <c r="N308" s="26" t="n"/>
      <c r="O308" s="29">
        <f>IF($A308="","",IF(ISNUMBER($N308),$N308,$M308))</f>
        <v/>
      </c>
      <c r="P308" s="28">
        <f>IF($A308="","",SUMIF('入金消込'!$F$5:$F$1004,$A308,'入金消込'!$G$5:$G$1004))</f>
        <v/>
      </c>
      <c r="Q308" s="28">
        <f>IF($A308="","",SUMIF('入金消込'!$F$5:$F$1004,$A308,'入金消込'!$H$5:$H$1004)+SUMIF('入金消込'!$F$5:$F$1004,$A308,'入金消込'!$I$5:$I$1004))</f>
        <v/>
      </c>
      <c r="R308" s="28">
        <f>IF($A308="","",$L308-$P308-$Q308)</f>
        <v/>
      </c>
      <c r="S308" s="30">
        <f>IF($A308="","",IF($R308=0,IF($L308=0,"請求額0","回収済"),IF($L308&lt;0,IF($R308&lt;0,"差し引き待ち","差し引きすぎ"),IF($R308&lt;0,"入金が多い",IF($P308+$Q308=0,"未入金","一部入金")))))</f>
        <v/>
      </c>
      <c r="T308" s="31">
        <f>IF(OR($A308="",N($R308)&lt;=0,NOT(ISNUMBER($O308))),"",IF($O308&lt;'設定'!$B$7,'設定'!$B$7-$O308,""))</f>
        <v/>
      </c>
      <c r="U308" s="30">
        <f>IF(OR($A308="",N($R308)&lt;=0),"",IF(NOT(ISNUMBER($O308)),'設定'!$B$22,IF($O308&gt;='設定'!$B$7,'設定'!$B$17,IF('設定'!$B$7-$O308&lt;='設定'!$B$12,'設定'!$B$18,IF('設定'!$B$7-$O308&lt;='設定'!$B$13,'設定'!$B$19,IF('設定'!$B$7-$O308&lt;='設定'!$B$14,'設定'!$B$20,'設定'!$B$21))))))</f>
        <v/>
      </c>
      <c r="V308" s="56" t="n"/>
      <c r="W308" s="32">
        <f>IF($C308="","",IFERROR(MATCH($C308,'得意先'!$B$5:$B$104,0),"なし"))</f>
        <v/>
      </c>
      <c r="X308" s="33">
        <f>IF($A308="","",IF(ISNUMBER($E308),$E308,IF(ISNUMBER($B308),$B308,"")))</f>
        <v/>
      </c>
      <c r="Y308" s="34">
        <f>IF($T308="","",$O308+ROW()/1000000)</f>
        <v/>
      </c>
      <c r="Z308" s="35">
        <f>IF(OR($A308="",$C308="",$C308&lt;&gt;'売掛帳'!$B$3,NOT(ISNUMBER($X308))),"",IF(AND($X308&gt;='売掛帳'!$Q$3,$X308&lt;='売掛帳'!$Q$4),$X308+ROW()/10000000,""))</f>
        <v/>
      </c>
    </row>
    <row r="309" ht="18" customHeight="1">
      <c r="A309" s="18" t="n"/>
      <c r="B309" s="26" t="n"/>
      <c r="C309" s="18" t="n"/>
      <c r="D309" s="20">
        <f>IF($W309="","",IF($W309="なし","※得意先にないコード",INDEX('得意先'!$C$5:$C$104,$W309)&amp;""))</f>
        <v/>
      </c>
      <c r="E309" s="26" t="n"/>
      <c r="F309" s="19" t="n"/>
      <c r="G309" s="27" t="n"/>
      <c r="H309" s="27" t="n"/>
      <c r="I309" s="27" t="n"/>
      <c r="J309" s="28">
        <f>IF($A309="","",IF('設定'!$B$10="四捨五入",ROUND(IF('設定'!$B$9="税込",N($G309)*10/110,N($G309)*10/100),0),IF('設定'!$B$10="切り上げ",ROUNDUP(IF('設定'!$B$9="税込",N($G309)*10/110,N($G309)*10/100),0),ROUNDDOWN(IF('設定'!$B$9="税込",N($G309)*10/110,N($G309)*10/100),0))))</f>
        <v/>
      </c>
      <c r="K309" s="28">
        <f>IF($A309="","",IF('設定'!$B$10="四捨五入",ROUND(IF('設定'!$B$9="税込",N($H309)*8/108,N($H309)*8/100),0),IF('設定'!$B$10="切り上げ",ROUNDUP(IF('設定'!$B$9="税込",N($H309)*8/108,N($H309)*8/100),0),ROUNDDOWN(IF('設定'!$B$9="税込",N($H309)*8/108,N($H309)*8/100),0))))</f>
        <v/>
      </c>
      <c r="L309" s="28">
        <f>IF($A309="","",N($G309)+N($H309)+N($I309)+IF('設定'!$B$9="税込",0,$J309+$K309))</f>
        <v/>
      </c>
      <c r="M309" s="29">
        <f>IF(OR($A309="",NOT(ISNUMBER($W309)),NOT(ISNUMBER($X309))),"",IF(OR(INDEX('得意先'!$D$5:$D$104,$W309)="",INDEX('得意先'!$E$5:$E$104,$W309)="",INDEX('得意先'!$F$5:$F$104,$W309)=""),"",IF(INDEX('得意先'!$F$5:$F$104,$W309)="末",DATE(YEAR($X309),(MONTH($X309)+IF(INDEX('得意先'!$D$5:$D$104,$W309)="末",0,IF(DAY($X309)&lt;=INDEX('得意先'!$D$5:$D$104,$W309),0,1))+N(INDEX('得意先'!$E$5:$E$104,$W309)))+1,0),DATE(YEAR($X309),(MONTH($X309)+IF(INDEX('得意先'!$D$5:$D$104,$W309)="末",0,IF(DAY($X309)&lt;=INDEX('得意先'!$D$5:$D$104,$W309),0,1))+N(INDEX('得意先'!$E$5:$E$104,$W309))),MIN(INDEX('得意先'!$F$5:$F$104,$W309),DAY(DATE(YEAR($X309),(MONTH($X309)+IF(INDEX('得意先'!$D$5:$D$104,$W309)="末",0,IF(DAY($X309)&lt;=INDEX('得意先'!$D$5:$D$104,$W309),0,1))+N(INDEX('得意先'!$E$5:$E$104,$W309)))+1,0)))))))</f>
        <v/>
      </c>
      <c r="N309" s="26" t="n"/>
      <c r="O309" s="29">
        <f>IF($A309="","",IF(ISNUMBER($N309),$N309,$M309))</f>
        <v/>
      </c>
      <c r="P309" s="28">
        <f>IF($A309="","",SUMIF('入金消込'!$F$5:$F$1004,$A309,'入金消込'!$G$5:$G$1004))</f>
        <v/>
      </c>
      <c r="Q309" s="28">
        <f>IF($A309="","",SUMIF('入金消込'!$F$5:$F$1004,$A309,'入金消込'!$H$5:$H$1004)+SUMIF('入金消込'!$F$5:$F$1004,$A309,'入金消込'!$I$5:$I$1004))</f>
        <v/>
      </c>
      <c r="R309" s="28">
        <f>IF($A309="","",$L309-$P309-$Q309)</f>
        <v/>
      </c>
      <c r="S309" s="30">
        <f>IF($A309="","",IF($R309=0,IF($L309=0,"請求額0","回収済"),IF($L309&lt;0,IF($R309&lt;0,"差し引き待ち","差し引きすぎ"),IF($R309&lt;0,"入金が多い",IF($P309+$Q309=0,"未入金","一部入金")))))</f>
        <v/>
      </c>
      <c r="T309" s="31">
        <f>IF(OR($A309="",N($R309)&lt;=0,NOT(ISNUMBER($O309))),"",IF($O309&lt;'設定'!$B$7,'設定'!$B$7-$O309,""))</f>
        <v/>
      </c>
      <c r="U309" s="30">
        <f>IF(OR($A309="",N($R309)&lt;=0),"",IF(NOT(ISNUMBER($O309)),'設定'!$B$22,IF($O309&gt;='設定'!$B$7,'設定'!$B$17,IF('設定'!$B$7-$O309&lt;='設定'!$B$12,'設定'!$B$18,IF('設定'!$B$7-$O309&lt;='設定'!$B$13,'設定'!$B$19,IF('設定'!$B$7-$O309&lt;='設定'!$B$14,'設定'!$B$20,'設定'!$B$21))))))</f>
        <v/>
      </c>
      <c r="V309" s="56" t="n"/>
      <c r="W309" s="32">
        <f>IF($C309="","",IFERROR(MATCH($C309,'得意先'!$B$5:$B$104,0),"なし"))</f>
        <v/>
      </c>
      <c r="X309" s="33">
        <f>IF($A309="","",IF(ISNUMBER($E309),$E309,IF(ISNUMBER($B309),$B309,"")))</f>
        <v/>
      </c>
      <c r="Y309" s="34">
        <f>IF($T309="","",$O309+ROW()/1000000)</f>
        <v/>
      </c>
      <c r="Z309" s="35">
        <f>IF(OR($A309="",$C309="",$C309&lt;&gt;'売掛帳'!$B$3,NOT(ISNUMBER($X309))),"",IF(AND($X309&gt;='売掛帳'!$Q$3,$X309&lt;='売掛帳'!$Q$4),$X309+ROW()/10000000,""))</f>
        <v/>
      </c>
    </row>
    <row r="310" ht="18" customHeight="1">
      <c r="A310" s="18" t="n"/>
      <c r="B310" s="26" t="n"/>
      <c r="C310" s="18" t="n"/>
      <c r="D310" s="20">
        <f>IF($W310="","",IF($W310="なし","※得意先にないコード",INDEX('得意先'!$C$5:$C$104,$W310)&amp;""))</f>
        <v/>
      </c>
      <c r="E310" s="26" t="n"/>
      <c r="F310" s="19" t="n"/>
      <c r="G310" s="27" t="n"/>
      <c r="H310" s="27" t="n"/>
      <c r="I310" s="27" t="n"/>
      <c r="J310" s="28">
        <f>IF($A310="","",IF('設定'!$B$10="四捨五入",ROUND(IF('設定'!$B$9="税込",N($G310)*10/110,N($G310)*10/100),0),IF('設定'!$B$10="切り上げ",ROUNDUP(IF('設定'!$B$9="税込",N($G310)*10/110,N($G310)*10/100),0),ROUNDDOWN(IF('設定'!$B$9="税込",N($G310)*10/110,N($G310)*10/100),0))))</f>
        <v/>
      </c>
      <c r="K310" s="28">
        <f>IF($A310="","",IF('設定'!$B$10="四捨五入",ROUND(IF('設定'!$B$9="税込",N($H310)*8/108,N($H310)*8/100),0),IF('設定'!$B$10="切り上げ",ROUNDUP(IF('設定'!$B$9="税込",N($H310)*8/108,N($H310)*8/100),0),ROUNDDOWN(IF('設定'!$B$9="税込",N($H310)*8/108,N($H310)*8/100),0))))</f>
        <v/>
      </c>
      <c r="L310" s="28">
        <f>IF($A310="","",N($G310)+N($H310)+N($I310)+IF('設定'!$B$9="税込",0,$J310+$K310))</f>
        <v/>
      </c>
      <c r="M310" s="29">
        <f>IF(OR($A310="",NOT(ISNUMBER($W310)),NOT(ISNUMBER($X310))),"",IF(OR(INDEX('得意先'!$D$5:$D$104,$W310)="",INDEX('得意先'!$E$5:$E$104,$W310)="",INDEX('得意先'!$F$5:$F$104,$W310)=""),"",IF(INDEX('得意先'!$F$5:$F$104,$W310)="末",DATE(YEAR($X310),(MONTH($X310)+IF(INDEX('得意先'!$D$5:$D$104,$W310)="末",0,IF(DAY($X310)&lt;=INDEX('得意先'!$D$5:$D$104,$W310),0,1))+N(INDEX('得意先'!$E$5:$E$104,$W310)))+1,0),DATE(YEAR($X310),(MONTH($X310)+IF(INDEX('得意先'!$D$5:$D$104,$W310)="末",0,IF(DAY($X310)&lt;=INDEX('得意先'!$D$5:$D$104,$W310),0,1))+N(INDEX('得意先'!$E$5:$E$104,$W310))),MIN(INDEX('得意先'!$F$5:$F$104,$W310),DAY(DATE(YEAR($X310),(MONTH($X310)+IF(INDEX('得意先'!$D$5:$D$104,$W310)="末",0,IF(DAY($X310)&lt;=INDEX('得意先'!$D$5:$D$104,$W310),0,1))+N(INDEX('得意先'!$E$5:$E$104,$W310)))+1,0)))))))</f>
        <v/>
      </c>
      <c r="N310" s="26" t="n"/>
      <c r="O310" s="29">
        <f>IF($A310="","",IF(ISNUMBER($N310),$N310,$M310))</f>
        <v/>
      </c>
      <c r="P310" s="28">
        <f>IF($A310="","",SUMIF('入金消込'!$F$5:$F$1004,$A310,'入金消込'!$G$5:$G$1004))</f>
        <v/>
      </c>
      <c r="Q310" s="28">
        <f>IF($A310="","",SUMIF('入金消込'!$F$5:$F$1004,$A310,'入金消込'!$H$5:$H$1004)+SUMIF('入金消込'!$F$5:$F$1004,$A310,'入金消込'!$I$5:$I$1004))</f>
        <v/>
      </c>
      <c r="R310" s="28">
        <f>IF($A310="","",$L310-$P310-$Q310)</f>
        <v/>
      </c>
      <c r="S310" s="30">
        <f>IF($A310="","",IF($R310=0,IF($L310=0,"請求額0","回収済"),IF($L310&lt;0,IF($R310&lt;0,"差し引き待ち","差し引きすぎ"),IF($R310&lt;0,"入金が多い",IF($P310+$Q310=0,"未入金","一部入金")))))</f>
        <v/>
      </c>
      <c r="T310" s="31">
        <f>IF(OR($A310="",N($R310)&lt;=0,NOT(ISNUMBER($O310))),"",IF($O310&lt;'設定'!$B$7,'設定'!$B$7-$O310,""))</f>
        <v/>
      </c>
      <c r="U310" s="30">
        <f>IF(OR($A310="",N($R310)&lt;=0),"",IF(NOT(ISNUMBER($O310)),'設定'!$B$22,IF($O310&gt;='設定'!$B$7,'設定'!$B$17,IF('設定'!$B$7-$O310&lt;='設定'!$B$12,'設定'!$B$18,IF('設定'!$B$7-$O310&lt;='設定'!$B$13,'設定'!$B$19,IF('設定'!$B$7-$O310&lt;='設定'!$B$14,'設定'!$B$20,'設定'!$B$21))))))</f>
        <v/>
      </c>
      <c r="V310" s="56" t="n"/>
      <c r="W310" s="32">
        <f>IF($C310="","",IFERROR(MATCH($C310,'得意先'!$B$5:$B$104,0),"なし"))</f>
        <v/>
      </c>
      <c r="X310" s="33">
        <f>IF($A310="","",IF(ISNUMBER($E310),$E310,IF(ISNUMBER($B310),$B310,"")))</f>
        <v/>
      </c>
      <c r="Y310" s="34">
        <f>IF($T310="","",$O310+ROW()/1000000)</f>
        <v/>
      </c>
      <c r="Z310" s="35">
        <f>IF(OR($A310="",$C310="",$C310&lt;&gt;'売掛帳'!$B$3,NOT(ISNUMBER($X310))),"",IF(AND($X310&gt;='売掛帳'!$Q$3,$X310&lt;='売掛帳'!$Q$4),$X310+ROW()/10000000,""))</f>
        <v/>
      </c>
    </row>
    <row r="311" ht="18" customHeight="1">
      <c r="A311" s="18" t="n"/>
      <c r="B311" s="26" t="n"/>
      <c r="C311" s="18" t="n"/>
      <c r="D311" s="20">
        <f>IF($W311="","",IF($W311="なし","※得意先にないコード",INDEX('得意先'!$C$5:$C$104,$W311)&amp;""))</f>
        <v/>
      </c>
      <c r="E311" s="26" t="n"/>
      <c r="F311" s="19" t="n"/>
      <c r="G311" s="27" t="n"/>
      <c r="H311" s="27" t="n"/>
      <c r="I311" s="27" t="n"/>
      <c r="J311" s="28">
        <f>IF($A311="","",IF('設定'!$B$10="四捨五入",ROUND(IF('設定'!$B$9="税込",N($G311)*10/110,N($G311)*10/100),0),IF('設定'!$B$10="切り上げ",ROUNDUP(IF('設定'!$B$9="税込",N($G311)*10/110,N($G311)*10/100),0),ROUNDDOWN(IF('設定'!$B$9="税込",N($G311)*10/110,N($G311)*10/100),0))))</f>
        <v/>
      </c>
      <c r="K311" s="28">
        <f>IF($A311="","",IF('設定'!$B$10="四捨五入",ROUND(IF('設定'!$B$9="税込",N($H311)*8/108,N($H311)*8/100),0),IF('設定'!$B$10="切り上げ",ROUNDUP(IF('設定'!$B$9="税込",N($H311)*8/108,N($H311)*8/100),0),ROUNDDOWN(IF('設定'!$B$9="税込",N($H311)*8/108,N($H311)*8/100),0))))</f>
        <v/>
      </c>
      <c r="L311" s="28">
        <f>IF($A311="","",N($G311)+N($H311)+N($I311)+IF('設定'!$B$9="税込",0,$J311+$K311))</f>
        <v/>
      </c>
      <c r="M311" s="29">
        <f>IF(OR($A311="",NOT(ISNUMBER($W311)),NOT(ISNUMBER($X311))),"",IF(OR(INDEX('得意先'!$D$5:$D$104,$W311)="",INDEX('得意先'!$E$5:$E$104,$W311)="",INDEX('得意先'!$F$5:$F$104,$W311)=""),"",IF(INDEX('得意先'!$F$5:$F$104,$W311)="末",DATE(YEAR($X311),(MONTH($X311)+IF(INDEX('得意先'!$D$5:$D$104,$W311)="末",0,IF(DAY($X311)&lt;=INDEX('得意先'!$D$5:$D$104,$W311),0,1))+N(INDEX('得意先'!$E$5:$E$104,$W311)))+1,0),DATE(YEAR($X311),(MONTH($X311)+IF(INDEX('得意先'!$D$5:$D$104,$W311)="末",0,IF(DAY($X311)&lt;=INDEX('得意先'!$D$5:$D$104,$W311),0,1))+N(INDEX('得意先'!$E$5:$E$104,$W311))),MIN(INDEX('得意先'!$F$5:$F$104,$W311),DAY(DATE(YEAR($X311),(MONTH($X311)+IF(INDEX('得意先'!$D$5:$D$104,$W311)="末",0,IF(DAY($X311)&lt;=INDEX('得意先'!$D$5:$D$104,$W311),0,1))+N(INDEX('得意先'!$E$5:$E$104,$W311)))+1,0)))))))</f>
        <v/>
      </c>
      <c r="N311" s="26" t="n"/>
      <c r="O311" s="29">
        <f>IF($A311="","",IF(ISNUMBER($N311),$N311,$M311))</f>
        <v/>
      </c>
      <c r="P311" s="28">
        <f>IF($A311="","",SUMIF('入金消込'!$F$5:$F$1004,$A311,'入金消込'!$G$5:$G$1004))</f>
        <v/>
      </c>
      <c r="Q311" s="28">
        <f>IF($A311="","",SUMIF('入金消込'!$F$5:$F$1004,$A311,'入金消込'!$H$5:$H$1004)+SUMIF('入金消込'!$F$5:$F$1004,$A311,'入金消込'!$I$5:$I$1004))</f>
        <v/>
      </c>
      <c r="R311" s="28">
        <f>IF($A311="","",$L311-$P311-$Q311)</f>
        <v/>
      </c>
      <c r="S311" s="30">
        <f>IF($A311="","",IF($R311=0,IF($L311=0,"請求額0","回収済"),IF($L311&lt;0,IF($R311&lt;0,"差し引き待ち","差し引きすぎ"),IF($R311&lt;0,"入金が多い",IF($P311+$Q311=0,"未入金","一部入金")))))</f>
        <v/>
      </c>
      <c r="T311" s="31">
        <f>IF(OR($A311="",N($R311)&lt;=0,NOT(ISNUMBER($O311))),"",IF($O311&lt;'設定'!$B$7,'設定'!$B$7-$O311,""))</f>
        <v/>
      </c>
      <c r="U311" s="30">
        <f>IF(OR($A311="",N($R311)&lt;=0),"",IF(NOT(ISNUMBER($O311)),'設定'!$B$22,IF($O311&gt;='設定'!$B$7,'設定'!$B$17,IF('設定'!$B$7-$O311&lt;='設定'!$B$12,'設定'!$B$18,IF('設定'!$B$7-$O311&lt;='設定'!$B$13,'設定'!$B$19,IF('設定'!$B$7-$O311&lt;='設定'!$B$14,'設定'!$B$20,'設定'!$B$21))))))</f>
        <v/>
      </c>
      <c r="V311" s="56" t="n"/>
      <c r="W311" s="32">
        <f>IF($C311="","",IFERROR(MATCH($C311,'得意先'!$B$5:$B$104,0),"なし"))</f>
        <v/>
      </c>
      <c r="X311" s="33">
        <f>IF($A311="","",IF(ISNUMBER($E311),$E311,IF(ISNUMBER($B311),$B311,"")))</f>
        <v/>
      </c>
      <c r="Y311" s="34">
        <f>IF($T311="","",$O311+ROW()/1000000)</f>
        <v/>
      </c>
      <c r="Z311" s="35">
        <f>IF(OR($A311="",$C311="",$C311&lt;&gt;'売掛帳'!$B$3,NOT(ISNUMBER($X311))),"",IF(AND($X311&gt;='売掛帳'!$Q$3,$X311&lt;='売掛帳'!$Q$4),$X311+ROW()/10000000,""))</f>
        <v/>
      </c>
    </row>
    <row r="312" ht="18" customHeight="1">
      <c r="A312" s="18" t="n"/>
      <c r="B312" s="26" t="n"/>
      <c r="C312" s="18" t="n"/>
      <c r="D312" s="20">
        <f>IF($W312="","",IF($W312="なし","※得意先にないコード",INDEX('得意先'!$C$5:$C$104,$W312)&amp;""))</f>
        <v/>
      </c>
      <c r="E312" s="26" t="n"/>
      <c r="F312" s="19" t="n"/>
      <c r="G312" s="27" t="n"/>
      <c r="H312" s="27" t="n"/>
      <c r="I312" s="27" t="n"/>
      <c r="J312" s="28">
        <f>IF($A312="","",IF('設定'!$B$10="四捨五入",ROUND(IF('設定'!$B$9="税込",N($G312)*10/110,N($G312)*10/100),0),IF('設定'!$B$10="切り上げ",ROUNDUP(IF('設定'!$B$9="税込",N($G312)*10/110,N($G312)*10/100),0),ROUNDDOWN(IF('設定'!$B$9="税込",N($G312)*10/110,N($G312)*10/100),0))))</f>
        <v/>
      </c>
      <c r="K312" s="28">
        <f>IF($A312="","",IF('設定'!$B$10="四捨五入",ROUND(IF('設定'!$B$9="税込",N($H312)*8/108,N($H312)*8/100),0),IF('設定'!$B$10="切り上げ",ROUNDUP(IF('設定'!$B$9="税込",N($H312)*8/108,N($H312)*8/100),0),ROUNDDOWN(IF('設定'!$B$9="税込",N($H312)*8/108,N($H312)*8/100),0))))</f>
        <v/>
      </c>
      <c r="L312" s="28">
        <f>IF($A312="","",N($G312)+N($H312)+N($I312)+IF('設定'!$B$9="税込",0,$J312+$K312))</f>
        <v/>
      </c>
      <c r="M312" s="29">
        <f>IF(OR($A312="",NOT(ISNUMBER($W312)),NOT(ISNUMBER($X312))),"",IF(OR(INDEX('得意先'!$D$5:$D$104,$W312)="",INDEX('得意先'!$E$5:$E$104,$W312)="",INDEX('得意先'!$F$5:$F$104,$W312)=""),"",IF(INDEX('得意先'!$F$5:$F$104,$W312)="末",DATE(YEAR($X312),(MONTH($X312)+IF(INDEX('得意先'!$D$5:$D$104,$W312)="末",0,IF(DAY($X312)&lt;=INDEX('得意先'!$D$5:$D$104,$W312),0,1))+N(INDEX('得意先'!$E$5:$E$104,$W312)))+1,0),DATE(YEAR($X312),(MONTH($X312)+IF(INDEX('得意先'!$D$5:$D$104,$W312)="末",0,IF(DAY($X312)&lt;=INDEX('得意先'!$D$5:$D$104,$W312),0,1))+N(INDEX('得意先'!$E$5:$E$104,$W312))),MIN(INDEX('得意先'!$F$5:$F$104,$W312),DAY(DATE(YEAR($X312),(MONTH($X312)+IF(INDEX('得意先'!$D$5:$D$104,$W312)="末",0,IF(DAY($X312)&lt;=INDEX('得意先'!$D$5:$D$104,$W312),0,1))+N(INDEX('得意先'!$E$5:$E$104,$W312)))+1,0)))))))</f>
        <v/>
      </c>
      <c r="N312" s="26" t="n"/>
      <c r="O312" s="29">
        <f>IF($A312="","",IF(ISNUMBER($N312),$N312,$M312))</f>
        <v/>
      </c>
      <c r="P312" s="28">
        <f>IF($A312="","",SUMIF('入金消込'!$F$5:$F$1004,$A312,'入金消込'!$G$5:$G$1004))</f>
        <v/>
      </c>
      <c r="Q312" s="28">
        <f>IF($A312="","",SUMIF('入金消込'!$F$5:$F$1004,$A312,'入金消込'!$H$5:$H$1004)+SUMIF('入金消込'!$F$5:$F$1004,$A312,'入金消込'!$I$5:$I$1004))</f>
        <v/>
      </c>
      <c r="R312" s="28">
        <f>IF($A312="","",$L312-$P312-$Q312)</f>
        <v/>
      </c>
      <c r="S312" s="30">
        <f>IF($A312="","",IF($R312=0,IF($L312=0,"請求額0","回収済"),IF($L312&lt;0,IF($R312&lt;0,"差し引き待ち","差し引きすぎ"),IF($R312&lt;0,"入金が多い",IF($P312+$Q312=0,"未入金","一部入金")))))</f>
        <v/>
      </c>
      <c r="T312" s="31">
        <f>IF(OR($A312="",N($R312)&lt;=0,NOT(ISNUMBER($O312))),"",IF($O312&lt;'設定'!$B$7,'設定'!$B$7-$O312,""))</f>
        <v/>
      </c>
      <c r="U312" s="30">
        <f>IF(OR($A312="",N($R312)&lt;=0),"",IF(NOT(ISNUMBER($O312)),'設定'!$B$22,IF($O312&gt;='設定'!$B$7,'設定'!$B$17,IF('設定'!$B$7-$O312&lt;='設定'!$B$12,'設定'!$B$18,IF('設定'!$B$7-$O312&lt;='設定'!$B$13,'設定'!$B$19,IF('設定'!$B$7-$O312&lt;='設定'!$B$14,'設定'!$B$20,'設定'!$B$21))))))</f>
        <v/>
      </c>
      <c r="V312" s="56" t="n"/>
      <c r="W312" s="32">
        <f>IF($C312="","",IFERROR(MATCH($C312,'得意先'!$B$5:$B$104,0),"なし"))</f>
        <v/>
      </c>
      <c r="X312" s="33">
        <f>IF($A312="","",IF(ISNUMBER($E312),$E312,IF(ISNUMBER($B312),$B312,"")))</f>
        <v/>
      </c>
      <c r="Y312" s="34">
        <f>IF($T312="","",$O312+ROW()/1000000)</f>
        <v/>
      </c>
      <c r="Z312" s="35">
        <f>IF(OR($A312="",$C312="",$C312&lt;&gt;'売掛帳'!$B$3,NOT(ISNUMBER($X312))),"",IF(AND($X312&gt;='売掛帳'!$Q$3,$X312&lt;='売掛帳'!$Q$4),$X312+ROW()/10000000,""))</f>
        <v/>
      </c>
    </row>
    <row r="313" ht="18" customHeight="1">
      <c r="A313" s="18" t="n"/>
      <c r="B313" s="26" t="n"/>
      <c r="C313" s="18" t="n"/>
      <c r="D313" s="20">
        <f>IF($W313="","",IF($W313="なし","※得意先にないコード",INDEX('得意先'!$C$5:$C$104,$W313)&amp;""))</f>
        <v/>
      </c>
      <c r="E313" s="26" t="n"/>
      <c r="F313" s="19" t="n"/>
      <c r="G313" s="27" t="n"/>
      <c r="H313" s="27" t="n"/>
      <c r="I313" s="27" t="n"/>
      <c r="J313" s="28">
        <f>IF($A313="","",IF('設定'!$B$10="四捨五入",ROUND(IF('設定'!$B$9="税込",N($G313)*10/110,N($G313)*10/100),0),IF('設定'!$B$10="切り上げ",ROUNDUP(IF('設定'!$B$9="税込",N($G313)*10/110,N($G313)*10/100),0),ROUNDDOWN(IF('設定'!$B$9="税込",N($G313)*10/110,N($G313)*10/100),0))))</f>
        <v/>
      </c>
      <c r="K313" s="28">
        <f>IF($A313="","",IF('設定'!$B$10="四捨五入",ROUND(IF('設定'!$B$9="税込",N($H313)*8/108,N($H313)*8/100),0),IF('設定'!$B$10="切り上げ",ROUNDUP(IF('設定'!$B$9="税込",N($H313)*8/108,N($H313)*8/100),0),ROUNDDOWN(IF('設定'!$B$9="税込",N($H313)*8/108,N($H313)*8/100),0))))</f>
        <v/>
      </c>
      <c r="L313" s="28">
        <f>IF($A313="","",N($G313)+N($H313)+N($I313)+IF('設定'!$B$9="税込",0,$J313+$K313))</f>
        <v/>
      </c>
      <c r="M313" s="29">
        <f>IF(OR($A313="",NOT(ISNUMBER($W313)),NOT(ISNUMBER($X313))),"",IF(OR(INDEX('得意先'!$D$5:$D$104,$W313)="",INDEX('得意先'!$E$5:$E$104,$W313)="",INDEX('得意先'!$F$5:$F$104,$W313)=""),"",IF(INDEX('得意先'!$F$5:$F$104,$W313)="末",DATE(YEAR($X313),(MONTH($X313)+IF(INDEX('得意先'!$D$5:$D$104,$W313)="末",0,IF(DAY($X313)&lt;=INDEX('得意先'!$D$5:$D$104,$W313),0,1))+N(INDEX('得意先'!$E$5:$E$104,$W313)))+1,0),DATE(YEAR($X313),(MONTH($X313)+IF(INDEX('得意先'!$D$5:$D$104,$W313)="末",0,IF(DAY($X313)&lt;=INDEX('得意先'!$D$5:$D$104,$W313),0,1))+N(INDEX('得意先'!$E$5:$E$104,$W313))),MIN(INDEX('得意先'!$F$5:$F$104,$W313),DAY(DATE(YEAR($X313),(MONTH($X313)+IF(INDEX('得意先'!$D$5:$D$104,$W313)="末",0,IF(DAY($X313)&lt;=INDEX('得意先'!$D$5:$D$104,$W313),0,1))+N(INDEX('得意先'!$E$5:$E$104,$W313)))+1,0)))))))</f>
        <v/>
      </c>
      <c r="N313" s="26" t="n"/>
      <c r="O313" s="29">
        <f>IF($A313="","",IF(ISNUMBER($N313),$N313,$M313))</f>
        <v/>
      </c>
      <c r="P313" s="28">
        <f>IF($A313="","",SUMIF('入金消込'!$F$5:$F$1004,$A313,'入金消込'!$G$5:$G$1004))</f>
        <v/>
      </c>
      <c r="Q313" s="28">
        <f>IF($A313="","",SUMIF('入金消込'!$F$5:$F$1004,$A313,'入金消込'!$H$5:$H$1004)+SUMIF('入金消込'!$F$5:$F$1004,$A313,'入金消込'!$I$5:$I$1004))</f>
        <v/>
      </c>
      <c r="R313" s="28">
        <f>IF($A313="","",$L313-$P313-$Q313)</f>
        <v/>
      </c>
      <c r="S313" s="30">
        <f>IF($A313="","",IF($R313=0,IF($L313=0,"請求額0","回収済"),IF($L313&lt;0,IF($R313&lt;0,"差し引き待ち","差し引きすぎ"),IF($R313&lt;0,"入金が多い",IF($P313+$Q313=0,"未入金","一部入金")))))</f>
        <v/>
      </c>
      <c r="T313" s="31">
        <f>IF(OR($A313="",N($R313)&lt;=0,NOT(ISNUMBER($O313))),"",IF($O313&lt;'設定'!$B$7,'設定'!$B$7-$O313,""))</f>
        <v/>
      </c>
      <c r="U313" s="30">
        <f>IF(OR($A313="",N($R313)&lt;=0),"",IF(NOT(ISNUMBER($O313)),'設定'!$B$22,IF($O313&gt;='設定'!$B$7,'設定'!$B$17,IF('設定'!$B$7-$O313&lt;='設定'!$B$12,'設定'!$B$18,IF('設定'!$B$7-$O313&lt;='設定'!$B$13,'設定'!$B$19,IF('設定'!$B$7-$O313&lt;='設定'!$B$14,'設定'!$B$20,'設定'!$B$21))))))</f>
        <v/>
      </c>
      <c r="V313" s="56" t="n"/>
      <c r="W313" s="32">
        <f>IF($C313="","",IFERROR(MATCH($C313,'得意先'!$B$5:$B$104,0),"なし"))</f>
        <v/>
      </c>
      <c r="X313" s="33">
        <f>IF($A313="","",IF(ISNUMBER($E313),$E313,IF(ISNUMBER($B313),$B313,"")))</f>
        <v/>
      </c>
      <c r="Y313" s="34">
        <f>IF($T313="","",$O313+ROW()/1000000)</f>
        <v/>
      </c>
      <c r="Z313" s="35">
        <f>IF(OR($A313="",$C313="",$C313&lt;&gt;'売掛帳'!$B$3,NOT(ISNUMBER($X313))),"",IF(AND($X313&gt;='売掛帳'!$Q$3,$X313&lt;='売掛帳'!$Q$4),$X313+ROW()/10000000,""))</f>
        <v/>
      </c>
    </row>
    <row r="314" ht="18" customHeight="1">
      <c r="A314" s="18" t="n"/>
      <c r="B314" s="26" t="n"/>
      <c r="C314" s="18" t="n"/>
      <c r="D314" s="20">
        <f>IF($W314="","",IF($W314="なし","※得意先にないコード",INDEX('得意先'!$C$5:$C$104,$W314)&amp;""))</f>
        <v/>
      </c>
      <c r="E314" s="26" t="n"/>
      <c r="F314" s="19" t="n"/>
      <c r="G314" s="27" t="n"/>
      <c r="H314" s="27" t="n"/>
      <c r="I314" s="27" t="n"/>
      <c r="J314" s="28">
        <f>IF($A314="","",IF('設定'!$B$10="四捨五入",ROUND(IF('設定'!$B$9="税込",N($G314)*10/110,N($G314)*10/100),0),IF('設定'!$B$10="切り上げ",ROUNDUP(IF('設定'!$B$9="税込",N($G314)*10/110,N($G314)*10/100),0),ROUNDDOWN(IF('設定'!$B$9="税込",N($G314)*10/110,N($G314)*10/100),0))))</f>
        <v/>
      </c>
      <c r="K314" s="28">
        <f>IF($A314="","",IF('設定'!$B$10="四捨五入",ROUND(IF('設定'!$B$9="税込",N($H314)*8/108,N($H314)*8/100),0),IF('設定'!$B$10="切り上げ",ROUNDUP(IF('設定'!$B$9="税込",N($H314)*8/108,N($H314)*8/100),0),ROUNDDOWN(IF('設定'!$B$9="税込",N($H314)*8/108,N($H314)*8/100),0))))</f>
        <v/>
      </c>
      <c r="L314" s="28">
        <f>IF($A314="","",N($G314)+N($H314)+N($I314)+IF('設定'!$B$9="税込",0,$J314+$K314))</f>
        <v/>
      </c>
      <c r="M314" s="29">
        <f>IF(OR($A314="",NOT(ISNUMBER($W314)),NOT(ISNUMBER($X314))),"",IF(OR(INDEX('得意先'!$D$5:$D$104,$W314)="",INDEX('得意先'!$E$5:$E$104,$W314)="",INDEX('得意先'!$F$5:$F$104,$W314)=""),"",IF(INDEX('得意先'!$F$5:$F$104,$W314)="末",DATE(YEAR($X314),(MONTH($X314)+IF(INDEX('得意先'!$D$5:$D$104,$W314)="末",0,IF(DAY($X314)&lt;=INDEX('得意先'!$D$5:$D$104,$W314),0,1))+N(INDEX('得意先'!$E$5:$E$104,$W314)))+1,0),DATE(YEAR($X314),(MONTH($X314)+IF(INDEX('得意先'!$D$5:$D$104,$W314)="末",0,IF(DAY($X314)&lt;=INDEX('得意先'!$D$5:$D$104,$W314),0,1))+N(INDEX('得意先'!$E$5:$E$104,$W314))),MIN(INDEX('得意先'!$F$5:$F$104,$W314),DAY(DATE(YEAR($X314),(MONTH($X314)+IF(INDEX('得意先'!$D$5:$D$104,$W314)="末",0,IF(DAY($X314)&lt;=INDEX('得意先'!$D$5:$D$104,$W314),0,1))+N(INDEX('得意先'!$E$5:$E$104,$W314)))+1,0)))))))</f>
        <v/>
      </c>
      <c r="N314" s="26" t="n"/>
      <c r="O314" s="29">
        <f>IF($A314="","",IF(ISNUMBER($N314),$N314,$M314))</f>
        <v/>
      </c>
      <c r="P314" s="28">
        <f>IF($A314="","",SUMIF('入金消込'!$F$5:$F$1004,$A314,'入金消込'!$G$5:$G$1004))</f>
        <v/>
      </c>
      <c r="Q314" s="28">
        <f>IF($A314="","",SUMIF('入金消込'!$F$5:$F$1004,$A314,'入金消込'!$H$5:$H$1004)+SUMIF('入金消込'!$F$5:$F$1004,$A314,'入金消込'!$I$5:$I$1004))</f>
        <v/>
      </c>
      <c r="R314" s="28">
        <f>IF($A314="","",$L314-$P314-$Q314)</f>
        <v/>
      </c>
      <c r="S314" s="30">
        <f>IF($A314="","",IF($R314=0,IF($L314=0,"請求額0","回収済"),IF($L314&lt;0,IF($R314&lt;0,"差し引き待ち","差し引きすぎ"),IF($R314&lt;0,"入金が多い",IF($P314+$Q314=0,"未入金","一部入金")))))</f>
        <v/>
      </c>
      <c r="T314" s="31">
        <f>IF(OR($A314="",N($R314)&lt;=0,NOT(ISNUMBER($O314))),"",IF($O314&lt;'設定'!$B$7,'設定'!$B$7-$O314,""))</f>
        <v/>
      </c>
      <c r="U314" s="30">
        <f>IF(OR($A314="",N($R314)&lt;=0),"",IF(NOT(ISNUMBER($O314)),'設定'!$B$22,IF($O314&gt;='設定'!$B$7,'設定'!$B$17,IF('設定'!$B$7-$O314&lt;='設定'!$B$12,'設定'!$B$18,IF('設定'!$B$7-$O314&lt;='設定'!$B$13,'設定'!$B$19,IF('設定'!$B$7-$O314&lt;='設定'!$B$14,'設定'!$B$20,'設定'!$B$21))))))</f>
        <v/>
      </c>
      <c r="V314" s="56" t="n"/>
      <c r="W314" s="32">
        <f>IF($C314="","",IFERROR(MATCH($C314,'得意先'!$B$5:$B$104,0),"なし"))</f>
        <v/>
      </c>
      <c r="X314" s="33">
        <f>IF($A314="","",IF(ISNUMBER($E314),$E314,IF(ISNUMBER($B314),$B314,"")))</f>
        <v/>
      </c>
      <c r="Y314" s="34">
        <f>IF($T314="","",$O314+ROW()/1000000)</f>
        <v/>
      </c>
      <c r="Z314" s="35">
        <f>IF(OR($A314="",$C314="",$C314&lt;&gt;'売掛帳'!$B$3,NOT(ISNUMBER($X314))),"",IF(AND($X314&gt;='売掛帳'!$Q$3,$X314&lt;='売掛帳'!$Q$4),$X314+ROW()/10000000,""))</f>
        <v/>
      </c>
    </row>
    <row r="315" ht="18" customHeight="1">
      <c r="A315" s="18" t="n"/>
      <c r="B315" s="26" t="n"/>
      <c r="C315" s="18" t="n"/>
      <c r="D315" s="20">
        <f>IF($W315="","",IF($W315="なし","※得意先にないコード",INDEX('得意先'!$C$5:$C$104,$W315)&amp;""))</f>
        <v/>
      </c>
      <c r="E315" s="26" t="n"/>
      <c r="F315" s="19" t="n"/>
      <c r="G315" s="27" t="n"/>
      <c r="H315" s="27" t="n"/>
      <c r="I315" s="27" t="n"/>
      <c r="J315" s="28">
        <f>IF($A315="","",IF('設定'!$B$10="四捨五入",ROUND(IF('設定'!$B$9="税込",N($G315)*10/110,N($G315)*10/100),0),IF('設定'!$B$10="切り上げ",ROUNDUP(IF('設定'!$B$9="税込",N($G315)*10/110,N($G315)*10/100),0),ROUNDDOWN(IF('設定'!$B$9="税込",N($G315)*10/110,N($G315)*10/100),0))))</f>
        <v/>
      </c>
      <c r="K315" s="28">
        <f>IF($A315="","",IF('設定'!$B$10="四捨五入",ROUND(IF('設定'!$B$9="税込",N($H315)*8/108,N($H315)*8/100),0),IF('設定'!$B$10="切り上げ",ROUNDUP(IF('設定'!$B$9="税込",N($H315)*8/108,N($H315)*8/100),0),ROUNDDOWN(IF('設定'!$B$9="税込",N($H315)*8/108,N($H315)*8/100),0))))</f>
        <v/>
      </c>
      <c r="L315" s="28">
        <f>IF($A315="","",N($G315)+N($H315)+N($I315)+IF('設定'!$B$9="税込",0,$J315+$K315))</f>
        <v/>
      </c>
      <c r="M315" s="29">
        <f>IF(OR($A315="",NOT(ISNUMBER($W315)),NOT(ISNUMBER($X315))),"",IF(OR(INDEX('得意先'!$D$5:$D$104,$W315)="",INDEX('得意先'!$E$5:$E$104,$W315)="",INDEX('得意先'!$F$5:$F$104,$W315)=""),"",IF(INDEX('得意先'!$F$5:$F$104,$W315)="末",DATE(YEAR($X315),(MONTH($X315)+IF(INDEX('得意先'!$D$5:$D$104,$W315)="末",0,IF(DAY($X315)&lt;=INDEX('得意先'!$D$5:$D$104,$W315),0,1))+N(INDEX('得意先'!$E$5:$E$104,$W315)))+1,0),DATE(YEAR($X315),(MONTH($X315)+IF(INDEX('得意先'!$D$5:$D$104,$W315)="末",0,IF(DAY($X315)&lt;=INDEX('得意先'!$D$5:$D$104,$W315),0,1))+N(INDEX('得意先'!$E$5:$E$104,$W315))),MIN(INDEX('得意先'!$F$5:$F$104,$W315),DAY(DATE(YEAR($X315),(MONTH($X315)+IF(INDEX('得意先'!$D$5:$D$104,$W315)="末",0,IF(DAY($X315)&lt;=INDEX('得意先'!$D$5:$D$104,$W315),0,1))+N(INDEX('得意先'!$E$5:$E$104,$W315)))+1,0)))))))</f>
        <v/>
      </c>
      <c r="N315" s="26" t="n"/>
      <c r="O315" s="29">
        <f>IF($A315="","",IF(ISNUMBER($N315),$N315,$M315))</f>
        <v/>
      </c>
      <c r="P315" s="28">
        <f>IF($A315="","",SUMIF('入金消込'!$F$5:$F$1004,$A315,'入金消込'!$G$5:$G$1004))</f>
        <v/>
      </c>
      <c r="Q315" s="28">
        <f>IF($A315="","",SUMIF('入金消込'!$F$5:$F$1004,$A315,'入金消込'!$H$5:$H$1004)+SUMIF('入金消込'!$F$5:$F$1004,$A315,'入金消込'!$I$5:$I$1004))</f>
        <v/>
      </c>
      <c r="R315" s="28">
        <f>IF($A315="","",$L315-$P315-$Q315)</f>
        <v/>
      </c>
      <c r="S315" s="30">
        <f>IF($A315="","",IF($R315=0,IF($L315=0,"請求額0","回収済"),IF($L315&lt;0,IF($R315&lt;0,"差し引き待ち","差し引きすぎ"),IF($R315&lt;0,"入金が多い",IF($P315+$Q315=0,"未入金","一部入金")))))</f>
        <v/>
      </c>
      <c r="T315" s="31">
        <f>IF(OR($A315="",N($R315)&lt;=0,NOT(ISNUMBER($O315))),"",IF($O315&lt;'設定'!$B$7,'設定'!$B$7-$O315,""))</f>
        <v/>
      </c>
      <c r="U315" s="30">
        <f>IF(OR($A315="",N($R315)&lt;=0),"",IF(NOT(ISNUMBER($O315)),'設定'!$B$22,IF($O315&gt;='設定'!$B$7,'設定'!$B$17,IF('設定'!$B$7-$O315&lt;='設定'!$B$12,'設定'!$B$18,IF('設定'!$B$7-$O315&lt;='設定'!$B$13,'設定'!$B$19,IF('設定'!$B$7-$O315&lt;='設定'!$B$14,'設定'!$B$20,'設定'!$B$21))))))</f>
        <v/>
      </c>
      <c r="V315" s="56" t="n"/>
      <c r="W315" s="32">
        <f>IF($C315="","",IFERROR(MATCH($C315,'得意先'!$B$5:$B$104,0),"なし"))</f>
        <v/>
      </c>
      <c r="X315" s="33">
        <f>IF($A315="","",IF(ISNUMBER($E315),$E315,IF(ISNUMBER($B315),$B315,"")))</f>
        <v/>
      </c>
      <c r="Y315" s="34">
        <f>IF($T315="","",$O315+ROW()/1000000)</f>
        <v/>
      </c>
      <c r="Z315" s="35">
        <f>IF(OR($A315="",$C315="",$C315&lt;&gt;'売掛帳'!$B$3,NOT(ISNUMBER($X315))),"",IF(AND($X315&gt;='売掛帳'!$Q$3,$X315&lt;='売掛帳'!$Q$4),$X315+ROW()/10000000,""))</f>
        <v/>
      </c>
    </row>
    <row r="316" ht="18" customHeight="1">
      <c r="A316" s="18" t="n"/>
      <c r="B316" s="26" t="n"/>
      <c r="C316" s="18" t="n"/>
      <c r="D316" s="20">
        <f>IF($W316="","",IF($W316="なし","※得意先にないコード",INDEX('得意先'!$C$5:$C$104,$W316)&amp;""))</f>
        <v/>
      </c>
      <c r="E316" s="26" t="n"/>
      <c r="F316" s="19" t="n"/>
      <c r="G316" s="27" t="n"/>
      <c r="H316" s="27" t="n"/>
      <c r="I316" s="27" t="n"/>
      <c r="J316" s="28">
        <f>IF($A316="","",IF('設定'!$B$10="四捨五入",ROUND(IF('設定'!$B$9="税込",N($G316)*10/110,N($G316)*10/100),0),IF('設定'!$B$10="切り上げ",ROUNDUP(IF('設定'!$B$9="税込",N($G316)*10/110,N($G316)*10/100),0),ROUNDDOWN(IF('設定'!$B$9="税込",N($G316)*10/110,N($G316)*10/100),0))))</f>
        <v/>
      </c>
      <c r="K316" s="28">
        <f>IF($A316="","",IF('設定'!$B$10="四捨五入",ROUND(IF('設定'!$B$9="税込",N($H316)*8/108,N($H316)*8/100),0),IF('設定'!$B$10="切り上げ",ROUNDUP(IF('設定'!$B$9="税込",N($H316)*8/108,N($H316)*8/100),0),ROUNDDOWN(IF('設定'!$B$9="税込",N($H316)*8/108,N($H316)*8/100),0))))</f>
        <v/>
      </c>
      <c r="L316" s="28">
        <f>IF($A316="","",N($G316)+N($H316)+N($I316)+IF('設定'!$B$9="税込",0,$J316+$K316))</f>
        <v/>
      </c>
      <c r="M316" s="29">
        <f>IF(OR($A316="",NOT(ISNUMBER($W316)),NOT(ISNUMBER($X316))),"",IF(OR(INDEX('得意先'!$D$5:$D$104,$W316)="",INDEX('得意先'!$E$5:$E$104,$W316)="",INDEX('得意先'!$F$5:$F$104,$W316)=""),"",IF(INDEX('得意先'!$F$5:$F$104,$W316)="末",DATE(YEAR($X316),(MONTH($X316)+IF(INDEX('得意先'!$D$5:$D$104,$W316)="末",0,IF(DAY($X316)&lt;=INDEX('得意先'!$D$5:$D$104,$W316),0,1))+N(INDEX('得意先'!$E$5:$E$104,$W316)))+1,0),DATE(YEAR($X316),(MONTH($X316)+IF(INDEX('得意先'!$D$5:$D$104,$W316)="末",0,IF(DAY($X316)&lt;=INDEX('得意先'!$D$5:$D$104,$W316),0,1))+N(INDEX('得意先'!$E$5:$E$104,$W316))),MIN(INDEX('得意先'!$F$5:$F$104,$W316),DAY(DATE(YEAR($X316),(MONTH($X316)+IF(INDEX('得意先'!$D$5:$D$104,$W316)="末",0,IF(DAY($X316)&lt;=INDEX('得意先'!$D$5:$D$104,$W316),0,1))+N(INDEX('得意先'!$E$5:$E$104,$W316)))+1,0)))))))</f>
        <v/>
      </c>
      <c r="N316" s="26" t="n"/>
      <c r="O316" s="29">
        <f>IF($A316="","",IF(ISNUMBER($N316),$N316,$M316))</f>
        <v/>
      </c>
      <c r="P316" s="28">
        <f>IF($A316="","",SUMIF('入金消込'!$F$5:$F$1004,$A316,'入金消込'!$G$5:$G$1004))</f>
        <v/>
      </c>
      <c r="Q316" s="28">
        <f>IF($A316="","",SUMIF('入金消込'!$F$5:$F$1004,$A316,'入金消込'!$H$5:$H$1004)+SUMIF('入金消込'!$F$5:$F$1004,$A316,'入金消込'!$I$5:$I$1004))</f>
        <v/>
      </c>
      <c r="R316" s="28">
        <f>IF($A316="","",$L316-$P316-$Q316)</f>
        <v/>
      </c>
      <c r="S316" s="30">
        <f>IF($A316="","",IF($R316=0,IF($L316=0,"請求額0","回収済"),IF($L316&lt;0,IF($R316&lt;0,"差し引き待ち","差し引きすぎ"),IF($R316&lt;0,"入金が多い",IF($P316+$Q316=0,"未入金","一部入金")))))</f>
        <v/>
      </c>
      <c r="T316" s="31">
        <f>IF(OR($A316="",N($R316)&lt;=0,NOT(ISNUMBER($O316))),"",IF($O316&lt;'設定'!$B$7,'設定'!$B$7-$O316,""))</f>
        <v/>
      </c>
      <c r="U316" s="30">
        <f>IF(OR($A316="",N($R316)&lt;=0),"",IF(NOT(ISNUMBER($O316)),'設定'!$B$22,IF($O316&gt;='設定'!$B$7,'設定'!$B$17,IF('設定'!$B$7-$O316&lt;='設定'!$B$12,'設定'!$B$18,IF('設定'!$B$7-$O316&lt;='設定'!$B$13,'設定'!$B$19,IF('設定'!$B$7-$O316&lt;='設定'!$B$14,'設定'!$B$20,'設定'!$B$21))))))</f>
        <v/>
      </c>
      <c r="V316" s="56" t="n"/>
      <c r="W316" s="32">
        <f>IF($C316="","",IFERROR(MATCH($C316,'得意先'!$B$5:$B$104,0),"なし"))</f>
        <v/>
      </c>
      <c r="X316" s="33">
        <f>IF($A316="","",IF(ISNUMBER($E316),$E316,IF(ISNUMBER($B316),$B316,"")))</f>
        <v/>
      </c>
      <c r="Y316" s="34">
        <f>IF($T316="","",$O316+ROW()/1000000)</f>
        <v/>
      </c>
      <c r="Z316" s="35">
        <f>IF(OR($A316="",$C316="",$C316&lt;&gt;'売掛帳'!$B$3,NOT(ISNUMBER($X316))),"",IF(AND($X316&gt;='売掛帳'!$Q$3,$X316&lt;='売掛帳'!$Q$4),$X316+ROW()/10000000,""))</f>
        <v/>
      </c>
    </row>
    <row r="317" ht="18" customHeight="1">
      <c r="A317" s="18" t="n"/>
      <c r="B317" s="26" t="n"/>
      <c r="C317" s="18" t="n"/>
      <c r="D317" s="20">
        <f>IF($W317="","",IF($W317="なし","※得意先にないコード",INDEX('得意先'!$C$5:$C$104,$W317)&amp;""))</f>
        <v/>
      </c>
      <c r="E317" s="26" t="n"/>
      <c r="F317" s="19" t="n"/>
      <c r="G317" s="27" t="n"/>
      <c r="H317" s="27" t="n"/>
      <c r="I317" s="27" t="n"/>
      <c r="J317" s="28">
        <f>IF($A317="","",IF('設定'!$B$10="四捨五入",ROUND(IF('設定'!$B$9="税込",N($G317)*10/110,N($G317)*10/100),0),IF('設定'!$B$10="切り上げ",ROUNDUP(IF('設定'!$B$9="税込",N($G317)*10/110,N($G317)*10/100),0),ROUNDDOWN(IF('設定'!$B$9="税込",N($G317)*10/110,N($G317)*10/100),0))))</f>
        <v/>
      </c>
      <c r="K317" s="28">
        <f>IF($A317="","",IF('設定'!$B$10="四捨五入",ROUND(IF('設定'!$B$9="税込",N($H317)*8/108,N($H317)*8/100),0),IF('設定'!$B$10="切り上げ",ROUNDUP(IF('設定'!$B$9="税込",N($H317)*8/108,N($H317)*8/100),0),ROUNDDOWN(IF('設定'!$B$9="税込",N($H317)*8/108,N($H317)*8/100),0))))</f>
        <v/>
      </c>
      <c r="L317" s="28">
        <f>IF($A317="","",N($G317)+N($H317)+N($I317)+IF('設定'!$B$9="税込",0,$J317+$K317))</f>
        <v/>
      </c>
      <c r="M317" s="29">
        <f>IF(OR($A317="",NOT(ISNUMBER($W317)),NOT(ISNUMBER($X317))),"",IF(OR(INDEX('得意先'!$D$5:$D$104,$W317)="",INDEX('得意先'!$E$5:$E$104,$W317)="",INDEX('得意先'!$F$5:$F$104,$W317)=""),"",IF(INDEX('得意先'!$F$5:$F$104,$W317)="末",DATE(YEAR($X317),(MONTH($X317)+IF(INDEX('得意先'!$D$5:$D$104,$W317)="末",0,IF(DAY($X317)&lt;=INDEX('得意先'!$D$5:$D$104,$W317),0,1))+N(INDEX('得意先'!$E$5:$E$104,$W317)))+1,0),DATE(YEAR($X317),(MONTH($X317)+IF(INDEX('得意先'!$D$5:$D$104,$W317)="末",0,IF(DAY($X317)&lt;=INDEX('得意先'!$D$5:$D$104,$W317),0,1))+N(INDEX('得意先'!$E$5:$E$104,$W317))),MIN(INDEX('得意先'!$F$5:$F$104,$W317),DAY(DATE(YEAR($X317),(MONTH($X317)+IF(INDEX('得意先'!$D$5:$D$104,$W317)="末",0,IF(DAY($X317)&lt;=INDEX('得意先'!$D$5:$D$104,$W317),0,1))+N(INDEX('得意先'!$E$5:$E$104,$W317)))+1,0)))))))</f>
        <v/>
      </c>
      <c r="N317" s="26" t="n"/>
      <c r="O317" s="29">
        <f>IF($A317="","",IF(ISNUMBER($N317),$N317,$M317))</f>
        <v/>
      </c>
      <c r="P317" s="28">
        <f>IF($A317="","",SUMIF('入金消込'!$F$5:$F$1004,$A317,'入金消込'!$G$5:$G$1004))</f>
        <v/>
      </c>
      <c r="Q317" s="28">
        <f>IF($A317="","",SUMIF('入金消込'!$F$5:$F$1004,$A317,'入金消込'!$H$5:$H$1004)+SUMIF('入金消込'!$F$5:$F$1004,$A317,'入金消込'!$I$5:$I$1004))</f>
        <v/>
      </c>
      <c r="R317" s="28">
        <f>IF($A317="","",$L317-$P317-$Q317)</f>
        <v/>
      </c>
      <c r="S317" s="30">
        <f>IF($A317="","",IF($R317=0,IF($L317=0,"請求額0","回収済"),IF($L317&lt;0,IF($R317&lt;0,"差し引き待ち","差し引きすぎ"),IF($R317&lt;0,"入金が多い",IF($P317+$Q317=0,"未入金","一部入金")))))</f>
        <v/>
      </c>
      <c r="T317" s="31">
        <f>IF(OR($A317="",N($R317)&lt;=0,NOT(ISNUMBER($O317))),"",IF($O317&lt;'設定'!$B$7,'設定'!$B$7-$O317,""))</f>
        <v/>
      </c>
      <c r="U317" s="30">
        <f>IF(OR($A317="",N($R317)&lt;=0),"",IF(NOT(ISNUMBER($O317)),'設定'!$B$22,IF($O317&gt;='設定'!$B$7,'設定'!$B$17,IF('設定'!$B$7-$O317&lt;='設定'!$B$12,'設定'!$B$18,IF('設定'!$B$7-$O317&lt;='設定'!$B$13,'設定'!$B$19,IF('設定'!$B$7-$O317&lt;='設定'!$B$14,'設定'!$B$20,'設定'!$B$21))))))</f>
        <v/>
      </c>
      <c r="V317" s="56" t="n"/>
      <c r="W317" s="32">
        <f>IF($C317="","",IFERROR(MATCH($C317,'得意先'!$B$5:$B$104,0),"なし"))</f>
        <v/>
      </c>
      <c r="X317" s="33">
        <f>IF($A317="","",IF(ISNUMBER($E317),$E317,IF(ISNUMBER($B317),$B317,"")))</f>
        <v/>
      </c>
      <c r="Y317" s="34">
        <f>IF($T317="","",$O317+ROW()/1000000)</f>
        <v/>
      </c>
      <c r="Z317" s="35">
        <f>IF(OR($A317="",$C317="",$C317&lt;&gt;'売掛帳'!$B$3,NOT(ISNUMBER($X317))),"",IF(AND($X317&gt;='売掛帳'!$Q$3,$X317&lt;='売掛帳'!$Q$4),$X317+ROW()/10000000,""))</f>
        <v/>
      </c>
    </row>
    <row r="318" ht="18" customHeight="1">
      <c r="A318" s="18" t="n"/>
      <c r="B318" s="26" t="n"/>
      <c r="C318" s="18" t="n"/>
      <c r="D318" s="20">
        <f>IF($W318="","",IF($W318="なし","※得意先にないコード",INDEX('得意先'!$C$5:$C$104,$W318)&amp;""))</f>
        <v/>
      </c>
      <c r="E318" s="26" t="n"/>
      <c r="F318" s="19" t="n"/>
      <c r="G318" s="27" t="n"/>
      <c r="H318" s="27" t="n"/>
      <c r="I318" s="27" t="n"/>
      <c r="J318" s="28">
        <f>IF($A318="","",IF('設定'!$B$10="四捨五入",ROUND(IF('設定'!$B$9="税込",N($G318)*10/110,N($G318)*10/100),0),IF('設定'!$B$10="切り上げ",ROUNDUP(IF('設定'!$B$9="税込",N($G318)*10/110,N($G318)*10/100),0),ROUNDDOWN(IF('設定'!$B$9="税込",N($G318)*10/110,N($G318)*10/100),0))))</f>
        <v/>
      </c>
      <c r="K318" s="28">
        <f>IF($A318="","",IF('設定'!$B$10="四捨五入",ROUND(IF('設定'!$B$9="税込",N($H318)*8/108,N($H318)*8/100),0),IF('設定'!$B$10="切り上げ",ROUNDUP(IF('設定'!$B$9="税込",N($H318)*8/108,N($H318)*8/100),0),ROUNDDOWN(IF('設定'!$B$9="税込",N($H318)*8/108,N($H318)*8/100),0))))</f>
        <v/>
      </c>
      <c r="L318" s="28">
        <f>IF($A318="","",N($G318)+N($H318)+N($I318)+IF('設定'!$B$9="税込",0,$J318+$K318))</f>
        <v/>
      </c>
      <c r="M318" s="29">
        <f>IF(OR($A318="",NOT(ISNUMBER($W318)),NOT(ISNUMBER($X318))),"",IF(OR(INDEX('得意先'!$D$5:$D$104,$W318)="",INDEX('得意先'!$E$5:$E$104,$W318)="",INDEX('得意先'!$F$5:$F$104,$W318)=""),"",IF(INDEX('得意先'!$F$5:$F$104,$W318)="末",DATE(YEAR($X318),(MONTH($X318)+IF(INDEX('得意先'!$D$5:$D$104,$W318)="末",0,IF(DAY($X318)&lt;=INDEX('得意先'!$D$5:$D$104,$W318),0,1))+N(INDEX('得意先'!$E$5:$E$104,$W318)))+1,0),DATE(YEAR($X318),(MONTH($X318)+IF(INDEX('得意先'!$D$5:$D$104,$W318)="末",0,IF(DAY($X318)&lt;=INDEX('得意先'!$D$5:$D$104,$W318),0,1))+N(INDEX('得意先'!$E$5:$E$104,$W318))),MIN(INDEX('得意先'!$F$5:$F$104,$W318),DAY(DATE(YEAR($X318),(MONTH($X318)+IF(INDEX('得意先'!$D$5:$D$104,$W318)="末",0,IF(DAY($X318)&lt;=INDEX('得意先'!$D$5:$D$104,$W318),0,1))+N(INDEX('得意先'!$E$5:$E$104,$W318)))+1,0)))))))</f>
        <v/>
      </c>
      <c r="N318" s="26" t="n"/>
      <c r="O318" s="29">
        <f>IF($A318="","",IF(ISNUMBER($N318),$N318,$M318))</f>
        <v/>
      </c>
      <c r="P318" s="28">
        <f>IF($A318="","",SUMIF('入金消込'!$F$5:$F$1004,$A318,'入金消込'!$G$5:$G$1004))</f>
        <v/>
      </c>
      <c r="Q318" s="28">
        <f>IF($A318="","",SUMIF('入金消込'!$F$5:$F$1004,$A318,'入金消込'!$H$5:$H$1004)+SUMIF('入金消込'!$F$5:$F$1004,$A318,'入金消込'!$I$5:$I$1004))</f>
        <v/>
      </c>
      <c r="R318" s="28">
        <f>IF($A318="","",$L318-$P318-$Q318)</f>
        <v/>
      </c>
      <c r="S318" s="30">
        <f>IF($A318="","",IF($R318=0,IF($L318=0,"請求額0","回収済"),IF($L318&lt;0,IF($R318&lt;0,"差し引き待ち","差し引きすぎ"),IF($R318&lt;0,"入金が多い",IF($P318+$Q318=0,"未入金","一部入金")))))</f>
        <v/>
      </c>
      <c r="T318" s="31">
        <f>IF(OR($A318="",N($R318)&lt;=0,NOT(ISNUMBER($O318))),"",IF($O318&lt;'設定'!$B$7,'設定'!$B$7-$O318,""))</f>
        <v/>
      </c>
      <c r="U318" s="30">
        <f>IF(OR($A318="",N($R318)&lt;=0),"",IF(NOT(ISNUMBER($O318)),'設定'!$B$22,IF($O318&gt;='設定'!$B$7,'設定'!$B$17,IF('設定'!$B$7-$O318&lt;='設定'!$B$12,'設定'!$B$18,IF('設定'!$B$7-$O318&lt;='設定'!$B$13,'設定'!$B$19,IF('設定'!$B$7-$O318&lt;='設定'!$B$14,'設定'!$B$20,'設定'!$B$21))))))</f>
        <v/>
      </c>
      <c r="V318" s="56" t="n"/>
      <c r="W318" s="32">
        <f>IF($C318="","",IFERROR(MATCH($C318,'得意先'!$B$5:$B$104,0),"なし"))</f>
        <v/>
      </c>
      <c r="X318" s="33">
        <f>IF($A318="","",IF(ISNUMBER($E318),$E318,IF(ISNUMBER($B318),$B318,"")))</f>
        <v/>
      </c>
      <c r="Y318" s="34">
        <f>IF($T318="","",$O318+ROW()/1000000)</f>
        <v/>
      </c>
      <c r="Z318" s="35">
        <f>IF(OR($A318="",$C318="",$C318&lt;&gt;'売掛帳'!$B$3,NOT(ISNUMBER($X318))),"",IF(AND($X318&gt;='売掛帳'!$Q$3,$X318&lt;='売掛帳'!$Q$4),$X318+ROW()/10000000,""))</f>
        <v/>
      </c>
    </row>
    <row r="319" ht="18" customHeight="1">
      <c r="A319" s="18" t="n"/>
      <c r="B319" s="26" t="n"/>
      <c r="C319" s="18" t="n"/>
      <c r="D319" s="20">
        <f>IF($W319="","",IF($W319="なし","※得意先にないコード",INDEX('得意先'!$C$5:$C$104,$W319)&amp;""))</f>
        <v/>
      </c>
      <c r="E319" s="26" t="n"/>
      <c r="F319" s="19" t="n"/>
      <c r="G319" s="27" t="n"/>
      <c r="H319" s="27" t="n"/>
      <c r="I319" s="27" t="n"/>
      <c r="J319" s="28">
        <f>IF($A319="","",IF('設定'!$B$10="四捨五入",ROUND(IF('設定'!$B$9="税込",N($G319)*10/110,N($G319)*10/100),0),IF('設定'!$B$10="切り上げ",ROUNDUP(IF('設定'!$B$9="税込",N($G319)*10/110,N($G319)*10/100),0),ROUNDDOWN(IF('設定'!$B$9="税込",N($G319)*10/110,N($G319)*10/100),0))))</f>
        <v/>
      </c>
      <c r="K319" s="28">
        <f>IF($A319="","",IF('設定'!$B$10="四捨五入",ROUND(IF('設定'!$B$9="税込",N($H319)*8/108,N($H319)*8/100),0),IF('設定'!$B$10="切り上げ",ROUNDUP(IF('設定'!$B$9="税込",N($H319)*8/108,N($H319)*8/100),0),ROUNDDOWN(IF('設定'!$B$9="税込",N($H319)*8/108,N($H319)*8/100),0))))</f>
        <v/>
      </c>
      <c r="L319" s="28">
        <f>IF($A319="","",N($G319)+N($H319)+N($I319)+IF('設定'!$B$9="税込",0,$J319+$K319))</f>
        <v/>
      </c>
      <c r="M319" s="29">
        <f>IF(OR($A319="",NOT(ISNUMBER($W319)),NOT(ISNUMBER($X319))),"",IF(OR(INDEX('得意先'!$D$5:$D$104,$W319)="",INDEX('得意先'!$E$5:$E$104,$W319)="",INDEX('得意先'!$F$5:$F$104,$W319)=""),"",IF(INDEX('得意先'!$F$5:$F$104,$W319)="末",DATE(YEAR($X319),(MONTH($X319)+IF(INDEX('得意先'!$D$5:$D$104,$W319)="末",0,IF(DAY($X319)&lt;=INDEX('得意先'!$D$5:$D$104,$W319),0,1))+N(INDEX('得意先'!$E$5:$E$104,$W319)))+1,0),DATE(YEAR($X319),(MONTH($X319)+IF(INDEX('得意先'!$D$5:$D$104,$W319)="末",0,IF(DAY($X319)&lt;=INDEX('得意先'!$D$5:$D$104,$W319),0,1))+N(INDEX('得意先'!$E$5:$E$104,$W319))),MIN(INDEX('得意先'!$F$5:$F$104,$W319),DAY(DATE(YEAR($X319),(MONTH($X319)+IF(INDEX('得意先'!$D$5:$D$104,$W319)="末",0,IF(DAY($X319)&lt;=INDEX('得意先'!$D$5:$D$104,$W319),0,1))+N(INDEX('得意先'!$E$5:$E$104,$W319)))+1,0)))))))</f>
        <v/>
      </c>
      <c r="N319" s="26" t="n"/>
      <c r="O319" s="29">
        <f>IF($A319="","",IF(ISNUMBER($N319),$N319,$M319))</f>
        <v/>
      </c>
      <c r="P319" s="28">
        <f>IF($A319="","",SUMIF('入金消込'!$F$5:$F$1004,$A319,'入金消込'!$G$5:$G$1004))</f>
        <v/>
      </c>
      <c r="Q319" s="28">
        <f>IF($A319="","",SUMIF('入金消込'!$F$5:$F$1004,$A319,'入金消込'!$H$5:$H$1004)+SUMIF('入金消込'!$F$5:$F$1004,$A319,'入金消込'!$I$5:$I$1004))</f>
        <v/>
      </c>
      <c r="R319" s="28">
        <f>IF($A319="","",$L319-$P319-$Q319)</f>
        <v/>
      </c>
      <c r="S319" s="30">
        <f>IF($A319="","",IF($R319=0,IF($L319=0,"請求額0","回収済"),IF($L319&lt;0,IF($R319&lt;0,"差し引き待ち","差し引きすぎ"),IF($R319&lt;0,"入金が多い",IF($P319+$Q319=0,"未入金","一部入金")))))</f>
        <v/>
      </c>
      <c r="T319" s="31">
        <f>IF(OR($A319="",N($R319)&lt;=0,NOT(ISNUMBER($O319))),"",IF($O319&lt;'設定'!$B$7,'設定'!$B$7-$O319,""))</f>
        <v/>
      </c>
      <c r="U319" s="30">
        <f>IF(OR($A319="",N($R319)&lt;=0),"",IF(NOT(ISNUMBER($O319)),'設定'!$B$22,IF($O319&gt;='設定'!$B$7,'設定'!$B$17,IF('設定'!$B$7-$O319&lt;='設定'!$B$12,'設定'!$B$18,IF('設定'!$B$7-$O319&lt;='設定'!$B$13,'設定'!$B$19,IF('設定'!$B$7-$O319&lt;='設定'!$B$14,'設定'!$B$20,'設定'!$B$21))))))</f>
        <v/>
      </c>
      <c r="V319" s="56" t="n"/>
      <c r="W319" s="32">
        <f>IF($C319="","",IFERROR(MATCH($C319,'得意先'!$B$5:$B$104,0),"なし"))</f>
        <v/>
      </c>
      <c r="X319" s="33">
        <f>IF($A319="","",IF(ISNUMBER($E319),$E319,IF(ISNUMBER($B319),$B319,"")))</f>
        <v/>
      </c>
      <c r="Y319" s="34">
        <f>IF($T319="","",$O319+ROW()/1000000)</f>
        <v/>
      </c>
      <c r="Z319" s="35">
        <f>IF(OR($A319="",$C319="",$C319&lt;&gt;'売掛帳'!$B$3,NOT(ISNUMBER($X319))),"",IF(AND($X319&gt;='売掛帳'!$Q$3,$X319&lt;='売掛帳'!$Q$4),$X319+ROW()/10000000,""))</f>
        <v/>
      </c>
    </row>
    <row r="320" ht="18" customHeight="1">
      <c r="A320" s="18" t="n"/>
      <c r="B320" s="26" t="n"/>
      <c r="C320" s="18" t="n"/>
      <c r="D320" s="20">
        <f>IF($W320="","",IF($W320="なし","※得意先にないコード",INDEX('得意先'!$C$5:$C$104,$W320)&amp;""))</f>
        <v/>
      </c>
      <c r="E320" s="26" t="n"/>
      <c r="F320" s="19" t="n"/>
      <c r="G320" s="27" t="n"/>
      <c r="H320" s="27" t="n"/>
      <c r="I320" s="27" t="n"/>
      <c r="J320" s="28">
        <f>IF($A320="","",IF('設定'!$B$10="四捨五入",ROUND(IF('設定'!$B$9="税込",N($G320)*10/110,N($G320)*10/100),0),IF('設定'!$B$10="切り上げ",ROUNDUP(IF('設定'!$B$9="税込",N($G320)*10/110,N($G320)*10/100),0),ROUNDDOWN(IF('設定'!$B$9="税込",N($G320)*10/110,N($G320)*10/100),0))))</f>
        <v/>
      </c>
      <c r="K320" s="28">
        <f>IF($A320="","",IF('設定'!$B$10="四捨五入",ROUND(IF('設定'!$B$9="税込",N($H320)*8/108,N($H320)*8/100),0),IF('設定'!$B$10="切り上げ",ROUNDUP(IF('設定'!$B$9="税込",N($H320)*8/108,N($H320)*8/100),0),ROUNDDOWN(IF('設定'!$B$9="税込",N($H320)*8/108,N($H320)*8/100),0))))</f>
        <v/>
      </c>
      <c r="L320" s="28">
        <f>IF($A320="","",N($G320)+N($H320)+N($I320)+IF('設定'!$B$9="税込",0,$J320+$K320))</f>
        <v/>
      </c>
      <c r="M320" s="29">
        <f>IF(OR($A320="",NOT(ISNUMBER($W320)),NOT(ISNUMBER($X320))),"",IF(OR(INDEX('得意先'!$D$5:$D$104,$W320)="",INDEX('得意先'!$E$5:$E$104,$W320)="",INDEX('得意先'!$F$5:$F$104,$W320)=""),"",IF(INDEX('得意先'!$F$5:$F$104,$W320)="末",DATE(YEAR($X320),(MONTH($X320)+IF(INDEX('得意先'!$D$5:$D$104,$W320)="末",0,IF(DAY($X320)&lt;=INDEX('得意先'!$D$5:$D$104,$W320),0,1))+N(INDEX('得意先'!$E$5:$E$104,$W320)))+1,0),DATE(YEAR($X320),(MONTH($X320)+IF(INDEX('得意先'!$D$5:$D$104,$W320)="末",0,IF(DAY($X320)&lt;=INDEX('得意先'!$D$5:$D$104,$W320),0,1))+N(INDEX('得意先'!$E$5:$E$104,$W320))),MIN(INDEX('得意先'!$F$5:$F$104,$W320),DAY(DATE(YEAR($X320),(MONTH($X320)+IF(INDEX('得意先'!$D$5:$D$104,$W320)="末",0,IF(DAY($X320)&lt;=INDEX('得意先'!$D$5:$D$104,$W320),0,1))+N(INDEX('得意先'!$E$5:$E$104,$W320)))+1,0)))))))</f>
        <v/>
      </c>
      <c r="N320" s="26" t="n"/>
      <c r="O320" s="29">
        <f>IF($A320="","",IF(ISNUMBER($N320),$N320,$M320))</f>
        <v/>
      </c>
      <c r="P320" s="28">
        <f>IF($A320="","",SUMIF('入金消込'!$F$5:$F$1004,$A320,'入金消込'!$G$5:$G$1004))</f>
        <v/>
      </c>
      <c r="Q320" s="28">
        <f>IF($A320="","",SUMIF('入金消込'!$F$5:$F$1004,$A320,'入金消込'!$H$5:$H$1004)+SUMIF('入金消込'!$F$5:$F$1004,$A320,'入金消込'!$I$5:$I$1004))</f>
        <v/>
      </c>
      <c r="R320" s="28">
        <f>IF($A320="","",$L320-$P320-$Q320)</f>
        <v/>
      </c>
      <c r="S320" s="30">
        <f>IF($A320="","",IF($R320=0,IF($L320=0,"請求額0","回収済"),IF($L320&lt;0,IF($R320&lt;0,"差し引き待ち","差し引きすぎ"),IF($R320&lt;0,"入金が多い",IF($P320+$Q320=0,"未入金","一部入金")))))</f>
        <v/>
      </c>
      <c r="T320" s="31">
        <f>IF(OR($A320="",N($R320)&lt;=0,NOT(ISNUMBER($O320))),"",IF($O320&lt;'設定'!$B$7,'設定'!$B$7-$O320,""))</f>
        <v/>
      </c>
      <c r="U320" s="30">
        <f>IF(OR($A320="",N($R320)&lt;=0),"",IF(NOT(ISNUMBER($O320)),'設定'!$B$22,IF($O320&gt;='設定'!$B$7,'設定'!$B$17,IF('設定'!$B$7-$O320&lt;='設定'!$B$12,'設定'!$B$18,IF('設定'!$B$7-$O320&lt;='設定'!$B$13,'設定'!$B$19,IF('設定'!$B$7-$O320&lt;='設定'!$B$14,'設定'!$B$20,'設定'!$B$21))))))</f>
        <v/>
      </c>
      <c r="V320" s="56" t="n"/>
      <c r="W320" s="32">
        <f>IF($C320="","",IFERROR(MATCH($C320,'得意先'!$B$5:$B$104,0),"なし"))</f>
        <v/>
      </c>
      <c r="X320" s="33">
        <f>IF($A320="","",IF(ISNUMBER($E320),$E320,IF(ISNUMBER($B320),$B320,"")))</f>
        <v/>
      </c>
      <c r="Y320" s="34">
        <f>IF($T320="","",$O320+ROW()/1000000)</f>
        <v/>
      </c>
      <c r="Z320" s="35">
        <f>IF(OR($A320="",$C320="",$C320&lt;&gt;'売掛帳'!$B$3,NOT(ISNUMBER($X320))),"",IF(AND($X320&gt;='売掛帳'!$Q$3,$X320&lt;='売掛帳'!$Q$4),$X320+ROW()/10000000,""))</f>
        <v/>
      </c>
    </row>
    <row r="321" ht="18" customHeight="1">
      <c r="A321" s="18" t="n"/>
      <c r="B321" s="26" t="n"/>
      <c r="C321" s="18" t="n"/>
      <c r="D321" s="20">
        <f>IF($W321="","",IF($W321="なし","※得意先にないコード",INDEX('得意先'!$C$5:$C$104,$W321)&amp;""))</f>
        <v/>
      </c>
      <c r="E321" s="26" t="n"/>
      <c r="F321" s="19" t="n"/>
      <c r="G321" s="27" t="n"/>
      <c r="H321" s="27" t="n"/>
      <c r="I321" s="27" t="n"/>
      <c r="J321" s="28">
        <f>IF($A321="","",IF('設定'!$B$10="四捨五入",ROUND(IF('設定'!$B$9="税込",N($G321)*10/110,N($G321)*10/100),0),IF('設定'!$B$10="切り上げ",ROUNDUP(IF('設定'!$B$9="税込",N($G321)*10/110,N($G321)*10/100),0),ROUNDDOWN(IF('設定'!$B$9="税込",N($G321)*10/110,N($G321)*10/100),0))))</f>
        <v/>
      </c>
      <c r="K321" s="28">
        <f>IF($A321="","",IF('設定'!$B$10="四捨五入",ROUND(IF('設定'!$B$9="税込",N($H321)*8/108,N($H321)*8/100),0),IF('設定'!$B$10="切り上げ",ROUNDUP(IF('設定'!$B$9="税込",N($H321)*8/108,N($H321)*8/100),0),ROUNDDOWN(IF('設定'!$B$9="税込",N($H321)*8/108,N($H321)*8/100),0))))</f>
        <v/>
      </c>
      <c r="L321" s="28">
        <f>IF($A321="","",N($G321)+N($H321)+N($I321)+IF('設定'!$B$9="税込",0,$J321+$K321))</f>
        <v/>
      </c>
      <c r="M321" s="29">
        <f>IF(OR($A321="",NOT(ISNUMBER($W321)),NOT(ISNUMBER($X321))),"",IF(OR(INDEX('得意先'!$D$5:$D$104,$W321)="",INDEX('得意先'!$E$5:$E$104,$W321)="",INDEX('得意先'!$F$5:$F$104,$W321)=""),"",IF(INDEX('得意先'!$F$5:$F$104,$W321)="末",DATE(YEAR($X321),(MONTH($X321)+IF(INDEX('得意先'!$D$5:$D$104,$W321)="末",0,IF(DAY($X321)&lt;=INDEX('得意先'!$D$5:$D$104,$W321),0,1))+N(INDEX('得意先'!$E$5:$E$104,$W321)))+1,0),DATE(YEAR($X321),(MONTH($X321)+IF(INDEX('得意先'!$D$5:$D$104,$W321)="末",0,IF(DAY($X321)&lt;=INDEX('得意先'!$D$5:$D$104,$W321),0,1))+N(INDEX('得意先'!$E$5:$E$104,$W321))),MIN(INDEX('得意先'!$F$5:$F$104,$W321),DAY(DATE(YEAR($X321),(MONTH($X321)+IF(INDEX('得意先'!$D$5:$D$104,$W321)="末",0,IF(DAY($X321)&lt;=INDEX('得意先'!$D$5:$D$104,$W321),0,1))+N(INDEX('得意先'!$E$5:$E$104,$W321)))+1,0)))))))</f>
        <v/>
      </c>
      <c r="N321" s="26" t="n"/>
      <c r="O321" s="29">
        <f>IF($A321="","",IF(ISNUMBER($N321),$N321,$M321))</f>
        <v/>
      </c>
      <c r="P321" s="28">
        <f>IF($A321="","",SUMIF('入金消込'!$F$5:$F$1004,$A321,'入金消込'!$G$5:$G$1004))</f>
        <v/>
      </c>
      <c r="Q321" s="28">
        <f>IF($A321="","",SUMIF('入金消込'!$F$5:$F$1004,$A321,'入金消込'!$H$5:$H$1004)+SUMIF('入金消込'!$F$5:$F$1004,$A321,'入金消込'!$I$5:$I$1004))</f>
        <v/>
      </c>
      <c r="R321" s="28">
        <f>IF($A321="","",$L321-$P321-$Q321)</f>
        <v/>
      </c>
      <c r="S321" s="30">
        <f>IF($A321="","",IF($R321=0,IF($L321=0,"請求額0","回収済"),IF($L321&lt;0,IF($R321&lt;0,"差し引き待ち","差し引きすぎ"),IF($R321&lt;0,"入金が多い",IF($P321+$Q321=0,"未入金","一部入金")))))</f>
        <v/>
      </c>
      <c r="T321" s="31">
        <f>IF(OR($A321="",N($R321)&lt;=0,NOT(ISNUMBER($O321))),"",IF($O321&lt;'設定'!$B$7,'設定'!$B$7-$O321,""))</f>
        <v/>
      </c>
      <c r="U321" s="30">
        <f>IF(OR($A321="",N($R321)&lt;=0),"",IF(NOT(ISNUMBER($O321)),'設定'!$B$22,IF($O321&gt;='設定'!$B$7,'設定'!$B$17,IF('設定'!$B$7-$O321&lt;='設定'!$B$12,'設定'!$B$18,IF('設定'!$B$7-$O321&lt;='設定'!$B$13,'設定'!$B$19,IF('設定'!$B$7-$O321&lt;='設定'!$B$14,'設定'!$B$20,'設定'!$B$21))))))</f>
        <v/>
      </c>
      <c r="V321" s="56" t="n"/>
      <c r="W321" s="32">
        <f>IF($C321="","",IFERROR(MATCH($C321,'得意先'!$B$5:$B$104,0),"なし"))</f>
        <v/>
      </c>
      <c r="X321" s="33">
        <f>IF($A321="","",IF(ISNUMBER($E321),$E321,IF(ISNUMBER($B321),$B321,"")))</f>
        <v/>
      </c>
      <c r="Y321" s="34">
        <f>IF($T321="","",$O321+ROW()/1000000)</f>
        <v/>
      </c>
      <c r="Z321" s="35">
        <f>IF(OR($A321="",$C321="",$C321&lt;&gt;'売掛帳'!$B$3,NOT(ISNUMBER($X321))),"",IF(AND($X321&gt;='売掛帳'!$Q$3,$X321&lt;='売掛帳'!$Q$4),$X321+ROW()/10000000,""))</f>
        <v/>
      </c>
    </row>
    <row r="322" ht="18" customHeight="1">
      <c r="A322" s="18" t="n"/>
      <c r="B322" s="26" t="n"/>
      <c r="C322" s="18" t="n"/>
      <c r="D322" s="20">
        <f>IF($W322="","",IF($W322="なし","※得意先にないコード",INDEX('得意先'!$C$5:$C$104,$W322)&amp;""))</f>
        <v/>
      </c>
      <c r="E322" s="26" t="n"/>
      <c r="F322" s="19" t="n"/>
      <c r="G322" s="27" t="n"/>
      <c r="H322" s="27" t="n"/>
      <c r="I322" s="27" t="n"/>
      <c r="J322" s="28">
        <f>IF($A322="","",IF('設定'!$B$10="四捨五入",ROUND(IF('設定'!$B$9="税込",N($G322)*10/110,N($G322)*10/100),0),IF('設定'!$B$10="切り上げ",ROUNDUP(IF('設定'!$B$9="税込",N($G322)*10/110,N($G322)*10/100),0),ROUNDDOWN(IF('設定'!$B$9="税込",N($G322)*10/110,N($G322)*10/100),0))))</f>
        <v/>
      </c>
      <c r="K322" s="28">
        <f>IF($A322="","",IF('設定'!$B$10="四捨五入",ROUND(IF('設定'!$B$9="税込",N($H322)*8/108,N($H322)*8/100),0),IF('設定'!$B$10="切り上げ",ROUNDUP(IF('設定'!$B$9="税込",N($H322)*8/108,N($H322)*8/100),0),ROUNDDOWN(IF('設定'!$B$9="税込",N($H322)*8/108,N($H322)*8/100),0))))</f>
        <v/>
      </c>
      <c r="L322" s="28">
        <f>IF($A322="","",N($G322)+N($H322)+N($I322)+IF('設定'!$B$9="税込",0,$J322+$K322))</f>
        <v/>
      </c>
      <c r="M322" s="29">
        <f>IF(OR($A322="",NOT(ISNUMBER($W322)),NOT(ISNUMBER($X322))),"",IF(OR(INDEX('得意先'!$D$5:$D$104,$W322)="",INDEX('得意先'!$E$5:$E$104,$W322)="",INDEX('得意先'!$F$5:$F$104,$W322)=""),"",IF(INDEX('得意先'!$F$5:$F$104,$W322)="末",DATE(YEAR($X322),(MONTH($X322)+IF(INDEX('得意先'!$D$5:$D$104,$W322)="末",0,IF(DAY($X322)&lt;=INDEX('得意先'!$D$5:$D$104,$W322),0,1))+N(INDEX('得意先'!$E$5:$E$104,$W322)))+1,0),DATE(YEAR($X322),(MONTH($X322)+IF(INDEX('得意先'!$D$5:$D$104,$W322)="末",0,IF(DAY($X322)&lt;=INDEX('得意先'!$D$5:$D$104,$W322),0,1))+N(INDEX('得意先'!$E$5:$E$104,$W322))),MIN(INDEX('得意先'!$F$5:$F$104,$W322),DAY(DATE(YEAR($X322),(MONTH($X322)+IF(INDEX('得意先'!$D$5:$D$104,$W322)="末",0,IF(DAY($X322)&lt;=INDEX('得意先'!$D$5:$D$104,$W322),0,1))+N(INDEX('得意先'!$E$5:$E$104,$W322)))+1,0)))))))</f>
        <v/>
      </c>
      <c r="N322" s="26" t="n"/>
      <c r="O322" s="29">
        <f>IF($A322="","",IF(ISNUMBER($N322),$N322,$M322))</f>
        <v/>
      </c>
      <c r="P322" s="28">
        <f>IF($A322="","",SUMIF('入金消込'!$F$5:$F$1004,$A322,'入金消込'!$G$5:$G$1004))</f>
        <v/>
      </c>
      <c r="Q322" s="28">
        <f>IF($A322="","",SUMIF('入金消込'!$F$5:$F$1004,$A322,'入金消込'!$H$5:$H$1004)+SUMIF('入金消込'!$F$5:$F$1004,$A322,'入金消込'!$I$5:$I$1004))</f>
        <v/>
      </c>
      <c r="R322" s="28">
        <f>IF($A322="","",$L322-$P322-$Q322)</f>
        <v/>
      </c>
      <c r="S322" s="30">
        <f>IF($A322="","",IF($R322=0,IF($L322=0,"請求額0","回収済"),IF($L322&lt;0,IF($R322&lt;0,"差し引き待ち","差し引きすぎ"),IF($R322&lt;0,"入金が多い",IF($P322+$Q322=0,"未入金","一部入金")))))</f>
        <v/>
      </c>
      <c r="T322" s="31">
        <f>IF(OR($A322="",N($R322)&lt;=0,NOT(ISNUMBER($O322))),"",IF($O322&lt;'設定'!$B$7,'設定'!$B$7-$O322,""))</f>
        <v/>
      </c>
      <c r="U322" s="30">
        <f>IF(OR($A322="",N($R322)&lt;=0),"",IF(NOT(ISNUMBER($O322)),'設定'!$B$22,IF($O322&gt;='設定'!$B$7,'設定'!$B$17,IF('設定'!$B$7-$O322&lt;='設定'!$B$12,'設定'!$B$18,IF('設定'!$B$7-$O322&lt;='設定'!$B$13,'設定'!$B$19,IF('設定'!$B$7-$O322&lt;='設定'!$B$14,'設定'!$B$20,'設定'!$B$21))))))</f>
        <v/>
      </c>
      <c r="V322" s="56" t="n"/>
      <c r="W322" s="32">
        <f>IF($C322="","",IFERROR(MATCH($C322,'得意先'!$B$5:$B$104,0),"なし"))</f>
        <v/>
      </c>
      <c r="X322" s="33">
        <f>IF($A322="","",IF(ISNUMBER($E322),$E322,IF(ISNUMBER($B322),$B322,"")))</f>
        <v/>
      </c>
      <c r="Y322" s="34">
        <f>IF($T322="","",$O322+ROW()/1000000)</f>
        <v/>
      </c>
      <c r="Z322" s="35">
        <f>IF(OR($A322="",$C322="",$C322&lt;&gt;'売掛帳'!$B$3,NOT(ISNUMBER($X322))),"",IF(AND($X322&gt;='売掛帳'!$Q$3,$X322&lt;='売掛帳'!$Q$4),$X322+ROW()/10000000,""))</f>
        <v/>
      </c>
    </row>
    <row r="323" ht="18" customHeight="1">
      <c r="A323" s="18" t="n"/>
      <c r="B323" s="26" t="n"/>
      <c r="C323" s="18" t="n"/>
      <c r="D323" s="20">
        <f>IF($W323="","",IF($W323="なし","※得意先にないコード",INDEX('得意先'!$C$5:$C$104,$W323)&amp;""))</f>
        <v/>
      </c>
      <c r="E323" s="26" t="n"/>
      <c r="F323" s="19" t="n"/>
      <c r="G323" s="27" t="n"/>
      <c r="H323" s="27" t="n"/>
      <c r="I323" s="27" t="n"/>
      <c r="J323" s="28">
        <f>IF($A323="","",IF('設定'!$B$10="四捨五入",ROUND(IF('設定'!$B$9="税込",N($G323)*10/110,N($G323)*10/100),0),IF('設定'!$B$10="切り上げ",ROUNDUP(IF('設定'!$B$9="税込",N($G323)*10/110,N($G323)*10/100),0),ROUNDDOWN(IF('設定'!$B$9="税込",N($G323)*10/110,N($G323)*10/100),0))))</f>
        <v/>
      </c>
      <c r="K323" s="28">
        <f>IF($A323="","",IF('設定'!$B$10="四捨五入",ROUND(IF('設定'!$B$9="税込",N($H323)*8/108,N($H323)*8/100),0),IF('設定'!$B$10="切り上げ",ROUNDUP(IF('設定'!$B$9="税込",N($H323)*8/108,N($H323)*8/100),0),ROUNDDOWN(IF('設定'!$B$9="税込",N($H323)*8/108,N($H323)*8/100),0))))</f>
        <v/>
      </c>
      <c r="L323" s="28">
        <f>IF($A323="","",N($G323)+N($H323)+N($I323)+IF('設定'!$B$9="税込",0,$J323+$K323))</f>
        <v/>
      </c>
      <c r="M323" s="29">
        <f>IF(OR($A323="",NOT(ISNUMBER($W323)),NOT(ISNUMBER($X323))),"",IF(OR(INDEX('得意先'!$D$5:$D$104,$W323)="",INDEX('得意先'!$E$5:$E$104,$W323)="",INDEX('得意先'!$F$5:$F$104,$W323)=""),"",IF(INDEX('得意先'!$F$5:$F$104,$W323)="末",DATE(YEAR($X323),(MONTH($X323)+IF(INDEX('得意先'!$D$5:$D$104,$W323)="末",0,IF(DAY($X323)&lt;=INDEX('得意先'!$D$5:$D$104,$W323),0,1))+N(INDEX('得意先'!$E$5:$E$104,$W323)))+1,0),DATE(YEAR($X323),(MONTH($X323)+IF(INDEX('得意先'!$D$5:$D$104,$W323)="末",0,IF(DAY($X323)&lt;=INDEX('得意先'!$D$5:$D$104,$W323),0,1))+N(INDEX('得意先'!$E$5:$E$104,$W323))),MIN(INDEX('得意先'!$F$5:$F$104,$W323),DAY(DATE(YEAR($X323),(MONTH($X323)+IF(INDEX('得意先'!$D$5:$D$104,$W323)="末",0,IF(DAY($X323)&lt;=INDEX('得意先'!$D$5:$D$104,$W323),0,1))+N(INDEX('得意先'!$E$5:$E$104,$W323)))+1,0)))))))</f>
        <v/>
      </c>
      <c r="N323" s="26" t="n"/>
      <c r="O323" s="29">
        <f>IF($A323="","",IF(ISNUMBER($N323),$N323,$M323))</f>
        <v/>
      </c>
      <c r="P323" s="28">
        <f>IF($A323="","",SUMIF('入金消込'!$F$5:$F$1004,$A323,'入金消込'!$G$5:$G$1004))</f>
        <v/>
      </c>
      <c r="Q323" s="28">
        <f>IF($A323="","",SUMIF('入金消込'!$F$5:$F$1004,$A323,'入金消込'!$H$5:$H$1004)+SUMIF('入金消込'!$F$5:$F$1004,$A323,'入金消込'!$I$5:$I$1004))</f>
        <v/>
      </c>
      <c r="R323" s="28">
        <f>IF($A323="","",$L323-$P323-$Q323)</f>
        <v/>
      </c>
      <c r="S323" s="30">
        <f>IF($A323="","",IF($R323=0,IF($L323=0,"請求額0","回収済"),IF($L323&lt;0,IF($R323&lt;0,"差し引き待ち","差し引きすぎ"),IF($R323&lt;0,"入金が多い",IF($P323+$Q323=0,"未入金","一部入金")))))</f>
        <v/>
      </c>
      <c r="T323" s="31">
        <f>IF(OR($A323="",N($R323)&lt;=0,NOT(ISNUMBER($O323))),"",IF($O323&lt;'設定'!$B$7,'設定'!$B$7-$O323,""))</f>
        <v/>
      </c>
      <c r="U323" s="30">
        <f>IF(OR($A323="",N($R323)&lt;=0),"",IF(NOT(ISNUMBER($O323)),'設定'!$B$22,IF($O323&gt;='設定'!$B$7,'設定'!$B$17,IF('設定'!$B$7-$O323&lt;='設定'!$B$12,'設定'!$B$18,IF('設定'!$B$7-$O323&lt;='設定'!$B$13,'設定'!$B$19,IF('設定'!$B$7-$O323&lt;='設定'!$B$14,'設定'!$B$20,'設定'!$B$21))))))</f>
        <v/>
      </c>
      <c r="V323" s="56" t="n"/>
      <c r="W323" s="32">
        <f>IF($C323="","",IFERROR(MATCH($C323,'得意先'!$B$5:$B$104,0),"なし"))</f>
        <v/>
      </c>
      <c r="X323" s="33">
        <f>IF($A323="","",IF(ISNUMBER($E323),$E323,IF(ISNUMBER($B323),$B323,"")))</f>
        <v/>
      </c>
      <c r="Y323" s="34">
        <f>IF($T323="","",$O323+ROW()/1000000)</f>
        <v/>
      </c>
      <c r="Z323" s="35">
        <f>IF(OR($A323="",$C323="",$C323&lt;&gt;'売掛帳'!$B$3,NOT(ISNUMBER($X323))),"",IF(AND($X323&gt;='売掛帳'!$Q$3,$X323&lt;='売掛帳'!$Q$4),$X323+ROW()/10000000,""))</f>
        <v/>
      </c>
    </row>
    <row r="324" ht="18" customHeight="1">
      <c r="A324" s="18" t="n"/>
      <c r="B324" s="26" t="n"/>
      <c r="C324" s="18" t="n"/>
      <c r="D324" s="20">
        <f>IF($W324="","",IF($W324="なし","※得意先にないコード",INDEX('得意先'!$C$5:$C$104,$W324)&amp;""))</f>
        <v/>
      </c>
      <c r="E324" s="26" t="n"/>
      <c r="F324" s="19" t="n"/>
      <c r="G324" s="27" t="n"/>
      <c r="H324" s="27" t="n"/>
      <c r="I324" s="27" t="n"/>
      <c r="J324" s="28">
        <f>IF($A324="","",IF('設定'!$B$10="四捨五入",ROUND(IF('設定'!$B$9="税込",N($G324)*10/110,N($G324)*10/100),0),IF('設定'!$B$10="切り上げ",ROUNDUP(IF('設定'!$B$9="税込",N($G324)*10/110,N($G324)*10/100),0),ROUNDDOWN(IF('設定'!$B$9="税込",N($G324)*10/110,N($G324)*10/100),0))))</f>
        <v/>
      </c>
      <c r="K324" s="28">
        <f>IF($A324="","",IF('設定'!$B$10="四捨五入",ROUND(IF('設定'!$B$9="税込",N($H324)*8/108,N($H324)*8/100),0),IF('設定'!$B$10="切り上げ",ROUNDUP(IF('設定'!$B$9="税込",N($H324)*8/108,N($H324)*8/100),0),ROUNDDOWN(IF('設定'!$B$9="税込",N($H324)*8/108,N($H324)*8/100),0))))</f>
        <v/>
      </c>
      <c r="L324" s="28">
        <f>IF($A324="","",N($G324)+N($H324)+N($I324)+IF('設定'!$B$9="税込",0,$J324+$K324))</f>
        <v/>
      </c>
      <c r="M324" s="29">
        <f>IF(OR($A324="",NOT(ISNUMBER($W324)),NOT(ISNUMBER($X324))),"",IF(OR(INDEX('得意先'!$D$5:$D$104,$W324)="",INDEX('得意先'!$E$5:$E$104,$W324)="",INDEX('得意先'!$F$5:$F$104,$W324)=""),"",IF(INDEX('得意先'!$F$5:$F$104,$W324)="末",DATE(YEAR($X324),(MONTH($X324)+IF(INDEX('得意先'!$D$5:$D$104,$W324)="末",0,IF(DAY($X324)&lt;=INDEX('得意先'!$D$5:$D$104,$W324),0,1))+N(INDEX('得意先'!$E$5:$E$104,$W324)))+1,0),DATE(YEAR($X324),(MONTH($X324)+IF(INDEX('得意先'!$D$5:$D$104,$W324)="末",0,IF(DAY($X324)&lt;=INDEX('得意先'!$D$5:$D$104,$W324),0,1))+N(INDEX('得意先'!$E$5:$E$104,$W324))),MIN(INDEX('得意先'!$F$5:$F$104,$W324),DAY(DATE(YEAR($X324),(MONTH($X324)+IF(INDEX('得意先'!$D$5:$D$104,$W324)="末",0,IF(DAY($X324)&lt;=INDEX('得意先'!$D$5:$D$104,$W324),0,1))+N(INDEX('得意先'!$E$5:$E$104,$W324)))+1,0)))))))</f>
        <v/>
      </c>
      <c r="N324" s="26" t="n"/>
      <c r="O324" s="29">
        <f>IF($A324="","",IF(ISNUMBER($N324),$N324,$M324))</f>
        <v/>
      </c>
      <c r="P324" s="28">
        <f>IF($A324="","",SUMIF('入金消込'!$F$5:$F$1004,$A324,'入金消込'!$G$5:$G$1004))</f>
        <v/>
      </c>
      <c r="Q324" s="28">
        <f>IF($A324="","",SUMIF('入金消込'!$F$5:$F$1004,$A324,'入金消込'!$H$5:$H$1004)+SUMIF('入金消込'!$F$5:$F$1004,$A324,'入金消込'!$I$5:$I$1004))</f>
        <v/>
      </c>
      <c r="R324" s="28">
        <f>IF($A324="","",$L324-$P324-$Q324)</f>
        <v/>
      </c>
      <c r="S324" s="30">
        <f>IF($A324="","",IF($R324=0,IF($L324=0,"請求額0","回収済"),IF($L324&lt;0,IF($R324&lt;0,"差し引き待ち","差し引きすぎ"),IF($R324&lt;0,"入金が多い",IF($P324+$Q324=0,"未入金","一部入金")))))</f>
        <v/>
      </c>
      <c r="T324" s="31">
        <f>IF(OR($A324="",N($R324)&lt;=0,NOT(ISNUMBER($O324))),"",IF($O324&lt;'設定'!$B$7,'設定'!$B$7-$O324,""))</f>
        <v/>
      </c>
      <c r="U324" s="30">
        <f>IF(OR($A324="",N($R324)&lt;=0),"",IF(NOT(ISNUMBER($O324)),'設定'!$B$22,IF($O324&gt;='設定'!$B$7,'設定'!$B$17,IF('設定'!$B$7-$O324&lt;='設定'!$B$12,'設定'!$B$18,IF('設定'!$B$7-$O324&lt;='設定'!$B$13,'設定'!$B$19,IF('設定'!$B$7-$O324&lt;='設定'!$B$14,'設定'!$B$20,'設定'!$B$21))))))</f>
        <v/>
      </c>
      <c r="V324" s="56" t="n"/>
      <c r="W324" s="32">
        <f>IF($C324="","",IFERROR(MATCH($C324,'得意先'!$B$5:$B$104,0),"なし"))</f>
        <v/>
      </c>
      <c r="X324" s="33">
        <f>IF($A324="","",IF(ISNUMBER($E324),$E324,IF(ISNUMBER($B324),$B324,"")))</f>
        <v/>
      </c>
      <c r="Y324" s="34">
        <f>IF($T324="","",$O324+ROW()/1000000)</f>
        <v/>
      </c>
      <c r="Z324" s="35">
        <f>IF(OR($A324="",$C324="",$C324&lt;&gt;'売掛帳'!$B$3,NOT(ISNUMBER($X324))),"",IF(AND($X324&gt;='売掛帳'!$Q$3,$X324&lt;='売掛帳'!$Q$4),$X324+ROW()/10000000,""))</f>
        <v/>
      </c>
    </row>
    <row r="325" ht="18" customHeight="1">
      <c r="A325" s="18" t="n"/>
      <c r="B325" s="26" t="n"/>
      <c r="C325" s="18" t="n"/>
      <c r="D325" s="20">
        <f>IF($W325="","",IF($W325="なし","※得意先にないコード",INDEX('得意先'!$C$5:$C$104,$W325)&amp;""))</f>
        <v/>
      </c>
      <c r="E325" s="26" t="n"/>
      <c r="F325" s="19" t="n"/>
      <c r="G325" s="27" t="n"/>
      <c r="H325" s="27" t="n"/>
      <c r="I325" s="27" t="n"/>
      <c r="J325" s="28">
        <f>IF($A325="","",IF('設定'!$B$10="四捨五入",ROUND(IF('設定'!$B$9="税込",N($G325)*10/110,N($G325)*10/100),0),IF('設定'!$B$10="切り上げ",ROUNDUP(IF('設定'!$B$9="税込",N($G325)*10/110,N($G325)*10/100),0),ROUNDDOWN(IF('設定'!$B$9="税込",N($G325)*10/110,N($G325)*10/100),0))))</f>
        <v/>
      </c>
      <c r="K325" s="28">
        <f>IF($A325="","",IF('設定'!$B$10="四捨五入",ROUND(IF('設定'!$B$9="税込",N($H325)*8/108,N($H325)*8/100),0),IF('設定'!$B$10="切り上げ",ROUNDUP(IF('設定'!$B$9="税込",N($H325)*8/108,N($H325)*8/100),0),ROUNDDOWN(IF('設定'!$B$9="税込",N($H325)*8/108,N($H325)*8/100),0))))</f>
        <v/>
      </c>
      <c r="L325" s="28">
        <f>IF($A325="","",N($G325)+N($H325)+N($I325)+IF('設定'!$B$9="税込",0,$J325+$K325))</f>
        <v/>
      </c>
      <c r="M325" s="29">
        <f>IF(OR($A325="",NOT(ISNUMBER($W325)),NOT(ISNUMBER($X325))),"",IF(OR(INDEX('得意先'!$D$5:$D$104,$W325)="",INDEX('得意先'!$E$5:$E$104,$W325)="",INDEX('得意先'!$F$5:$F$104,$W325)=""),"",IF(INDEX('得意先'!$F$5:$F$104,$W325)="末",DATE(YEAR($X325),(MONTH($X325)+IF(INDEX('得意先'!$D$5:$D$104,$W325)="末",0,IF(DAY($X325)&lt;=INDEX('得意先'!$D$5:$D$104,$W325),0,1))+N(INDEX('得意先'!$E$5:$E$104,$W325)))+1,0),DATE(YEAR($X325),(MONTH($X325)+IF(INDEX('得意先'!$D$5:$D$104,$W325)="末",0,IF(DAY($X325)&lt;=INDEX('得意先'!$D$5:$D$104,$W325),0,1))+N(INDEX('得意先'!$E$5:$E$104,$W325))),MIN(INDEX('得意先'!$F$5:$F$104,$W325),DAY(DATE(YEAR($X325),(MONTH($X325)+IF(INDEX('得意先'!$D$5:$D$104,$W325)="末",0,IF(DAY($X325)&lt;=INDEX('得意先'!$D$5:$D$104,$W325),0,1))+N(INDEX('得意先'!$E$5:$E$104,$W325)))+1,0)))))))</f>
        <v/>
      </c>
      <c r="N325" s="26" t="n"/>
      <c r="O325" s="29">
        <f>IF($A325="","",IF(ISNUMBER($N325),$N325,$M325))</f>
        <v/>
      </c>
      <c r="P325" s="28">
        <f>IF($A325="","",SUMIF('入金消込'!$F$5:$F$1004,$A325,'入金消込'!$G$5:$G$1004))</f>
        <v/>
      </c>
      <c r="Q325" s="28">
        <f>IF($A325="","",SUMIF('入金消込'!$F$5:$F$1004,$A325,'入金消込'!$H$5:$H$1004)+SUMIF('入金消込'!$F$5:$F$1004,$A325,'入金消込'!$I$5:$I$1004))</f>
        <v/>
      </c>
      <c r="R325" s="28">
        <f>IF($A325="","",$L325-$P325-$Q325)</f>
        <v/>
      </c>
      <c r="S325" s="30">
        <f>IF($A325="","",IF($R325=0,IF($L325=0,"請求額0","回収済"),IF($L325&lt;0,IF($R325&lt;0,"差し引き待ち","差し引きすぎ"),IF($R325&lt;0,"入金が多い",IF($P325+$Q325=0,"未入金","一部入金")))))</f>
        <v/>
      </c>
      <c r="T325" s="31">
        <f>IF(OR($A325="",N($R325)&lt;=0,NOT(ISNUMBER($O325))),"",IF($O325&lt;'設定'!$B$7,'設定'!$B$7-$O325,""))</f>
        <v/>
      </c>
      <c r="U325" s="30">
        <f>IF(OR($A325="",N($R325)&lt;=0),"",IF(NOT(ISNUMBER($O325)),'設定'!$B$22,IF($O325&gt;='設定'!$B$7,'設定'!$B$17,IF('設定'!$B$7-$O325&lt;='設定'!$B$12,'設定'!$B$18,IF('設定'!$B$7-$O325&lt;='設定'!$B$13,'設定'!$B$19,IF('設定'!$B$7-$O325&lt;='設定'!$B$14,'設定'!$B$20,'設定'!$B$21))))))</f>
        <v/>
      </c>
      <c r="V325" s="56" t="n"/>
      <c r="W325" s="32">
        <f>IF($C325="","",IFERROR(MATCH($C325,'得意先'!$B$5:$B$104,0),"なし"))</f>
        <v/>
      </c>
      <c r="X325" s="33">
        <f>IF($A325="","",IF(ISNUMBER($E325),$E325,IF(ISNUMBER($B325),$B325,"")))</f>
        <v/>
      </c>
      <c r="Y325" s="34">
        <f>IF($T325="","",$O325+ROW()/1000000)</f>
        <v/>
      </c>
      <c r="Z325" s="35">
        <f>IF(OR($A325="",$C325="",$C325&lt;&gt;'売掛帳'!$B$3,NOT(ISNUMBER($X325))),"",IF(AND($X325&gt;='売掛帳'!$Q$3,$X325&lt;='売掛帳'!$Q$4),$X325+ROW()/10000000,""))</f>
        <v/>
      </c>
    </row>
    <row r="326" ht="18" customHeight="1">
      <c r="A326" s="18" t="n"/>
      <c r="B326" s="26" t="n"/>
      <c r="C326" s="18" t="n"/>
      <c r="D326" s="20">
        <f>IF($W326="","",IF($W326="なし","※得意先にないコード",INDEX('得意先'!$C$5:$C$104,$W326)&amp;""))</f>
        <v/>
      </c>
      <c r="E326" s="26" t="n"/>
      <c r="F326" s="19" t="n"/>
      <c r="G326" s="27" t="n"/>
      <c r="H326" s="27" t="n"/>
      <c r="I326" s="27" t="n"/>
      <c r="J326" s="28">
        <f>IF($A326="","",IF('設定'!$B$10="四捨五入",ROUND(IF('設定'!$B$9="税込",N($G326)*10/110,N($G326)*10/100),0),IF('設定'!$B$10="切り上げ",ROUNDUP(IF('設定'!$B$9="税込",N($G326)*10/110,N($G326)*10/100),0),ROUNDDOWN(IF('設定'!$B$9="税込",N($G326)*10/110,N($G326)*10/100),0))))</f>
        <v/>
      </c>
      <c r="K326" s="28">
        <f>IF($A326="","",IF('設定'!$B$10="四捨五入",ROUND(IF('設定'!$B$9="税込",N($H326)*8/108,N($H326)*8/100),0),IF('設定'!$B$10="切り上げ",ROUNDUP(IF('設定'!$B$9="税込",N($H326)*8/108,N($H326)*8/100),0),ROUNDDOWN(IF('設定'!$B$9="税込",N($H326)*8/108,N($H326)*8/100),0))))</f>
        <v/>
      </c>
      <c r="L326" s="28">
        <f>IF($A326="","",N($G326)+N($H326)+N($I326)+IF('設定'!$B$9="税込",0,$J326+$K326))</f>
        <v/>
      </c>
      <c r="M326" s="29">
        <f>IF(OR($A326="",NOT(ISNUMBER($W326)),NOT(ISNUMBER($X326))),"",IF(OR(INDEX('得意先'!$D$5:$D$104,$W326)="",INDEX('得意先'!$E$5:$E$104,$W326)="",INDEX('得意先'!$F$5:$F$104,$W326)=""),"",IF(INDEX('得意先'!$F$5:$F$104,$W326)="末",DATE(YEAR($X326),(MONTH($X326)+IF(INDEX('得意先'!$D$5:$D$104,$W326)="末",0,IF(DAY($X326)&lt;=INDEX('得意先'!$D$5:$D$104,$W326),0,1))+N(INDEX('得意先'!$E$5:$E$104,$W326)))+1,0),DATE(YEAR($X326),(MONTH($X326)+IF(INDEX('得意先'!$D$5:$D$104,$W326)="末",0,IF(DAY($X326)&lt;=INDEX('得意先'!$D$5:$D$104,$W326),0,1))+N(INDEX('得意先'!$E$5:$E$104,$W326))),MIN(INDEX('得意先'!$F$5:$F$104,$W326),DAY(DATE(YEAR($X326),(MONTH($X326)+IF(INDEX('得意先'!$D$5:$D$104,$W326)="末",0,IF(DAY($X326)&lt;=INDEX('得意先'!$D$5:$D$104,$W326),0,1))+N(INDEX('得意先'!$E$5:$E$104,$W326)))+1,0)))))))</f>
        <v/>
      </c>
      <c r="N326" s="26" t="n"/>
      <c r="O326" s="29">
        <f>IF($A326="","",IF(ISNUMBER($N326),$N326,$M326))</f>
        <v/>
      </c>
      <c r="P326" s="28">
        <f>IF($A326="","",SUMIF('入金消込'!$F$5:$F$1004,$A326,'入金消込'!$G$5:$G$1004))</f>
        <v/>
      </c>
      <c r="Q326" s="28">
        <f>IF($A326="","",SUMIF('入金消込'!$F$5:$F$1004,$A326,'入金消込'!$H$5:$H$1004)+SUMIF('入金消込'!$F$5:$F$1004,$A326,'入金消込'!$I$5:$I$1004))</f>
        <v/>
      </c>
      <c r="R326" s="28">
        <f>IF($A326="","",$L326-$P326-$Q326)</f>
        <v/>
      </c>
      <c r="S326" s="30">
        <f>IF($A326="","",IF($R326=0,IF($L326=0,"請求額0","回収済"),IF($L326&lt;0,IF($R326&lt;0,"差し引き待ち","差し引きすぎ"),IF($R326&lt;0,"入金が多い",IF($P326+$Q326=0,"未入金","一部入金")))))</f>
        <v/>
      </c>
      <c r="T326" s="31">
        <f>IF(OR($A326="",N($R326)&lt;=0,NOT(ISNUMBER($O326))),"",IF($O326&lt;'設定'!$B$7,'設定'!$B$7-$O326,""))</f>
        <v/>
      </c>
      <c r="U326" s="30">
        <f>IF(OR($A326="",N($R326)&lt;=0),"",IF(NOT(ISNUMBER($O326)),'設定'!$B$22,IF($O326&gt;='設定'!$B$7,'設定'!$B$17,IF('設定'!$B$7-$O326&lt;='設定'!$B$12,'設定'!$B$18,IF('設定'!$B$7-$O326&lt;='設定'!$B$13,'設定'!$B$19,IF('設定'!$B$7-$O326&lt;='設定'!$B$14,'設定'!$B$20,'設定'!$B$21))))))</f>
        <v/>
      </c>
      <c r="V326" s="56" t="n"/>
      <c r="W326" s="32">
        <f>IF($C326="","",IFERROR(MATCH($C326,'得意先'!$B$5:$B$104,0),"なし"))</f>
        <v/>
      </c>
      <c r="X326" s="33">
        <f>IF($A326="","",IF(ISNUMBER($E326),$E326,IF(ISNUMBER($B326),$B326,"")))</f>
        <v/>
      </c>
      <c r="Y326" s="34">
        <f>IF($T326="","",$O326+ROW()/1000000)</f>
        <v/>
      </c>
      <c r="Z326" s="35">
        <f>IF(OR($A326="",$C326="",$C326&lt;&gt;'売掛帳'!$B$3,NOT(ISNUMBER($X326))),"",IF(AND($X326&gt;='売掛帳'!$Q$3,$X326&lt;='売掛帳'!$Q$4),$X326+ROW()/10000000,""))</f>
        <v/>
      </c>
    </row>
    <row r="327" ht="18" customHeight="1">
      <c r="A327" s="18" t="n"/>
      <c r="B327" s="26" t="n"/>
      <c r="C327" s="18" t="n"/>
      <c r="D327" s="20">
        <f>IF($W327="","",IF($W327="なし","※得意先にないコード",INDEX('得意先'!$C$5:$C$104,$W327)&amp;""))</f>
        <v/>
      </c>
      <c r="E327" s="26" t="n"/>
      <c r="F327" s="19" t="n"/>
      <c r="G327" s="27" t="n"/>
      <c r="H327" s="27" t="n"/>
      <c r="I327" s="27" t="n"/>
      <c r="J327" s="28">
        <f>IF($A327="","",IF('設定'!$B$10="四捨五入",ROUND(IF('設定'!$B$9="税込",N($G327)*10/110,N($G327)*10/100),0),IF('設定'!$B$10="切り上げ",ROUNDUP(IF('設定'!$B$9="税込",N($G327)*10/110,N($G327)*10/100),0),ROUNDDOWN(IF('設定'!$B$9="税込",N($G327)*10/110,N($G327)*10/100),0))))</f>
        <v/>
      </c>
      <c r="K327" s="28">
        <f>IF($A327="","",IF('設定'!$B$10="四捨五入",ROUND(IF('設定'!$B$9="税込",N($H327)*8/108,N($H327)*8/100),0),IF('設定'!$B$10="切り上げ",ROUNDUP(IF('設定'!$B$9="税込",N($H327)*8/108,N($H327)*8/100),0),ROUNDDOWN(IF('設定'!$B$9="税込",N($H327)*8/108,N($H327)*8/100),0))))</f>
        <v/>
      </c>
      <c r="L327" s="28">
        <f>IF($A327="","",N($G327)+N($H327)+N($I327)+IF('設定'!$B$9="税込",0,$J327+$K327))</f>
        <v/>
      </c>
      <c r="M327" s="29">
        <f>IF(OR($A327="",NOT(ISNUMBER($W327)),NOT(ISNUMBER($X327))),"",IF(OR(INDEX('得意先'!$D$5:$D$104,$W327)="",INDEX('得意先'!$E$5:$E$104,$W327)="",INDEX('得意先'!$F$5:$F$104,$W327)=""),"",IF(INDEX('得意先'!$F$5:$F$104,$W327)="末",DATE(YEAR($X327),(MONTH($X327)+IF(INDEX('得意先'!$D$5:$D$104,$W327)="末",0,IF(DAY($X327)&lt;=INDEX('得意先'!$D$5:$D$104,$W327),0,1))+N(INDEX('得意先'!$E$5:$E$104,$W327)))+1,0),DATE(YEAR($X327),(MONTH($X327)+IF(INDEX('得意先'!$D$5:$D$104,$W327)="末",0,IF(DAY($X327)&lt;=INDEX('得意先'!$D$5:$D$104,$W327),0,1))+N(INDEX('得意先'!$E$5:$E$104,$W327))),MIN(INDEX('得意先'!$F$5:$F$104,$W327),DAY(DATE(YEAR($X327),(MONTH($X327)+IF(INDEX('得意先'!$D$5:$D$104,$W327)="末",0,IF(DAY($X327)&lt;=INDEX('得意先'!$D$5:$D$104,$W327),0,1))+N(INDEX('得意先'!$E$5:$E$104,$W327)))+1,0)))))))</f>
        <v/>
      </c>
      <c r="N327" s="26" t="n"/>
      <c r="O327" s="29">
        <f>IF($A327="","",IF(ISNUMBER($N327),$N327,$M327))</f>
        <v/>
      </c>
      <c r="P327" s="28">
        <f>IF($A327="","",SUMIF('入金消込'!$F$5:$F$1004,$A327,'入金消込'!$G$5:$G$1004))</f>
        <v/>
      </c>
      <c r="Q327" s="28">
        <f>IF($A327="","",SUMIF('入金消込'!$F$5:$F$1004,$A327,'入金消込'!$H$5:$H$1004)+SUMIF('入金消込'!$F$5:$F$1004,$A327,'入金消込'!$I$5:$I$1004))</f>
        <v/>
      </c>
      <c r="R327" s="28">
        <f>IF($A327="","",$L327-$P327-$Q327)</f>
        <v/>
      </c>
      <c r="S327" s="30">
        <f>IF($A327="","",IF($R327=0,IF($L327=0,"請求額0","回収済"),IF($L327&lt;0,IF($R327&lt;0,"差し引き待ち","差し引きすぎ"),IF($R327&lt;0,"入金が多い",IF($P327+$Q327=0,"未入金","一部入金")))))</f>
        <v/>
      </c>
      <c r="T327" s="31">
        <f>IF(OR($A327="",N($R327)&lt;=0,NOT(ISNUMBER($O327))),"",IF($O327&lt;'設定'!$B$7,'設定'!$B$7-$O327,""))</f>
        <v/>
      </c>
      <c r="U327" s="30">
        <f>IF(OR($A327="",N($R327)&lt;=0),"",IF(NOT(ISNUMBER($O327)),'設定'!$B$22,IF($O327&gt;='設定'!$B$7,'設定'!$B$17,IF('設定'!$B$7-$O327&lt;='設定'!$B$12,'設定'!$B$18,IF('設定'!$B$7-$O327&lt;='設定'!$B$13,'設定'!$B$19,IF('設定'!$B$7-$O327&lt;='設定'!$B$14,'設定'!$B$20,'設定'!$B$21))))))</f>
        <v/>
      </c>
      <c r="V327" s="56" t="n"/>
      <c r="W327" s="32">
        <f>IF($C327="","",IFERROR(MATCH($C327,'得意先'!$B$5:$B$104,0),"なし"))</f>
        <v/>
      </c>
      <c r="X327" s="33">
        <f>IF($A327="","",IF(ISNUMBER($E327),$E327,IF(ISNUMBER($B327),$B327,"")))</f>
        <v/>
      </c>
      <c r="Y327" s="34">
        <f>IF($T327="","",$O327+ROW()/1000000)</f>
        <v/>
      </c>
      <c r="Z327" s="35">
        <f>IF(OR($A327="",$C327="",$C327&lt;&gt;'売掛帳'!$B$3,NOT(ISNUMBER($X327))),"",IF(AND($X327&gt;='売掛帳'!$Q$3,$X327&lt;='売掛帳'!$Q$4),$X327+ROW()/10000000,""))</f>
        <v/>
      </c>
    </row>
    <row r="328" ht="18" customHeight="1">
      <c r="A328" s="18" t="n"/>
      <c r="B328" s="26" t="n"/>
      <c r="C328" s="18" t="n"/>
      <c r="D328" s="20">
        <f>IF($W328="","",IF($W328="なし","※得意先にないコード",INDEX('得意先'!$C$5:$C$104,$W328)&amp;""))</f>
        <v/>
      </c>
      <c r="E328" s="26" t="n"/>
      <c r="F328" s="19" t="n"/>
      <c r="G328" s="27" t="n"/>
      <c r="H328" s="27" t="n"/>
      <c r="I328" s="27" t="n"/>
      <c r="J328" s="28">
        <f>IF($A328="","",IF('設定'!$B$10="四捨五入",ROUND(IF('設定'!$B$9="税込",N($G328)*10/110,N($G328)*10/100),0),IF('設定'!$B$10="切り上げ",ROUNDUP(IF('設定'!$B$9="税込",N($G328)*10/110,N($G328)*10/100),0),ROUNDDOWN(IF('設定'!$B$9="税込",N($G328)*10/110,N($G328)*10/100),0))))</f>
        <v/>
      </c>
      <c r="K328" s="28">
        <f>IF($A328="","",IF('設定'!$B$10="四捨五入",ROUND(IF('設定'!$B$9="税込",N($H328)*8/108,N($H328)*8/100),0),IF('設定'!$B$10="切り上げ",ROUNDUP(IF('設定'!$B$9="税込",N($H328)*8/108,N($H328)*8/100),0),ROUNDDOWN(IF('設定'!$B$9="税込",N($H328)*8/108,N($H328)*8/100),0))))</f>
        <v/>
      </c>
      <c r="L328" s="28">
        <f>IF($A328="","",N($G328)+N($H328)+N($I328)+IF('設定'!$B$9="税込",0,$J328+$K328))</f>
        <v/>
      </c>
      <c r="M328" s="29">
        <f>IF(OR($A328="",NOT(ISNUMBER($W328)),NOT(ISNUMBER($X328))),"",IF(OR(INDEX('得意先'!$D$5:$D$104,$W328)="",INDEX('得意先'!$E$5:$E$104,$W328)="",INDEX('得意先'!$F$5:$F$104,$W328)=""),"",IF(INDEX('得意先'!$F$5:$F$104,$W328)="末",DATE(YEAR($X328),(MONTH($X328)+IF(INDEX('得意先'!$D$5:$D$104,$W328)="末",0,IF(DAY($X328)&lt;=INDEX('得意先'!$D$5:$D$104,$W328),0,1))+N(INDEX('得意先'!$E$5:$E$104,$W328)))+1,0),DATE(YEAR($X328),(MONTH($X328)+IF(INDEX('得意先'!$D$5:$D$104,$W328)="末",0,IF(DAY($X328)&lt;=INDEX('得意先'!$D$5:$D$104,$W328),0,1))+N(INDEX('得意先'!$E$5:$E$104,$W328))),MIN(INDEX('得意先'!$F$5:$F$104,$W328),DAY(DATE(YEAR($X328),(MONTH($X328)+IF(INDEX('得意先'!$D$5:$D$104,$W328)="末",0,IF(DAY($X328)&lt;=INDEX('得意先'!$D$5:$D$104,$W328),0,1))+N(INDEX('得意先'!$E$5:$E$104,$W328)))+1,0)))))))</f>
        <v/>
      </c>
      <c r="N328" s="26" t="n"/>
      <c r="O328" s="29">
        <f>IF($A328="","",IF(ISNUMBER($N328),$N328,$M328))</f>
        <v/>
      </c>
      <c r="P328" s="28">
        <f>IF($A328="","",SUMIF('入金消込'!$F$5:$F$1004,$A328,'入金消込'!$G$5:$G$1004))</f>
        <v/>
      </c>
      <c r="Q328" s="28">
        <f>IF($A328="","",SUMIF('入金消込'!$F$5:$F$1004,$A328,'入金消込'!$H$5:$H$1004)+SUMIF('入金消込'!$F$5:$F$1004,$A328,'入金消込'!$I$5:$I$1004))</f>
        <v/>
      </c>
      <c r="R328" s="28">
        <f>IF($A328="","",$L328-$P328-$Q328)</f>
        <v/>
      </c>
      <c r="S328" s="30">
        <f>IF($A328="","",IF($R328=0,IF($L328=0,"請求額0","回収済"),IF($L328&lt;0,IF($R328&lt;0,"差し引き待ち","差し引きすぎ"),IF($R328&lt;0,"入金が多い",IF($P328+$Q328=0,"未入金","一部入金")))))</f>
        <v/>
      </c>
      <c r="T328" s="31">
        <f>IF(OR($A328="",N($R328)&lt;=0,NOT(ISNUMBER($O328))),"",IF($O328&lt;'設定'!$B$7,'設定'!$B$7-$O328,""))</f>
        <v/>
      </c>
      <c r="U328" s="30">
        <f>IF(OR($A328="",N($R328)&lt;=0),"",IF(NOT(ISNUMBER($O328)),'設定'!$B$22,IF($O328&gt;='設定'!$B$7,'設定'!$B$17,IF('設定'!$B$7-$O328&lt;='設定'!$B$12,'設定'!$B$18,IF('設定'!$B$7-$O328&lt;='設定'!$B$13,'設定'!$B$19,IF('設定'!$B$7-$O328&lt;='設定'!$B$14,'設定'!$B$20,'設定'!$B$21))))))</f>
        <v/>
      </c>
      <c r="V328" s="56" t="n"/>
      <c r="W328" s="32">
        <f>IF($C328="","",IFERROR(MATCH($C328,'得意先'!$B$5:$B$104,0),"なし"))</f>
        <v/>
      </c>
      <c r="X328" s="33">
        <f>IF($A328="","",IF(ISNUMBER($E328),$E328,IF(ISNUMBER($B328),$B328,"")))</f>
        <v/>
      </c>
      <c r="Y328" s="34">
        <f>IF($T328="","",$O328+ROW()/1000000)</f>
        <v/>
      </c>
      <c r="Z328" s="35">
        <f>IF(OR($A328="",$C328="",$C328&lt;&gt;'売掛帳'!$B$3,NOT(ISNUMBER($X328))),"",IF(AND($X328&gt;='売掛帳'!$Q$3,$X328&lt;='売掛帳'!$Q$4),$X328+ROW()/10000000,""))</f>
        <v/>
      </c>
    </row>
    <row r="329" ht="18" customHeight="1">
      <c r="A329" s="18" t="n"/>
      <c r="B329" s="26" t="n"/>
      <c r="C329" s="18" t="n"/>
      <c r="D329" s="20">
        <f>IF($W329="","",IF($W329="なし","※得意先にないコード",INDEX('得意先'!$C$5:$C$104,$W329)&amp;""))</f>
        <v/>
      </c>
      <c r="E329" s="26" t="n"/>
      <c r="F329" s="19" t="n"/>
      <c r="G329" s="27" t="n"/>
      <c r="H329" s="27" t="n"/>
      <c r="I329" s="27" t="n"/>
      <c r="J329" s="28">
        <f>IF($A329="","",IF('設定'!$B$10="四捨五入",ROUND(IF('設定'!$B$9="税込",N($G329)*10/110,N($G329)*10/100),0),IF('設定'!$B$10="切り上げ",ROUNDUP(IF('設定'!$B$9="税込",N($G329)*10/110,N($G329)*10/100),0),ROUNDDOWN(IF('設定'!$B$9="税込",N($G329)*10/110,N($G329)*10/100),0))))</f>
        <v/>
      </c>
      <c r="K329" s="28">
        <f>IF($A329="","",IF('設定'!$B$10="四捨五入",ROUND(IF('設定'!$B$9="税込",N($H329)*8/108,N($H329)*8/100),0),IF('設定'!$B$10="切り上げ",ROUNDUP(IF('設定'!$B$9="税込",N($H329)*8/108,N($H329)*8/100),0),ROUNDDOWN(IF('設定'!$B$9="税込",N($H329)*8/108,N($H329)*8/100),0))))</f>
        <v/>
      </c>
      <c r="L329" s="28">
        <f>IF($A329="","",N($G329)+N($H329)+N($I329)+IF('設定'!$B$9="税込",0,$J329+$K329))</f>
        <v/>
      </c>
      <c r="M329" s="29">
        <f>IF(OR($A329="",NOT(ISNUMBER($W329)),NOT(ISNUMBER($X329))),"",IF(OR(INDEX('得意先'!$D$5:$D$104,$W329)="",INDEX('得意先'!$E$5:$E$104,$W329)="",INDEX('得意先'!$F$5:$F$104,$W329)=""),"",IF(INDEX('得意先'!$F$5:$F$104,$W329)="末",DATE(YEAR($X329),(MONTH($X329)+IF(INDEX('得意先'!$D$5:$D$104,$W329)="末",0,IF(DAY($X329)&lt;=INDEX('得意先'!$D$5:$D$104,$W329),0,1))+N(INDEX('得意先'!$E$5:$E$104,$W329)))+1,0),DATE(YEAR($X329),(MONTH($X329)+IF(INDEX('得意先'!$D$5:$D$104,$W329)="末",0,IF(DAY($X329)&lt;=INDEX('得意先'!$D$5:$D$104,$W329),0,1))+N(INDEX('得意先'!$E$5:$E$104,$W329))),MIN(INDEX('得意先'!$F$5:$F$104,$W329),DAY(DATE(YEAR($X329),(MONTH($X329)+IF(INDEX('得意先'!$D$5:$D$104,$W329)="末",0,IF(DAY($X329)&lt;=INDEX('得意先'!$D$5:$D$104,$W329),0,1))+N(INDEX('得意先'!$E$5:$E$104,$W329)))+1,0)))))))</f>
        <v/>
      </c>
      <c r="N329" s="26" t="n"/>
      <c r="O329" s="29">
        <f>IF($A329="","",IF(ISNUMBER($N329),$N329,$M329))</f>
        <v/>
      </c>
      <c r="P329" s="28">
        <f>IF($A329="","",SUMIF('入金消込'!$F$5:$F$1004,$A329,'入金消込'!$G$5:$G$1004))</f>
        <v/>
      </c>
      <c r="Q329" s="28">
        <f>IF($A329="","",SUMIF('入金消込'!$F$5:$F$1004,$A329,'入金消込'!$H$5:$H$1004)+SUMIF('入金消込'!$F$5:$F$1004,$A329,'入金消込'!$I$5:$I$1004))</f>
        <v/>
      </c>
      <c r="R329" s="28">
        <f>IF($A329="","",$L329-$P329-$Q329)</f>
        <v/>
      </c>
      <c r="S329" s="30">
        <f>IF($A329="","",IF($R329=0,IF($L329=0,"請求額0","回収済"),IF($L329&lt;0,IF($R329&lt;0,"差し引き待ち","差し引きすぎ"),IF($R329&lt;0,"入金が多い",IF($P329+$Q329=0,"未入金","一部入金")))))</f>
        <v/>
      </c>
      <c r="T329" s="31">
        <f>IF(OR($A329="",N($R329)&lt;=0,NOT(ISNUMBER($O329))),"",IF($O329&lt;'設定'!$B$7,'設定'!$B$7-$O329,""))</f>
        <v/>
      </c>
      <c r="U329" s="30">
        <f>IF(OR($A329="",N($R329)&lt;=0),"",IF(NOT(ISNUMBER($O329)),'設定'!$B$22,IF($O329&gt;='設定'!$B$7,'設定'!$B$17,IF('設定'!$B$7-$O329&lt;='設定'!$B$12,'設定'!$B$18,IF('設定'!$B$7-$O329&lt;='設定'!$B$13,'設定'!$B$19,IF('設定'!$B$7-$O329&lt;='設定'!$B$14,'設定'!$B$20,'設定'!$B$21))))))</f>
        <v/>
      </c>
      <c r="V329" s="56" t="n"/>
      <c r="W329" s="32">
        <f>IF($C329="","",IFERROR(MATCH($C329,'得意先'!$B$5:$B$104,0),"なし"))</f>
        <v/>
      </c>
      <c r="X329" s="33">
        <f>IF($A329="","",IF(ISNUMBER($E329),$E329,IF(ISNUMBER($B329),$B329,"")))</f>
        <v/>
      </c>
      <c r="Y329" s="34">
        <f>IF($T329="","",$O329+ROW()/1000000)</f>
        <v/>
      </c>
      <c r="Z329" s="35">
        <f>IF(OR($A329="",$C329="",$C329&lt;&gt;'売掛帳'!$B$3,NOT(ISNUMBER($X329))),"",IF(AND($X329&gt;='売掛帳'!$Q$3,$X329&lt;='売掛帳'!$Q$4),$X329+ROW()/10000000,""))</f>
        <v/>
      </c>
    </row>
    <row r="330" ht="18" customHeight="1">
      <c r="A330" s="18" t="n"/>
      <c r="B330" s="26" t="n"/>
      <c r="C330" s="18" t="n"/>
      <c r="D330" s="20">
        <f>IF($W330="","",IF($W330="なし","※得意先にないコード",INDEX('得意先'!$C$5:$C$104,$W330)&amp;""))</f>
        <v/>
      </c>
      <c r="E330" s="26" t="n"/>
      <c r="F330" s="19" t="n"/>
      <c r="G330" s="27" t="n"/>
      <c r="H330" s="27" t="n"/>
      <c r="I330" s="27" t="n"/>
      <c r="J330" s="28">
        <f>IF($A330="","",IF('設定'!$B$10="四捨五入",ROUND(IF('設定'!$B$9="税込",N($G330)*10/110,N($G330)*10/100),0),IF('設定'!$B$10="切り上げ",ROUNDUP(IF('設定'!$B$9="税込",N($G330)*10/110,N($G330)*10/100),0),ROUNDDOWN(IF('設定'!$B$9="税込",N($G330)*10/110,N($G330)*10/100),0))))</f>
        <v/>
      </c>
      <c r="K330" s="28">
        <f>IF($A330="","",IF('設定'!$B$10="四捨五入",ROUND(IF('設定'!$B$9="税込",N($H330)*8/108,N($H330)*8/100),0),IF('設定'!$B$10="切り上げ",ROUNDUP(IF('設定'!$B$9="税込",N($H330)*8/108,N($H330)*8/100),0),ROUNDDOWN(IF('設定'!$B$9="税込",N($H330)*8/108,N($H330)*8/100),0))))</f>
        <v/>
      </c>
      <c r="L330" s="28">
        <f>IF($A330="","",N($G330)+N($H330)+N($I330)+IF('設定'!$B$9="税込",0,$J330+$K330))</f>
        <v/>
      </c>
      <c r="M330" s="29">
        <f>IF(OR($A330="",NOT(ISNUMBER($W330)),NOT(ISNUMBER($X330))),"",IF(OR(INDEX('得意先'!$D$5:$D$104,$W330)="",INDEX('得意先'!$E$5:$E$104,$W330)="",INDEX('得意先'!$F$5:$F$104,$W330)=""),"",IF(INDEX('得意先'!$F$5:$F$104,$W330)="末",DATE(YEAR($X330),(MONTH($X330)+IF(INDEX('得意先'!$D$5:$D$104,$W330)="末",0,IF(DAY($X330)&lt;=INDEX('得意先'!$D$5:$D$104,$W330),0,1))+N(INDEX('得意先'!$E$5:$E$104,$W330)))+1,0),DATE(YEAR($X330),(MONTH($X330)+IF(INDEX('得意先'!$D$5:$D$104,$W330)="末",0,IF(DAY($X330)&lt;=INDEX('得意先'!$D$5:$D$104,$W330),0,1))+N(INDEX('得意先'!$E$5:$E$104,$W330))),MIN(INDEX('得意先'!$F$5:$F$104,$W330),DAY(DATE(YEAR($X330),(MONTH($X330)+IF(INDEX('得意先'!$D$5:$D$104,$W330)="末",0,IF(DAY($X330)&lt;=INDEX('得意先'!$D$5:$D$104,$W330),0,1))+N(INDEX('得意先'!$E$5:$E$104,$W330)))+1,0)))))))</f>
        <v/>
      </c>
      <c r="N330" s="26" t="n"/>
      <c r="O330" s="29">
        <f>IF($A330="","",IF(ISNUMBER($N330),$N330,$M330))</f>
        <v/>
      </c>
      <c r="P330" s="28">
        <f>IF($A330="","",SUMIF('入金消込'!$F$5:$F$1004,$A330,'入金消込'!$G$5:$G$1004))</f>
        <v/>
      </c>
      <c r="Q330" s="28">
        <f>IF($A330="","",SUMIF('入金消込'!$F$5:$F$1004,$A330,'入金消込'!$H$5:$H$1004)+SUMIF('入金消込'!$F$5:$F$1004,$A330,'入金消込'!$I$5:$I$1004))</f>
        <v/>
      </c>
      <c r="R330" s="28">
        <f>IF($A330="","",$L330-$P330-$Q330)</f>
        <v/>
      </c>
      <c r="S330" s="30">
        <f>IF($A330="","",IF($R330=0,IF($L330=0,"請求額0","回収済"),IF($L330&lt;0,IF($R330&lt;0,"差し引き待ち","差し引きすぎ"),IF($R330&lt;0,"入金が多い",IF($P330+$Q330=0,"未入金","一部入金")))))</f>
        <v/>
      </c>
      <c r="T330" s="31">
        <f>IF(OR($A330="",N($R330)&lt;=0,NOT(ISNUMBER($O330))),"",IF($O330&lt;'設定'!$B$7,'設定'!$B$7-$O330,""))</f>
        <v/>
      </c>
      <c r="U330" s="30">
        <f>IF(OR($A330="",N($R330)&lt;=0),"",IF(NOT(ISNUMBER($O330)),'設定'!$B$22,IF($O330&gt;='設定'!$B$7,'設定'!$B$17,IF('設定'!$B$7-$O330&lt;='設定'!$B$12,'設定'!$B$18,IF('設定'!$B$7-$O330&lt;='設定'!$B$13,'設定'!$B$19,IF('設定'!$B$7-$O330&lt;='設定'!$B$14,'設定'!$B$20,'設定'!$B$21))))))</f>
        <v/>
      </c>
      <c r="V330" s="56" t="n"/>
      <c r="W330" s="32">
        <f>IF($C330="","",IFERROR(MATCH($C330,'得意先'!$B$5:$B$104,0),"なし"))</f>
        <v/>
      </c>
      <c r="X330" s="33">
        <f>IF($A330="","",IF(ISNUMBER($E330),$E330,IF(ISNUMBER($B330),$B330,"")))</f>
        <v/>
      </c>
      <c r="Y330" s="34">
        <f>IF($T330="","",$O330+ROW()/1000000)</f>
        <v/>
      </c>
      <c r="Z330" s="35">
        <f>IF(OR($A330="",$C330="",$C330&lt;&gt;'売掛帳'!$B$3,NOT(ISNUMBER($X330))),"",IF(AND($X330&gt;='売掛帳'!$Q$3,$X330&lt;='売掛帳'!$Q$4),$X330+ROW()/10000000,""))</f>
        <v/>
      </c>
    </row>
    <row r="331" ht="18" customHeight="1">
      <c r="A331" s="18" t="n"/>
      <c r="B331" s="26" t="n"/>
      <c r="C331" s="18" t="n"/>
      <c r="D331" s="20">
        <f>IF($W331="","",IF($W331="なし","※得意先にないコード",INDEX('得意先'!$C$5:$C$104,$W331)&amp;""))</f>
        <v/>
      </c>
      <c r="E331" s="26" t="n"/>
      <c r="F331" s="19" t="n"/>
      <c r="G331" s="27" t="n"/>
      <c r="H331" s="27" t="n"/>
      <c r="I331" s="27" t="n"/>
      <c r="J331" s="28">
        <f>IF($A331="","",IF('設定'!$B$10="四捨五入",ROUND(IF('設定'!$B$9="税込",N($G331)*10/110,N($G331)*10/100),0),IF('設定'!$B$10="切り上げ",ROUNDUP(IF('設定'!$B$9="税込",N($G331)*10/110,N($G331)*10/100),0),ROUNDDOWN(IF('設定'!$B$9="税込",N($G331)*10/110,N($G331)*10/100),0))))</f>
        <v/>
      </c>
      <c r="K331" s="28">
        <f>IF($A331="","",IF('設定'!$B$10="四捨五入",ROUND(IF('設定'!$B$9="税込",N($H331)*8/108,N($H331)*8/100),0),IF('設定'!$B$10="切り上げ",ROUNDUP(IF('設定'!$B$9="税込",N($H331)*8/108,N($H331)*8/100),0),ROUNDDOWN(IF('設定'!$B$9="税込",N($H331)*8/108,N($H331)*8/100),0))))</f>
        <v/>
      </c>
      <c r="L331" s="28">
        <f>IF($A331="","",N($G331)+N($H331)+N($I331)+IF('設定'!$B$9="税込",0,$J331+$K331))</f>
        <v/>
      </c>
      <c r="M331" s="29">
        <f>IF(OR($A331="",NOT(ISNUMBER($W331)),NOT(ISNUMBER($X331))),"",IF(OR(INDEX('得意先'!$D$5:$D$104,$W331)="",INDEX('得意先'!$E$5:$E$104,$W331)="",INDEX('得意先'!$F$5:$F$104,$W331)=""),"",IF(INDEX('得意先'!$F$5:$F$104,$W331)="末",DATE(YEAR($X331),(MONTH($X331)+IF(INDEX('得意先'!$D$5:$D$104,$W331)="末",0,IF(DAY($X331)&lt;=INDEX('得意先'!$D$5:$D$104,$W331),0,1))+N(INDEX('得意先'!$E$5:$E$104,$W331)))+1,0),DATE(YEAR($X331),(MONTH($X331)+IF(INDEX('得意先'!$D$5:$D$104,$W331)="末",0,IF(DAY($X331)&lt;=INDEX('得意先'!$D$5:$D$104,$W331),0,1))+N(INDEX('得意先'!$E$5:$E$104,$W331))),MIN(INDEX('得意先'!$F$5:$F$104,$W331),DAY(DATE(YEAR($X331),(MONTH($X331)+IF(INDEX('得意先'!$D$5:$D$104,$W331)="末",0,IF(DAY($X331)&lt;=INDEX('得意先'!$D$5:$D$104,$W331),0,1))+N(INDEX('得意先'!$E$5:$E$104,$W331)))+1,0)))))))</f>
        <v/>
      </c>
      <c r="N331" s="26" t="n"/>
      <c r="O331" s="29">
        <f>IF($A331="","",IF(ISNUMBER($N331),$N331,$M331))</f>
        <v/>
      </c>
      <c r="P331" s="28">
        <f>IF($A331="","",SUMIF('入金消込'!$F$5:$F$1004,$A331,'入金消込'!$G$5:$G$1004))</f>
        <v/>
      </c>
      <c r="Q331" s="28">
        <f>IF($A331="","",SUMIF('入金消込'!$F$5:$F$1004,$A331,'入金消込'!$H$5:$H$1004)+SUMIF('入金消込'!$F$5:$F$1004,$A331,'入金消込'!$I$5:$I$1004))</f>
        <v/>
      </c>
      <c r="R331" s="28">
        <f>IF($A331="","",$L331-$P331-$Q331)</f>
        <v/>
      </c>
      <c r="S331" s="30">
        <f>IF($A331="","",IF($R331=0,IF($L331=0,"請求額0","回収済"),IF($L331&lt;0,IF($R331&lt;0,"差し引き待ち","差し引きすぎ"),IF($R331&lt;0,"入金が多い",IF($P331+$Q331=0,"未入金","一部入金")))))</f>
        <v/>
      </c>
      <c r="T331" s="31">
        <f>IF(OR($A331="",N($R331)&lt;=0,NOT(ISNUMBER($O331))),"",IF($O331&lt;'設定'!$B$7,'設定'!$B$7-$O331,""))</f>
        <v/>
      </c>
      <c r="U331" s="30">
        <f>IF(OR($A331="",N($R331)&lt;=0),"",IF(NOT(ISNUMBER($O331)),'設定'!$B$22,IF($O331&gt;='設定'!$B$7,'設定'!$B$17,IF('設定'!$B$7-$O331&lt;='設定'!$B$12,'設定'!$B$18,IF('設定'!$B$7-$O331&lt;='設定'!$B$13,'設定'!$B$19,IF('設定'!$B$7-$O331&lt;='設定'!$B$14,'設定'!$B$20,'設定'!$B$21))))))</f>
        <v/>
      </c>
      <c r="V331" s="56" t="n"/>
      <c r="W331" s="32">
        <f>IF($C331="","",IFERROR(MATCH($C331,'得意先'!$B$5:$B$104,0),"なし"))</f>
        <v/>
      </c>
      <c r="X331" s="33">
        <f>IF($A331="","",IF(ISNUMBER($E331),$E331,IF(ISNUMBER($B331),$B331,"")))</f>
        <v/>
      </c>
      <c r="Y331" s="34">
        <f>IF($T331="","",$O331+ROW()/1000000)</f>
        <v/>
      </c>
      <c r="Z331" s="35">
        <f>IF(OR($A331="",$C331="",$C331&lt;&gt;'売掛帳'!$B$3,NOT(ISNUMBER($X331))),"",IF(AND($X331&gt;='売掛帳'!$Q$3,$X331&lt;='売掛帳'!$Q$4),$X331+ROW()/10000000,""))</f>
        <v/>
      </c>
    </row>
    <row r="332" ht="18" customHeight="1">
      <c r="A332" s="18" t="n"/>
      <c r="B332" s="26" t="n"/>
      <c r="C332" s="18" t="n"/>
      <c r="D332" s="20">
        <f>IF($W332="","",IF($W332="なし","※得意先にないコード",INDEX('得意先'!$C$5:$C$104,$W332)&amp;""))</f>
        <v/>
      </c>
      <c r="E332" s="26" t="n"/>
      <c r="F332" s="19" t="n"/>
      <c r="G332" s="27" t="n"/>
      <c r="H332" s="27" t="n"/>
      <c r="I332" s="27" t="n"/>
      <c r="J332" s="28">
        <f>IF($A332="","",IF('設定'!$B$10="四捨五入",ROUND(IF('設定'!$B$9="税込",N($G332)*10/110,N($G332)*10/100),0),IF('設定'!$B$10="切り上げ",ROUNDUP(IF('設定'!$B$9="税込",N($G332)*10/110,N($G332)*10/100),0),ROUNDDOWN(IF('設定'!$B$9="税込",N($G332)*10/110,N($G332)*10/100),0))))</f>
        <v/>
      </c>
      <c r="K332" s="28">
        <f>IF($A332="","",IF('設定'!$B$10="四捨五入",ROUND(IF('設定'!$B$9="税込",N($H332)*8/108,N($H332)*8/100),0),IF('設定'!$B$10="切り上げ",ROUNDUP(IF('設定'!$B$9="税込",N($H332)*8/108,N($H332)*8/100),0),ROUNDDOWN(IF('設定'!$B$9="税込",N($H332)*8/108,N($H332)*8/100),0))))</f>
        <v/>
      </c>
      <c r="L332" s="28">
        <f>IF($A332="","",N($G332)+N($H332)+N($I332)+IF('設定'!$B$9="税込",0,$J332+$K332))</f>
        <v/>
      </c>
      <c r="M332" s="29">
        <f>IF(OR($A332="",NOT(ISNUMBER($W332)),NOT(ISNUMBER($X332))),"",IF(OR(INDEX('得意先'!$D$5:$D$104,$W332)="",INDEX('得意先'!$E$5:$E$104,$W332)="",INDEX('得意先'!$F$5:$F$104,$W332)=""),"",IF(INDEX('得意先'!$F$5:$F$104,$W332)="末",DATE(YEAR($X332),(MONTH($X332)+IF(INDEX('得意先'!$D$5:$D$104,$W332)="末",0,IF(DAY($X332)&lt;=INDEX('得意先'!$D$5:$D$104,$W332),0,1))+N(INDEX('得意先'!$E$5:$E$104,$W332)))+1,0),DATE(YEAR($X332),(MONTH($X332)+IF(INDEX('得意先'!$D$5:$D$104,$W332)="末",0,IF(DAY($X332)&lt;=INDEX('得意先'!$D$5:$D$104,$W332),0,1))+N(INDEX('得意先'!$E$5:$E$104,$W332))),MIN(INDEX('得意先'!$F$5:$F$104,$W332),DAY(DATE(YEAR($X332),(MONTH($X332)+IF(INDEX('得意先'!$D$5:$D$104,$W332)="末",0,IF(DAY($X332)&lt;=INDEX('得意先'!$D$5:$D$104,$W332),0,1))+N(INDEX('得意先'!$E$5:$E$104,$W332)))+1,0)))))))</f>
        <v/>
      </c>
      <c r="N332" s="26" t="n"/>
      <c r="O332" s="29">
        <f>IF($A332="","",IF(ISNUMBER($N332),$N332,$M332))</f>
        <v/>
      </c>
      <c r="P332" s="28">
        <f>IF($A332="","",SUMIF('入金消込'!$F$5:$F$1004,$A332,'入金消込'!$G$5:$G$1004))</f>
        <v/>
      </c>
      <c r="Q332" s="28">
        <f>IF($A332="","",SUMIF('入金消込'!$F$5:$F$1004,$A332,'入金消込'!$H$5:$H$1004)+SUMIF('入金消込'!$F$5:$F$1004,$A332,'入金消込'!$I$5:$I$1004))</f>
        <v/>
      </c>
      <c r="R332" s="28">
        <f>IF($A332="","",$L332-$P332-$Q332)</f>
        <v/>
      </c>
      <c r="S332" s="30">
        <f>IF($A332="","",IF($R332=0,IF($L332=0,"請求額0","回収済"),IF($L332&lt;0,IF($R332&lt;0,"差し引き待ち","差し引きすぎ"),IF($R332&lt;0,"入金が多い",IF($P332+$Q332=0,"未入金","一部入金")))))</f>
        <v/>
      </c>
      <c r="T332" s="31">
        <f>IF(OR($A332="",N($R332)&lt;=0,NOT(ISNUMBER($O332))),"",IF($O332&lt;'設定'!$B$7,'設定'!$B$7-$O332,""))</f>
        <v/>
      </c>
      <c r="U332" s="30">
        <f>IF(OR($A332="",N($R332)&lt;=0),"",IF(NOT(ISNUMBER($O332)),'設定'!$B$22,IF($O332&gt;='設定'!$B$7,'設定'!$B$17,IF('設定'!$B$7-$O332&lt;='設定'!$B$12,'設定'!$B$18,IF('設定'!$B$7-$O332&lt;='設定'!$B$13,'設定'!$B$19,IF('設定'!$B$7-$O332&lt;='設定'!$B$14,'設定'!$B$20,'設定'!$B$21))))))</f>
        <v/>
      </c>
      <c r="V332" s="56" t="n"/>
      <c r="W332" s="32">
        <f>IF($C332="","",IFERROR(MATCH($C332,'得意先'!$B$5:$B$104,0),"なし"))</f>
        <v/>
      </c>
      <c r="X332" s="33">
        <f>IF($A332="","",IF(ISNUMBER($E332),$E332,IF(ISNUMBER($B332),$B332,"")))</f>
        <v/>
      </c>
      <c r="Y332" s="34">
        <f>IF($T332="","",$O332+ROW()/1000000)</f>
        <v/>
      </c>
      <c r="Z332" s="35">
        <f>IF(OR($A332="",$C332="",$C332&lt;&gt;'売掛帳'!$B$3,NOT(ISNUMBER($X332))),"",IF(AND($X332&gt;='売掛帳'!$Q$3,$X332&lt;='売掛帳'!$Q$4),$X332+ROW()/10000000,""))</f>
        <v/>
      </c>
    </row>
    <row r="333" ht="18" customHeight="1">
      <c r="A333" s="18" t="n"/>
      <c r="B333" s="26" t="n"/>
      <c r="C333" s="18" t="n"/>
      <c r="D333" s="20">
        <f>IF($W333="","",IF($W333="なし","※得意先にないコード",INDEX('得意先'!$C$5:$C$104,$W333)&amp;""))</f>
        <v/>
      </c>
      <c r="E333" s="26" t="n"/>
      <c r="F333" s="19" t="n"/>
      <c r="G333" s="27" t="n"/>
      <c r="H333" s="27" t="n"/>
      <c r="I333" s="27" t="n"/>
      <c r="J333" s="28">
        <f>IF($A333="","",IF('設定'!$B$10="四捨五入",ROUND(IF('設定'!$B$9="税込",N($G333)*10/110,N($G333)*10/100),0),IF('設定'!$B$10="切り上げ",ROUNDUP(IF('設定'!$B$9="税込",N($G333)*10/110,N($G333)*10/100),0),ROUNDDOWN(IF('設定'!$B$9="税込",N($G333)*10/110,N($G333)*10/100),0))))</f>
        <v/>
      </c>
      <c r="K333" s="28">
        <f>IF($A333="","",IF('設定'!$B$10="四捨五入",ROUND(IF('設定'!$B$9="税込",N($H333)*8/108,N($H333)*8/100),0),IF('設定'!$B$10="切り上げ",ROUNDUP(IF('設定'!$B$9="税込",N($H333)*8/108,N($H333)*8/100),0),ROUNDDOWN(IF('設定'!$B$9="税込",N($H333)*8/108,N($H333)*8/100),0))))</f>
        <v/>
      </c>
      <c r="L333" s="28">
        <f>IF($A333="","",N($G333)+N($H333)+N($I333)+IF('設定'!$B$9="税込",0,$J333+$K333))</f>
        <v/>
      </c>
      <c r="M333" s="29">
        <f>IF(OR($A333="",NOT(ISNUMBER($W333)),NOT(ISNUMBER($X333))),"",IF(OR(INDEX('得意先'!$D$5:$D$104,$W333)="",INDEX('得意先'!$E$5:$E$104,$W333)="",INDEX('得意先'!$F$5:$F$104,$W333)=""),"",IF(INDEX('得意先'!$F$5:$F$104,$W333)="末",DATE(YEAR($X333),(MONTH($X333)+IF(INDEX('得意先'!$D$5:$D$104,$W333)="末",0,IF(DAY($X333)&lt;=INDEX('得意先'!$D$5:$D$104,$W333),0,1))+N(INDEX('得意先'!$E$5:$E$104,$W333)))+1,0),DATE(YEAR($X333),(MONTH($X333)+IF(INDEX('得意先'!$D$5:$D$104,$W333)="末",0,IF(DAY($X333)&lt;=INDEX('得意先'!$D$5:$D$104,$W333),0,1))+N(INDEX('得意先'!$E$5:$E$104,$W333))),MIN(INDEX('得意先'!$F$5:$F$104,$W333),DAY(DATE(YEAR($X333),(MONTH($X333)+IF(INDEX('得意先'!$D$5:$D$104,$W333)="末",0,IF(DAY($X333)&lt;=INDEX('得意先'!$D$5:$D$104,$W333),0,1))+N(INDEX('得意先'!$E$5:$E$104,$W333)))+1,0)))))))</f>
        <v/>
      </c>
      <c r="N333" s="26" t="n"/>
      <c r="O333" s="29">
        <f>IF($A333="","",IF(ISNUMBER($N333),$N333,$M333))</f>
        <v/>
      </c>
      <c r="P333" s="28">
        <f>IF($A333="","",SUMIF('入金消込'!$F$5:$F$1004,$A333,'入金消込'!$G$5:$G$1004))</f>
        <v/>
      </c>
      <c r="Q333" s="28">
        <f>IF($A333="","",SUMIF('入金消込'!$F$5:$F$1004,$A333,'入金消込'!$H$5:$H$1004)+SUMIF('入金消込'!$F$5:$F$1004,$A333,'入金消込'!$I$5:$I$1004))</f>
        <v/>
      </c>
      <c r="R333" s="28">
        <f>IF($A333="","",$L333-$P333-$Q333)</f>
        <v/>
      </c>
      <c r="S333" s="30">
        <f>IF($A333="","",IF($R333=0,IF($L333=0,"請求額0","回収済"),IF($L333&lt;0,IF($R333&lt;0,"差し引き待ち","差し引きすぎ"),IF($R333&lt;0,"入金が多い",IF($P333+$Q333=0,"未入金","一部入金")))))</f>
        <v/>
      </c>
      <c r="T333" s="31">
        <f>IF(OR($A333="",N($R333)&lt;=0,NOT(ISNUMBER($O333))),"",IF($O333&lt;'設定'!$B$7,'設定'!$B$7-$O333,""))</f>
        <v/>
      </c>
      <c r="U333" s="30">
        <f>IF(OR($A333="",N($R333)&lt;=0),"",IF(NOT(ISNUMBER($O333)),'設定'!$B$22,IF($O333&gt;='設定'!$B$7,'設定'!$B$17,IF('設定'!$B$7-$O333&lt;='設定'!$B$12,'設定'!$B$18,IF('設定'!$B$7-$O333&lt;='設定'!$B$13,'設定'!$B$19,IF('設定'!$B$7-$O333&lt;='設定'!$B$14,'設定'!$B$20,'設定'!$B$21))))))</f>
        <v/>
      </c>
      <c r="V333" s="56" t="n"/>
      <c r="W333" s="32">
        <f>IF($C333="","",IFERROR(MATCH($C333,'得意先'!$B$5:$B$104,0),"なし"))</f>
        <v/>
      </c>
      <c r="X333" s="33">
        <f>IF($A333="","",IF(ISNUMBER($E333),$E333,IF(ISNUMBER($B333),$B333,"")))</f>
        <v/>
      </c>
      <c r="Y333" s="34">
        <f>IF($T333="","",$O333+ROW()/1000000)</f>
        <v/>
      </c>
      <c r="Z333" s="35">
        <f>IF(OR($A333="",$C333="",$C333&lt;&gt;'売掛帳'!$B$3,NOT(ISNUMBER($X333))),"",IF(AND($X333&gt;='売掛帳'!$Q$3,$X333&lt;='売掛帳'!$Q$4),$X333+ROW()/10000000,""))</f>
        <v/>
      </c>
    </row>
    <row r="334" ht="18" customHeight="1">
      <c r="A334" s="18" t="n"/>
      <c r="B334" s="26" t="n"/>
      <c r="C334" s="18" t="n"/>
      <c r="D334" s="20">
        <f>IF($W334="","",IF($W334="なし","※得意先にないコード",INDEX('得意先'!$C$5:$C$104,$W334)&amp;""))</f>
        <v/>
      </c>
      <c r="E334" s="26" t="n"/>
      <c r="F334" s="19" t="n"/>
      <c r="G334" s="27" t="n"/>
      <c r="H334" s="27" t="n"/>
      <c r="I334" s="27" t="n"/>
      <c r="J334" s="28">
        <f>IF($A334="","",IF('設定'!$B$10="四捨五入",ROUND(IF('設定'!$B$9="税込",N($G334)*10/110,N($G334)*10/100),0),IF('設定'!$B$10="切り上げ",ROUNDUP(IF('設定'!$B$9="税込",N($G334)*10/110,N($G334)*10/100),0),ROUNDDOWN(IF('設定'!$B$9="税込",N($G334)*10/110,N($G334)*10/100),0))))</f>
        <v/>
      </c>
      <c r="K334" s="28">
        <f>IF($A334="","",IF('設定'!$B$10="四捨五入",ROUND(IF('設定'!$B$9="税込",N($H334)*8/108,N($H334)*8/100),0),IF('設定'!$B$10="切り上げ",ROUNDUP(IF('設定'!$B$9="税込",N($H334)*8/108,N($H334)*8/100),0),ROUNDDOWN(IF('設定'!$B$9="税込",N($H334)*8/108,N($H334)*8/100),0))))</f>
        <v/>
      </c>
      <c r="L334" s="28">
        <f>IF($A334="","",N($G334)+N($H334)+N($I334)+IF('設定'!$B$9="税込",0,$J334+$K334))</f>
        <v/>
      </c>
      <c r="M334" s="29">
        <f>IF(OR($A334="",NOT(ISNUMBER($W334)),NOT(ISNUMBER($X334))),"",IF(OR(INDEX('得意先'!$D$5:$D$104,$W334)="",INDEX('得意先'!$E$5:$E$104,$W334)="",INDEX('得意先'!$F$5:$F$104,$W334)=""),"",IF(INDEX('得意先'!$F$5:$F$104,$W334)="末",DATE(YEAR($X334),(MONTH($X334)+IF(INDEX('得意先'!$D$5:$D$104,$W334)="末",0,IF(DAY($X334)&lt;=INDEX('得意先'!$D$5:$D$104,$W334),0,1))+N(INDEX('得意先'!$E$5:$E$104,$W334)))+1,0),DATE(YEAR($X334),(MONTH($X334)+IF(INDEX('得意先'!$D$5:$D$104,$W334)="末",0,IF(DAY($X334)&lt;=INDEX('得意先'!$D$5:$D$104,$W334),0,1))+N(INDEX('得意先'!$E$5:$E$104,$W334))),MIN(INDEX('得意先'!$F$5:$F$104,$W334),DAY(DATE(YEAR($X334),(MONTH($X334)+IF(INDEX('得意先'!$D$5:$D$104,$W334)="末",0,IF(DAY($X334)&lt;=INDEX('得意先'!$D$5:$D$104,$W334),0,1))+N(INDEX('得意先'!$E$5:$E$104,$W334)))+1,0)))))))</f>
        <v/>
      </c>
      <c r="N334" s="26" t="n"/>
      <c r="O334" s="29">
        <f>IF($A334="","",IF(ISNUMBER($N334),$N334,$M334))</f>
        <v/>
      </c>
      <c r="P334" s="28">
        <f>IF($A334="","",SUMIF('入金消込'!$F$5:$F$1004,$A334,'入金消込'!$G$5:$G$1004))</f>
        <v/>
      </c>
      <c r="Q334" s="28">
        <f>IF($A334="","",SUMIF('入金消込'!$F$5:$F$1004,$A334,'入金消込'!$H$5:$H$1004)+SUMIF('入金消込'!$F$5:$F$1004,$A334,'入金消込'!$I$5:$I$1004))</f>
        <v/>
      </c>
      <c r="R334" s="28">
        <f>IF($A334="","",$L334-$P334-$Q334)</f>
        <v/>
      </c>
      <c r="S334" s="30">
        <f>IF($A334="","",IF($R334=0,IF($L334=0,"請求額0","回収済"),IF($L334&lt;0,IF($R334&lt;0,"差し引き待ち","差し引きすぎ"),IF($R334&lt;0,"入金が多い",IF($P334+$Q334=0,"未入金","一部入金")))))</f>
        <v/>
      </c>
      <c r="T334" s="31">
        <f>IF(OR($A334="",N($R334)&lt;=0,NOT(ISNUMBER($O334))),"",IF($O334&lt;'設定'!$B$7,'設定'!$B$7-$O334,""))</f>
        <v/>
      </c>
      <c r="U334" s="30">
        <f>IF(OR($A334="",N($R334)&lt;=0),"",IF(NOT(ISNUMBER($O334)),'設定'!$B$22,IF($O334&gt;='設定'!$B$7,'設定'!$B$17,IF('設定'!$B$7-$O334&lt;='設定'!$B$12,'設定'!$B$18,IF('設定'!$B$7-$O334&lt;='設定'!$B$13,'設定'!$B$19,IF('設定'!$B$7-$O334&lt;='設定'!$B$14,'設定'!$B$20,'設定'!$B$21))))))</f>
        <v/>
      </c>
      <c r="V334" s="56" t="n"/>
      <c r="W334" s="32">
        <f>IF($C334="","",IFERROR(MATCH($C334,'得意先'!$B$5:$B$104,0),"なし"))</f>
        <v/>
      </c>
      <c r="X334" s="33">
        <f>IF($A334="","",IF(ISNUMBER($E334),$E334,IF(ISNUMBER($B334),$B334,"")))</f>
        <v/>
      </c>
      <c r="Y334" s="34">
        <f>IF($T334="","",$O334+ROW()/1000000)</f>
        <v/>
      </c>
      <c r="Z334" s="35">
        <f>IF(OR($A334="",$C334="",$C334&lt;&gt;'売掛帳'!$B$3,NOT(ISNUMBER($X334))),"",IF(AND($X334&gt;='売掛帳'!$Q$3,$X334&lt;='売掛帳'!$Q$4),$X334+ROW()/10000000,""))</f>
        <v/>
      </c>
    </row>
    <row r="335" ht="18" customHeight="1">
      <c r="A335" s="18" t="n"/>
      <c r="B335" s="26" t="n"/>
      <c r="C335" s="18" t="n"/>
      <c r="D335" s="20">
        <f>IF($W335="","",IF($W335="なし","※得意先にないコード",INDEX('得意先'!$C$5:$C$104,$W335)&amp;""))</f>
        <v/>
      </c>
      <c r="E335" s="26" t="n"/>
      <c r="F335" s="19" t="n"/>
      <c r="G335" s="27" t="n"/>
      <c r="H335" s="27" t="n"/>
      <c r="I335" s="27" t="n"/>
      <c r="J335" s="28">
        <f>IF($A335="","",IF('設定'!$B$10="四捨五入",ROUND(IF('設定'!$B$9="税込",N($G335)*10/110,N($G335)*10/100),0),IF('設定'!$B$10="切り上げ",ROUNDUP(IF('設定'!$B$9="税込",N($G335)*10/110,N($G335)*10/100),0),ROUNDDOWN(IF('設定'!$B$9="税込",N($G335)*10/110,N($G335)*10/100),0))))</f>
        <v/>
      </c>
      <c r="K335" s="28">
        <f>IF($A335="","",IF('設定'!$B$10="四捨五入",ROUND(IF('設定'!$B$9="税込",N($H335)*8/108,N($H335)*8/100),0),IF('設定'!$B$10="切り上げ",ROUNDUP(IF('設定'!$B$9="税込",N($H335)*8/108,N($H335)*8/100),0),ROUNDDOWN(IF('設定'!$B$9="税込",N($H335)*8/108,N($H335)*8/100),0))))</f>
        <v/>
      </c>
      <c r="L335" s="28">
        <f>IF($A335="","",N($G335)+N($H335)+N($I335)+IF('設定'!$B$9="税込",0,$J335+$K335))</f>
        <v/>
      </c>
      <c r="M335" s="29">
        <f>IF(OR($A335="",NOT(ISNUMBER($W335)),NOT(ISNUMBER($X335))),"",IF(OR(INDEX('得意先'!$D$5:$D$104,$W335)="",INDEX('得意先'!$E$5:$E$104,$W335)="",INDEX('得意先'!$F$5:$F$104,$W335)=""),"",IF(INDEX('得意先'!$F$5:$F$104,$W335)="末",DATE(YEAR($X335),(MONTH($X335)+IF(INDEX('得意先'!$D$5:$D$104,$W335)="末",0,IF(DAY($X335)&lt;=INDEX('得意先'!$D$5:$D$104,$W335),0,1))+N(INDEX('得意先'!$E$5:$E$104,$W335)))+1,0),DATE(YEAR($X335),(MONTH($X335)+IF(INDEX('得意先'!$D$5:$D$104,$W335)="末",0,IF(DAY($X335)&lt;=INDEX('得意先'!$D$5:$D$104,$W335),0,1))+N(INDEX('得意先'!$E$5:$E$104,$W335))),MIN(INDEX('得意先'!$F$5:$F$104,$W335),DAY(DATE(YEAR($X335),(MONTH($X335)+IF(INDEX('得意先'!$D$5:$D$104,$W335)="末",0,IF(DAY($X335)&lt;=INDEX('得意先'!$D$5:$D$104,$W335),0,1))+N(INDEX('得意先'!$E$5:$E$104,$W335)))+1,0)))))))</f>
        <v/>
      </c>
      <c r="N335" s="26" t="n"/>
      <c r="O335" s="29">
        <f>IF($A335="","",IF(ISNUMBER($N335),$N335,$M335))</f>
        <v/>
      </c>
      <c r="P335" s="28">
        <f>IF($A335="","",SUMIF('入金消込'!$F$5:$F$1004,$A335,'入金消込'!$G$5:$G$1004))</f>
        <v/>
      </c>
      <c r="Q335" s="28">
        <f>IF($A335="","",SUMIF('入金消込'!$F$5:$F$1004,$A335,'入金消込'!$H$5:$H$1004)+SUMIF('入金消込'!$F$5:$F$1004,$A335,'入金消込'!$I$5:$I$1004))</f>
        <v/>
      </c>
      <c r="R335" s="28">
        <f>IF($A335="","",$L335-$P335-$Q335)</f>
        <v/>
      </c>
      <c r="S335" s="30">
        <f>IF($A335="","",IF($R335=0,IF($L335=0,"請求額0","回収済"),IF($L335&lt;0,IF($R335&lt;0,"差し引き待ち","差し引きすぎ"),IF($R335&lt;0,"入金が多い",IF($P335+$Q335=0,"未入金","一部入金")))))</f>
        <v/>
      </c>
      <c r="T335" s="31">
        <f>IF(OR($A335="",N($R335)&lt;=0,NOT(ISNUMBER($O335))),"",IF($O335&lt;'設定'!$B$7,'設定'!$B$7-$O335,""))</f>
        <v/>
      </c>
      <c r="U335" s="30">
        <f>IF(OR($A335="",N($R335)&lt;=0),"",IF(NOT(ISNUMBER($O335)),'設定'!$B$22,IF($O335&gt;='設定'!$B$7,'設定'!$B$17,IF('設定'!$B$7-$O335&lt;='設定'!$B$12,'設定'!$B$18,IF('設定'!$B$7-$O335&lt;='設定'!$B$13,'設定'!$B$19,IF('設定'!$B$7-$O335&lt;='設定'!$B$14,'設定'!$B$20,'設定'!$B$21))))))</f>
        <v/>
      </c>
      <c r="V335" s="56" t="n"/>
      <c r="W335" s="32">
        <f>IF($C335="","",IFERROR(MATCH($C335,'得意先'!$B$5:$B$104,0),"なし"))</f>
        <v/>
      </c>
      <c r="X335" s="33">
        <f>IF($A335="","",IF(ISNUMBER($E335),$E335,IF(ISNUMBER($B335),$B335,"")))</f>
        <v/>
      </c>
      <c r="Y335" s="34">
        <f>IF($T335="","",$O335+ROW()/1000000)</f>
        <v/>
      </c>
      <c r="Z335" s="35">
        <f>IF(OR($A335="",$C335="",$C335&lt;&gt;'売掛帳'!$B$3,NOT(ISNUMBER($X335))),"",IF(AND($X335&gt;='売掛帳'!$Q$3,$X335&lt;='売掛帳'!$Q$4),$X335+ROW()/10000000,""))</f>
        <v/>
      </c>
    </row>
    <row r="336" ht="18" customHeight="1">
      <c r="A336" s="18" t="n"/>
      <c r="B336" s="26" t="n"/>
      <c r="C336" s="18" t="n"/>
      <c r="D336" s="20">
        <f>IF($W336="","",IF($W336="なし","※得意先にないコード",INDEX('得意先'!$C$5:$C$104,$W336)&amp;""))</f>
        <v/>
      </c>
      <c r="E336" s="26" t="n"/>
      <c r="F336" s="19" t="n"/>
      <c r="G336" s="27" t="n"/>
      <c r="H336" s="27" t="n"/>
      <c r="I336" s="27" t="n"/>
      <c r="J336" s="28">
        <f>IF($A336="","",IF('設定'!$B$10="四捨五入",ROUND(IF('設定'!$B$9="税込",N($G336)*10/110,N($G336)*10/100),0),IF('設定'!$B$10="切り上げ",ROUNDUP(IF('設定'!$B$9="税込",N($G336)*10/110,N($G336)*10/100),0),ROUNDDOWN(IF('設定'!$B$9="税込",N($G336)*10/110,N($G336)*10/100),0))))</f>
        <v/>
      </c>
      <c r="K336" s="28">
        <f>IF($A336="","",IF('設定'!$B$10="四捨五入",ROUND(IF('設定'!$B$9="税込",N($H336)*8/108,N($H336)*8/100),0),IF('設定'!$B$10="切り上げ",ROUNDUP(IF('設定'!$B$9="税込",N($H336)*8/108,N($H336)*8/100),0),ROUNDDOWN(IF('設定'!$B$9="税込",N($H336)*8/108,N($H336)*8/100),0))))</f>
        <v/>
      </c>
      <c r="L336" s="28">
        <f>IF($A336="","",N($G336)+N($H336)+N($I336)+IF('設定'!$B$9="税込",0,$J336+$K336))</f>
        <v/>
      </c>
      <c r="M336" s="29">
        <f>IF(OR($A336="",NOT(ISNUMBER($W336)),NOT(ISNUMBER($X336))),"",IF(OR(INDEX('得意先'!$D$5:$D$104,$W336)="",INDEX('得意先'!$E$5:$E$104,$W336)="",INDEX('得意先'!$F$5:$F$104,$W336)=""),"",IF(INDEX('得意先'!$F$5:$F$104,$W336)="末",DATE(YEAR($X336),(MONTH($X336)+IF(INDEX('得意先'!$D$5:$D$104,$W336)="末",0,IF(DAY($X336)&lt;=INDEX('得意先'!$D$5:$D$104,$W336),0,1))+N(INDEX('得意先'!$E$5:$E$104,$W336)))+1,0),DATE(YEAR($X336),(MONTH($X336)+IF(INDEX('得意先'!$D$5:$D$104,$W336)="末",0,IF(DAY($X336)&lt;=INDEX('得意先'!$D$5:$D$104,$W336),0,1))+N(INDEX('得意先'!$E$5:$E$104,$W336))),MIN(INDEX('得意先'!$F$5:$F$104,$W336),DAY(DATE(YEAR($X336),(MONTH($X336)+IF(INDEX('得意先'!$D$5:$D$104,$W336)="末",0,IF(DAY($X336)&lt;=INDEX('得意先'!$D$5:$D$104,$W336),0,1))+N(INDEX('得意先'!$E$5:$E$104,$W336)))+1,0)))))))</f>
        <v/>
      </c>
      <c r="N336" s="26" t="n"/>
      <c r="O336" s="29">
        <f>IF($A336="","",IF(ISNUMBER($N336),$N336,$M336))</f>
        <v/>
      </c>
      <c r="P336" s="28">
        <f>IF($A336="","",SUMIF('入金消込'!$F$5:$F$1004,$A336,'入金消込'!$G$5:$G$1004))</f>
        <v/>
      </c>
      <c r="Q336" s="28">
        <f>IF($A336="","",SUMIF('入金消込'!$F$5:$F$1004,$A336,'入金消込'!$H$5:$H$1004)+SUMIF('入金消込'!$F$5:$F$1004,$A336,'入金消込'!$I$5:$I$1004))</f>
        <v/>
      </c>
      <c r="R336" s="28">
        <f>IF($A336="","",$L336-$P336-$Q336)</f>
        <v/>
      </c>
      <c r="S336" s="30">
        <f>IF($A336="","",IF($R336=0,IF($L336=0,"請求額0","回収済"),IF($L336&lt;0,IF($R336&lt;0,"差し引き待ち","差し引きすぎ"),IF($R336&lt;0,"入金が多い",IF($P336+$Q336=0,"未入金","一部入金")))))</f>
        <v/>
      </c>
      <c r="T336" s="31">
        <f>IF(OR($A336="",N($R336)&lt;=0,NOT(ISNUMBER($O336))),"",IF($O336&lt;'設定'!$B$7,'設定'!$B$7-$O336,""))</f>
        <v/>
      </c>
      <c r="U336" s="30">
        <f>IF(OR($A336="",N($R336)&lt;=0),"",IF(NOT(ISNUMBER($O336)),'設定'!$B$22,IF($O336&gt;='設定'!$B$7,'設定'!$B$17,IF('設定'!$B$7-$O336&lt;='設定'!$B$12,'設定'!$B$18,IF('設定'!$B$7-$O336&lt;='設定'!$B$13,'設定'!$B$19,IF('設定'!$B$7-$O336&lt;='設定'!$B$14,'設定'!$B$20,'設定'!$B$21))))))</f>
        <v/>
      </c>
      <c r="V336" s="56" t="n"/>
      <c r="W336" s="32">
        <f>IF($C336="","",IFERROR(MATCH($C336,'得意先'!$B$5:$B$104,0),"なし"))</f>
        <v/>
      </c>
      <c r="X336" s="33">
        <f>IF($A336="","",IF(ISNUMBER($E336),$E336,IF(ISNUMBER($B336),$B336,"")))</f>
        <v/>
      </c>
      <c r="Y336" s="34">
        <f>IF($T336="","",$O336+ROW()/1000000)</f>
        <v/>
      </c>
      <c r="Z336" s="35">
        <f>IF(OR($A336="",$C336="",$C336&lt;&gt;'売掛帳'!$B$3,NOT(ISNUMBER($X336))),"",IF(AND($X336&gt;='売掛帳'!$Q$3,$X336&lt;='売掛帳'!$Q$4),$X336+ROW()/10000000,""))</f>
        <v/>
      </c>
    </row>
    <row r="337" ht="18" customHeight="1">
      <c r="A337" s="18" t="n"/>
      <c r="B337" s="26" t="n"/>
      <c r="C337" s="18" t="n"/>
      <c r="D337" s="20">
        <f>IF($W337="","",IF($W337="なし","※得意先にないコード",INDEX('得意先'!$C$5:$C$104,$W337)&amp;""))</f>
        <v/>
      </c>
      <c r="E337" s="26" t="n"/>
      <c r="F337" s="19" t="n"/>
      <c r="G337" s="27" t="n"/>
      <c r="H337" s="27" t="n"/>
      <c r="I337" s="27" t="n"/>
      <c r="J337" s="28">
        <f>IF($A337="","",IF('設定'!$B$10="四捨五入",ROUND(IF('設定'!$B$9="税込",N($G337)*10/110,N($G337)*10/100),0),IF('設定'!$B$10="切り上げ",ROUNDUP(IF('設定'!$B$9="税込",N($G337)*10/110,N($G337)*10/100),0),ROUNDDOWN(IF('設定'!$B$9="税込",N($G337)*10/110,N($G337)*10/100),0))))</f>
        <v/>
      </c>
      <c r="K337" s="28">
        <f>IF($A337="","",IF('設定'!$B$10="四捨五入",ROUND(IF('設定'!$B$9="税込",N($H337)*8/108,N($H337)*8/100),0),IF('設定'!$B$10="切り上げ",ROUNDUP(IF('設定'!$B$9="税込",N($H337)*8/108,N($H337)*8/100),0),ROUNDDOWN(IF('設定'!$B$9="税込",N($H337)*8/108,N($H337)*8/100),0))))</f>
        <v/>
      </c>
      <c r="L337" s="28">
        <f>IF($A337="","",N($G337)+N($H337)+N($I337)+IF('設定'!$B$9="税込",0,$J337+$K337))</f>
        <v/>
      </c>
      <c r="M337" s="29">
        <f>IF(OR($A337="",NOT(ISNUMBER($W337)),NOT(ISNUMBER($X337))),"",IF(OR(INDEX('得意先'!$D$5:$D$104,$W337)="",INDEX('得意先'!$E$5:$E$104,$W337)="",INDEX('得意先'!$F$5:$F$104,$W337)=""),"",IF(INDEX('得意先'!$F$5:$F$104,$W337)="末",DATE(YEAR($X337),(MONTH($X337)+IF(INDEX('得意先'!$D$5:$D$104,$W337)="末",0,IF(DAY($X337)&lt;=INDEX('得意先'!$D$5:$D$104,$W337),0,1))+N(INDEX('得意先'!$E$5:$E$104,$W337)))+1,0),DATE(YEAR($X337),(MONTH($X337)+IF(INDEX('得意先'!$D$5:$D$104,$W337)="末",0,IF(DAY($X337)&lt;=INDEX('得意先'!$D$5:$D$104,$W337),0,1))+N(INDEX('得意先'!$E$5:$E$104,$W337))),MIN(INDEX('得意先'!$F$5:$F$104,$W337),DAY(DATE(YEAR($X337),(MONTH($X337)+IF(INDEX('得意先'!$D$5:$D$104,$W337)="末",0,IF(DAY($X337)&lt;=INDEX('得意先'!$D$5:$D$104,$W337),0,1))+N(INDEX('得意先'!$E$5:$E$104,$W337)))+1,0)))))))</f>
        <v/>
      </c>
      <c r="N337" s="26" t="n"/>
      <c r="O337" s="29">
        <f>IF($A337="","",IF(ISNUMBER($N337),$N337,$M337))</f>
        <v/>
      </c>
      <c r="P337" s="28">
        <f>IF($A337="","",SUMIF('入金消込'!$F$5:$F$1004,$A337,'入金消込'!$G$5:$G$1004))</f>
        <v/>
      </c>
      <c r="Q337" s="28">
        <f>IF($A337="","",SUMIF('入金消込'!$F$5:$F$1004,$A337,'入金消込'!$H$5:$H$1004)+SUMIF('入金消込'!$F$5:$F$1004,$A337,'入金消込'!$I$5:$I$1004))</f>
        <v/>
      </c>
      <c r="R337" s="28">
        <f>IF($A337="","",$L337-$P337-$Q337)</f>
        <v/>
      </c>
      <c r="S337" s="30">
        <f>IF($A337="","",IF($R337=0,IF($L337=0,"請求額0","回収済"),IF($L337&lt;0,IF($R337&lt;0,"差し引き待ち","差し引きすぎ"),IF($R337&lt;0,"入金が多い",IF($P337+$Q337=0,"未入金","一部入金")))))</f>
        <v/>
      </c>
      <c r="T337" s="31">
        <f>IF(OR($A337="",N($R337)&lt;=0,NOT(ISNUMBER($O337))),"",IF($O337&lt;'設定'!$B$7,'設定'!$B$7-$O337,""))</f>
        <v/>
      </c>
      <c r="U337" s="30">
        <f>IF(OR($A337="",N($R337)&lt;=0),"",IF(NOT(ISNUMBER($O337)),'設定'!$B$22,IF($O337&gt;='設定'!$B$7,'設定'!$B$17,IF('設定'!$B$7-$O337&lt;='設定'!$B$12,'設定'!$B$18,IF('設定'!$B$7-$O337&lt;='設定'!$B$13,'設定'!$B$19,IF('設定'!$B$7-$O337&lt;='設定'!$B$14,'設定'!$B$20,'設定'!$B$21))))))</f>
        <v/>
      </c>
      <c r="V337" s="56" t="n"/>
      <c r="W337" s="32">
        <f>IF($C337="","",IFERROR(MATCH($C337,'得意先'!$B$5:$B$104,0),"なし"))</f>
        <v/>
      </c>
      <c r="X337" s="33">
        <f>IF($A337="","",IF(ISNUMBER($E337),$E337,IF(ISNUMBER($B337),$B337,"")))</f>
        <v/>
      </c>
      <c r="Y337" s="34">
        <f>IF($T337="","",$O337+ROW()/1000000)</f>
        <v/>
      </c>
      <c r="Z337" s="35">
        <f>IF(OR($A337="",$C337="",$C337&lt;&gt;'売掛帳'!$B$3,NOT(ISNUMBER($X337))),"",IF(AND($X337&gt;='売掛帳'!$Q$3,$X337&lt;='売掛帳'!$Q$4),$X337+ROW()/10000000,""))</f>
        <v/>
      </c>
    </row>
    <row r="338" ht="18" customHeight="1">
      <c r="A338" s="18" t="n"/>
      <c r="B338" s="26" t="n"/>
      <c r="C338" s="18" t="n"/>
      <c r="D338" s="20">
        <f>IF($W338="","",IF($W338="なし","※得意先にないコード",INDEX('得意先'!$C$5:$C$104,$W338)&amp;""))</f>
        <v/>
      </c>
      <c r="E338" s="26" t="n"/>
      <c r="F338" s="19" t="n"/>
      <c r="G338" s="27" t="n"/>
      <c r="H338" s="27" t="n"/>
      <c r="I338" s="27" t="n"/>
      <c r="J338" s="28">
        <f>IF($A338="","",IF('設定'!$B$10="四捨五入",ROUND(IF('設定'!$B$9="税込",N($G338)*10/110,N($G338)*10/100),0),IF('設定'!$B$10="切り上げ",ROUNDUP(IF('設定'!$B$9="税込",N($G338)*10/110,N($G338)*10/100),0),ROUNDDOWN(IF('設定'!$B$9="税込",N($G338)*10/110,N($G338)*10/100),0))))</f>
        <v/>
      </c>
      <c r="K338" s="28">
        <f>IF($A338="","",IF('設定'!$B$10="四捨五入",ROUND(IF('設定'!$B$9="税込",N($H338)*8/108,N($H338)*8/100),0),IF('設定'!$B$10="切り上げ",ROUNDUP(IF('設定'!$B$9="税込",N($H338)*8/108,N($H338)*8/100),0),ROUNDDOWN(IF('設定'!$B$9="税込",N($H338)*8/108,N($H338)*8/100),0))))</f>
        <v/>
      </c>
      <c r="L338" s="28">
        <f>IF($A338="","",N($G338)+N($H338)+N($I338)+IF('設定'!$B$9="税込",0,$J338+$K338))</f>
        <v/>
      </c>
      <c r="M338" s="29">
        <f>IF(OR($A338="",NOT(ISNUMBER($W338)),NOT(ISNUMBER($X338))),"",IF(OR(INDEX('得意先'!$D$5:$D$104,$W338)="",INDEX('得意先'!$E$5:$E$104,$W338)="",INDEX('得意先'!$F$5:$F$104,$W338)=""),"",IF(INDEX('得意先'!$F$5:$F$104,$W338)="末",DATE(YEAR($X338),(MONTH($X338)+IF(INDEX('得意先'!$D$5:$D$104,$W338)="末",0,IF(DAY($X338)&lt;=INDEX('得意先'!$D$5:$D$104,$W338),0,1))+N(INDEX('得意先'!$E$5:$E$104,$W338)))+1,0),DATE(YEAR($X338),(MONTH($X338)+IF(INDEX('得意先'!$D$5:$D$104,$W338)="末",0,IF(DAY($X338)&lt;=INDEX('得意先'!$D$5:$D$104,$W338),0,1))+N(INDEX('得意先'!$E$5:$E$104,$W338))),MIN(INDEX('得意先'!$F$5:$F$104,$W338),DAY(DATE(YEAR($X338),(MONTH($X338)+IF(INDEX('得意先'!$D$5:$D$104,$W338)="末",0,IF(DAY($X338)&lt;=INDEX('得意先'!$D$5:$D$104,$W338),0,1))+N(INDEX('得意先'!$E$5:$E$104,$W338)))+1,0)))))))</f>
        <v/>
      </c>
      <c r="N338" s="26" t="n"/>
      <c r="O338" s="29">
        <f>IF($A338="","",IF(ISNUMBER($N338),$N338,$M338))</f>
        <v/>
      </c>
      <c r="P338" s="28">
        <f>IF($A338="","",SUMIF('入金消込'!$F$5:$F$1004,$A338,'入金消込'!$G$5:$G$1004))</f>
        <v/>
      </c>
      <c r="Q338" s="28">
        <f>IF($A338="","",SUMIF('入金消込'!$F$5:$F$1004,$A338,'入金消込'!$H$5:$H$1004)+SUMIF('入金消込'!$F$5:$F$1004,$A338,'入金消込'!$I$5:$I$1004))</f>
        <v/>
      </c>
      <c r="R338" s="28">
        <f>IF($A338="","",$L338-$P338-$Q338)</f>
        <v/>
      </c>
      <c r="S338" s="30">
        <f>IF($A338="","",IF($R338=0,IF($L338=0,"請求額0","回収済"),IF($L338&lt;0,IF($R338&lt;0,"差し引き待ち","差し引きすぎ"),IF($R338&lt;0,"入金が多い",IF($P338+$Q338=0,"未入金","一部入金")))))</f>
        <v/>
      </c>
      <c r="T338" s="31">
        <f>IF(OR($A338="",N($R338)&lt;=0,NOT(ISNUMBER($O338))),"",IF($O338&lt;'設定'!$B$7,'設定'!$B$7-$O338,""))</f>
        <v/>
      </c>
      <c r="U338" s="30">
        <f>IF(OR($A338="",N($R338)&lt;=0),"",IF(NOT(ISNUMBER($O338)),'設定'!$B$22,IF($O338&gt;='設定'!$B$7,'設定'!$B$17,IF('設定'!$B$7-$O338&lt;='設定'!$B$12,'設定'!$B$18,IF('設定'!$B$7-$O338&lt;='設定'!$B$13,'設定'!$B$19,IF('設定'!$B$7-$O338&lt;='設定'!$B$14,'設定'!$B$20,'設定'!$B$21))))))</f>
        <v/>
      </c>
      <c r="V338" s="56" t="n"/>
      <c r="W338" s="32">
        <f>IF($C338="","",IFERROR(MATCH($C338,'得意先'!$B$5:$B$104,0),"なし"))</f>
        <v/>
      </c>
      <c r="X338" s="33">
        <f>IF($A338="","",IF(ISNUMBER($E338),$E338,IF(ISNUMBER($B338),$B338,"")))</f>
        <v/>
      </c>
      <c r="Y338" s="34">
        <f>IF($T338="","",$O338+ROW()/1000000)</f>
        <v/>
      </c>
      <c r="Z338" s="35">
        <f>IF(OR($A338="",$C338="",$C338&lt;&gt;'売掛帳'!$B$3,NOT(ISNUMBER($X338))),"",IF(AND($X338&gt;='売掛帳'!$Q$3,$X338&lt;='売掛帳'!$Q$4),$X338+ROW()/10000000,""))</f>
        <v/>
      </c>
    </row>
    <row r="339" ht="18" customHeight="1">
      <c r="A339" s="18" t="n"/>
      <c r="B339" s="26" t="n"/>
      <c r="C339" s="18" t="n"/>
      <c r="D339" s="20">
        <f>IF($W339="","",IF($W339="なし","※得意先にないコード",INDEX('得意先'!$C$5:$C$104,$W339)&amp;""))</f>
        <v/>
      </c>
      <c r="E339" s="26" t="n"/>
      <c r="F339" s="19" t="n"/>
      <c r="G339" s="27" t="n"/>
      <c r="H339" s="27" t="n"/>
      <c r="I339" s="27" t="n"/>
      <c r="J339" s="28">
        <f>IF($A339="","",IF('設定'!$B$10="四捨五入",ROUND(IF('設定'!$B$9="税込",N($G339)*10/110,N($G339)*10/100),0),IF('設定'!$B$10="切り上げ",ROUNDUP(IF('設定'!$B$9="税込",N($G339)*10/110,N($G339)*10/100),0),ROUNDDOWN(IF('設定'!$B$9="税込",N($G339)*10/110,N($G339)*10/100),0))))</f>
        <v/>
      </c>
      <c r="K339" s="28">
        <f>IF($A339="","",IF('設定'!$B$10="四捨五入",ROUND(IF('設定'!$B$9="税込",N($H339)*8/108,N($H339)*8/100),0),IF('設定'!$B$10="切り上げ",ROUNDUP(IF('設定'!$B$9="税込",N($H339)*8/108,N($H339)*8/100),0),ROUNDDOWN(IF('設定'!$B$9="税込",N($H339)*8/108,N($H339)*8/100),0))))</f>
        <v/>
      </c>
      <c r="L339" s="28">
        <f>IF($A339="","",N($G339)+N($H339)+N($I339)+IF('設定'!$B$9="税込",0,$J339+$K339))</f>
        <v/>
      </c>
      <c r="M339" s="29">
        <f>IF(OR($A339="",NOT(ISNUMBER($W339)),NOT(ISNUMBER($X339))),"",IF(OR(INDEX('得意先'!$D$5:$D$104,$W339)="",INDEX('得意先'!$E$5:$E$104,$W339)="",INDEX('得意先'!$F$5:$F$104,$W339)=""),"",IF(INDEX('得意先'!$F$5:$F$104,$W339)="末",DATE(YEAR($X339),(MONTH($X339)+IF(INDEX('得意先'!$D$5:$D$104,$W339)="末",0,IF(DAY($X339)&lt;=INDEX('得意先'!$D$5:$D$104,$W339),0,1))+N(INDEX('得意先'!$E$5:$E$104,$W339)))+1,0),DATE(YEAR($X339),(MONTH($X339)+IF(INDEX('得意先'!$D$5:$D$104,$W339)="末",0,IF(DAY($X339)&lt;=INDEX('得意先'!$D$5:$D$104,$W339),0,1))+N(INDEX('得意先'!$E$5:$E$104,$W339))),MIN(INDEX('得意先'!$F$5:$F$104,$W339),DAY(DATE(YEAR($X339),(MONTH($X339)+IF(INDEX('得意先'!$D$5:$D$104,$W339)="末",0,IF(DAY($X339)&lt;=INDEX('得意先'!$D$5:$D$104,$W339),0,1))+N(INDEX('得意先'!$E$5:$E$104,$W339)))+1,0)))))))</f>
        <v/>
      </c>
      <c r="N339" s="26" t="n"/>
      <c r="O339" s="29">
        <f>IF($A339="","",IF(ISNUMBER($N339),$N339,$M339))</f>
        <v/>
      </c>
      <c r="P339" s="28">
        <f>IF($A339="","",SUMIF('入金消込'!$F$5:$F$1004,$A339,'入金消込'!$G$5:$G$1004))</f>
        <v/>
      </c>
      <c r="Q339" s="28">
        <f>IF($A339="","",SUMIF('入金消込'!$F$5:$F$1004,$A339,'入金消込'!$H$5:$H$1004)+SUMIF('入金消込'!$F$5:$F$1004,$A339,'入金消込'!$I$5:$I$1004))</f>
        <v/>
      </c>
      <c r="R339" s="28">
        <f>IF($A339="","",$L339-$P339-$Q339)</f>
        <v/>
      </c>
      <c r="S339" s="30">
        <f>IF($A339="","",IF($R339=0,IF($L339=0,"請求額0","回収済"),IF($L339&lt;0,IF($R339&lt;0,"差し引き待ち","差し引きすぎ"),IF($R339&lt;0,"入金が多い",IF($P339+$Q339=0,"未入金","一部入金")))))</f>
        <v/>
      </c>
      <c r="T339" s="31">
        <f>IF(OR($A339="",N($R339)&lt;=0,NOT(ISNUMBER($O339))),"",IF($O339&lt;'設定'!$B$7,'設定'!$B$7-$O339,""))</f>
        <v/>
      </c>
      <c r="U339" s="30">
        <f>IF(OR($A339="",N($R339)&lt;=0),"",IF(NOT(ISNUMBER($O339)),'設定'!$B$22,IF($O339&gt;='設定'!$B$7,'設定'!$B$17,IF('設定'!$B$7-$O339&lt;='設定'!$B$12,'設定'!$B$18,IF('設定'!$B$7-$O339&lt;='設定'!$B$13,'設定'!$B$19,IF('設定'!$B$7-$O339&lt;='設定'!$B$14,'設定'!$B$20,'設定'!$B$21))))))</f>
        <v/>
      </c>
      <c r="V339" s="56" t="n"/>
      <c r="W339" s="32">
        <f>IF($C339="","",IFERROR(MATCH($C339,'得意先'!$B$5:$B$104,0),"なし"))</f>
        <v/>
      </c>
      <c r="X339" s="33">
        <f>IF($A339="","",IF(ISNUMBER($E339),$E339,IF(ISNUMBER($B339),$B339,"")))</f>
        <v/>
      </c>
      <c r="Y339" s="34">
        <f>IF($T339="","",$O339+ROW()/1000000)</f>
        <v/>
      </c>
      <c r="Z339" s="35">
        <f>IF(OR($A339="",$C339="",$C339&lt;&gt;'売掛帳'!$B$3,NOT(ISNUMBER($X339))),"",IF(AND($X339&gt;='売掛帳'!$Q$3,$X339&lt;='売掛帳'!$Q$4),$X339+ROW()/10000000,""))</f>
        <v/>
      </c>
    </row>
    <row r="340" ht="18" customHeight="1">
      <c r="A340" s="18" t="n"/>
      <c r="B340" s="26" t="n"/>
      <c r="C340" s="18" t="n"/>
      <c r="D340" s="20">
        <f>IF($W340="","",IF($W340="なし","※得意先にないコード",INDEX('得意先'!$C$5:$C$104,$W340)&amp;""))</f>
        <v/>
      </c>
      <c r="E340" s="26" t="n"/>
      <c r="F340" s="19" t="n"/>
      <c r="G340" s="27" t="n"/>
      <c r="H340" s="27" t="n"/>
      <c r="I340" s="27" t="n"/>
      <c r="J340" s="28">
        <f>IF($A340="","",IF('設定'!$B$10="四捨五入",ROUND(IF('設定'!$B$9="税込",N($G340)*10/110,N($G340)*10/100),0),IF('設定'!$B$10="切り上げ",ROUNDUP(IF('設定'!$B$9="税込",N($G340)*10/110,N($G340)*10/100),0),ROUNDDOWN(IF('設定'!$B$9="税込",N($G340)*10/110,N($G340)*10/100),0))))</f>
        <v/>
      </c>
      <c r="K340" s="28">
        <f>IF($A340="","",IF('設定'!$B$10="四捨五入",ROUND(IF('設定'!$B$9="税込",N($H340)*8/108,N($H340)*8/100),0),IF('設定'!$B$10="切り上げ",ROUNDUP(IF('設定'!$B$9="税込",N($H340)*8/108,N($H340)*8/100),0),ROUNDDOWN(IF('設定'!$B$9="税込",N($H340)*8/108,N($H340)*8/100),0))))</f>
        <v/>
      </c>
      <c r="L340" s="28">
        <f>IF($A340="","",N($G340)+N($H340)+N($I340)+IF('設定'!$B$9="税込",0,$J340+$K340))</f>
        <v/>
      </c>
      <c r="M340" s="29">
        <f>IF(OR($A340="",NOT(ISNUMBER($W340)),NOT(ISNUMBER($X340))),"",IF(OR(INDEX('得意先'!$D$5:$D$104,$W340)="",INDEX('得意先'!$E$5:$E$104,$W340)="",INDEX('得意先'!$F$5:$F$104,$W340)=""),"",IF(INDEX('得意先'!$F$5:$F$104,$W340)="末",DATE(YEAR($X340),(MONTH($X340)+IF(INDEX('得意先'!$D$5:$D$104,$W340)="末",0,IF(DAY($X340)&lt;=INDEX('得意先'!$D$5:$D$104,$W340),0,1))+N(INDEX('得意先'!$E$5:$E$104,$W340)))+1,0),DATE(YEAR($X340),(MONTH($X340)+IF(INDEX('得意先'!$D$5:$D$104,$W340)="末",0,IF(DAY($X340)&lt;=INDEX('得意先'!$D$5:$D$104,$W340),0,1))+N(INDEX('得意先'!$E$5:$E$104,$W340))),MIN(INDEX('得意先'!$F$5:$F$104,$W340),DAY(DATE(YEAR($X340),(MONTH($X340)+IF(INDEX('得意先'!$D$5:$D$104,$W340)="末",0,IF(DAY($X340)&lt;=INDEX('得意先'!$D$5:$D$104,$W340),0,1))+N(INDEX('得意先'!$E$5:$E$104,$W340)))+1,0)))))))</f>
        <v/>
      </c>
      <c r="N340" s="26" t="n"/>
      <c r="O340" s="29">
        <f>IF($A340="","",IF(ISNUMBER($N340),$N340,$M340))</f>
        <v/>
      </c>
      <c r="P340" s="28">
        <f>IF($A340="","",SUMIF('入金消込'!$F$5:$F$1004,$A340,'入金消込'!$G$5:$G$1004))</f>
        <v/>
      </c>
      <c r="Q340" s="28">
        <f>IF($A340="","",SUMIF('入金消込'!$F$5:$F$1004,$A340,'入金消込'!$H$5:$H$1004)+SUMIF('入金消込'!$F$5:$F$1004,$A340,'入金消込'!$I$5:$I$1004))</f>
        <v/>
      </c>
      <c r="R340" s="28">
        <f>IF($A340="","",$L340-$P340-$Q340)</f>
        <v/>
      </c>
      <c r="S340" s="30">
        <f>IF($A340="","",IF($R340=0,IF($L340=0,"請求額0","回収済"),IF($L340&lt;0,IF($R340&lt;0,"差し引き待ち","差し引きすぎ"),IF($R340&lt;0,"入金が多い",IF($P340+$Q340=0,"未入金","一部入金")))))</f>
        <v/>
      </c>
      <c r="T340" s="31">
        <f>IF(OR($A340="",N($R340)&lt;=0,NOT(ISNUMBER($O340))),"",IF($O340&lt;'設定'!$B$7,'設定'!$B$7-$O340,""))</f>
        <v/>
      </c>
      <c r="U340" s="30">
        <f>IF(OR($A340="",N($R340)&lt;=0),"",IF(NOT(ISNUMBER($O340)),'設定'!$B$22,IF($O340&gt;='設定'!$B$7,'設定'!$B$17,IF('設定'!$B$7-$O340&lt;='設定'!$B$12,'設定'!$B$18,IF('設定'!$B$7-$O340&lt;='設定'!$B$13,'設定'!$B$19,IF('設定'!$B$7-$O340&lt;='設定'!$B$14,'設定'!$B$20,'設定'!$B$21))))))</f>
        <v/>
      </c>
      <c r="V340" s="56" t="n"/>
      <c r="W340" s="32">
        <f>IF($C340="","",IFERROR(MATCH($C340,'得意先'!$B$5:$B$104,0),"なし"))</f>
        <v/>
      </c>
      <c r="X340" s="33">
        <f>IF($A340="","",IF(ISNUMBER($E340),$E340,IF(ISNUMBER($B340),$B340,"")))</f>
        <v/>
      </c>
      <c r="Y340" s="34">
        <f>IF($T340="","",$O340+ROW()/1000000)</f>
        <v/>
      </c>
      <c r="Z340" s="35">
        <f>IF(OR($A340="",$C340="",$C340&lt;&gt;'売掛帳'!$B$3,NOT(ISNUMBER($X340))),"",IF(AND($X340&gt;='売掛帳'!$Q$3,$X340&lt;='売掛帳'!$Q$4),$X340+ROW()/10000000,""))</f>
        <v/>
      </c>
    </row>
    <row r="341" ht="18" customHeight="1">
      <c r="A341" s="18" t="n"/>
      <c r="B341" s="26" t="n"/>
      <c r="C341" s="18" t="n"/>
      <c r="D341" s="20">
        <f>IF($W341="","",IF($W341="なし","※得意先にないコード",INDEX('得意先'!$C$5:$C$104,$W341)&amp;""))</f>
        <v/>
      </c>
      <c r="E341" s="26" t="n"/>
      <c r="F341" s="19" t="n"/>
      <c r="G341" s="27" t="n"/>
      <c r="H341" s="27" t="n"/>
      <c r="I341" s="27" t="n"/>
      <c r="J341" s="28">
        <f>IF($A341="","",IF('設定'!$B$10="四捨五入",ROUND(IF('設定'!$B$9="税込",N($G341)*10/110,N($G341)*10/100),0),IF('設定'!$B$10="切り上げ",ROUNDUP(IF('設定'!$B$9="税込",N($G341)*10/110,N($G341)*10/100),0),ROUNDDOWN(IF('設定'!$B$9="税込",N($G341)*10/110,N($G341)*10/100),0))))</f>
        <v/>
      </c>
      <c r="K341" s="28">
        <f>IF($A341="","",IF('設定'!$B$10="四捨五入",ROUND(IF('設定'!$B$9="税込",N($H341)*8/108,N($H341)*8/100),0),IF('設定'!$B$10="切り上げ",ROUNDUP(IF('設定'!$B$9="税込",N($H341)*8/108,N($H341)*8/100),0),ROUNDDOWN(IF('設定'!$B$9="税込",N($H341)*8/108,N($H341)*8/100),0))))</f>
        <v/>
      </c>
      <c r="L341" s="28">
        <f>IF($A341="","",N($G341)+N($H341)+N($I341)+IF('設定'!$B$9="税込",0,$J341+$K341))</f>
        <v/>
      </c>
      <c r="M341" s="29">
        <f>IF(OR($A341="",NOT(ISNUMBER($W341)),NOT(ISNUMBER($X341))),"",IF(OR(INDEX('得意先'!$D$5:$D$104,$W341)="",INDEX('得意先'!$E$5:$E$104,$W341)="",INDEX('得意先'!$F$5:$F$104,$W341)=""),"",IF(INDEX('得意先'!$F$5:$F$104,$W341)="末",DATE(YEAR($X341),(MONTH($X341)+IF(INDEX('得意先'!$D$5:$D$104,$W341)="末",0,IF(DAY($X341)&lt;=INDEX('得意先'!$D$5:$D$104,$W341),0,1))+N(INDEX('得意先'!$E$5:$E$104,$W341)))+1,0),DATE(YEAR($X341),(MONTH($X341)+IF(INDEX('得意先'!$D$5:$D$104,$W341)="末",0,IF(DAY($X341)&lt;=INDEX('得意先'!$D$5:$D$104,$W341),0,1))+N(INDEX('得意先'!$E$5:$E$104,$W341))),MIN(INDEX('得意先'!$F$5:$F$104,$W341),DAY(DATE(YEAR($X341),(MONTH($X341)+IF(INDEX('得意先'!$D$5:$D$104,$W341)="末",0,IF(DAY($X341)&lt;=INDEX('得意先'!$D$5:$D$104,$W341),0,1))+N(INDEX('得意先'!$E$5:$E$104,$W341)))+1,0)))))))</f>
        <v/>
      </c>
      <c r="N341" s="26" t="n"/>
      <c r="O341" s="29">
        <f>IF($A341="","",IF(ISNUMBER($N341),$N341,$M341))</f>
        <v/>
      </c>
      <c r="P341" s="28">
        <f>IF($A341="","",SUMIF('入金消込'!$F$5:$F$1004,$A341,'入金消込'!$G$5:$G$1004))</f>
        <v/>
      </c>
      <c r="Q341" s="28">
        <f>IF($A341="","",SUMIF('入金消込'!$F$5:$F$1004,$A341,'入金消込'!$H$5:$H$1004)+SUMIF('入金消込'!$F$5:$F$1004,$A341,'入金消込'!$I$5:$I$1004))</f>
        <v/>
      </c>
      <c r="R341" s="28">
        <f>IF($A341="","",$L341-$P341-$Q341)</f>
        <v/>
      </c>
      <c r="S341" s="30">
        <f>IF($A341="","",IF($R341=0,IF($L341=0,"請求額0","回収済"),IF($L341&lt;0,IF($R341&lt;0,"差し引き待ち","差し引きすぎ"),IF($R341&lt;0,"入金が多い",IF($P341+$Q341=0,"未入金","一部入金")))))</f>
        <v/>
      </c>
      <c r="T341" s="31">
        <f>IF(OR($A341="",N($R341)&lt;=0,NOT(ISNUMBER($O341))),"",IF($O341&lt;'設定'!$B$7,'設定'!$B$7-$O341,""))</f>
        <v/>
      </c>
      <c r="U341" s="30">
        <f>IF(OR($A341="",N($R341)&lt;=0),"",IF(NOT(ISNUMBER($O341)),'設定'!$B$22,IF($O341&gt;='設定'!$B$7,'設定'!$B$17,IF('設定'!$B$7-$O341&lt;='設定'!$B$12,'設定'!$B$18,IF('設定'!$B$7-$O341&lt;='設定'!$B$13,'設定'!$B$19,IF('設定'!$B$7-$O341&lt;='設定'!$B$14,'設定'!$B$20,'設定'!$B$21))))))</f>
        <v/>
      </c>
      <c r="V341" s="56" t="n"/>
      <c r="W341" s="32">
        <f>IF($C341="","",IFERROR(MATCH($C341,'得意先'!$B$5:$B$104,0),"なし"))</f>
        <v/>
      </c>
      <c r="X341" s="33">
        <f>IF($A341="","",IF(ISNUMBER($E341),$E341,IF(ISNUMBER($B341),$B341,"")))</f>
        <v/>
      </c>
      <c r="Y341" s="34">
        <f>IF($T341="","",$O341+ROW()/1000000)</f>
        <v/>
      </c>
      <c r="Z341" s="35">
        <f>IF(OR($A341="",$C341="",$C341&lt;&gt;'売掛帳'!$B$3,NOT(ISNUMBER($X341))),"",IF(AND($X341&gt;='売掛帳'!$Q$3,$X341&lt;='売掛帳'!$Q$4),$X341+ROW()/10000000,""))</f>
        <v/>
      </c>
    </row>
    <row r="342" ht="18" customHeight="1">
      <c r="A342" s="18" t="n"/>
      <c r="B342" s="26" t="n"/>
      <c r="C342" s="18" t="n"/>
      <c r="D342" s="20">
        <f>IF($W342="","",IF($W342="なし","※得意先にないコード",INDEX('得意先'!$C$5:$C$104,$W342)&amp;""))</f>
        <v/>
      </c>
      <c r="E342" s="26" t="n"/>
      <c r="F342" s="19" t="n"/>
      <c r="G342" s="27" t="n"/>
      <c r="H342" s="27" t="n"/>
      <c r="I342" s="27" t="n"/>
      <c r="J342" s="28">
        <f>IF($A342="","",IF('設定'!$B$10="四捨五入",ROUND(IF('設定'!$B$9="税込",N($G342)*10/110,N($G342)*10/100),0),IF('設定'!$B$10="切り上げ",ROUNDUP(IF('設定'!$B$9="税込",N($G342)*10/110,N($G342)*10/100),0),ROUNDDOWN(IF('設定'!$B$9="税込",N($G342)*10/110,N($G342)*10/100),0))))</f>
        <v/>
      </c>
      <c r="K342" s="28">
        <f>IF($A342="","",IF('設定'!$B$10="四捨五入",ROUND(IF('設定'!$B$9="税込",N($H342)*8/108,N($H342)*8/100),0),IF('設定'!$B$10="切り上げ",ROUNDUP(IF('設定'!$B$9="税込",N($H342)*8/108,N($H342)*8/100),0),ROUNDDOWN(IF('設定'!$B$9="税込",N($H342)*8/108,N($H342)*8/100),0))))</f>
        <v/>
      </c>
      <c r="L342" s="28">
        <f>IF($A342="","",N($G342)+N($H342)+N($I342)+IF('設定'!$B$9="税込",0,$J342+$K342))</f>
        <v/>
      </c>
      <c r="M342" s="29">
        <f>IF(OR($A342="",NOT(ISNUMBER($W342)),NOT(ISNUMBER($X342))),"",IF(OR(INDEX('得意先'!$D$5:$D$104,$W342)="",INDEX('得意先'!$E$5:$E$104,$W342)="",INDEX('得意先'!$F$5:$F$104,$W342)=""),"",IF(INDEX('得意先'!$F$5:$F$104,$W342)="末",DATE(YEAR($X342),(MONTH($X342)+IF(INDEX('得意先'!$D$5:$D$104,$W342)="末",0,IF(DAY($X342)&lt;=INDEX('得意先'!$D$5:$D$104,$W342),0,1))+N(INDEX('得意先'!$E$5:$E$104,$W342)))+1,0),DATE(YEAR($X342),(MONTH($X342)+IF(INDEX('得意先'!$D$5:$D$104,$W342)="末",0,IF(DAY($X342)&lt;=INDEX('得意先'!$D$5:$D$104,$W342),0,1))+N(INDEX('得意先'!$E$5:$E$104,$W342))),MIN(INDEX('得意先'!$F$5:$F$104,$W342),DAY(DATE(YEAR($X342),(MONTH($X342)+IF(INDEX('得意先'!$D$5:$D$104,$W342)="末",0,IF(DAY($X342)&lt;=INDEX('得意先'!$D$5:$D$104,$W342),0,1))+N(INDEX('得意先'!$E$5:$E$104,$W342)))+1,0)))))))</f>
        <v/>
      </c>
      <c r="N342" s="26" t="n"/>
      <c r="O342" s="29">
        <f>IF($A342="","",IF(ISNUMBER($N342),$N342,$M342))</f>
        <v/>
      </c>
      <c r="P342" s="28">
        <f>IF($A342="","",SUMIF('入金消込'!$F$5:$F$1004,$A342,'入金消込'!$G$5:$G$1004))</f>
        <v/>
      </c>
      <c r="Q342" s="28">
        <f>IF($A342="","",SUMIF('入金消込'!$F$5:$F$1004,$A342,'入金消込'!$H$5:$H$1004)+SUMIF('入金消込'!$F$5:$F$1004,$A342,'入金消込'!$I$5:$I$1004))</f>
        <v/>
      </c>
      <c r="R342" s="28">
        <f>IF($A342="","",$L342-$P342-$Q342)</f>
        <v/>
      </c>
      <c r="S342" s="30">
        <f>IF($A342="","",IF($R342=0,IF($L342=0,"請求額0","回収済"),IF($L342&lt;0,IF($R342&lt;0,"差し引き待ち","差し引きすぎ"),IF($R342&lt;0,"入金が多い",IF($P342+$Q342=0,"未入金","一部入金")))))</f>
        <v/>
      </c>
      <c r="T342" s="31">
        <f>IF(OR($A342="",N($R342)&lt;=0,NOT(ISNUMBER($O342))),"",IF($O342&lt;'設定'!$B$7,'設定'!$B$7-$O342,""))</f>
        <v/>
      </c>
      <c r="U342" s="30">
        <f>IF(OR($A342="",N($R342)&lt;=0),"",IF(NOT(ISNUMBER($O342)),'設定'!$B$22,IF($O342&gt;='設定'!$B$7,'設定'!$B$17,IF('設定'!$B$7-$O342&lt;='設定'!$B$12,'設定'!$B$18,IF('設定'!$B$7-$O342&lt;='設定'!$B$13,'設定'!$B$19,IF('設定'!$B$7-$O342&lt;='設定'!$B$14,'設定'!$B$20,'設定'!$B$21))))))</f>
        <v/>
      </c>
      <c r="V342" s="56" t="n"/>
      <c r="W342" s="32">
        <f>IF($C342="","",IFERROR(MATCH($C342,'得意先'!$B$5:$B$104,0),"なし"))</f>
        <v/>
      </c>
      <c r="X342" s="33">
        <f>IF($A342="","",IF(ISNUMBER($E342),$E342,IF(ISNUMBER($B342),$B342,"")))</f>
        <v/>
      </c>
      <c r="Y342" s="34">
        <f>IF($T342="","",$O342+ROW()/1000000)</f>
        <v/>
      </c>
      <c r="Z342" s="35">
        <f>IF(OR($A342="",$C342="",$C342&lt;&gt;'売掛帳'!$B$3,NOT(ISNUMBER($X342))),"",IF(AND($X342&gt;='売掛帳'!$Q$3,$X342&lt;='売掛帳'!$Q$4),$X342+ROW()/10000000,""))</f>
        <v/>
      </c>
    </row>
    <row r="343" ht="18" customHeight="1">
      <c r="A343" s="18" t="n"/>
      <c r="B343" s="26" t="n"/>
      <c r="C343" s="18" t="n"/>
      <c r="D343" s="20">
        <f>IF($W343="","",IF($W343="なし","※得意先にないコード",INDEX('得意先'!$C$5:$C$104,$W343)&amp;""))</f>
        <v/>
      </c>
      <c r="E343" s="26" t="n"/>
      <c r="F343" s="19" t="n"/>
      <c r="G343" s="27" t="n"/>
      <c r="H343" s="27" t="n"/>
      <c r="I343" s="27" t="n"/>
      <c r="J343" s="28">
        <f>IF($A343="","",IF('設定'!$B$10="四捨五入",ROUND(IF('設定'!$B$9="税込",N($G343)*10/110,N($G343)*10/100),0),IF('設定'!$B$10="切り上げ",ROUNDUP(IF('設定'!$B$9="税込",N($G343)*10/110,N($G343)*10/100),0),ROUNDDOWN(IF('設定'!$B$9="税込",N($G343)*10/110,N($G343)*10/100),0))))</f>
        <v/>
      </c>
      <c r="K343" s="28">
        <f>IF($A343="","",IF('設定'!$B$10="四捨五入",ROUND(IF('設定'!$B$9="税込",N($H343)*8/108,N($H343)*8/100),0),IF('設定'!$B$10="切り上げ",ROUNDUP(IF('設定'!$B$9="税込",N($H343)*8/108,N($H343)*8/100),0),ROUNDDOWN(IF('設定'!$B$9="税込",N($H343)*8/108,N($H343)*8/100),0))))</f>
        <v/>
      </c>
      <c r="L343" s="28">
        <f>IF($A343="","",N($G343)+N($H343)+N($I343)+IF('設定'!$B$9="税込",0,$J343+$K343))</f>
        <v/>
      </c>
      <c r="M343" s="29">
        <f>IF(OR($A343="",NOT(ISNUMBER($W343)),NOT(ISNUMBER($X343))),"",IF(OR(INDEX('得意先'!$D$5:$D$104,$W343)="",INDEX('得意先'!$E$5:$E$104,$W343)="",INDEX('得意先'!$F$5:$F$104,$W343)=""),"",IF(INDEX('得意先'!$F$5:$F$104,$W343)="末",DATE(YEAR($X343),(MONTH($X343)+IF(INDEX('得意先'!$D$5:$D$104,$W343)="末",0,IF(DAY($X343)&lt;=INDEX('得意先'!$D$5:$D$104,$W343),0,1))+N(INDEX('得意先'!$E$5:$E$104,$W343)))+1,0),DATE(YEAR($X343),(MONTH($X343)+IF(INDEX('得意先'!$D$5:$D$104,$W343)="末",0,IF(DAY($X343)&lt;=INDEX('得意先'!$D$5:$D$104,$W343),0,1))+N(INDEX('得意先'!$E$5:$E$104,$W343))),MIN(INDEX('得意先'!$F$5:$F$104,$W343),DAY(DATE(YEAR($X343),(MONTH($X343)+IF(INDEX('得意先'!$D$5:$D$104,$W343)="末",0,IF(DAY($X343)&lt;=INDEX('得意先'!$D$5:$D$104,$W343),0,1))+N(INDEX('得意先'!$E$5:$E$104,$W343)))+1,0)))))))</f>
        <v/>
      </c>
      <c r="N343" s="26" t="n"/>
      <c r="O343" s="29">
        <f>IF($A343="","",IF(ISNUMBER($N343),$N343,$M343))</f>
        <v/>
      </c>
      <c r="P343" s="28">
        <f>IF($A343="","",SUMIF('入金消込'!$F$5:$F$1004,$A343,'入金消込'!$G$5:$G$1004))</f>
        <v/>
      </c>
      <c r="Q343" s="28">
        <f>IF($A343="","",SUMIF('入金消込'!$F$5:$F$1004,$A343,'入金消込'!$H$5:$H$1004)+SUMIF('入金消込'!$F$5:$F$1004,$A343,'入金消込'!$I$5:$I$1004))</f>
        <v/>
      </c>
      <c r="R343" s="28">
        <f>IF($A343="","",$L343-$P343-$Q343)</f>
        <v/>
      </c>
      <c r="S343" s="30">
        <f>IF($A343="","",IF($R343=0,IF($L343=0,"請求額0","回収済"),IF($L343&lt;0,IF($R343&lt;0,"差し引き待ち","差し引きすぎ"),IF($R343&lt;0,"入金が多い",IF($P343+$Q343=0,"未入金","一部入金")))))</f>
        <v/>
      </c>
      <c r="T343" s="31">
        <f>IF(OR($A343="",N($R343)&lt;=0,NOT(ISNUMBER($O343))),"",IF($O343&lt;'設定'!$B$7,'設定'!$B$7-$O343,""))</f>
        <v/>
      </c>
      <c r="U343" s="30">
        <f>IF(OR($A343="",N($R343)&lt;=0),"",IF(NOT(ISNUMBER($O343)),'設定'!$B$22,IF($O343&gt;='設定'!$B$7,'設定'!$B$17,IF('設定'!$B$7-$O343&lt;='設定'!$B$12,'設定'!$B$18,IF('設定'!$B$7-$O343&lt;='設定'!$B$13,'設定'!$B$19,IF('設定'!$B$7-$O343&lt;='設定'!$B$14,'設定'!$B$20,'設定'!$B$21))))))</f>
        <v/>
      </c>
      <c r="V343" s="56" t="n"/>
      <c r="W343" s="32">
        <f>IF($C343="","",IFERROR(MATCH($C343,'得意先'!$B$5:$B$104,0),"なし"))</f>
        <v/>
      </c>
      <c r="X343" s="33">
        <f>IF($A343="","",IF(ISNUMBER($E343),$E343,IF(ISNUMBER($B343),$B343,"")))</f>
        <v/>
      </c>
      <c r="Y343" s="34">
        <f>IF($T343="","",$O343+ROW()/1000000)</f>
        <v/>
      </c>
      <c r="Z343" s="35">
        <f>IF(OR($A343="",$C343="",$C343&lt;&gt;'売掛帳'!$B$3,NOT(ISNUMBER($X343))),"",IF(AND($X343&gt;='売掛帳'!$Q$3,$X343&lt;='売掛帳'!$Q$4),$X343+ROW()/10000000,""))</f>
        <v/>
      </c>
    </row>
    <row r="344" ht="18" customHeight="1">
      <c r="A344" s="18" t="n"/>
      <c r="B344" s="26" t="n"/>
      <c r="C344" s="18" t="n"/>
      <c r="D344" s="20">
        <f>IF($W344="","",IF($W344="なし","※得意先にないコード",INDEX('得意先'!$C$5:$C$104,$W344)&amp;""))</f>
        <v/>
      </c>
      <c r="E344" s="26" t="n"/>
      <c r="F344" s="19" t="n"/>
      <c r="G344" s="27" t="n"/>
      <c r="H344" s="27" t="n"/>
      <c r="I344" s="27" t="n"/>
      <c r="J344" s="28">
        <f>IF($A344="","",IF('設定'!$B$10="四捨五入",ROUND(IF('設定'!$B$9="税込",N($G344)*10/110,N($G344)*10/100),0),IF('設定'!$B$10="切り上げ",ROUNDUP(IF('設定'!$B$9="税込",N($G344)*10/110,N($G344)*10/100),0),ROUNDDOWN(IF('設定'!$B$9="税込",N($G344)*10/110,N($G344)*10/100),0))))</f>
        <v/>
      </c>
      <c r="K344" s="28">
        <f>IF($A344="","",IF('設定'!$B$10="四捨五入",ROUND(IF('設定'!$B$9="税込",N($H344)*8/108,N($H344)*8/100),0),IF('設定'!$B$10="切り上げ",ROUNDUP(IF('設定'!$B$9="税込",N($H344)*8/108,N($H344)*8/100),0),ROUNDDOWN(IF('設定'!$B$9="税込",N($H344)*8/108,N($H344)*8/100),0))))</f>
        <v/>
      </c>
      <c r="L344" s="28">
        <f>IF($A344="","",N($G344)+N($H344)+N($I344)+IF('設定'!$B$9="税込",0,$J344+$K344))</f>
        <v/>
      </c>
      <c r="M344" s="29">
        <f>IF(OR($A344="",NOT(ISNUMBER($W344)),NOT(ISNUMBER($X344))),"",IF(OR(INDEX('得意先'!$D$5:$D$104,$W344)="",INDEX('得意先'!$E$5:$E$104,$W344)="",INDEX('得意先'!$F$5:$F$104,$W344)=""),"",IF(INDEX('得意先'!$F$5:$F$104,$W344)="末",DATE(YEAR($X344),(MONTH($X344)+IF(INDEX('得意先'!$D$5:$D$104,$W344)="末",0,IF(DAY($X344)&lt;=INDEX('得意先'!$D$5:$D$104,$W344),0,1))+N(INDEX('得意先'!$E$5:$E$104,$W344)))+1,0),DATE(YEAR($X344),(MONTH($X344)+IF(INDEX('得意先'!$D$5:$D$104,$W344)="末",0,IF(DAY($X344)&lt;=INDEX('得意先'!$D$5:$D$104,$W344),0,1))+N(INDEX('得意先'!$E$5:$E$104,$W344))),MIN(INDEX('得意先'!$F$5:$F$104,$W344),DAY(DATE(YEAR($X344),(MONTH($X344)+IF(INDEX('得意先'!$D$5:$D$104,$W344)="末",0,IF(DAY($X344)&lt;=INDEX('得意先'!$D$5:$D$104,$W344),0,1))+N(INDEX('得意先'!$E$5:$E$104,$W344)))+1,0)))))))</f>
        <v/>
      </c>
      <c r="N344" s="26" t="n"/>
      <c r="O344" s="29">
        <f>IF($A344="","",IF(ISNUMBER($N344),$N344,$M344))</f>
        <v/>
      </c>
      <c r="P344" s="28">
        <f>IF($A344="","",SUMIF('入金消込'!$F$5:$F$1004,$A344,'入金消込'!$G$5:$G$1004))</f>
        <v/>
      </c>
      <c r="Q344" s="28">
        <f>IF($A344="","",SUMIF('入金消込'!$F$5:$F$1004,$A344,'入金消込'!$H$5:$H$1004)+SUMIF('入金消込'!$F$5:$F$1004,$A344,'入金消込'!$I$5:$I$1004))</f>
        <v/>
      </c>
      <c r="R344" s="28">
        <f>IF($A344="","",$L344-$P344-$Q344)</f>
        <v/>
      </c>
      <c r="S344" s="30">
        <f>IF($A344="","",IF($R344=0,IF($L344=0,"請求額0","回収済"),IF($L344&lt;0,IF($R344&lt;0,"差し引き待ち","差し引きすぎ"),IF($R344&lt;0,"入金が多い",IF($P344+$Q344=0,"未入金","一部入金")))))</f>
        <v/>
      </c>
      <c r="T344" s="31">
        <f>IF(OR($A344="",N($R344)&lt;=0,NOT(ISNUMBER($O344))),"",IF($O344&lt;'設定'!$B$7,'設定'!$B$7-$O344,""))</f>
        <v/>
      </c>
      <c r="U344" s="30">
        <f>IF(OR($A344="",N($R344)&lt;=0),"",IF(NOT(ISNUMBER($O344)),'設定'!$B$22,IF($O344&gt;='設定'!$B$7,'設定'!$B$17,IF('設定'!$B$7-$O344&lt;='設定'!$B$12,'設定'!$B$18,IF('設定'!$B$7-$O344&lt;='設定'!$B$13,'設定'!$B$19,IF('設定'!$B$7-$O344&lt;='設定'!$B$14,'設定'!$B$20,'設定'!$B$21))))))</f>
        <v/>
      </c>
      <c r="V344" s="56" t="n"/>
      <c r="W344" s="32">
        <f>IF($C344="","",IFERROR(MATCH($C344,'得意先'!$B$5:$B$104,0),"なし"))</f>
        <v/>
      </c>
      <c r="X344" s="33">
        <f>IF($A344="","",IF(ISNUMBER($E344),$E344,IF(ISNUMBER($B344),$B344,"")))</f>
        <v/>
      </c>
      <c r="Y344" s="34">
        <f>IF($T344="","",$O344+ROW()/1000000)</f>
        <v/>
      </c>
      <c r="Z344" s="35">
        <f>IF(OR($A344="",$C344="",$C344&lt;&gt;'売掛帳'!$B$3,NOT(ISNUMBER($X344))),"",IF(AND($X344&gt;='売掛帳'!$Q$3,$X344&lt;='売掛帳'!$Q$4),$X344+ROW()/10000000,""))</f>
        <v/>
      </c>
    </row>
    <row r="345" ht="18" customHeight="1">
      <c r="A345" s="18" t="n"/>
      <c r="B345" s="26" t="n"/>
      <c r="C345" s="18" t="n"/>
      <c r="D345" s="20">
        <f>IF($W345="","",IF($W345="なし","※得意先にないコード",INDEX('得意先'!$C$5:$C$104,$W345)&amp;""))</f>
        <v/>
      </c>
      <c r="E345" s="26" t="n"/>
      <c r="F345" s="19" t="n"/>
      <c r="G345" s="27" t="n"/>
      <c r="H345" s="27" t="n"/>
      <c r="I345" s="27" t="n"/>
      <c r="J345" s="28">
        <f>IF($A345="","",IF('設定'!$B$10="四捨五入",ROUND(IF('設定'!$B$9="税込",N($G345)*10/110,N($G345)*10/100),0),IF('設定'!$B$10="切り上げ",ROUNDUP(IF('設定'!$B$9="税込",N($G345)*10/110,N($G345)*10/100),0),ROUNDDOWN(IF('設定'!$B$9="税込",N($G345)*10/110,N($G345)*10/100),0))))</f>
        <v/>
      </c>
      <c r="K345" s="28">
        <f>IF($A345="","",IF('設定'!$B$10="四捨五入",ROUND(IF('設定'!$B$9="税込",N($H345)*8/108,N($H345)*8/100),0),IF('設定'!$B$10="切り上げ",ROUNDUP(IF('設定'!$B$9="税込",N($H345)*8/108,N($H345)*8/100),0),ROUNDDOWN(IF('設定'!$B$9="税込",N($H345)*8/108,N($H345)*8/100),0))))</f>
        <v/>
      </c>
      <c r="L345" s="28">
        <f>IF($A345="","",N($G345)+N($H345)+N($I345)+IF('設定'!$B$9="税込",0,$J345+$K345))</f>
        <v/>
      </c>
      <c r="M345" s="29">
        <f>IF(OR($A345="",NOT(ISNUMBER($W345)),NOT(ISNUMBER($X345))),"",IF(OR(INDEX('得意先'!$D$5:$D$104,$W345)="",INDEX('得意先'!$E$5:$E$104,$W345)="",INDEX('得意先'!$F$5:$F$104,$W345)=""),"",IF(INDEX('得意先'!$F$5:$F$104,$W345)="末",DATE(YEAR($X345),(MONTH($X345)+IF(INDEX('得意先'!$D$5:$D$104,$W345)="末",0,IF(DAY($X345)&lt;=INDEX('得意先'!$D$5:$D$104,$W345),0,1))+N(INDEX('得意先'!$E$5:$E$104,$W345)))+1,0),DATE(YEAR($X345),(MONTH($X345)+IF(INDEX('得意先'!$D$5:$D$104,$W345)="末",0,IF(DAY($X345)&lt;=INDEX('得意先'!$D$5:$D$104,$W345),0,1))+N(INDEX('得意先'!$E$5:$E$104,$W345))),MIN(INDEX('得意先'!$F$5:$F$104,$W345),DAY(DATE(YEAR($X345),(MONTH($X345)+IF(INDEX('得意先'!$D$5:$D$104,$W345)="末",0,IF(DAY($X345)&lt;=INDEX('得意先'!$D$5:$D$104,$W345),0,1))+N(INDEX('得意先'!$E$5:$E$104,$W345)))+1,0)))))))</f>
        <v/>
      </c>
      <c r="N345" s="26" t="n"/>
      <c r="O345" s="29">
        <f>IF($A345="","",IF(ISNUMBER($N345),$N345,$M345))</f>
        <v/>
      </c>
      <c r="P345" s="28">
        <f>IF($A345="","",SUMIF('入金消込'!$F$5:$F$1004,$A345,'入金消込'!$G$5:$G$1004))</f>
        <v/>
      </c>
      <c r="Q345" s="28">
        <f>IF($A345="","",SUMIF('入金消込'!$F$5:$F$1004,$A345,'入金消込'!$H$5:$H$1004)+SUMIF('入金消込'!$F$5:$F$1004,$A345,'入金消込'!$I$5:$I$1004))</f>
        <v/>
      </c>
      <c r="R345" s="28">
        <f>IF($A345="","",$L345-$P345-$Q345)</f>
        <v/>
      </c>
      <c r="S345" s="30">
        <f>IF($A345="","",IF($R345=0,IF($L345=0,"請求額0","回収済"),IF($L345&lt;0,IF($R345&lt;0,"差し引き待ち","差し引きすぎ"),IF($R345&lt;0,"入金が多い",IF($P345+$Q345=0,"未入金","一部入金")))))</f>
        <v/>
      </c>
      <c r="T345" s="31">
        <f>IF(OR($A345="",N($R345)&lt;=0,NOT(ISNUMBER($O345))),"",IF($O345&lt;'設定'!$B$7,'設定'!$B$7-$O345,""))</f>
        <v/>
      </c>
      <c r="U345" s="30">
        <f>IF(OR($A345="",N($R345)&lt;=0),"",IF(NOT(ISNUMBER($O345)),'設定'!$B$22,IF($O345&gt;='設定'!$B$7,'設定'!$B$17,IF('設定'!$B$7-$O345&lt;='設定'!$B$12,'設定'!$B$18,IF('設定'!$B$7-$O345&lt;='設定'!$B$13,'設定'!$B$19,IF('設定'!$B$7-$O345&lt;='設定'!$B$14,'設定'!$B$20,'設定'!$B$21))))))</f>
        <v/>
      </c>
      <c r="V345" s="56" t="n"/>
      <c r="W345" s="32">
        <f>IF($C345="","",IFERROR(MATCH($C345,'得意先'!$B$5:$B$104,0),"なし"))</f>
        <v/>
      </c>
      <c r="X345" s="33">
        <f>IF($A345="","",IF(ISNUMBER($E345),$E345,IF(ISNUMBER($B345),$B345,"")))</f>
        <v/>
      </c>
      <c r="Y345" s="34">
        <f>IF($T345="","",$O345+ROW()/1000000)</f>
        <v/>
      </c>
      <c r="Z345" s="35">
        <f>IF(OR($A345="",$C345="",$C345&lt;&gt;'売掛帳'!$B$3,NOT(ISNUMBER($X345))),"",IF(AND($X345&gt;='売掛帳'!$Q$3,$X345&lt;='売掛帳'!$Q$4),$X345+ROW()/10000000,""))</f>
        <v/>
      </c>
    </row>
    <row r="346" ht="18" customHeight="1">
      <c r="A346" s="18" t="n"/>
      <c r="B346" s="26" t="n"/>
      <c r="C346" s="18" t="n"/>
      <c r="D346" s="20">
        <f>IF($W346="","",IF($W346="なし","※得意先にないコード",INDEX('得意先'!$C$5:$C$104,$W346)&amp;""))</f>
        <v/>
      </c>
      <c r="E346" s="26" t="n"/>
      <c r="F346" s="19" t="n"/>
      <c r="G346" s="27" t="n"/>
      <c r="H346" s="27" t="n"/>
      <c r="I346" s="27" t="n"/>
      <c r="J346" s="28">
        <f>IF($A346="","",IF('設定'!$B$10="四捨五入",ROUND(IF('設定'!$B$9="税込",N($G346)*10/110,N($G346)*10/100),0),IF('設定'!$B$10="切り上げ",ROUNDUP(IF('設定'!$B$9="税込",N($G346)*10/110,N($G346)*10/100),0),ROUNDDOWN(IF('設定'!$B$9="税込",N($G346)*10/110,N($G346)*10/100),0))))</f>
        <v/>
      </c>
      <c r="K346" s="28">
        <f>IF($A346="","",IF('設定'!$B$10="四捨五入",ROUND(IF('設定'!$B$9="税込",N($H346)*8/108,N($H346)*8/100),0),IF('設定'!$B$10="切り上げ",ROUNDUP(IF('設定'!$B$9="税込",N($H346)*8/108,N($H346)*8/100),0),ROUNDDOWN(IF('設定'!$B$9="税込",N($H346)*8/108,N($H346)*8/100),0))))</f>
        <v/>
      </c>
      <c r="L346" s="28">
        <f>IF($A346="","",N($G346)+N($H346)+N($I346)+IF('設定'!$B$9="税込",0,$J346+$K346))</f>
        <v/>
      </c>
      <c r="M346" s="29">
        <f>IF(OR($A346="",NOT(ISNUMBER($W346)),NOT(ISNUMBER($X346))),"",IF(OR(INDEX('得意先'!$D$5:$D$104,$W346)="",INDEX('得意先'!$E$5:$E$104,$W346)="",INDEX('得意先'!$F$5:$F$104,$W346)=""),"",IF(INDEX('得意先'!$F$5:$F$104,$W346)="末",DATE(YEAR($X346),(MONTH($X346)+IF(INDEX('得意先'!$D$5:$D$104,$W346)="末",0,IF(DAY($X346)&lt;=INDEX('得意先'!$D$5:$D$104,$W346),0,1))+N(INDEX('得意先'!$E$5:$E$104,$W346)))+1,0),DATE(YEAR($X346),(MONTH($X346)+IF(INDEX('得意先'!$D$5:$D$104,$W346)="末",0,IF(DAY($X346)&lt;=INDEX('得意先'!$D$5:$D$104,$W346),0,1))+N(INDEX('得意先'!$E$5:$E$104,$W346))),MIN(INDEX('得意先'!$F$5:$F$104,$W346),DAY(DATE(YEAR($X346),(MONTH($X346)+IF(INDEX('得意先'!$D$5:$D$104,$W346)="末",0,IF(DAY($X346)&lt;=INDEX('得意先'!$D$5:$D$104,$W346),0,1))+N(INDEX('得意先'!$E$5:$E$104,$W346)))+1,0)))))))</f>
        <v/>
      </c>
      <c r="N346" s="26" t="n"/>
      <c r="O346" s="29">
        <f>IF($A346="","",IF(ISNUMBER($N346),$N346,$M346))</f>
        <v/>
      </c>
      <c r="P346" s="28">
        <f>IF($A346="","",SUMIF('入金消込'!$F$5:$F$1004,$A346,'入金消込'!$G$5:$G$1004))</f>
        <v/>
      </c>
      <c r="Q346" s="28">
        <f>IF($A346="","",SUMIF('入金消込'!$F$5:$F$1004,$A346,'入金消込'!$H$5:$H$1004)+SUMIF('入金消込'!$F$5:$F$1004,$A346,'入金消込'!$I$5:$I$1004))</f>
        <v/>
      </c>
      <c r="R346" s="28">
        <f>IF($A346="","",$L346-$P346-$Q346)</f>
        <v/>
      </c>
      <c r="S346" s="30">
        <f>IF($A346="","",IF($R346=0,IF($L346=0,"請求額0","回収済"),IF($L346&lt;0,IF($R346&lt;0,"差し引き待ち","差し引きすぎ"),IF($R346&lt;0,"入金が多い",IF($P346+$Q346=0,"未入金","一部入金")))))</f>
        <v/>
      </c>
      <c r="T346" s="31">
        <f>IF(OR($A346="",N($R346)&lt;=0,NOT(ISNUMBER($O346))),"",IF($O346&lt;'設定'!$B$7,'設定'!$B$7-$O346,""))</f>
        <v/>
      </c>
      <c r="U346" s="30">
        <f>IF(OR($A346="",N($R346)&lt;=0),"",IF(NOT(ISNUMBER($O346)),'設定'!$B$22,IF($O346&gt;='設定'!$B$7,'設定'!$B$17,IF('設定'!$B$7-$O346&lt;='設定'!$B$12,'設定'!$B$18,IF('設定'!$B$7-$O346&lt;='設定'!$B$13,'設定'!$B$19,IF('設定'!$B$7-$O346&lt;='設定'!$B$14,'設定'!$B$20,'設定'!$B$21))))))</f>
        <v/>
      </c>
      <c r="V346" s="56" t="n"/>
      <c r="W346" s="32">
        <f>IF($C346="","",IFERROR(MATCH($C346,'得意先'!$B$5:$B$104,0),"なし"))</f>
        <v/>
      </c>
      <c r="X346" s="33">
        <f>IF($A346="","",IF(ISNUMBER($E346),$E346,IF(ISNUMBER($B346),$B346,"")))</f>
        <v/>
      </c>
      <c r="Y346" s="34">
        <f>IF($T346="","",$O346+ROW()/1000000)</f>
        <v/>
      </c>
      <c r="Z346" s="35">
        <f>IF(OR($A346="",$C346="",$C346&lt;&gt;'売掛帳'!$B$3,NOT(ISNUMBER($X346))),"",IF(AND($X346&gt;='売掛帳'!$Q$3,$X346&lt;='売掛帳'!$Q$4),$X346+ROW()/10000000,""))</f>
        <v/>
      </c>
    </row>
    <row r="347" ht="18" customHeight="1">
      <c r="A347" s="18" t="n"/>
      <c r="B347" s="26" t="n"/>
      <c r="C347" s="18" t="n"/>
      <c r="D347" s="20">
        <f>IF($W347="","",IF($W347="なし","※得意先にないコード",INDEX('得意先'!$C$5:$C$104,$W347)&amp;""))</f>
        <v/>
      </c>
      <c r="E347" s="26" t="n"/>
      <c r="F347" s="19" t="n"/>
      <c r="G347" s="27" t="n"/>
      <c r="H347" s="27" t="n"/>
      <c r="I347" s="27" t="n"/>
      <c r="J347" s="28">
        <f>IF($A347="","",IF('設定'!$B$10="四捨五入",ROUND(IF('設定'!$B$9="税込",N($G347)*10/110,N($G347)*10/100),0),IF('設定'!$B$10="切り上げ",ROUNDUP(IF('設定'!$B$9="税込",N($G347)*10/110,N($G347)*10/100),0),ROUNDDOWN(IF('設定'!$B$9="税込",N($G347)*10/110,N($G347)*10/100),0))))</f>
        <v/>
      </c>
      <c r="K347" s="28">
        <f>IF($A347="","",IF('設定'!$B$10="四捨五入",ROUND(IF('設定'!$B$9="税込",N($H347)*8/108,N($H347)*8/100),0),IF('設定'!$B$10="切り上げ",ROUNDUP(IF('設定'!$B$9="税込",N($H347)*8/108,N($H347)*8/100),0),ROUNDDOWN(IF('設定'!$B$9="税込",N($H347)*8/108,N($H347)*8/100),0))))</f>
        <v/>
      </c>
      <c r="L347" s="28">
        <f>IF($A347="","",N($G347)+N($H347)+N($I347)+IF('設定'!$B$9="税込",0,$J347+$K347))</f>
        <v/>
      </c>
      <c r="M347" s="29">
        <f>IF(OR($A347="",NOT(ISNUMBER($W347)),NOT(ISNUMBER($X347))),"",IF(OR(INDEX('得意先'!$D$5:$D$104,$W347)="",INDEX('得意先'!$E$5:$E$104,$W347)="",INDEX('得意先'!$F$5:$F$104,$W347)=""),"",IF(INDEX('得意先'!$F$5:$F$104,$W347)="末",DATE(YEAR($X347),(MONTH($X347)+IF(INDEX('得意先'!$D$5:$D$104,$W347)="末",0,IF(DAY($X347)&lt;=INDEX('得意先'!$D$5:$D$104,$W347),0,1))+N(INDEX('得意先'!$E$5:$E$104,$W347)))+1,0),DATE(YEAR($X347),(MONTH($X347)+IF(INDEX('得意先'!$D$5:$D$104,$W347)="末",0,IF(DAY($X347)&lt;=INDEX('得意先'!$D$5:$D$104,$W347),0,1))+N(INDEX('得意先'!$E$5:$E$104,$W347))),MIN(INDEX('得意先'!$F$5:$F$104,$W347),DAY(DATE(YEAR($X347),(MONTH($X347)+IF(INDEX('得意先'!$D$5:$D$104,$W347)="末",0,IF(DAY($X347)&lt;=INDEX('得意先'!$D$5:$D$104,$W347),0,1))+N(INDEX('得意先'!$E$5:$E$104,$W347)))+1,0)))))))</f>
        <v/>
      </c>
      <c r="N347" s="26" t="n"/>
      <c r="O347" s="29">
        <f>IF($A347="","",IF(ISNUMBER($N347),$N347,$M347))</f>
        <v/>
      </c>
      <c r="P347" s="28">
        <f>IF($A347="","",SUMIF('入金消込'!$F$5:$F$1004,$A347,'入金消込'!$G$5:$G$1004))</f>
        <v/>
      </c>
      <c r="Q347" s="28">
        <f>IF($A347="","",SUMIF('入金消込'!$F$5:$F$1004,$A347,'入金消込'!$H$5:$H$1004)+SUMIF('入金消込'!$F$5:$F$1004,$A347,'入金消込'!$I$5:$I$1004))</f>
        <v/>
      </c>
      <c r="R347" s="28">
        <f>IF($A347="","",$L347-$P347-$Q347)</f>
        <v/>
      </c>
      <c r="S347" s="30">
        <f>IF($A347="","",IF($R347=0,IF($L347=0,"請求額0","回収済"),IF($L347&lt;0,IF($R347&lt;0,"差し引き待ち","差し引きすぎ"),IF($R347&lt;0,"入金が多い",IF($P347+$Q347=0,"未入金","一部入金")))))</f>
        <v/>
      </c>
      <c r="T347" s="31">
        <f>IF(OR($A347="",N($R347)&lt;=0,NOT(ISNUMBER($O347))),"",IF($O347&lt;'設定'!$B$7,'設定'!$B$7-$O347,""))</f>
        <v/>
      </c>
      <c r="U347" s="30">
        <f>IF(OR($A347="",N($R347)&lt;=0),"",IF(NOT(ISNUMBER($O347)),'設定'!$B$22,IF($O347&gt;='設定'!$B$7,'設定'!$B$17,IF('設定'!$B$7-$O347&lt;='設定'!$B$12,'設定'!$B$18,IF('設定'!$B$7-$O347&lt;='設定'!$B$13,'設定'!$B$19,IF('設定'!$B$7-$O347&lt;='設定'!$B$14,'設定'!$B$20,'設定'!$B$21))))))</f>
        <v/>
      </c>
      <c r="V347" s="56" t="n"/>
      <c r="W347" s="32">
        <f>IF($C347="","",IFERROR(MATCH($C347,'得意先'!$B$5:$B$104,0),"なし"))</f>
        <v/>
      </c>
      <c r="X347" s="33">
        <f>IF($A347="","",IF(ISNUMBER($E347),$E347,IF(ISNUMBER($B347),$B347,"")))</f>
        <v/>
      </c>
      <c r="Y347" s="34">
        <f>IF($T347="","",$O347+ROW()/1000000)</f>
        <v/>
      </c>
      <c r="Z347" s="35">
        <f>IF(OR($A347="",$C347="",$C347&lt;&gt;'売掛帳'!$B$3,NOT(ISNUMBER($X347))),"",IF(AND($X347&gt;='売掛帳'!$Q$3,$X347&lt;='売掛帳'!$Q$4),$X347+ROW()/10000000,""))</f>
        <v/>
      </c>
    </row>
    <row r="348" ht="18" customHeight="1">
      <c r="A348" s="18" t="n"/>
      <c r="B348" s="26" t="n"/>
      <c r="C348" s="18" t="n"/>
      <c r="D348" s="20">
        <f>IF($W348="","",IF($W348="なし","※得意先にないコード",INDEX('得意先'!$C$5:$C$104,$W348)&amp;""))</f>
        <v/>
      </c>
      <c r="E348" s="26" t="n"/>
      <c r="F348" s="19" t="n"/>
      <c r="G348" s="27" t="n"/>
      <c r="H348" s="27" t="n"/>
      <c r="I348" s="27" t="n"/>
      <c r="J348" s="28">
        <f>IF($A348="","",IF('設定'!$B$10="四捨五入",ROUND(IF('設定'!$B$9="税込",N($G348)*10/110,N($G348)*10/100),0),IF('設定'!$B$10="切り上げ",ROUNDUP(IF('設定'!$B$9="税込",N($G348)*10/110,N($G348)*10/100),0),ROUNDDOWN(IF('設定'!$B$9="税込",N($G348)*10/110,N($G348)*10/100),0))))</f>
        <v/>
      </c>
      <c r="K348" s="28">
        <f>IF($A348="","",IF('設定'!$B$10="四捨五入",ROUND(IF('設定'!$B$9="税込",N($H348)*8/108,N($H348)*8/100),0),IF('設定'!$B$10="切り上げ",ROUNDUP(IF('設定'!$B$9="税込",N($H348)*8/108,N($H348)*8/100),0),ROUNDDOWN(IF('設定'!$B$9="税込",N($H348)*8/108,N($H348)*8/100),0))))</f>
        <v/>
      </c>
      <c r="L348" s="28">
        <f>IF($A348="","",N($G348)+N($H348)+N($I348)+IF('設定'!$B$9="税込",0,$J348+$K348))</f>
        <v/>
      </c>
      <c r="M348" s="29">
        <f>IF(OR($A348="",NOT(ISNUMBER($W348)),NOT(ISNUMBER($X348))),"",IF(OR(INDEX('得意先'!$D$5:$D$104,$W348)="",INDEX('得意先'!$E$5:$E$104,$W348)="",INDEX('得意先'!$F$5:$F$104,$W348)=""),"",IF(INDEX('得意先'!$F$5:$F$104,$W348)="末",DATE(YEAR($X348),(MONTH($X348)+IF(INDEX('得意先'!$D$5:$D$104,$W348)="末",0,IF(DAY($X348)&lt;=INDEX('得意先'!$D$5:$D$104,$W348),0,1))+N(INDEX('得意先'!$E$5:$E$104,$W348)))+1,0),DATE(YEAR($X348),(MONTH($X348)+IF(INDEX('得意先'!$D$5:$D$104,$W348)="末",0,IF(DAY($X348)&lt;=INDEX('得意先'!$D$5:$D$104,$W348),0,1))+N(INDEX('得意先'!$E$5:$E$104,$W348))),MIN(INDEX('得意先'!$F$5:$F$104,$W348),DAY(DATE(YEAR($X348),(MONTH($X348)+IF(INDEX('得意先'!$D$5:$D$104,$W348)="末",0,IF(DAY($X348)&lt;=INDEX('得意先'!$D$5:$D$104,$W348),0,1))+N(INDEX('得意先'!$E$5:$E$104,$W348)))+1,0)))))))</f>
        <v/>
      </c>
      <c r="N348" s="26" t="n"/>
      <c r="O348" s="29">
        <f>IF($A348="","",IF(ISNUMBER($N348),$N348,$M348))</f>
        <v/>
      </c>
      <c r="P348" s="28">
        <f>IF($A348="","",SUMIF('入金消込'!$F$5:$F$1004,$A348,'入金消込'!$G$5:$G$1004))</f>
        <v/>
      </c>
      <c r="Q348" s="28">
        <f>IF($A348="","",SUMIF('入金消込'!$F$5:$F$1004,$A348,'入金消込'!$H$5:$H$1004)+SUMIF('入金消込'!$F$5:$F$1004,$A348,'入金消込'!$I$5:$I$1004))</f>
        <v/>
      </c>
      <c r="R348" s="28">
        <f>IF($A348="","",$L348-$P348-$Q348)</f>
        <v/>
      </c>
      <c r="S348" s="30">
        <f>IF($A348="","",IF($R348=0,IF($L348=0,"請求額0","回収済"),IF($L348&lt;0,IF($R348&lt;0,"差し引き待ち","差し引きすぎ"),IF($R348&lt;0,"入金が多い",IF($P348+$Q348=0,"未入金","一部入金")))))</f>
        <v/>
      </c>
      <c r="T348" s="31">
        <f>IF(OR($A348="",N($R348)&lt;=0,NOT(ISNUMBER($O348))),"",IF($O348&lt;'設定'!$B$7,'設定'!$B$7-$O348,""))</f>
        <v/>
      </c>
      <c r="U348" s="30">
        <f>IF(OR($A348="",N($R348)&lt;=0),"",IF(NOT(ISNUMBER($O348)),'設定'!$B$22,IF($O348&gt;='設定'!$B$7,'設定'!$B$17,IF('設定'!$B$7-$O348&lt;='設定'!$B$12,'設定'!$B$18,IF('設定'!$B$7-$O348&lt;='設定'!$B$13,'設定'!$B$19,IF('設定'!$B$7-$O348&lt;='設定'!$B$14,'設定'!$B$20,'設定'!$B$21))))))</f>
        <v/>
      </c>
      <c r="V348" s="56" t="n"/>
      <c r="W348" s="32">
        <f>IF($C348="","",IFERROR(MATCH($C348,'得意先'!$B$5:$B$104,0),"なし"))</f>
        <v/>
      </c>
      <c r="X348" s="33">
        <f>IF($A348="","",IF(ISNUMBER($E348),$E348,IF(ISNUMBER($B348),$B348,"")))</f>
        <v/>
      </c>
      <c r="Y348" s="34">
        <f>IF($T348="","",$O348+ROW()/1000000)</f>
        <v/>
      </c>
      <c r="Z348" s="35">
        <f>IF(OR($A348="",$C348="",$C348&lt;&gt;'売掛帳'!$B$3,NOT(ISNUMBER($X348))),"",IF(AND($X348&gt;='売掛帳'!$Q$3,$X348&lt;='売掛帳'!$Q$4),$X348+ROW()/10000000,""))</f>
        <v/>
      </c>
    </row>
    <row r="349" ht="18" customHeight="1">
      <c r="A349" s="18" t="n"/>
      <c r="B349" s="26" t="n"/>
      <c r="C349" s="18" t="n"/>
      <c r="D349" s="20">
        <f>IF($W349="","",IF($W349="なし","※得意先にないコード",INDEX('得意先'!$C$5:$C$104,$W349)&amp;""))</f>
        <v/>
      </c>
      <c r="E349" s="26" t="n"/>
      <c r="F349" s="19" t="n"/>
      <c r="G349" s="27" t="n"/>
      <c r="H349" s="27" t="n"/>
      <c r="I349" s="27" t="n"/>
      <c r="J349" s="28">
        <f>IF($A349="","",IF('設定'!$B$10="四捨五入",ROUND(IF('設定'!$B$9="税込",N($G349)*10/110,N($G349)*10/100),0),IF('設定'!$B$10="切り上げ",ROUNDUP(IF('設定'!$B$9="税込",N($G349)*10/110,N($G349)*10/100),0),ROUNDDOWN(IF('設定'!$B$9="税込",N($G349)*10/110,N($G349)*10/100),0))))</f>
        <v/>
      </c>
      <c r="K349" s="28">
        <f>IF($A349="","",IF('設定'!$B$10="四捨五入",ROUND(IF('設定'!$B$9="税込",N($H349)*8/108,N($H349)*8/100),0),IF('設定'!$B$10="切り上げ",ROUNDUP(IF('設定'!$B$9="税込",N($H349)*8/108,N($H349)*8/100),0),ROUNDDOWN(IF('設定'!$B$9="税込",N($H349)*8/108,N($H349)*8/100),0))))</f>
        <v/>
      </c>
      <c r="L349" s="28">
        <f>IF($A349="","",N($G349)+N($H349)+N($I349)+IF('設定'!$B$9="税込",0,$J349+$K349))</f>
        <v/>
      </c>
      <c r="M349" s="29">
        <f>IF(OR($A349="",NOT(ISNUMBER($W349)),NOT(ISNUMBER($X349))),"",IF(OR(INDEX('得意先'!$D$5:$D$104,$W349)="",INDEX('得意先'!$E$5:$E$104,$W349)="",INDEX('得意先'!$F$5:$F$104,$W349)=""),"",IF(INDEX('得意先'!$F$5:$F$104,$W349)="末",DATE(YEAR($X349),(MONTH($X349)+IF(INDEX('得意先'!$D$5:$D$104,$W349)="末",0,IF(DAY($X349)&lt;=INDEX('得意先'!$D$5:$D$104,$W349),0,1))+N(INDEX('得意先'!$E$5:$E$104,$W349)))+1,0),DATE(YEAR($X349),(MONTH($X349)+IF(INDEX('得意先'!$D$5:$D$104,$W349)="末",0,IF(DAY($X349)&lt;=INDEX('得意先'!$D$5:$D$104,$W349),0,1))+N(INDEX('得意先'!$E$5:$E$104,$W349))),MIN(INDEX('得意先'!$F$5:$F$104,$W349),DAY(DATE(YEAR($X349),(MONTH($X349)+IF(INDEX('得意先'!$D$5:$D$104,$W349)="末",0,IF(DAY($X349)&lt;=INDEX('得意先'!$D$5:$D$104,$W349),0,1))+N(INDEX('得意先'!$E$5:$E$104,$W349)))+1,0)))))))</f>
        <v/>
      </c>
      <c r="N349" s="26" t="n"/>
      <c r="O349" s="29">
        <f>IF($A349="","",IF(ISNUMBER($N349),$N349,$M349))</f>
        <v/>
      </c>
      <c r="P349" s="28">
        <f>IF($A349="","",SUMIF('入金消込'!$F$5:$F$1004,$A349,'入金消込'!$G$5:$G$1004))</f>
        <v/>
      </c>
      <c r="Q349" s="28">
        <f>IF($A349="","",SUMIF('入金消込'!$F$5:$F$1004,$A349,'入金消込'!$H$5:$H$1004)+SUMIF('入金消込'!$F$5:$F$1004,$A349,'入金消込'!$I$5:$I$1004))</f>
        <v/>
      </c>
      <c r="R349" s="28">
        <f>IF($A349="","",$L349-$P349-$Q349)</f>
        <v/>
      </c>
      <c r="S349" s="30">
        <f>IF($A349="","",IF($R349=0,IF($L349=0,"請求額0","回収済"),IF($L349&lt;0,IF($R349&lt;0,"差し引き待ち","差し引きすぎ"),IF($R349&lt;0,"入金が多い",IF($P349+$Q349=0,"未入金","一部入金")))))</f>
        <v/>
      </c>
      <c r="T349" s="31">
        <f>IF(OR($A349="",N($R349)&lt;=0,NOT(ISNUMBER($O349))),"",IF($O349&lt;'設定'!$B$7,'設定'!$B$7-$O349,""))</f>
        <v/>
      </c>
      <c r="U349" s="30">
        <f>IF(OR($A349="",N($R349)&lt;=0),"",IF(NOT(ISNUMBER($O349)),'設定'!$B$22,IF($O349&gt;='設定'!$B$7,'設定'!$B$17,IF('設定'!$B$7-$O349&lt;='設定'!$B$12,'設定'!$B$18,IF('設定'!$B$7-$O349&lt;='設定'!$B$13,'設定'!$B$19,IF('設定'!$B$7-$O349&lt;='設定'!$B$14,'設定'!$B$20,'設定'!$B$21))))))</f>
        <v/>
      </c>
      <c r="V349" s="56" t="n"/>
      <c r="W349" s="32">
        <f>IF($C349="","",IFERROR(MATCH($C349,'得意先'!$B$5:$B$104,0),"なし"))</f>
        <v/>
      </c>
      <c r="X349" s="33">
        <f>IF($A349="","",IF(ISNUMBER($E349),$E349,IF(ISNUMBER($B349),$B349,"")))</f>
        <v/>
      </c>
      <c r="Y349" s="34">
        <f>IF($T349="","",$O349+ROW()/1000000)</f>
        <v/>
      </c>
      <c r="Z349" s="35">
        <f>IF(OR($A349="",$C349="",$C349&lt;&gt;'売掛帳'!$B$3,NOT(ISNUMBER($X349))),"",IF(AND($X349&gt;='売掛帳'!$Q$3,$X349&lt;='売掛帳'!$Q$4),$X349+ROW()/10000000,""))</f>
        <v/>
      </c>
    </row>
    <row r="350" ht="18" customHeight="1">
      <c r="A350" s="18" t="n"/>
      <c r="B350" s="26" t="n"/>
      <c r="C350" s="18" t="n"/>
      <c r="D350" s="20">
        <f>IF($W350="","",IF($W350="なし","※得意先にないコード",INDEX('得意先'!$C$5:$C$104,$W350)&amp;""))</f>
        <v/>
      </c>
      <c r="E350" s="26" t="n"/>
      <c r="F350" s="19" t="n"/>
      <c r="G350" s="27" t="n"/>
      <c r="H350" s="27" t="n"/>
      <c r="I350" s="27" t="n"/>
      <c r="J350" s="28">
        <f>IF($A350="","",IF('設定'!$B$10="四捨五入",ROUND(IF('設定'!$B$9="税込",N($G350)*10/110,N($G350)*10/100),0),IF('設定'!$B$10="切り上げ",ROUNDUP(IF('設定'!$B$9="税込",N($G350)*10/110,N($G350)*10/100),0),ROUNDDOWN(IF('設定'!$B$9="税込",N($G350)*10/110,N($G350)*10/100),0))))</f>
        <v/>
      </c>
      <c r="K350" s="28">
        <f>IF($A350="","",IF('設定'!$B$10="四捨五入",ROUND(IF('設定'!$B$9="税込",N($H350)*8/108,N($H350)*8/100),0),IF('設定'!$B$10="切り上げ",ROUNDUP(IF('設定'!$B$9="税込",N($H350)*8/108,N($H350)*8/100),0),ROUNDDOWN(IF('設定'!$B$9="税込",N($H350)*8/108,N($H350)*8/100),0))))</f>
        <v/>
      </c>
      <c r="L350" s="28">
        <f>IF($A350="","",N($G350)+N($H350)+N($I350)+IF('設定'!$B$9="税込",0,$J350+$K350))</f>
        <v/>
      </c>
      <c r="M350" s="29">
        <f>IF(OR($A350="",NOT(ISNUMBER($W350)),NOT(ISNUMBER($X350))),"",IF(OR(INDEX('得意先'!$D$5:$D$104,$W350)="",INDEX('得意先'!$E$5:$E$104,$W350)="",INDEX('得意先'!$F$5:$F$104,$W350)=""),"",IF(INDEX('得意先'!$F$5:$F$104,$W350)="末",DATE(YEAR($X350),(MONTH($X350)+IF(INDEX('得意先'!$D$5:$D$104,$W350)="末",0,IF(DAY($X350)&lt;=INDEX('得意先'!$D$5:$D$104,$W350),0,1))+N(INDEX('得意先'!$E$5:$E$104,$W350)))+1,0),DATE(YEAR($X350),(MONTH($X350)+IF(INDEX('得意先'!$D$5:$D$104,$W350)="末",0,IF(DAY($X350)&lt;=INDEX('得意先'!$D$5:$D$104,$W350),0,1))+N(INDEX('得意先'!$E$5:$E$104,$W350))),MIN(INDEX('得意先'!$F$5:$F$104,$W350),DAY(DATE(YEAR($X350),(MONTH($X350)+IF(INDEX('得意先'!$D$5:$D$104,$W350)="末",0,IF(DAY($X350)&lt;=INDEX('得意先'!$D$5:$D$104,$W350),0,1))+N(INDEX('得意先'!$E$5:$E$104,$W350)))+1,0)))))))</f>
        <v/>
      </c>
      <c r="N350" s="26" t="n"/>
      <c r="O350" s="29">
        <f>IF($A350="","",IF(ISNUMBER($N350),$N350,$M350))</f>
        <v/>
      </c>
      <c r="P350" s="28">
        <f>IF($A350="","",SUMIF('入金消込'!$F$5:$F$1004,$A350,'入金消込'!$G$5:$G$1004))</f>
        <v/>
      </c>
      <c r="Q350" s="28">
        <f>IF($A350="","",SUMIF('入金消込'!$F$5:$F$1004,$A350,'入金消込'!$H$5:$H$1004)+SUMIF('入金消込'!$F$5:$F$1004,$A350,'入金消込'!$I$5:$I$1004))</f>
        <v/>
      </c>
      <c r="R350" s="28">
        <f>IF($A350="","",$L350-$P350-$Q350)</f>
        <v/>
      </c>
      <c r="S350" s="30">
        <f>IF($A350="","",IF($R350=0,IF($L350=0,"請求額0","回収済"),IF($L350&lt;0,IF($R350&lt;0,"差し引き待ち","差し引きすぎ"),IF($R350&lt;0,"入金が多い",IF($P350+$Q350=0,"未入金","一部入金")))))</f>
        <v/>
      </c>
      <c r="T350" s="31">
        <f>IF(OR($A350="",N($R350)&lt;=0,NOT(ISNUMBER($O350))),"",IF($O350&lt;'設定'!$B$7,'設定'!$B$7-$O350,""))</f>
        <v/>
      </c>
      <c r="U350" s="30">
        <f>IF(OR($A350="",N($R350)&lt;=0),"",IF(NOT(ISNUMBER($O350)),'設定'!$B$22,IF($O350&gt;='設定'!$B$7,'設定'!$B$17,IF('設定'!$B$7-$O350&lt;='設定'!$B$12,'設定'!$B$18,IF('設定'!$B$7-$O350&lt;='設定'!$B$13,'設定'!$B$19,IF('設定'!$B$7-$O350&lt;='設定'!$B$14,'設定'!$B$20,'設定'!$B$21))))))</f>
        <v/>
      </c>
      <c r="V350" s="56" t="n"/>
      <c r="W350" s="32">
        <f>IF($C350="","",IFERROR(MATCH($C350,'得意先'!$B$5:$B$104,0),"なし"))</f>
        <v/>
      </c>
      <c r="X350" s="33">
        <f>IF($A350="","",IF(ISNUMBER($E350),$E350,IF(ISNUMBER($B350),$B350,"")))</f>
        <v/>
      </c>
      <c r="Y350" s="34">
        <f>IF($T350="","",$O350+ROW()/1000000)</f>
        <v/>
      </c>
      <c r="Z350" s="35">
        <f>IF(OR($A350="",$C350="",$C350&lt;&gt;'売掛帳'!$B$3,NOT(ISNUMBER($X350))),"",IF(AND($X350&gt;='売掛帳'!$Q$3,$X350&lt;='売掛帳'!$Q$4),$X350+ROW()/10000000,""))</f>
        <v/>
      </c>
    </row>
    <row r="351" ht="18" customHeight="1">
      <c r="A351" s="18" t="n"/>
      <c r="B351" s="26" t="n"/>
      <c r="C351" s="18" t="n"/>
      <c r="D351" s="20">
        <f>IF($W351="","",IF($W351="なし","※得意先にないコード",INDEX('得意先'!$C$5:$C$104,$W351)&amp;""))</f>
        <v/>
      </c>
      <c r="E351" s="26" t="n"/>
      <c r="F351" s="19" t="n"/>
      <c r="G351" s="27" t="n"/>
      <c r="H351" s="27" t="n"/>
      <c r="I351" s="27" t="n"/>
      <c r="J351" s="28">
        <f>IF($A351="","",IF('設定'!$B$10="四捨五入",ROUND(IF('設定'!$B$9="税込",N($G351)*10/110,N($G351)*10/100),0),IF('設定'!$B$10="切り上げ",ROUNDUP(IF('設定'!$B$9="税込",N($G351)*10/110,N($G351)*10/100),0),ROUNDDOWN(IF('設定'!$B$9="税込",N($G351)*10/110,N($G351)*10/100),0))))</f>
        <v/>
      </c>
      <c r="K351" s="28">
        <f>IF($A351="","",IF('設定'!$B$10="四捨五入",ROUND(IF('設定'!$B$9="税込",N($H351)*8/108,N($H351)*8/100),0),IF('設定'!$B$10="切り上げ",ROUNDUP(IF('設定'!$B$9="税込",N($H351)*8/108,N($H351)*8/100),0),ROUNDDOWN(IF('設定'!$B$9="税込",N($H351)*8/108,N($H351)*8/100),0))))</f>
        <v/>
      </c>
      <c r="L351" s="28">
        <f>IF($A351="","",N($G351)+N($H351)+N($I351)+IF('設定'!$B$9="税込",0,$J351+$K351))</f>
        <v/>
      </c>
      <c r="M351" s="29">
        <f>IF(OR($A351="",NOT(ISNUMBER($W351)),NOT(ISNUMBER($X351))),"",IF(OR(INDEX('得意先'!$D$5:$D$104,$W351)="",INDEX('得意先'!$E$5:$E$104,$W351)="",INDEX('得意先'!$F$5:$F$104,$W351)=""),"",IF(INDEX('得意先'!$F$5:$F$104,$W351)="末",DATE(YEAR($X351),(MONTH($X351)+IF(INDEX('得意先'!$D$5:$D$104,$W351)="末",0,IF(DAY($X351)&lt;=INDEX('得意先'!$D$5:$D$104,$W351),0,1))+N(INDEX('得意先'!$E$5:$E$104,$W351)))+1,0),DATE(YEAR($X351),(MONTH($X351)+IF(INDEX('得意先'!$D$5:$D$104,$W351)="末",0,IF(DAY($X351)&lt;=INDEX('得意先'!$D$5:$D$104,$W351),0,1))+N(INDEX('得意先'!$E$5:$E$104,$W351))),MIN(INDEX('得意先'!$F$5:$F$104,$W351),DAY(DATE(YEAR($X351),(MONTH($X351)+IF(INDEX('得意先'!$D$5:$D$104,$W351)="末",0,IF(DAY($X351)&lt;=INDEX('得意先'!$D$5:$D$104,$W351),0,1))+N(INDEX('得意先'!$E$5:$E$104,$W351)))+1,0)))))))</f>
        <v/>
      </c>
      <c r="N351" s="26" t="n"/>
      <c r="O351" s="29">
        <f>IF($A351="","",IF(ISNUMBER($N351),$N351,$M351))</f>
        <v/>
      </c>
      <c r="P351" s="28">
        <f>IF($A351="","",SUMIF('入金消込'!$F$5:$F$1004,$A351,'入金消込'!$G$5:$G$1004))</f>
        <v/>
      </c>
      <c r="Q351" s="28">
        <f>IF($A351="","",SUMIF('入金消込'!$F$5:$F$1004,$A351,'入金消込'!$H$5:$H$1004)+SUMIF('入金消込'!$F$5:$F$1004,$A351,'入金消込'!$I$5:$I$1004))</f>
        <v/>
      </c>
      <c r="R351" s="28">
        <f>IF($A351="","",$L351-$P351-$Q351)</f>
        <v/>
      </c>
      <c r="S351" s="30">
        <f>IF($A351="","",IF($R351=0,IF($L351=0,"請求額0","回収済"),IF($L351&lt;0,IF($R351&lt;0,"差し引き待ち","差し引きすぎ"),IF($R351&lt;0,"入金が多い",IF($P351+$Q351=0,"未入金","一部入金")))))</f>
        <v/>
      </c>
      <c r="T351" s="31">
        <f>IF(OR($A351="",N($R351)&lt;=0,NOT(ISNUMBER($O351))),"",IF($O351&lt;'設定'!$B$7,'設定'!$B$7-$O351,""))</f>
        <v/>
      </c>
      <c r="U351" s="30">
        <f>IF(OR($A351="",N($R351)&lt;=0),"",IF(NOT(ISNUMBER($O351)),'設定'!$B$22,IF($O351&gt;='設定'!$B$7,'設定'!$B$17,IF('設定'!$B$7-$O351&lt;='設定'!$B$12,'設定'!$B$18,IF('設定'!$B$7-$O351&lt;='設定'!$B$13,'設定'!$B$19,IF('設定'!$B$7-$O351&lt;='設定'!$B$14,'設定'!$B$20,'設定'!$B$21))))))</f>
        <v/>
      </c>
      <c r="V351" s="56" t="n"/>
      <c r="W351" s="32">
        <f>IF($C351="","",IFERROR(MATCH($C351,'得意先'!$B$5:$B$104,0),"なし"))</f>
        <v/>
      </c>
      <c r="X351" s="33">
        <f>IF($A351="","",IF(ISNUMBER($E351),$E351,IF(ISNUMBER($B351),$B351,"")))</f>
        <v/>
      </c>
      <c r="Y351" s="34">
        <f>IF($T351="","",$O351+ROW()/1000000)</f>
        <v/>
      </c>
      <c r="Z351" s="35">
        <f>IF(OR($A351="",$C351="",$C351&lt;&gt;'売掛帳'!$B$3,NOT(ISNUMBER($X351))),"",IF(AND($X351&gt;='売掛帳'!$Q$3,$X351&lt;='売掛帳'!$Q$4),$X351+ROW()/10000000,""))</f>
        <v/>
      </c>
    </row>
    <row r="352" ht="18" customHeight="1">
      <c r="A352" s="18" t="n"/>
      <c r="B352" s="26" t="n"/>
      <c r="C352" s="18" t="n"/>
      <c r="D352" s="20">
        <f>IF($W352="","",IF($W352="なし","※得意先にないコード",INDEX('得意先'!$C$5:$C$104,$W352)&amp;""))</f>
        <v/>
      </c>
      <c r="E352" s="26" t="n"/>
      <c r="F352" s="19" t="n"/>
      <c r="G352" s="27" t="n"/>
      <c r="H352" s="27" t="n"/>
      <c r="I352" s="27" t="n"/>
      <c r="J352" s="28">
        <f>IF($A352="","",IF('設定'!$B$10="四捨五入",ROUND(IF('設定'!$B$9="税込",N($G352)*10/110,N($G352)*10/100),0),IF('設定'!$B$10="切り上げ",ROUNDUP(IF('設定'!$B$9="税込",N($G352)*10/110,N($G352)*10/100),0),ROUNDDOWN(IF('設定'!$B$9="税込",N($G352)*10/110,N($G352)*10/100),0))))</f>
        <v/>
      </c>
      <c r="K352" s="28">
        <f>IF($A352="","",IF('設定'!$B$10="四捨五入",ROUND(IF('設定'!$B$9="税込",N($H352)*8/108,N($H352)*8/100),0),IF('設定'!$B$10="切り上げ",ROUNDUP(IF('設定'!$B$9="税込",N($H352)*8/108,N($H352)*8/100),0),ROUNDDOWN(IF('設定'!$B$9="税込",N($H352)*8/108,N($H352)*8/100),0))))</f>
        <v/>
      </c>
      <c r="L352" s="28">
        <f>IF($A352="","",N($G352)+N($H352)+N($I352)+IF('設定'!$B$9="税込",0,$J352+$K352))</f>
        <v/>
      </c>
      <c r="M352" s="29">
        <f>IF(OR($A352="",NOT(ISNUMBER($W352)),NOT(ISNUMBER($X352))),"",IF(OR(INDEX('得意先'!$D$5:$D$104,$W352)="",INDEX('得意先'!$E$5:$E$104,$W352)="",INDEX('得意先'!$F$5:$F$104,$W352)=""),"",IF(INDEX('得意先'!$F$5:$F$104,$W352)="末",DATE(YEAR($X352),(MONTH($X352)+IF(INDEX('得意先'!$D$5:$D$104,$W352)="末",0,IF(DAY($X352)&lt;=INDEX('得意先'!$D$5:$D$104,$W352),0,1))+N(INDEX('得意先'!$E$5:$E$104,$W352)))+1,0),DATE(YEAR($X352),(MONTH($X352)+IF(INDEX('得意先'!$D$5:$D$104,$W352)="末",0,IF(DAY($X352)&lt;=INDEX('得意先'!$D$5:$D$104,$W352),0,1))+N(INDEX('得意先'!$E$5:$E$104,$W352))),MIN(INDEX('得意先'!$F$5:$F$104,$W352),DAY(DATE(YEAR($X352),(MONTH($X352)+IF(INDEX('得意先'!$D$5:$D$104,$W352)="末",0,IF(DAY($X352)&lt;=INDEX('得意先'!$D$5:$D$104,$W352),0,1))+N(INDEX('得意先'!$E$5:$E$104,$W352)))+1,0)))))))</f>
        <v/>
      </c>
      <c r="N352" s="26" t="n"/>
      <c r="O352" s="29">
        <f>IF($A352="","",IF(ISNUMBER($N352),$N352,$M352))</f>
        <v/>
      </c>
      <c r="P352" s="28">
        <f>IF($A352="","",SUMIF('入金消込'!$F$5:$F$1004,$A352,'入金消込'!$G$5:$G$1004))</f>
        <v/>
      </c>
      <c r="Q352" s="28">
        <f>IF($A352="","",SUMIF('入金消込'!$F$5:$F$1004,$A352,'入金消込'!$H$5:$H$1004)+SUMIF('入金消込'!$F$5:$F$1004,$A352,'入金消込'!$I$5:$I$1004))</f>
        <v/>
      </c>
      <c r="R352" s="28">
        <f>IF($A352="","",$L352-$P352-$Q352)</f>
        <v/>
      </c>
      <c r="S352" s="30">
        <f>IF($A352="","",IF($R352=0,IF($L352=0,"請求額0","回収済"),IF($L352&lt;0,IF($R352&lt;0,"差し引き待ち","差し引きすぎ"),IF($R352&lt;0,"入金が多い",IF($P352+$Q352=0,"未入金","一部入金")))))</f>
        <v/>
      </c>
      <c r="T352" s="31">
        <f>IF(OR($A352="",N($R352)&lt;=0,NOT(ISNUMBER($O352))),"",IF($O352&lt;'設定'!$B$7,'設定'!$B$7-$O352,""))</f>
        <v/>
      </c>
      <c r="U352" s="30">
        <f>IF(OR($A352="",N($R352)&lt;=0),"",IF(NOT(ISNUMBER($O352)),'設定'!$B$22,IF($O352&gt;='設定'!$B$7,'設定'!$B$17,IF('設定'!$B$7-$O352&lt;='設定'!$B$12,'設定'!$B$18,IF('設定'!$B$7-$O352&lt;='設定'!$B$13,'設定'!$B$19,IF('設定'!$B$7-$O352&lt;='設定'!$B$14,'設定'!$B$20,'設定'!$B$21))))))</f>
        <v/>
      </c>
      <c r="V352" s="56" t="n"/>
      <c r="W352" s="32">
        <f>IF($C352="","",IFERROR(MATCH($C352,'得意先'!$B$5:$B$104,0),"なし"))</f>
        <v/>
      </c>
      <c r="X352" s="33">
        <f>IF($A352="","",IF(ISNUMBER($E352),$E352,IF(ISNUMBER($B352),$B352,"")))</f>
        <v/>
      </c>
      <c r="Y352" s="34">
        <f>IF($T352="","",$O352+ROW()/1000000)</f>
        <v/>
      </c>
      <c r="Z352" s="35">
        <f>IF(OR($A352="",$C352="",$C352&lt;&gt;'売掛帳'!$B$3,NOT(ISNUMBER($X352))),"",IF(AND($X352&gt;='売掛帳'!$Q$3,$X352&lt;='売掛帳'!$Q$4),$X352+ROW()/10000000,""))</f>
        <v/>
      </c>
    </row>
    <row r="353" ht="18" customHeight="1">
      <c r="A353" s="18" t="n"/>
      <c r="B353" s="26" t="n"/>
      <c r="C353" s="18" t="n"/>
      <c r="D353" s="20">
        <f>IF($W353="","",IF($W353="なし","※得意先にないコード",INDEX('得意先'!$C$5:$C$104,$W353)&amp;""))</f>
        <v/>
      </c>
      <c r="E353" s="26" t="n"/>
      <c r="F353" s="19" t="n"/>
      <c r="G353" s="27" t="n"/>
      <c r="H353" s="27" t="n"/>
      <c r="I353" s="27" t="n"/>
      <c r="J353" s="28">
        <f>IF($A353="","",IF('設定'!$B$10="四捨五入",ROUND(IF('設定'!$B$9="税込",N($G353)*10/110,N($G353)*10/100),0),IF('設定'!$B$10="切り上げ",ROUNDUP(IF('設定'!$B$9="税込",N($G353)*10/110,N($G353)*10/100),0),ROUNDDOWN(IF('設定'!$B$9="税込",N($G353)*10/110,N($G353)*10/100),0))))</f>
        <v/>
      </c>
      <c r="K353" s="28">
        <f>IF($A353="","",IF('設定'!$B$10="四捨五入",ROUND(IF('設定'!$B$9="税込",N($H353)*8/108,N($H353)*8/100),0),IF('設定'!$B$10="切り上げ",ROUNDUP(IF('設定'!$B$9="税込",N($H353)*8/108,N($H353)*8/100),0),ROUNDDOWN(IF('設定'!$B$9="税込",N($H353)*8/108,N($H353)*8/100),0))))</f>
        <v/>
      </c>
      <c r="L353" s="28">
        <f>IF($A353="","",N($G353)+N($H353)+N($I353)+IF('設定'!$B$9="税込",0,$J353+$K353))</f>
        <v/>
      </c>
      <c r="M353" s="29">
        <f>IF(OR($A353="",NOT(ISNUMBER($W353)),NOT(ISNUMBER($X353))),"",IF(OR(INDEX('得意先'!$D$5:$D$104,$W353)="",INDEX('得意先'!$E$5:$E$104,$W353)="",INDEX('得意先'!$F$5:$F$104,$W353)=""),"",IF(INDEX('得意先'!$F$5:$F$104,$W353)="末",DATE(YEAR($X353),(MONTH($X353)+IF(INDEX('得意先'!$D$5:$D$104,$W353)="末",0,IF(DAY($X353)&lt;=INDEX('得意先'!$D$5:$D$104,$W353),0,1))+N(INDEX('得意先'!$E$5:$E$104,$W353)))+1,0),DATE(YEAR($X353),(MONTH($X353)+IF(INDEX('得意先'!$D$5:$D$104,$W353)="末",0,IF(DAY($X353)&lt;=INDEX('得意先'!$D$5:$D$104,$W353),0,1))+N(INDEX('得意先'!$E$5:$E$104,$W353))),MIN(INDEX('得意先'!$F$5:$F$104,$W353),DAY(DATE(YEAR($X353),(MONTH($X353)+IF(INDEX('得意先'!$D$5:$D$104,$W353)="末",0,IF(DAY($X353)&lt;=INDEX('得意先'!$D$5:$D$104,$W353),0,1))+N(INDEX('得意先'!$E$5:$E$104,$W353)))+1,0)))))))</f>
        <v/>
      </c>
      <c r="N353" s="26" t="n"/>
      <c r="O353" s="29">
        <f>IF($A353="","",IF(ISNUMBER($N353),$N353,$M353))</f>
        <v/>
      </c>
      <c r="P353" s="28">
        <f>IF($A353="","",SUMIF('入金消込'!$F$5:$F$1004,$A353,'入金消込'!$G$5:$G$1004))</f>
        <v/>
      </c>
      <c r="Q353" s="28">
        <f>IF($A353="","",SUMIF('入金消込'!$F$5:$F$1004,$A353,'入金消込'!$H$5:$H$1004)+SUMIF('入金消込'!$F$5:$F$1004,$A353,'入金消込'!$I$5:$I$1004))</f>
        <v/>
      </c>
      <c r="R353" s="28">
        <f>IF($A353="","",$L353-$P353-$Q353)</f>
        <v/>
      </c>
      <c r="S353" s="30">
        <f>IF($A353="","",IF($R353=0,IF($L353=0,"請求額0","回収済"),IF($L353&lt;0,IF($R353&lt;0,"差し引き待ち","差し引きすぎ"),IF($R353&lt;0,"入金が多い",IF($P353+$Q353=0,"未入金","一部入金")))))</f>
        <v/>
      </c>
      <c r="T353" s="31">
        <f>IF(OR($A353="",N($R353)&lt;=0,NOT(ISNUMBER($O353))),"",IF($O353&lt;'設定'!$B$7,'設定'!$B$7-$O353,""))</f>
        <v/>
      </c>
      <c r="U353" s="30">
        <f>IF(OR($A353="",N($R353)&lt;=0),"",IF(NOT(ISNUMBER($O353)),'設定'!$B$22,IF($O353&gt;='設定'!$B$7,'設定'!$B$17,IF('設定'!$B$7-$O353&lt;='設定'!$B$12,'設定'!$B$18,IF('設定'!$B$7-$O353&lt;='設定'!$B$13,'設定'!$B$19,IF('設定'!$B$7-$O353&lt;='設定'!$B$14,'設定'!$B$20,'設定'!$B$21))))))</f>
        <v/>
      </c>
      <c r="V353" s="56" t="n"/>
      <c r="W353" s="32">
        <f>IF($C353="","",IFERROR(MATCH($C353,'得意先'!$B$5:$B$104,0),"なし"))</f>
        <v/>
      </c>
      <c r="X353" s="33">
        <f>IF($A353="","",IF(ISNUMBER($E353),$E353,IF(ISNUMBER($B353),$B353,"")))</f>
        <v/>
      </c>
      <c r="Y353" s="34">
        <f>IF($T353="","",$O353+ROW()/1000000)</f>
        <v/>
      </c>
      <c r="Z353" s="35">
        <f>IF(OR($A353="",$C353="",$C353&lt;&gt;'売掛帳'!$B$3,NOT(ISNUMBER($X353))),"",IF(AND($X353&gt;='売掛帳'!$Q$3,$X353&lt;='売掛帳'!$Q$4),$X353+ROW()/10000000,""))</f>
        <v/>
      </c>
    </row>
    <row r="354" ht="18" customHeight="1">
      <c r="A354" s="18" t="n"/>
      <c r="B354" s="26" t="n"/>
      <c r="C354" s="18" t="n"/>
      <c r="D354" s="20">
        <f>IF($W354="","",IF($W354="なし","※得意先にないコード",INDEX('得意先'!$C$5:$C$104,$W354)&amp;""))</f>
        <v/>
      </c>
      <c r="E354" s="26" t="n"/>
      <c r="F354" s="19" t="n"/>
      <c r="G354" s="27" t="n"/>
      <c r="H354" s="27" t="n"/>
      <c r="I354" s="27" t="n"/>
      <c r="J354" s="28">
        <f>IF($A354="","",IF('設定'!$B$10="四捨五入",ROUND(IF('設定'!$B$9="税込",N($G354)*10/110,N($G354)*10/100),0),IF('設定'!$B$10="切り上げ",ROUNDUP(IF('設定'!$B$9="税込",N($G354)*10/110,N($G354)*10/100),0),ROUNDDOWN(IF('設定'!$B$9="税込",N($G354)*10/110,N($G354)*10/100),0))))</f>
        <v/>
      </c>
      <c r="K354" s="28">
        <f>IF($A354="","",IF('設定'!$B$10="四捨五入",ROUND(IF('設定'!$B$9="税込",N($H354)*8/108,N($H354)*8/100),0),IF('設定'!$B$10="切り上げ",ROUNDUP(IF('設定'!$B$9="税込",N($H354)*8/108,N($H354)*8/100),0),ROUNDDOWN(IF('設定'!$B$9="税込",N($H354)*8/108,N($H354)*8/100),0))))</f>
        <v/>
      </c>
      <c r="L354" s="28">
        <f>IF($A354="","",N($G354)+N($H354)+N($I354)+IF('設定'!$B$9="税込",0,$J354+$K354))</f>
        <v/>
      </c>
      <c r="M354" s="29">
        <f>IF(OR($A354="",NOT(ISNUMBER($W354)),NOT(ISNUMBER($X354))),"",IF(OR(INDEX('得意先'!$D$5:$D$104,$W354)="",INDEX('得意先'!$E$5:$E$104,$W354)="",INDEX('得意先'!$F$5:$F$104,$W354)=""),"",IF(INDEX('得意先'!$F$5:$F$104,$W354)="末",DATE(YEAR($X354),(MONTH($X354)+IF(INDEX('得意先'!$D$5:$D$104,$W354)="末",0,IF(DAY($X354)&lt;=INDEX('得意先'!$D$5:$D$104,$W354),0,1))+N(INDEX('得意先'!$E$5:$E$104,$W354)))+1,0),DATE(YEAR($X354),(MONTH($X354)+IF(INDEX('得意先'!$D$5:$D$104,$W354)="末",0,IF(DAY($X354)&lt;=INDEX('得意先'!$D$5:$D$104,$W354),0,1))+N(INDEX('得意先'!$E$5:$E$104,$W354))),MIN(INDEX('得意先'!$F$5:$F$104,$W354),DAY(DATE(YEAR($X354),(MONTH($X354)+IF(INDEX('得意先'!$D$5:$D$104,$W354)="末",0,IF(DAY($X354)&lt;=INDEX('得意先'!$D$5:$D$104,$W354),0,1))+N(INDEX('得意先'!$E$5:$E$104,$W354)))+1,0)))))))</f>
        <v/>
      </c>
      <c r="N354" s="26" t="n"/>
      <c r="O354" s="29">
        <f>IF($A354="","",IF(ISNUMBER($N354),$N354,$M354))</f>
        <v/>
      </c>
      <c r="P354" s="28">
        <f>IF($A354="","",SUMIF('入金消込'!$F$5:$F$1004,$A354,'入金消込'!$G$5:$G$1004))</f>
        <v/>
      </c>
      <c r="Q354" s="28">
        <f>IF($A354="","",SUMIF('入金消込'!$F$5:$F$1004,$A354,'入金消込'!$H$5:$H$1004)+SUMIF('入金消込'!$F$5:$F$1004,$A354,'入金消込'!$I$5:$I$1004))</f>
        <v/>
      </c>
      <c r="R354" s="28">
        <f>IF($A354="","",$L354-$P354-$Q354)</f>
        <v/>
      </c>
      <c r="S354" s="30">
        <f>IF($A354="","",IF($R354=0,IF($L354=0,"請求額0","回収済"),IF($L354&lt;0,IF($R354&lt;0,"差し引き待ち","差し引きすぎ"),IF($R354&lt;0,"入金が多い",IF($P354+$Q354=0,"未入金","一部入金")))))</f>
        <v/>
      </c>
      <c r="T354" s="31">
        <f>IF(OR($A354="",N($R354)&lt;=0,NOT(ISNUMBER($O354))),"",IF($O354&lt;'設定'!$B$7,'設定'!$B$7-$O354,""))</f>
        <v/>
      </c>
      <c r="U354" s="30">
        <f>IF(OR($A354="",N($R354)&lt;=0),"",IF(NOT(ISNUMBER($O354)),'設定'!$B$22,IF($O354&gt;='設定'!$B$7,'設定'!$B$17,IF('設定'!$B$7-$O354&lt;='設定'!$B$12,'設定'!$B$18,IF('設定'!$B$7-$O354&lt;='設定'!$B$13,'設定'!$B$19,IF('設定'!$B$7-$O354&lt;='設定'!$B$14,'設定'!$B$20,'設定'!$B$21))))))</f>
        <v/>
      </c>
      <c r="V354" s="56" t="n"/>
      <c r="W354" s="32">
        <f>IF($C354="","",IFERROR(MATCH($C354,'得意先'!$B$5:$B$104,0),"なし"))</f>
        <v/>
      </c>
      <c r="X354" s="33">
        <f>IF($A354="","",IF(ISNUMBER($E354),$E354,IF(ISNUMBER($B354),$B354,"")))</f>
        <v/>
      </c>
      <c r="Y354" s="34">
        <f>IF($T354="","",$O354+ROW()/1000000)</f>
        <v/>
      </c>
      <c r="Z354" s="35">
        <f>IF(OR($A354="",$C354="",$C354&lt;&gt;'売掛帳'!$B$3,NOT(ISNUMBER($X354))),"",IF(AND($X354&gt;='売掛帳'!$Q$3,$X354&lt;='売掛帳'!$Q$4),$X354+ROW()/10000000,""))</f>
        <v/>
      </c>
    </row>
    <row r="355" ht="18" customHeight="1">
      <c r="A355" s="18" t="n"/>
      <c r="B355" s="26" t="n"/>
      <c r="C355" s="18" t="n"/>
      <c r="D355" s="20">
        <f>IF($W355="","",IF($W355="なし","※得意先にないコード",INDEX('得意先'!$C$5:$C$104,$W355)&amp;""))</f>
        <v/>
      </c>
      <c r="E355" s="26" t="n"/>
      <c r="F355" s="19" t="n"/>
      <c r="G355" s="27" t="n"/>
      <c r="H355" s="27" t="n"/>
      <c r="I355" s="27" t="n"/>
      <c r="J355" s="28">
        <f>IF($A355="","",IF('設定'!$B$10="四捨五入",ROUND(IF('設定'!$B$9="税込",N($G355)*10/110,N($G355)*10/100),0),IF('設定'!$B$10="切り上げ",ROUNDUP(IF('設定'!$B$9="税込",N($G355)*10/110,N($G355)*10/100),0),ROUNDDOWN(IF('設定'!$B$9="税込",N($G355)*10/110,N($G355)*10/100),0))))</f>
        <v/>
      </c>
      <c r="K355" s="28">
        <f>IF($A355="","",IF('設定'!$B$10="四捨五入",ROUND(IF('設定'!$B$9="税込",N($H355)*8/108,N($H355)*8/100),0),IF('設定'!$B$10="切り上げ",ROUNDUP(IF('設定'!$B$9="税込",N($H355)*8/108,N($H355)*8/100),0),ROUNDDOWN(IF('設定'!$B$9="税込",N($H355)*8/108,N($H355)*8/100),0))))</f>
        <v/>
      </c>
      <c r="L355" s="28">
        <f>IF($A355="","",N($G355)+N($H355)+N($I355)+IF('設定'!$B$9="税込",0,$J355+$K355))</f>
        <v/>
      </c>
      <c r="M355" s="29">
        <f>IF(OR($A355="",NOT(ISNUMBER($W355)),NOT(ISNUMBER($X355))),"",IF(OR(INDEX('得意先'!$D$5:$D$104,$W355)="",INDEX('得意先'!$E$5:$E$104,$W355)="",INDEX('得意先'!$F$5:$F$104,$W355)=""),"",IF(INDEX('得意先'!$F$5:$F$104,$W355)="末",DATE(YEAR($X355),(MONTH($X355)+IF(INDEX('得意先'!$D$5:$D$104,$W355)="末",0,IF(DAY($X355)&lt;=INDEX('得意先'!$D$5:$D$104,$W355),0,1))+N(INDEX('得意先'!$E$5:$E$104,$W355)))+1,0),DATE(YEAR($X355),(MONTH($X355)+IF(INDEX('得意先'!$D$5:$D$104,$W355)="末",0,IF(DAY($X355)&lt;=INDEX('得意先'!$D$5:$D$104,$W355),0,1))+N(INDEX('得意先'!$E$5:$E$104,$W355))),MIN(INDEX('得意先'!$F$5:$F$104,$W355),DAY(DATE(YEAR($X355),(MONTH($X355)+IF(INDEX('得意先'!$D$5:$D$104,$W355)="末",0,IF(DAY($X355)&lt;=INDEX('得意先'!$D$5:$D$104,$W355),0,1))+N(INDEX('得意先'!$E$5:$E$104,$W355)))+1,0)))))))</f>
        <v/>
      </c>
      <c r="N355" s="26" t="n"/>
      <c r="O355" s="29">
        <f>IF($A355="","",IF(ISNUMBER($N355),$N355,$M355))</f>
        <v/>
      </c>
      <c r="P355" s="28">
        <f>IF($A355="","",SUMIF('入金消込'!$F$5:$F$1004,$A355,'入金消込'!$G$5:$G$1004))</f>
        <v/>
      </c>
      <c r="Q355" s="28">
        <f>IF($A355="","",SUMIF('入金消込'!$F$5:$F$1004,$A355,'入金消込'!$H$5:$H$1004)+SUMIF('入金消込'!$F$5:$F$1004,$A355,'入金消込'!$I$5:$I$1004))</f>
        <v/>
      </c>
      <c r="R355" s="28">
        <f>IF($A355="","",$L355-$P355-$Q355)</f>
        <v/>
      </c>
      <c r="S355" s="30">
        <f>IF($A355="","",IF($R355=0,IF($L355=0,"請求額0","回収済"),IF($L355&lt;0,IF($R355&lt;0,"差し引き待ち","差し引きすぎ"),IF($R355&lt;0,"入金が多い",IF($P355+$Q355=0,"未入金","一部入金")))))</f>
        <v/>
      </c>
      <c r="T355" s="31">
        <f>IF(OR($A355="",N($R355)&lt;=0,NOT(ISNUMBER($O355))),"",IF($O355&lt;'設定'!$B$7,'設定'!$B$7-$O355,""))</f>
        <v/>
      </c>
      <c r="U355" s="30">
        <f>IF(OR($A355="",N($R355)&lt;=0),"",IF(NOT(ISNUMBER($O355)),'設定'!$B$22,IF($O355&gt;='設定'!$B$7,'設定'!$B$17,IF('設定'!$B$7-$O355&lt;='設定'!$B$12,'設定'!$B$18,IF('設定'!$B$7-$O355&lt;='設定'!$B$13,'設定'!$B$19,IF('設定'!$B$7-$O355&lt;='設定'!$B$14,'設定'!$B$20,'設定'!$B$21))))))</f>
        <v/>
      </c>
      <c r="V355" s="56" t="n"/>
      <c r="W355" s="32">
        <f>IF($C355="","",IFERROR(MATCH($C355,'得意先'!$B$5:$B$104,0),"なし"))</f>
        <v/>
      </c>
      <c r="X355" s="33">
        <f>IF($A355="","",IF(ISNUMBER($E355),$E355,IF(ISNUMBER($B355),$B355,"")))</f>
        <v/>
      </c>
      <c r="Y355" s="34">
        <f>IF($T355="","",$O355+ROW()/1000000)</f>
        <v/>
      </c>
      <c r="Z355" s="35">
        <f>IF(OR($A355="",$C355="",$C355&lt;&gt;'売掛帳'!$B$3,NOT(ISNUMBER($X355))),"",IF(AND($X355&gt;='売掛帳'!$Q$3,$X355&lt;='売掛帳'!$Q$4),$X355+ROW()/10000000,""))</f>
        <v/>
      </c>
    </row>
    <row r="356" ht="18" customHeight="1">
      <c r="A356" s="18" t="n"/>
      <c r="B356" s="26" t="n"/>
      <c r="C356" s="18" t="n"/>
      <c r="D356" s="20">
        <f>IF($W356="","",IF($W356="なし","※得意先にないコード",INDEX('得意先'!$C$5:$C$104,$W356)&amp;""))</f>
        <v/>
      </c>
      <c r="E356" s="26" t="n"/>
      <c r="F356" s="19" t="n"/>
      <c r="G356" s="27" t="n"/>
      <c r="H356" s="27" t="n"/>
      <c r="I356" s="27" t="n"/>
      <c r="J356" s="28">
        <f>IF($A356="","",IF('設定'!$B$10="四捨五入",ROUND(IF('設定'!$B$9="税込",N($G356)*10/110,N($G356)*10/100),0),IF('設定'!$B$10="切り上げ",ROUNDUP(IF('設定'!$B$9="税込",N($G356)*10/110,N($G356)*10/100),0),ROUNDDOWN(IF('設定'!$B$9="税込",N($G356)*10/110,N($G356)*10/100),0))))</f>
        <v/>
      </c>
      <c r="K356" s="28">
        <f>IF($A356="","",IF('設定'!$B$10="四捨五入",ROUND(IF('設定'!$B$9="税込",N($H356)*8/108,N($H356)*8/100),0),IF('設定'!$B$10="切り上げ",ROUNDUP(IF('設定'!$B$9="税込",N($H356)*8/108,N($H356)*8/100),0),ROUNDDOWN(IF('設定'!$B$9="税込",N($H356)*8/108,N($H356)*8/100),0))))</f>
        <v/>
      </c>
      <c r="L356" s="28">
        <f>IF($A356="","",N($G356)+N($H356)+N($I356)+IF('設定'!$B$9="税込",0,$J356+$K356))</f>
        <v/>
      </c>
      <c r="M356" s="29">
        <f>IF(OR($A356="",NOT(ISNUMBER($W356)),NOT(ISNUMBER($X356))),"",IF(OR(INDEX('得意先'!$D$5:$D$104,$W356)="",INDEX('得意先'!$E$5:$E$104,$W356)="",INDEX('得意先'!$F$5:$F$104,$W356)=""),"",IF(INDEX('得意先'!$F$5:$F$104,$W356)="末",DATE(YEAR($X356),(MONTH($X356)+IF(INDEX('得意先'!$D$5:$D$104,$W356)="末",0,IF(DAY($X356)&lt;=INDEX('得意先'!$D$5:$D$104,$W356),0,1))+N(INDEX('得意先'!$E$5:$E$104,$W356)))+1,0),DATE(YEAR($X356),(MONTH($X356)+IF(INDEX('得意先'!$D$5:$D$104,$W356)="末",0,IF(DAY($X356)&lt;=INDEX('得意先'!$D$5:$D$104,$W356),0,1))+N(INDEX('得意先'!$E$5:$E$104,$W356))),MIN(INDEX('得意先'!$F$5:$F$104,$W356),DAY(DATE(YEAR($X356),(MONTH($X356)+IF(INDEX('得意先'!$D$5:$D$104,$W356)="末",0,IF(DAY($X356)&lt;=INDEX('得意先'!$D$5:$D$104,$W356),0,1))+N(INDEX('得意先'!$E$5:$E$104,$W356)))+1,0)))))))</f>
        <v/>
      </c>
      <c r="N356" s="26" t="n"/>
      <c r="O356" s="29">
        <f>IF($A356="","",IF(ISNUMBER($N356),$N356,$M356))</f>
        <v/>
      </c>
      <c r="P356" s="28">
        <f>IF($A356="","",SUMIF('入金消込'!$F$5:$F$1004,$A356,'入金消込'!$G$5:$G$1004))</f>
        <v/>
      </c>
      <c r="Q356" s="28">
        <f>IF($A356="","",SUMIF('入金消込'!$F$5:$F$1004,$A356,'入金消込'!$H$5:$H$1004)+SUMIF('入金消込'!$F$5:$F$1004,$A356,'入金消込'!$I$5:$I$1004))</f>
        <v/>
      </c>
      <c r="R356" s="28">
        <f>IF($A356="","",$L356-$P356-$Q356)</f>
        <v/>
      </c>
      <c r="S356" s="30">
        <f>IF($A356="","",IF($R356=0,IF($L356=0,"請求額0","回収済"),IF($L356&lt;0,IF($R356&lt;0,"差し引き待ち","差し引きすぎ"),IF($R356&lt;0,"入金が多い",IF($P356+$Q356=0,"未入金","一部入金")))))</f>
        <v/>
      </c>
      <c r="T356" s="31">
        <f>IF(OR($A356="",N($R356)&lt;=0,NOT(ISNUMBER($O356))),"",IF($O356&lt;'設定'!$B$7,'設定'!$B$7-$O356,""))</f>
        <v/>
      </c>
      <c r="U356" s="30">
        <f>IF(OR($A356="",N($R356)&lt;=0),"",IF(NOT(ISNUMBER($O356)),'設定'!$B$22,IF($O356&gt;='設定'!$B$7,'設定'!$B$17,IF('設定'!$B$7-$O356&lt;='設定'!$B$12,'設定'!$B$18,IF('設定'!$B$7-$O356&lt;='設定'!$B$13,'設定'!$B$19,IF('設定'!$B$7-$O356&lt;='設定'!$B$14,'設定'!$B$20,'設定'!$B$21))))))</f>
        <v/>
      </c>
      <c r="V356" s="56" t="n"/>
      <c r="W356" s="32">
        <f>IF($C356="","",IFERROR(MATCH($C356,'得意先'!$B$5:$B$104,0),"なし"))</f>
        <v/>
      </c>
      <c r="X356" s="33">
        <f>IF($A356="","",IF(ISNUMBER($E356),$E356,IF(ISNUMBER($B356),$B356,"")))</f>
        <v/>
      </c>
      <c r="Y356" s="34">
        <f>IF($T356="","",$O356+ROW()/1000000)</f>
        <v/>
      </c>
      <c r="Z356" s="35">
        <f>IF(OR($A356="",$C356="",$C356&lt;&gt;'売掛帳'!$B$3,NOT(ISNUMBER($X356))),"",IF(AND($X356&gt;='売掛帳'!$Q$3,$X356&lt;='売掛帳'!$Q$4),$X356+ROW()/10000000,""))</f>
        <v/>
      </c>
    </row>
    <row r="357" ht="18" customHeight="1">
      <c r="A357" s="18" t="n"/>
      <c r="B357" s="26" t="n"/>
      <c r="C357" s="18" t="n"/>
      <c r="D357" s="20">
        <f>IF($W357="","",IF($W357="なし","※得意先にないコード",INDEX('得意先'!$C$5:$C$104,$W357)&amp;""))</f>
        <v/>
      </c>
      <c r="E357" s="26" t="n"/>
      <c r="F357" s="19" t="n"/>
      <c r="G357" s="27" t="n"/>
      <c r="H357" s="27" t="n"/>
      <c r="I357" s="27" t="n"/>
      <c r="J357" s="28">
        <f>IF($A357="","",IF('設定'!$B$10="四捨五入",ROUND(IF('設定'!$B$9="税込",N($G357)*10/110,N($G357)*10/100),0),IF('設定'!$B$10="切り上げ",ROUNDUP(IF('設定'!$B$9="税込",N($G357)*10/110,N($G357)*10/100),0),ROUNDDOWN(IF('設定'!$B$9="税込",N($G357)*10/110,N($G357)*10/100),0))))</f>
        <v/>
      </c>
      <c r="K357" s="28">
        <f>IF($A357="","",IF('設定'!$B$10="四捨五入",ROUND(IF('設定'!$B$9="税込",N($H357)*8/108,N($H357)*8/100),0),IF('設定'!$B$10="切り上げ",ROUNDUP(IF('設定'!$B$9="税込",N($H357)*8/108,N($H357)*8/100),0),ROUNDDOWN(IF('設定'!$B$9="税込",N($H357)*8/108,N($H357)*8/100),0))))</f>
        <v/>
      </c>
      <c r="L357" s="28">
        <f>IF($A357="","",N($G357)+N($H357)+N($I357)+IF('設定'!$B$9="税込",0,$J357+$K357))</f>
        <v/>
      </c>
      <c r="M357" s="29">
        <f>IF(OR($A357="",NOT(ISNUMBER($W357)),NOT(ISNUMBER($X357))),"",IF(OR(INDEX('得意先'!$D$5:$D$104,$W357)="",INDEX('得意先'!$E$5:$E$104,$W357)="",INDEX('得意先'!$F$5:$F$104,$W357)=""),"",IF(INDEX('得意先'!$F$5:$F$104,$W357)="末",DATE(YEAR($X357),(MONTH($X357)+IF(INDEX('得意先'!$D$5:$D$104,$W357)="末",0,IF(DAY($X357)&lt;=INDEX('得意先'!$D$5:$D$104,$W357),0,1))+N(INDEX('得意先'!$E$5:$E$104,$W357)))+1,0),DATE(YEAR($X357),(MONTH($X357)+IF(INDEX('得意先'!$D$5:$D$104,$W357)="末",0,IF(DAY($X357)&lt;=INDEX('得意先'!$D$5:$D$104,$W357),0,1))+N(INDEX('得意先'!$E$5:$E$104,$W357))),MIN(INDEX('得意先'!$F$5:$F$104,$W357),DAY(DATE(YEAR($X357),(MONTH($X357)+IF(INDEX('得意先'!$D$5:$D$104,$W357)="末",0,IF(DAY($X357)&lt;=INDEX('得意先'!$D$5:$D$104,$W357),0,1))+N(INDEX('得意先'!$E$5:$E$104,$W357)))+1,0)))))))</f>
        <v/>
      </c>
      <c r="N357" s="26" t="n"/>
      <c r="O357" s="29">
        <f>IF($A357="","",IF(ISNUMBER($N357),$N357,$M357))</f>
        <v/>
      </c>
      <c r="P357" s="28">
        <f>IF($A357="","",SUMIF('入金消込'!$F$5:$F$1004,$A357,'入金消込'!$G$5:$G$1004))</f>
        <v/>
      </c>
      <c r="Q357" s="28">
        <f>IF($A357="","",SUMIF('入金消込'!$F$5:$F$1004,$A357,'入金消込'!$H$5:$H$1004)+SUMIF('入金消込'!$F$5:$F$1004,$A357,'入金消込'!$I$5:$I$1004))</f>
        <v/>
      </c>
      <c r="R357" s="28">
        <f>IF($A357="","",$L357-$P357-$Q357)</f>
        <v/>
      </c>
      <c r="S357" s="30">
        <f>IF($A357="","",IF($R357=0,IF($L357=0,"請求額0","回収済"),IF($L357&lt;0,IF($R357&lt;0,"差し引き待ち","差し引きすぎ"),IF($R357&lt;0,"入金が多い",IF($P357+$Q357=0,"未入金","一部入金")))))</f>
        <v/>
      </c>
      <c r="T357" s="31">
        <f>IF(OR($A357="",N($R357)&lt;=0,NOT(ISNUMBER($O357))),"",IF($O357&lt;'設定'!$B$7,'設定'!$B$7-$O357,""))</f>
        <v/>
      </c>
      <c r="U357" s="30">
        <f>IF(OR($A357="",N($R357)&lt;=0),"",IF(NOT(ISNUMBER($O357)),'設定'!$B$22,IF($O357&gt;='設定'!$B$7,'設定'!$B$17,IF('設定'!$B$7-$O357&lt;='設定'!$B$12,'設定'!$B$18,IF('設定'!$B$7-$O357&lt;='設定'!$B$13,'設定'!$B$19,IF('設定'!$B$7-$O357&lt;='設定'!$B$14,'設定'!$B$20,'設定'!$B$21))))))</f>
        <v/>
      </c>
      <c r="V357" s="56" t="n"/>
      <c r="W357" s="32">
        <f>IF($C357="","",IFERROR(MATCH($C357,'得意先'!$B$5:$B$104,0),"なし"))</f>
        <v/>
      </c>
      <c r="X357" s="33">
        <f>IF($A357="","",IF(ISNUMBER($E357),$E357,IF(ISNUMBER($B357),$B357,"")))</f>
        <v/>
      </c>
      <c r="Y357" s="34">
        <f>IF($T357="","",$O357+ROW()/1000000)</f>
        <v/>
      </c>
      <c r="Z357" s="35">
        <f>IF(OR($A357="",$C357="",$C357&lt;&gt;'売掛帳'!$B$3,NOT(ISNUMBER($X357))),"",IF(AND($X357&gt;='売掛帳'!$Q$3,$X357&lt;='売掛帳'!$Q$4),$X357+ROW()/10000000,""))</f>
        <v/>
      </c>
    </row>
    <row r="358" ht="18" customHeight="1">
      <c r="A358" s="18" t="n"/>
      <c r="B358" s="26" t="n"/>
      <c r="C358" s="18" t="n"/>
      <c r="D358" s="20">
        <f>IF($W358="","",IF($W358="なし","※得意先にないコード",INDEX('得意先'!$C$5:$C$104,$W358)&amp;""))</f>
        <v/>
      </c>
      <c r="E358" s="26" t="n"/>
      <c r="F358" s="19" t="n"/>
      <c r="G358" s="27" t="n"/>
      <c r="H358" s="27" t="n"/>
      <c r="I358" s="27" t="n"/>
      <c r="J358" s="28">
        <f>IF($A358="","",IF('設定'!$B$10="四捨五入",ROUND(IF('設定'!$B$9="税込",N($G358)*10/110,N($G358)*10/100),0),IF('設定'!$B$10="切り上げ",ROUNDUP(IF('設定'!$B$9="税込",N($G358)*10/110,N($G358)*10/100),0),ROUNDDOWN(IF('設定'!$B$9="税込",N($G358)*10/110,N($G358)*10/100),0))))</f>
        <v/>
      </c>
      <c r="K358" s="28">
        <f>IF($A358="","",IF('設定'!$B$10="四捨五入",ROUND(IF('設定'!$B$9="税込",N($H358)*8/108,N($H358)*8/100),0),IF('設定'!$B$10="切り上げ",ROUNDUP(IF('設定'!$B$9="税込",N($H358)*8/108,N($H358)*8/100),0),ROUNDDOWN(IF('設定'!$B$9="税込",N($H358)*8/108,N($H358)*8/100),0))))</f>
        <v/>
      </c>
      <c r="L358" s="28">
        <f>IF($A358="","",N($G358)+N($H358)+N($I358)+IF('設定'!$B$9="税込",0,$J358+$K358))</f>
        <v/>
      </c>
      <c r="M358" s="29">
        <f>IF(OR($A358="",NOT(ISNUMBER($W358)),NOT(ISNUMBER($X358))),"",IF(OR(INDEX('得意先'!$D$5:$D$104,$W358)="",INDEX('得意先'!$E$5:$E$104,$W358)="",INDEX('得意先'!$F$5:$F$104,$W358)=""),"",IF(INDEX('得意先'!$F$5:$F$104,$W358)="末",DATE(YEAR($X358),(MONTH($X358)+IF(INDEX('得意先'!$D$5:$D$104,$W358)="末",0,IF(DAY($X358)&lt;=INDEX('得意先'!$D$5:$D$104,$W358),0,1))+N(INDEX('得意先'!$E$5:$E$104,$W358)))+1,0),DATE(YEAR($X358),(MONTH($X358)+IF(INDEX('得意先'!$D$5:$D$104,$W358)="末",0,IF(DAY($X358)&lt;=INDEX('得意先'!$D$5:$D$104,$W358),0,1))+N(INDEX('得意先'!$E$5:$E$104,$W358))),MIN(INDEX('得意先'!$F$5:$F$104,$W358),DAY(DATE(YEAR($X358),(MONTH($X358)+IF(INDEX('得意先'!$D$5:$D$104,$W358)="末",0,IF(DAY($X358)&lt;=INDEX('得意先'!$D$5:$D$104,$W358),0,1))+N(INDEX('得意先'!$E$5:$E$104,$W358)))+1,0)))))))</f>
        <v/>
      </c>
      <c r="N358" s="26" t="n"/>
      <c r="O358" s="29">
        <f>IF($A358="","",IF(ISNUMBER($N358),$N358,$M358))</f>
        <v/>
      </c>
      <c r="P358" s="28">
        <f>IF($A358="","",SUMIF('入金消込'!$F$5:$F$1004,$A358,'入金消込'!$G$5:$G$1004))</f>
        <v/>
      </c>
      <c r="Q358" s="28">
        <f>IF($A358="","",SUMIF('入金消込'!$F$5:$F$1004,$A358,'入金消込'!$H$5:$H$1004)+SUMIF('入金消込'!$F$5:$F$1004,$A358,'入金消込'!$I$5:$I$1004))</f>
        <v/>
      </c>
      <c r="R358" s="28">
        <f>IF($A358="","",$L358-$P358-$Q358)</f>
        <v/>
      </c>
      <c r="S358" s="30">
        <f>IF($A358="","",IF($R358=0,IF($L358=0,"請求額0","回収済"),IF($L358&lt;0,IF($R358&lt;0,"差し引き待ち","差し引きすぎ"),IF($R358&lt;0,"入金が多い",IF($P358+$Q358=0,"未入金","一部入金")))))</f>
        <v/>
      </c>
      <c r="T358" s="31">
        <f>IF(OR($A358="",N($R358)&lt;=0,NOT(ISNUMBER($O358))),"",IF($O358&lt;'設定'!$B$7,'設定'!$B$7-$O358,""))</f>
        <v/>
      </c>
      <c r="U358" s="30">
        <f>IF(OR($A358="",N($R358)&lt;=0),"",IF(NOT(ISNUMBER($O358)),'設定'!$B$22,IF($O358&gt;='設定'!$B$7,'設定'!$B$17,IF('設定'!$B$7-$O358&lt;='設定'!$B$12,'設定'!$B$18,IF('設定'!$B$7-$O358&lt;='設定'!$B$13,'設定'!$B$19,IF('設定'!$B$7-$O358&lt;='設定'!$B$14,'設定'!$B$20,'設定'!$B$21))))))</f>
        <v/>
      </c>
      <c r="V358" s="56" t="n"/>
      <c r="W358" s="32">
        <f>IF($C358="","",IFERROR(MATCH($C358,'得意先'!$B$5:$B$104,0),"なし"))</f>
        <v/>
      </c>
      <c r="X358" s="33">
        <f>IF($A358="","",IF(ISNUMBER($E358),$E358,IF(ISNUMBER($B358),$B358,"")))</f>
        <v/>
      </c>
      <c r="Y358" s="34">
        <f>IF($T358="","",$O358+ROW()/1000000)</f>
        <v/>
      </c>
      <c r="Z358" s="35">
        <f>IF(OR($A358="",$C358="",$C358&lt;&gt;'売掛帳'!$B$3,NOT(ISNUMBER($X358))),"",IF(AND($X358&gt;='売掛帳'!$Q$3,$X358&lt;='売掛帳'!$Q$4),$X358+ROW()/10000000,""))</f>
        <v/>
      </c>
    </row>
    <row r="359" ht="18" customHeight="1">
      <c r="A359" s="18" t="n"/>
      <c r="B359" s="26" t="n"/>
      <c r="C359" s="18" t="n"/>
      <c r="D359" s="20">
        <f>IF($W359="","",IF($W359="なし","※得意先にないコード",INDEX('得意先'!$C$5:$C$104,$W359)&amp;""))</f>
        <v/>
      </c>
      <c r="E359" s="26" t="n"/>
      <c r="F359" s="19" t="n"/>
      <c r="G359" s="27" t="n"/>
      <c r="H359" s="27" t="n"/>
      <c r="I359" s="27" t="n"/>
      <c r="J359" s="28">
        <f>IF($A359="","",IF('設定'!$B$10="四捨五入",ROUND(IF('設定'!$B$9="税込",N($G359)*10/110,N($G359)*10/100),0),IF('設定'!$B$10="切り上げ",ROUNDUP(IF('設定'!$B$9="税込",N($G359)*10/110,N($G359)*10/100),0),ROUNDDOWN(IF('設定'!$B$9="税込",N($G359)*10/110,N($G359)*10/100),0))))</f>
        <v/>
      </c>
      <c r="K359" s="28">
        <f>IF($A359="","",IF('設定'!$B$10="四捨五入",ROUND(IF('設定'!$B$9="税込",N($H359)*8/108,N($H359)*8/100),0),IF('設定'!$B$10="切り上げ",ROUNDUP(IF('設定'!$B$9="税込",N($H359)*8/108,N($H359)*8/100),0),ROUNDDOWN(IF('設定'!$B$9="税込",N($H359)*8/108,N($H359)*8/100),0))))</f>
        <v/>
      </c>
      <c r="L359" s="28">
        <f>IF($A359="","",N($G359)+N($H359)+N($I359)+IF('設定'!$B$9="税込",0,$J359+$K359))</f>
        <v/>
      </c>
      <c r="M359" s="29">
        <f>IF(OR($A359="",NOT(ISNUMBER($W359)),NOT(ISNUMBER($X359))),"",IF(OR(INDEX('得意先'!$D$5:$D$104,$W359)="",INDEX('得意先'!$E$5:$E$104,$W359)="",INDEX('得意先'!$F$5:$F$104,$W359)=""),"",IF(INDEX('得意先'!$F$5:$F$104,$W359)="末",DATE(YEAR($X359),(MONTH($X359)+IF(INDEX('得意先'!$D$5:$D$104,$W359)="末",0,IF(DAY($X359)&lt;=INDEX('得意先'!$D$5:$D$104,$W359),0,1))+N(INDEX('得意先'!$E$5:$E$104,$W359)))+1,0),DATE(YEAR($X359),(MONTH($X359)+IF(INDEX('得意先'!$D$5:$D$104,$W359)="末",0,IF(DAY($X359)&lt;=INDEX('得意先'!$D$5:$D$104,$W359),0,1))+N(INDEX('得意先'!$E$5:$E$104,$W359))),MIN(INDEX('得意先'!$F$5:$F$104,$W359),DAY(DATE(YEAR($X359),(MONTH($X359)+IF(INDEX('得意先'!$D$5:$D$104,$W359)="末",0,IF(DAY($X359)&lt;=INDEX('得意先'!$D$5:$D$104,$W359),0,1))+N(INDEX('得意先'!$E$5:$E$104,$W359)))+1,0)))))))</f>
        <v/>
      </c>
      <c r="N359" s="26" t="n"/>
      <c r="O359" s="29">
        <f>IF($A359="","",IF(ISNUMBER($N359),$N359,$M359))</f>
        <v/>
      </c>
      <c r="P359" s="28">
        <f>IF($A359="","",SUMIF('入金消込'!$F$5:$F$1004,$A359,'入金消込'!$G$5:$G$1004))</f>
        <v/>
      </c>
      <c r="Q359" s="28">
        <f>IF($A359="","",SUMIF('入金消込'!$F$5:$F$1004,$A359,'入金消込'!$H$5:$H$1004)+SUMIF('入金消込'!$F$5:$F$1004,$A359,'入金消込'!$I$5:$I$1004))</f>
        <v/>
      </c>
      <c r="R359" s="28">
        <f>IF($A359="","",$L359-$P359-$Q359)</f>
        <v/>
      </c>
      <c r="S359" s="30">
        <f>IF($A359="","",IF($R359=0,IF($L359=0,"請求額0","回収済"),IF($L359&lt;0,IF($R359&lt;0,"差し引き待ち","差し引きすぎ"),IF($R359&lt;0,"入金が多い",IF($P359+$Q359=0,"未入金","一部入金")))))</f>
        <v/>
      </c>
      <c r="T359" s="31">
        <f>IF(OR($A359="",N($R359)&lt;=0,NOT(ISNUMBER($O359))),"",IF($O359&lt;'設定'!$B$7,'設定'!$B$7-$O359,""))</f>
        <v/>
      </c>
      <c r="U359" s="30">
        <f>IF(OR($A359="",N($R359)&lt;=0),"",IF(NOT(ISNUMBER($O359)),'設定'!$B$22,IF($O359&gt;='設定'!$B$7,'設定'!$B$17,IF('設定'!$B$7-$O359&lt;='設定'!$B$12,'設定'!$B$18,IF('設定'!$B$7-$O359&lt;='設定'!$B$13,'設定'!$B$19,IF('設定'!$B$7-$O359&lt;='設定'!$B$14,'設定'!$B$20,'設定'!$B$21))))))</f>
        <v/>
      </c>
      <c r="V359" s="56" t="n"/>
      <c r="W359" s="32">
        <f>IF($C359="","",IFERROR(MATCH($C359,'得意先'!$B$5:$B$104,0),"なし"))</f>
        <v/>
      </c>
      <c r="X359" s="33">
        <f>IF($A359="","",IF(ISNUMBER($E359),$E359,IF(ISNUMBER($B359),$B359,"")))</f>
        <v/>
      </c>
      <c r="Y359" s="34">
        <f>IF($T359="","",$O359+ROW()/1000000)</f>
        <v/>
      </c>
      <c r="Z359" s="35">
        <f>IF(OR($A359="",$C359="",$C359&lt;&gt;'売掛帳'!$B$3,NOT(ISNUMBER($X359))),"",IF(AND($X359&gt;='売掛帳'!$Q$3,$X359&lt;='売掛帳'!$Q$4),$X359+ROW()/10000000,""))</f>
        <v/>
      </c>
    </row>
    <row r="360" ht="18" customHeight="1">
      <c r="A360" s="18" t="n"/>
      <c r="B360" s="26" t="n"/>
      <c r="C360" s="18" t="n"/>
      <c r="D360" s="20">
        <f>IF($W360="","",IF($W360="なし","※得意先にないコード",INDEX('得意先'!$C$5:$C$104,$W360)&amp;""))</f>
        <v/>
      </c>
      <c r="E360" s="26" t="n"/>
      <c r="F360" s="19" t="n"/>
      <c r="G360" s="27" t="n"/>
      <c r="H360" s="27" t="n"/>
      <c r="I360" s="27" t="n"/>
      <c r="J360" s="28">
        <f>IF($A360="","",IF('設定'!$B$10="四捨五入",ROUND(IF('設定'!$B$9="税込",N($G360)*10/110,N($G360)*10/100),0),IF('設定'!$B$10="切り上げ",ROUNDUP(IF('設定'!$B$9="税込",N($G360)*10/110,N($G360)*10/100),0),ROUNDDOWN(IF('設定'!$B$9="税込",N($G360)*10/110,N($G360)*10/100),0))))</f>
        <v/>
      </c>
      <c r="K360" s="28">
        <f>IF($A360="","",IF('設定'!$B$10="四捨五入",ROUND(IF('設定'!$B$9="税込",N($H360)*8/108,N($H360)*8/100),0),IF('設定'!$B$10="切り上げ",ROUNDUP(IF('設定'!$B$9="税込",N($H360)*8/108,N($H360)*8/100),0),ROUNDDOWN(IF('設定'!$B$9="税込",N($H360)*8/108,N($H360)*8/100),0))))</f>
        <v/>
      </c>
      <c r="L360" s="28">
        <f>IF($A360="","",N($G360)+N($H360)+N($I360)+IF('設定'!$B$9="税込",0,$J360+$K360))</f>
        <v/>
      </c>
      <c r="M360" s="29">
        <f>IF(OR($A360="",NOT(ISNUMBER($W360)),NOT(ISNUMBER($X360))),"",IF(OR(INDEX('得意先'!$D$5:$D$104,$W360)="",INDEX('得意先'!$E$5:$E$104,$W360)="",INDEX('得意先'!$F$5:$F$104,$W360)=""),"",IF(INDEX('得意先'!$F$5:$F$104,$W360)="末",DATE(YEAR($X360),(MONTH($X360)+IF(INDEX('得意先'!$D$5:$D$104,$W360)="末",0,IF(DAY($X360)&lt;=INDEX('得意先'!$D$5:$D$104,$W360),0,1))+N(INDEX('得意先'!$E$5:$E$104,$W360)))+1,0),DATE(YEAR($X360),(MONTH($X360)+IF(INDEX('得意先'!$D$5:$D$104,$W360)="末",0,IF(DAY($X360)&lt;=INDEX('得意先'!$D$5:$D$104,$W360),0,1))+N(INDEX('得意先'!$E$5:$E$104,$W360))),MIN(INDEX('得意先'!$F$5:$F$104,$W360),DAY(DATE(YEAR($X360),(MONTH($X360)+IF(INDEX('得意先'!$D$5:$D$104,$W360)="末",0,IF(DAY($X360)&lt;=INDEX('得意先'!$D$5:$D$104,$W360),0,1))+N(INDEX('得意先'!$E$5:$E$104,$W360)))+1,0)))))))</f>
        <v/>
      </c>
      <c r="N360" s="26" t="n"/>
      <c r="O360" s="29">
        <f>IF($A360="","",IF(ISNUMBER($N360),$N360,$M360))</f>
        <v/>
      </c>
      <c r="P360" s="28">
        <f>IF($A360="","",SUMIF('入金消込'!$F$5:$F$1004,$A360,'入金消込'!$G$5:$G$1004))</f>
        <v/>
      </c>
      <c r="Q360" s="28">
        <f>IF($A360="","",SUMIF('入金消込'!$F$5:$F$1004,$A360,'入金消込'!$H$5:$H$1004)+SUMIF('入金消込'!$F$5:$F$1004,$A360,'入金消込'!$I$5:$I$1004))</f>
        <v/>
      </c>
      <c r="R360" s="28">
        <f>IF($A360="","",$L360-$P360-$Q360)</f>
        <v/>
      </c>
      <c r="S360" s="30">
        <f>IF($A360="","",IF($R360=0,IF($L360=0,"請求額0","回収済"),IF($L360&lt;0,IF($R360&lt;0,"差し引き待ち","差し引きすぎ"),IF($R360&lt;0,"入金が多い",IF($P360+$Q360=0,"未入金","一部入金")))))</f>
        <v/>
      </c>
      <c r="T360" s="31">
        <f>IF(OR($A360="",N($R360)&lt;=0,NOT(ISNUMBER($O360))),"",IF($O360&lt;'設定'!$B$7,'設定'!$B$7-$O360,""))</f>
        <v/>
      </c>
      <c r="U360" s="30">
        <f>IF(OR($A360="",N($R360)&lt;=0),"",IF(NOT(ISNUMBER($O360)),'設定'!$B$22,IF($O360&gt;='設定'!$B$7,'設定'!$B$17,IF('設定'!$B$7-$O360&lt;='設定'!$B$12,'設定'!$B$18,IF('設定'!$B$7-$O360&lt;='設定'!$B$13,'設定'!$B$19,IF('設定'!$B$7-$O360&lt;='設定'!$B$14,'設定'!$B$20,'設定'!$B$21))))))</f>
        <v/>
      </c>
      <c r="V360" s="56" t="n"/>
      <c r="W360" s="32">
        <f>IF($C360="","",IFERROR(MATCH($C360,'得意先'!$B$5:$B$104,0),"なし"))</f>
        <v/>
      </c>
      <c r="X360" s="33">
        <f>IF($A360="","",IF(ISNUMBER($E360),$E360,IF(ISNUMBER($B360),$B360,"")))</f>
        <v/>
      </c>
      <c r="Y360" s="34">
        <f>IF($T360="","",$O360+ROW()/1000000)</f>
        <v/>
      </c>
      <c r="Z360" s="35">
        <f>IF(OR($A360="",$C360="",$C360&lt;&gt;'売掛帳'!$B$3,NOT(ISNUMBER($X360))),"",IF(AND($X360&gt;='売掛帳'!$Q$3,$X360&lt;='売掛帳'!$Q$4),$X360+ROW()/10000000,""))</f>
        <v/>
      </c>
    </row>
    <row r="361" ht="18" customHeight="1">
      <c r="A361" s="18" t="n"/>
      <c r="B361" s="26" t="n"/>
      <c r="C361" s="18" t="n"/>
      <c r="D361" s="20">
        <f>IF($W361="","",IF($W361="なし","※得意先にないコード",INDEX('得意先'!$C$5:$C$104,$W361)&amp;""))</f>
        <v/>
      </c>
      <c r="E361" s="26" t="n"/>
      <c r="F361" s="19" t="n"/>
      <c r="G361" s="27" t="n"/>
      <c r="H361" s="27" t="n"/>
      <c r="I361" s="27" t="n"/>
      <c r="J361" s="28">
        <f>IF($A361="","",IF('設定'!$B$10="四捨五入",ROUND(IF('設定'!$B$9="税込",N($G361)*10/110,N($G361)*10/100),0),IF('設定'!$B$10="切り上げ",ROUNDUP(IF('設定'!$B$9="税込",N($G361)*10/110,N($G361)*10/100),0),ROUNDDOWN(IF('設定'!$B$9="税込",N($G361)*10/110,N($G361)*10/100),0))))</f>
        <v/>
      </c>
      <c r="K361" s="28">
        <f>IF($A361="","",IF('設定'!$B$10="四捨五入",ROUND(IF('設定'!$B$9="税込",N($H361)*8/108,N($H361)*8/100),0),IF('設定'!$B$10="切り上げ",ROUNDUP(IF('設定'!$B$9="税込",N($H361)*8/108,N($H361)*8/100),0),ROUNDDOWN(IF('設定'!$B$9="税込",N($H361)*8/108,N($H361)*8/100),0))))</f>
        <v/>
      </c>
      <c r="L361" s="28">
        <f>IF($A361="","",N($G361)+N($H361)+N($I361)+IF('設定'!$B$9="税込",0,$J361+$K361))</f>
        <v/>
      </c>
      <c r="M361" s="29">
        <f>IF(OR($A361="",NOT(ISNUMBER($W361)),NOT(ISNUMBER($X361))),"",IF(OR(INDEX('得意先'!$D$5:$D$104,$W361)="",INDEX('得意先'!$E$5:$E$104,$W361)="",INDEX('得意先'!$F$5:$F$104,$W361)=""),"",IF(INDEX('得意先'!$F$5:$F$104,$W361)="末",DATE(YEAR($X361),(MONTH($X361)+IF(INDEX('得意先'!$D$5:$D$104,$W361)="末",0,IF(DAY($X361)&lt;=INDEX('得意先'!$D$5:$D$104,$W361),0,1))+N(INDEX('得意先'!$E$5:$E$104,$W361)))+1,0),DATE(YEAR($X361),(MONTH($X361)+IF(INDEX('得意先'!$D$5:$D$104,$W361)="末",0,IF(DAY($X361)&lt;=INDEX('得意先'!$D$5:$D$104,$W361),0,1))+N(INDEX('得意先'!$E$5:$E$104,$W361))),MIN(INDEX('得意先'!$F$5:$F$104,$W361),DAY(DATE(YEAR($X361),(MONTH($X361)+IF(INDEX('得意先'!$D$5:$D$104,$W361)="末",0,IF(DAY($X361)&lt;=INDEX('得意先'!$D$5:$D$104,$W361),0,1))+N(INDEX('得意先'!$E$5:$E$104,$W361)))+1,0)))))))</f>
        <v/>
      </c>
      <c r="N361" s="26" t="n"/>
      <c r="O361" s="29">
        <f>IF($A361="","",IF(ISNUMBER($N361),$N361,$M361))</f>
        <v/>
      </c>
      <c r="P361" s="28">
        <f>IF($A361="","",SUMIF('入金消込'!$F$5:$F$1004,$A361,'入金消込'!$G$5:$G$1004))</f>
        <v/>
      </c>
      <c r="Q361" s="28">
        <f>IF($A361="","",SUMIF('入金消込'!$F$5:$F$1004,$A361,'入金消込'!$H$5:$H$1004)+SUMIF('入金消込'!$F$5:$F$1004,$A361,'入金消込'!$I$5:$I$1004))</f>
        <v/>
      </c>
      <c r="R361" s="28">
        <f>IF($A361="","",$L361-$P361-$Q361)</f>
        <v/>
      </c>
      <c r="S361" s="30">
        <f>IF($A361="","",IF($R361=0,IF($L361=0,"請求額0","回収済"),IF($L361&lt;0,IF($R361&lt;0,"差し引き待ち","差し引きすぎ"),IF($R361&lt;0,"入金が多い",IF($P361+$Q361=0,"未入金","一部入金")))))</f>
        <v/>
      </c>
      <c r="T361" s="31">
        <f>IF(OR($A361="",N($R361)&lt;=0,NOT(ISNUMBER($O361))),"",IF($O361&lt;'設定'!$B$7,'設定'!$B$7-$O361,""))</f>
        <v/>
      </c>
      <c r="U361" s="30">
        <f>IF(OR($A361="",N($R361)&lt;=0),"",IF(NOT(ISNUMBER($O361)),'設定'!$B$22,IF($O361&gt;='設定'!$B$7,'設定'!$B$17,IF('設定'!$B$7-$O361&lt;='設定'!$B$12,'設定'!$B$18,IF('設定'!$B$7-$O361&lt;='設定'!$B$13,'設定'!$B$19,IF('設定'!$B$7-$O361&lt;='設定'!$B$14,'設定'!$B$20,'設定'!$B$21))))))</f>
        <v/>
      </c>
      <c r="V361" s="56" t="n"/>
      <c r="W361" s="32">
        <f>IF($C361="","",IFERROR(MATCH($C361,'得意先'!$B$5:$B$104,0),"なし"))</f>
        <v/>
      </c>
      <c r="X361" s="33">
        <f>IF($A361="","",IF(ISNUMBER($E361),$E361,IF(ISNUMBER($B361),$B361,"")))</f>
        <v/>
      </c>
      <c r="Y361" s="34">
        <f>IF($T361="","",$O361+ROW()/1000000)</f>
        <v/>
      </c>
      <c r="Z361" s="35">
        <f>IF(OR($A361="",$C361="",$C361&lt;&gt;'売掛帳'!$B$3,NOT(ISNUMBER($X361))),"",IF(AND($X361&gt;='売掛帳'!$Q$3,$X361&lt;='売掛帳'!$Q$4),$X361+ROW()/10000000,""))</f>
        <v/>
      </c>
    </row>
    <row r="362" ht="18" customHeight="1">
      <c r="A362" s="18" t="n"/>
      <c r="B362" s="26" t="n"/>
      <c r="C362" s="18" t="n"/>
      <c r="D362" s="20">
        <f>IF($W362="","",IF($W362="なし","※得意先にないコード",INDEX('得意先'!$C$5:$C$104,$W362)&amp;""))</f>
        <v/>
      </c>
      <c r="E362" s="26" t="n"/>
      <c r="F362" s="19" t="n"/>
      <c r="G362" s="27" t="n"/>
      <c r="H362" s="27" t="n"/>
      <c r="I362" s="27" t="n"/>
      <c r="J362" s="28">
        <f>IF($A362="","",IF('設定'!$B$10="四捨五入",ROUND(IF('設定'!$B$9="税込",N($G362)*10/110,N($G362)*10/100),0),IF('設定'!$B$10="切り上げ",ROUNDUP(IF('設定'!$B$9="税込",N($G362)*10/110,N($G362)*10/100),0),ROUNDDOWN(IF('設定'!$B$9="税込",N($G362)*10/110,N($G362)*10/100),0))))</f>
        <v/>
      </c>
      <c r="K362" s="28">
        <f>IF($A362="","",IF('設定'!$B$10="四捨五入",ROUND(IF('設定'!$B$9="税込",N($H362)*8/108,N($H362)*8/100),0),IF('設定'!$B$10="切り上げ",ROUNDUP(IF('設定'!$B$9="税込",N($H362)*8/108,N($H362)*8/100),0),ROUNDDOWN(IF('設定'!$B$9="税込",N($H362)*8/108,N($H362)*8/100),0))))</f>
        <v/>
      </c>
      <c r="L362" s="28">
        <f>IF($A362="","",N($G362)+N($H362)+N($I362)+IF('設定'!$B$9="税込",0,$J362+$K362))</f>
        <v/>
      </c>
      <c r="M362" s="29">
        <f>IF(OR($A362="",NOT(ISNUMBER($W362)),NOT(ISNUMBER($X362))),"",IF(OR(INDEX('得意先'!$D$5:$D$104,$W362)="",INDEX('得意先'!$E$5:$E$104,$W362)="",INDEX('得意先'!$F$5:$F$104,$W362)=""),"",IF(INDEX('得意先'!$F$5:$F$104,$W362)="末",DATE(YEAR($X362),(MONTH($X362)+IF(INDEX('得意先'!$D$5:$D$104,$W362)="末",0,IF(DAY($X362)&lt;=INDEX('得意先'!$D$5:$D$104,$W362),0,1))+N(INDEX('得意先'!$E$5:$E$104,$W362)))+1,0),DATE(YEAR($X362),(MONTH($X362)+IF(INDEX('得意先'!$D$5:$D$104,$W362)="末",0,IF(DAY($X362)&lt;=INDEX('得意先'!$D$5:$D$104,$W362),0,1))+N(INDEX('得意先'!$E$5:$E$104,$W362))),MIN(INDEX('得意先'!$F$5:$F$104,$W362),DAY(DATE(YEAR($X362),(MONTH($X362)+IF(INDEX('得意先'!$D$5:$D$104,$W362)="末",0,IF(DAY($X362)&lt;=INDEX('得意先'!$D$5:$D$104,$W362),0,1))+N(INDEX('得意先'!$E$5:$E$104,$W362)))+1,0)))))))</f>
        <v/>
      </c>
      <c r="N362" s="26" t="n"/>
      <c r="O362" s="29">
        <f>IF($A362="","",IF(ISNUMBER($N362),$N362,$M362))</f>
        <v/>
      </c>
      <c r="P362" s="28">
        <f>IF($A362="","",SUMIF('入金消込'!$F$5:$F$1004,$A362,'入金消込'!$G$5:$G$1004))</f>
        <v/>
      </c>
      <c r="Q362" s="28">
        <f>IF($A362="","",SUMIF('入金消込'!$F$5:$F$1004,$A362,'入金消込'!$H$5:$H$1004)+SUMIF('入金消込'!$F$5:$F$1004,$A362,'入金消込'!$I$5:$I$1004))</f>
        <v/>
      </c>
      <c r="R362" s="28">
        <f>IF($A362="","",$L362-$P362-$Q362)</f>
        <v/>
      </c>
      <c r="S362" s="30">
        <f>IF($A362="","",IF($R362=0,IF($L362=0,"請求額0","回収済"),IF($L362&lt;0,IF($R362&lt;0,"差し引き待ち","差し引きすぎ"),IF($R362&lt;0,"入金が多い",IF($P362+$Q362=0,"未入金","一部入金")))))</f>
        <v/>
      </c>
      <c r="T362" s="31">
        <f>IF(OR($A362="",N($R362)&lt;=0,NOT(ISNUMBER($O362))),"",IF($O362&lt;'設定'!$B$7,'設定'!$B$7-$O362,""))</f>
        <v/>
      </c>
      <c r="U362" s="30">
        <f>IF(OR($A362="",N($R362)&lt;=0),"",IF(NOT(ISNUMBER($O362)),'設定'!$B$22,IF($O362&gt;='設定'!$B$7,'設定'!$B$17,IF('設定'!$B$7-$O362&lt;='設定'!$B$12,'設定'!$B$18,IF('設定'!$B$7-$O362&lt;='設定'!$B$13,'設定'!$B$19,IF('設定'!$B$7-$O362&lt;='設定'!$B$14,'設定'!$B$20,'設定'!$B$21))))))</f>
        <v/>
      </c>
      <c r="V362" s="56" t="n"/>
      <c r="W362" s="32">
        <f>IF($C362="","",IFERROR(MATCH($C362,'得意先'!$B$5:$B$104,0),"なし"))</f>
        <v/>
      </c>
      <c r="X362" s="33">
        <f>IF($A362="","",IF(ISNUMBER($E362),$E362,IF(ISNUMBER($B362),$B362,"")))</f>
        <v/>
      </c>
      <c r="Y362" s="34">
        <f>IF($T362="","",$O362+ROW()/1000000)</f>
        <v/>
      </c>
      <c r="Z362" s="35">
        <f>IF(OR($A362="",$C362="",$C362&lt;&gt;'売掛帳'!$B$3,NOT(ISNUMBER($X362))),"",IF(AND($X362&gt;='売掛帳'!$Q$3,$X362&lt;='売掛帳'!$Q$4),$X362+ROW()/10000000,""))</f>
        <v/>
      </c>
    </row>
    <row r="363" ht="18" customHeight="1">
      <c r="A363" s="18" t="n"/>
      <c r="B363" s="26" t="n"/>
      <c r="C363" s="18" t="n"/>
      <c r="D363" s="20">
        <f>IF($W363="","",IF($W363="なし","※得意先にないコード",INDEX('得意先'!$C$5:$C$104,$W363)&amp;""))</f>
        <v/>
      </c>
      <c r="E363" s="26" t="n"/>
      <c r="F363" s="19" t="n"/>
      <c r="G363" s="27" t="n"/>
      <c r="H363" s="27" t="n"/>
      <c r="I363" s="27" t="n"/>
      <c r="J363" s="28">
        <f>IF($A363="","",IF('設定'!$B$10="四捨五入",ROUND(IF('設定'!$B$9="税込",N($G363)*10/110,N($G363)*10/100),0),IF('設定'!$B$10="切り上げ",ROUNDUP(IF('設定'!$B$9="税込",N($G363)*10/110,N($G363)*10/100),0),ROUNDDOWN(IF('設定'!$B$9="税込",N($G363)*10/110,N($G363)*10/100),0))))</f>
        <v/>
      </c>
      <c r="K363" s="28">
        <f>IF($A363="","",IF('設定'!$B$10="四捨五入",ROUND(IF('設定'!$B$9="税込",N($H363)*8/108,N($H363)*8/100),0),IF('設定'!$B$10="切り上げ",ROUNDUP(IF('設定'!$B$9="税込",N($H363)*8/108,N($H363)*8/100),0),ROUNDDOWN(IF('設定'!$B$9="税込",N($H363)*8/108,N($H363)*8/100),0))))</f>
        <v/>
      </c>
      <c r="L363" s="28">
        <f>IF($A363="","",N($G363)+N($H363)+N($I363)+IF('設定'!$B$9="税込",0,$J363+$K363))</f>
        <v/>
      </c>
      <c r="M363" s="29">
        <f>IF(OR($A363="",NOT(ISNUMBER($W363)),NOT(ISNUMBER($X363))),"",IF(OR(INDEX('得意先'!$D$5:$D$104,$W363)="",INDEX('得意先'!$E$5:$E$104,$W363)="",INDEX('得意先'!$F$5:$F$104,$W363)=""),"",IF(INDEX('得意先'!$F$5:$F$104,$W363)="末",DATE(YEAR($X363),(MONTH($X363)+IF(INDEX('得意先'!$D$5:$D$104,$W363)="末",0,IF(DAY($X363)&lt;=INDEX('得意先'!$D$5:$D$104,$W363),0,1))+N(INDEX('得意先'!$E$5:$E$104,$W363)))+1,0),DATE(YEAR($X363),(MONTH($X363)+IF(INDEX('得意先'!$D$5:$D$104,$W363)="末",0,IF(DAY($X363)&lt;=INDEX('得意先'!$D$5:$D$104,$W363),0,1))+N(INDEX('得意先'!$E$5:$E$104,$W363))),MIN(INDEX('得意先'!$F$5:$F$104,$W363),DAY(DATE(YEAR($X363),(MONTH($X363)+IF(INDEX('得意先'!$D$5:$D$104,$W363)="末",0,IF(DAY($X363)&lt;=INDEX('得意先'!$D$5:$D$104,$W363),0,1))+N(INDEX('得意先'!$E$5:$E$104,$W363)))+1,0)))))))</f>
        <v/>
      </c>
      <c r="N363" s="26" t="n"/>
      <c r="O363" s="29">
        <f>IF($A363="","",IF(ISNUMBER($N363),$N363,$M363))</f>
        <v/>
      </c>
      <c r="P363" s="28">
        <f>IF($A363="","",SUMIF('入金消込'!$F$5:$F$1004,$A363,'入金消込'!$G$5:$G$1004))</f>
        <v/>
      </c>
      <c r="Q363" s="28">
        <f>IF($A363="","",SUMIF('入金消込'!$F$5:$F$1004,$A363,'入金消込'!$H$5:$H$1004)+SUMIF('入金消込'!$F$5:$F$1004,$A363,'入金消込'!$I$5:$I$1004))</f>
        <v/>
      </c>
      <c r="R363" s="28">
        <f>IF($A363="","",$L363-$P363-$Q363)</f>
        <v/>
      </c>
      <c r="S363" s="30">
        <f>IF($A363="","",IF($R363=0,IF($L363=0,"請求額0","回収済"),IF($L363&lt;0,IF($R363&lt;0,"差し引き待ち","差し引きすぎ"),IF($R363&lt;0,"入金が多い",IF($P363+$Q363=0,"未入金","一部入金")))))</f>
        <v/>
      </c>
      <c r="T363" s="31">
        <f>IF(OR($A363="",N($R363)&lt;=0,NOT(ISNUMBER($O363))),"",IF($O363&lt;'設定'!$B$7,'設定'!$B$7-$O363,""))</f>
        <v/>
      </c>
      <c r="U363" s="30">
        <f>IF(OR($A363="",N($R363)&lt;=0),"",IF(NOT(ISNUMBER($O363)),'設定'!$B$22,IF($O363&gt;='設定'!$B$7,'設定'!$B$17,IF('設定'!$B$7-$O363&lt;='設定'!$B$12,'設定'!$B$18,IF('設定'!$B$7-$O363&lt;='設定'!$B$13,'設定'!$B$19,IF('設定'!$B$7-$O363&lt;='設定'!$B$14,'設定'!$B$20,'設定'!$B$21))))))</f>
        <v/>
      </c>
      <c r="V363" s="56" t="n"/>
      <c r="W363" s="32">
        <f>IF($C363="","",IFERROR(MATCH($C363,'得意先'!$B$5:$B$104,0),"なし"))</f>
        <v/>
      </c>
      <c r="X363" s="33">
        <f>IF($A363="","",IF(ISNUMBER($E363),$E363,IF(ISNUMBER($B363),$B363,"")))</f>
        <v/>
      </c>
      <c r="Y363" s="34">
        <f>IF($T363="","",$O363+ROW()/1000000)</f>
        <v/>
      </c>
      <c r="Z363" s="35">
        <f>IF(OR($A363="",$C363="",$C363&lt;&gt;'売掛帳'!$B$3,NOT(ISNUMBER($X363))),"",IF(AND($X363&gt;='売掛帳'!$Q$3,$X363&lt;='売掛帳'!$Q$4),$X363+ROW()/10000000,""))</f>
        <v/>
      </c>
    </row>
    <row r="364" ht="18" customHeight="1">
      <c r="A364" s="18" t="n"/>
      <c r="B364" s="26" t="n"/>
      <c r="C364" s="18" t="n"/>
      <c r="D364" s="20">
        <f>IF($W364="","",IF($W364="なし","※得意先にないコード",INDEX('得意先'!$C$5:$C$104,$W364)&amp;""))</f>
        <v/>
      </c>
      <c r="E364" s="26" t="n"/>
      <c r="F364" s="19" t="n"/>
      <c r="G364" s="27" t="n"/>
      <c r="H364" s="27" t="n"/>
      <c r="I364" s="27" t="n"/>
      <c r="J364" s="28">
        <f>IF($A364="","",IF('設定'!$B$10="四捨五入",ROUND(IF('設定'!$B$9="税込",N($G364)*10/110,N($G364)*10/100),0),IF('設定'!$B$10="切り上げ",ROUNDUP(IF('設定'!$B$9="税込",N($G364)*10/110,N($G364)*10/100),0),ROUNDDOWN(IF('設定'!$B$9="税込",N($G364)*10/110,N($G364)*10/100),0))))</f>
        <v/>
      </c>
      <c r="K364" s="28">
        <f>IF($A364="","",IF('設定'!$B$10="四捨五入",ROUND(IF('設定'!$B$9="税込",N($H364)*8/108,N($H364)*8/100),0),IF('設定'!$B$10="切り上げ",ROUNDUP(IF('設定'!$B$9="税込",N($H364)*8/108,N($H364)*8/100),0),ROUNDDOWN(IF('設定'!$B$9="税込",N($H364)*8/108,N($H364)*8/100),0))))</f>
        <v/>
      </c>
      <c r="L364" s="28">
        <f>IF($A364="","",N($G364)+N($H364)+N($I364)+IF('設定'!$B$9="税込",0,$J364+$K364))</f>
        <v/>
      </c>
      <c r="M364" s="29">
        <f>IF(OR($A364="",NOT(ISNUMBER($W364)),NOT(ISNUMBER($X364))),"",IF(OR(INDEX('得意先'!$D$5:$D$104,$W364)="",INDEX('得意先'!$E$5:$E$104,$W364)="",INDEX('得意先'!$F$5:$F$104,$W364)=""),"",IF(INDEX('得意先'!$F$5:$F$104,$W364)="末",DATE(YEAR($X364),(MONTH($X364)+IF(INDEX('得意先'!$D$5:$D$104,$W364)="末",0,IF(DAY($X364)&lt;=INDEX('得意先'!$D$5:$D$104,$W364),0,1))+N(INDEX('得意先'!$E$5:$E$104,$W364)))+1,0),DATE(YEAR($X364),(MONTH($X364)+IF(INDEX('得意先'!$D$5:$D$104,$W364)="末",0,IF(DAY($X364)&lt;=INDEX('得意先'!$D$5:$D$104,$W364),0,1))+N(INDEX('得意先'!$E$5:$E$104,$W364))),MIN(INDEX('得意先'!$F$5:$F$104,$W364),DAY(DATE(YEAR($X364),(MONTH($X364)+IF(INDEX('得意先'!$D$5:$D$104,$W364)="末",0,IF(DAY($X364)&lt;=INDEX('得意先'!$D$5:$D$104,$W364),0,1))+N(INDEX('得意先'!$E$5:$E$104,$W364)))+1,0)))))))</f>
        <v/>
      </c>
      <c r="N364" s="26" t="n"/>
      <c r="O364" s="29">
        <f>IF($A364="","",IF(ISNUMBER($N364),$N364,$M364))</f>
        <v/>
      </c>
      <c r="P364" s="28">
        <f>IF($A364="","",SUMIF('入金消込'!$F$5:$F$1004,$A364,'入金消込'!$G$5:$G$1004))</f>
        <v/>
      </c>
      <c r="Q364" s="28">
        <f>IF($A364="","",SUMIF('入金消込'!$F$5:$F$1004,$A364,'入金消込'!$H$5:$H$1004)+SUMIF('入金消込'!$F$5:$F$1004,$A364,'入金消込'!$I$5:$I$1004))</f>
        <v/>
      </c>
      <c r="R364" s="28">
        <f>IF($A364="","",$L364-$P364-$Q364)</f>
        <v/>
      </c>
      <c r="S364" s="30">
        <f>IF($A364="","",IF($R364=0,IF($L364=0,"請求額0","回収済"),IF($L364&lt;0,IF($R364&lt;0,"差し引き待ち","差し引きすぎ"),IF($R364&lt;0,"入金が多い",IF($P364+$Q364=0,"未入金","一部入金")))))</f>
        <v/>
      </c>
      <c r="T364" s="31">
        <f>IF(OR($A364="",N($R364)&lt;=0,NOT(ISNUMBER($O364))),"",IF($O364&lt;'設定'!$B$7,'設定'!$B$7-$O364,""))</f>
        <v/>
      </c>
      <c r="U364" s="30">
        <f>IF(OR($A364="",N($R364)&lt;=0),"",IF(NOT(ISNUMBER($O364)),'設定'!$B$22,IF($O364&gt;='設定'!$B$7,'設定'!$B$17,IF('設定'!$B$7-$O364&lt;='設定'!$B$12,'設定'!$B$18,IF('設定'!$B$7-$O364&lt;='設定'!$B$13,'設定'!$B$19,IF('設定'!$B$7-$O364&lt;='設定'!$B$14,'設定'!$B$20,'設定'!$B$21))))))</f>
        <v/>
      </c>
      <c r="V364" s="56" t="n"/>
      <c r="W364" s="32">
        <f>IF($C364="","",IFERROR(MATCH($C364,'得意先'!$B$5:$B$104,0),"なし"))</f>
        <v/>
      </c>
      <c r="X364" s="33">
        <f>IF($A364="","",IF(ISNUMBER($E364),$E364,IF(ISNUMBER($B364),$B364,"")))</f>
        <v/>
      </c>
      <c r="Y364" s="34">
        <f>IF($T364="","",$O364+ROW()/1000000)</f>
        <v/>
      </c>
      <c r="Z364" s="35">
        <f>IF(OR($A364="",$C364="",$C364&lt;&gt;'売掛帳'!$B$3,NOT(ISNUMBER($X364))),"",IF(AND($X364&gt;='売掛帳'!$Q$3,$X364&lt;='売掛帳'!$Q$4),$X364+ROW()/10000000,""))</f>
        <v/>
      </c>
    </row>
    <row r="365" ht="18" customHeight="1">
      <c r="A365" s="18" t="n"/>
      <c r="B365" s="26" t="n"/>
      <c r="C365" s="18" t="n"/>
      <c r="D365" s="20">
        <f>IF($W365="","",IF($W365="なし","※得意先にないコード",INDEX('得意先'!$C$5:$C$104,$W365)&amp;""))</f>
        <v/>
      </c>
      <c r="E365" s="26" t="n"/>
      <c r="F365" s="19" t="n"/>
      <c r="G365" s="27" t="n"/>
      <c r="H365" s="27" t="n"/>
      <c r="I365" s="27" t="n"/>
      <c r="J365" s="28">
        <f>IF($A365="","",IF('設定'!$B$10="四捨五入",ROUND(IF('設定'!$B$9="税込",N($G365)*10/110,N($G365)*10/100),0),IF('設定'!$B$10="切り上げ",ROUNDUP(IF('設定'!$B$9="税込",N($G365)*10/110,N($G365)*10/100),0),ROUNDDOWN(IF('設定'!$B$9="税込",N($G365)*10/110,N($G365)*10/100),0))))</f>
        <v/>
      </c>
      <c r="K365" s="28">
        <f>IF($A365="","",IF('設定'!$B$10="四捨五入",ROUND(IF('設定'!$B$9="税込",N($H365)*8/108,N($H365)*8/100),0),IF('設定'!$B$10="切り上げ",ROUNDUP(IF('設定'!$B$9="税込",N($H365)*8/108,N($H365)*8/100),0),ROUNDDOWN(IF('設定'!$B$9="税込",N($H365)*8/108,N($H365)*8/100),0))))</f>
        <v/>
      </c>
      <c r="L365" s="28">
        <f>IF($A365="","",N($G365)+N($H365)+N($I365)+IF('設定'!$B$9="税込",0,$J365+$K365))</f>
        <v/>
      </c>
      <c r="M365" s="29">
        <f>IF(OR($A365="",NOT(ISNUMBER($W365)),NOT(ISNUMBER($X365))),"",IF(OR(INDEX('得意先'!$D$5:$D$104,$W365)="",INDEX('得意先'!$E$5:$E$104,$W365)="",INDEX('得意先'!$F$5:$F$104,$W365)=""),"",IF(INDEX('得意先'!$F$5:$F$104,$W365)="末",DATE(YEAR($X365),(MONTH($X365)+IF(INDEX('得意先'!$D$5:$D$104,$W365)="末",0,IF(DAY($X365)&lt;=INDEX('得意先'!$D$5:$D$104,$W365),0,1))+N(INDEX('得意先'!$E$5:$E$104,$W365)))+1,0),DATE(YEAR($X365),(MONTH($X365)+IF(INDEX('得意先'!$D$5:$D$104,$W365)="末",0,IF(DAY($X365)&lt;=INDEX('得意先'!$D$5:$D$104,$W365),0,1))+N(INDEX('得意先'!$E$5:$E$104,$W365))),MIN(INDEX('得意先'!$F$5:$F$104,$W365),DAY(DATE(YEAR($X365),(MONTH($X365)+IF(INDEX('得意先'!$D$5:$D$104,$W365)="末",0,IF(DAY($X365)&lt;=INDEX('得意先'!$D$5:$D$104,$W365),0,1))+N(INDEX('得意先'!$E$5:$E$104,$W365)))+1,0)))))))</f>
        <v/>
      </c>
      <c r="N365" s="26" t="n"/>
      <c r="O365" s="29">
        <f>IF($A365="","",IF(ISNUMBER($N365),$N365,$M365))</f>
        <v/>
      </c>
      <c r="P365" s="28">
        <f>IF($A365="","",SUMIF('入金消込'!$F$5:$F$1004,$A365,'入金消込'!$G$5:$G$1004))</f>
        <v/>
      </c>
      <c r="Q365" s="28">
        <f>IF($A365="","",SUMIF('入金消込'!$F$5:$F$1004,$A365,'入金消込'!$H$5:$H$1004)+SUMIF('入金消込'!$F$5:$F$1004,$A365,'入金消込'!$I$5:$I$1004))</f>
        <v/>
      </c>
      <c r="R365" s="28">
        <f>IF($A365="","",$L365-$P365-$Q365)</f>
        <v/>
      </c>
      <c r="S365" s="30">
        <f>IF($A365="","",IF($R365=0,IF($L365=0,"請求額0","回収済"),IF($L365&lt;0,IF($R365&lt;0,"差し引き待ち","差し引きすぎ"),IF($R365&lt;0,"入金が多い",IF($P365+$Q365=0,"未入金","一部入金")))))</f>
        <v/>
      </c>
      <c r="T365" s="31">
        <f>IF(OR($A365="",N($R365)&lt;=0,NOT(ISNUMBER($O365))),"",IF($O365&lt;'設定'!$B$7,'設定'!$B$7-$O365,""))</f>
        <v/>
      </c>
      <c r="U365" s="30">
        <f>IF(OR($A365="",N($R365)&lt;=0),"",IF(NOT(ISNUMBER($O365)),'設定'!$B$22,IF($O365&gt;='設定'!$B$7,'設定'!$B$17,IF('設定'!$B$7-$O365&lt;='設定'!$B$12,'設定'!$B$18,IF('設定'!$B$7-$O365&lt;='設定'!$B$13,'設定'!$B$19,IF('設定'!$B$7-$O365&lt;='設定'!$B$14,'設定'!$B$20,'設定'!$B$21))))))</f>
        <v/>
      </c>
      <c r="V365" s="56" t="n"/>
      <c r="W365" s="32">
        <f>IF($C365="","",IFERROR(MATCH($C365,'得意先'!$B$5:$B$104,0),"なし"))</f>
        <v/>
      </c>
      <c r="X365" s="33">
        <f>IF($A365="","",IF(ISNUMBER($E365),$E365,IF(ISNUMBER($B365),$B365,"")))</f>
        <v/>
      </c>
      <c r="Y365" s="34">
        <f>IF($T365="","",$O365+ROW()/1000000)</f>
        <v/>
      </c>
      <c r="Z365" s="35">
        <f>IF(OR($A365="",$C365="",$C365&lt;&gt;'売掛帳'!$B$3,NOT(ISNUMBER($X365))),"",IF(AND($X365&gt;='売掛帳'!$Q$3,$X365&lt;='売掛帳'!$Q$4),$X365+ROW()/10000000,""))</f>
        <v/>
      </c>
    </row>
    <row r="366" ht="18" customHeight="1">
      <c r="A366" s="18" t="n"/>
      <c r="B366" s="26" t="n"/>
      <c r="C366" s="18" t="n"/>
      <c r="D366" s="20">
        <f>IF($W366="","",IF($W366="なし","※得意先にないコード",INDEX('得意先'!$C$5:$C$104,$W366)&amp;""))</f>
        <v/>
      </c>
      <c r="E366" s="26" t="n"/>
      <c r="F366" s="19" t="n"/>
      <c r="G366" s="27" t="n"/>
      <c r="H366" s="27" t="n"/>
      <c r="I366" s="27" t="n"/>
      <c r="J366" s="28">
        <f>IF($A366="","",IF('設定'!$B$10="四捨五入",ROUND(IF('設定'!$B$9="税込",N($G366)*10/110,N($G366)*10/100),0),IF('設定'!$B$10="切り上げ",ROUNDUP(IF('設定'!$B$9="税込",N($G366)*10/110,N($G366)*10/100),0),ROUNDDOWN(IF('設定'!$B$9="税込",N($G366)*10/110,N($G366)*10/100),0))))</f>
        <v/>
      </c>
      <c r="K366" s="28">
        <f>IF($A366="","",IF('設定'!$B$10="四捨五入",ROUND(IF('設定'!$B$9="税込",N($H366)*8/108,N($H366)*8/100),0),IF('設定'!$B$10="切り上げ",ROUNDUP(IF('設定'!$B$9="税込",N($H366)*8/108,N($H366)*8/100),0),ROUNDDOWN(IF('設定'!$B$9="税込",N($H366)*8/108,N($H366)*8/100),0))))</f>
        <v/>
      </c>
      <c r="L366" s="28">
        <f>IF($A366="","",N($G366)+N($H366)+N($I366)+IF('設定'!$B$9="税込",0,$J366+$K366))</f>
        <v/>
      </c>
      <c r="M366" s="29">
        <f>IF(OR($A366="",NOT(ISNUMBER($W366)),NOT(ISNUMBER($X366))),"",IF(OR(INDEX('得意先'!$D$5:$D$104,$W366)="",INDEX('得意先'!$E$5:$E$104,$W366)="",INDEX('得意先'!$F$5:$F$104,$W366)=""),"",IF(INDEX('得意先'!$F$5:$F$104,$W366)="末",DATE(YEAR($X366),(MONTH($X366)+IF(INDEX('得意先'!$D$5:$D$104,$W366)="末",0,IF(DAY($X366)&lt;=INDEX('得意先'!$D$5:$D$104,$W366),0,1))+N(INDEX('得意先'!$E$5:$E$104,$W366)))+1,0),DATE(YEAR($X366),(MONTH($X366)+IF(INDEX('得意先'!$D$5:$D$104,$W366)="末",0,IF(DAY($X366)&lt;=INDEX('得意先'!$D$5:$D$104,$W366),0,1))+N(INDEX('得意先'!$E$5:$E$104,$W366))),MIN(INDEX('得意先'!$F$5:$F$104,$W366),DAY(DATE(YEAR($X366),(MONTH($X366)+IF(INDEX('得意先'!$D$5:$D$104,$W366)="末",0,IF(DAY($X366)&lt;=INDEX('得意先'!$D$5:$D$104,$W366),0,1))+N(INDEX('得意先'!$E$5:$E$104,$W366)))+1,0)))))))</f>
        <v/>
      </c>
      <c r="N366" s="26" t="n"/>
      <c r="O366" s="29">
        <f>IF($A366="","",IF(ISNUMBER($N366),$N366,$M366))</f>
        <v/>
      </c>
      <c r="P366" s="28">
        <f>IF($A366="","",SUMIF('入金消込'!$F$5:$F$1004,$A366,'入金消込'!$G$5:$G$1004))</f>
        <v/>
      </c>
      <c r="Q366" s="28">
        <f>IF($A366="","",SUMIF('入金消込'!$F$5:$F$1004,$A366,'入金消込'!$H$5:$H$1004)+SUMIF('入金消込'!$F$5:$F$1004,$A366,'入金消込'!$I$5:$I$1004))</f>
        <v/>
      </c>
      <c r="R366" s="28">
        <f>IF($A366="","",$L366-$P366-$Q366)</f>
        <v/>
      </c>
      <c r="S366" s="30">
        <f>IF($A366="","",IF($R366=0,IF($L366=0,"請求額0","回収済"),IF($L366&lt;0,IF($R366&lt;0,"差し引き待ち","差し引きすぎ"),IF($R366&lt;0,"入金が多い",IF($P366+$Q366=0,"未入金","一部入金")))))</f>
        <v/>
      </c>
      <c r="T366" s="31">
        <f>IF(OR($A366="",N($R366)&lt;=0,NOT(ISNUMBER($O366))),"",IF($O366&lt;'設定'!$B$7,'設定'!$B$7-$O366,""))</f>
        <v/>
      </c>
      <c r="U366" s="30">
        <f>IF(OR($A366="",N($R366)&lt;=0),"",IF(NOT(ISNUMBER($O366)),'設定'!$B$22,IF($O366&gt;='設定'!$B$7,'設定'!$B$17,IF('設定'!$B$7-$O366&lt;='設定'!$B$12,'設定'!$B$18,IF('設定'!$B$7-$O366&lt;='設定'!$B$13,'設定'!$B$19,IF('設定'!$B$7-$O366&lt;='設定'!$B$14,'設定'!$B$20,'設定'!$B$21))))))</f>
        <v/>
      </c>
      <c r="V366" s="56" t="n"/>
      <c r="W366" s="32">
        <f>IF($C366="","",IFERROR(MATCH($C366,'得意先'!$B$5:$B$104,0),"なし"))</f>
        <v/>
      </c>
      <c r="X366" s="33">
        <f>IF($A366="","",IF(ISNUMBER($E366),$E366,IF(ISNUMBER($B366),$B366,"")))</f>
        <v/>
      </c>
      <c r="Y366" s="34">
        <f>IF($T366="","",$O366+ROW()/1000000)</f>
        <v/>
      </c>
      <c r="Z366" s="35">
        <f>IF(OR($A366="",$C366="",$C366&lt;&gt;'売掛帳'!$B$3,NOT(ISNUMBER($X366))),"",IF(AND($X366&gt;='売掛帳'!$Q$3,$X366&lt;='売掛帳'!$Q$4),$X366+ROW()/10000000,""))</f>
        <v/>
      </c>
    </row>
    <row r="367" ht="18" customHeight="1">
      <c r="A367" s="18" t="n"/>
      <c r="B367" s="26" t="n"/>
      <c r="C367" s="18" t="n"/>
      <c r="D367" s="20">
        <f>IF($W367="","",IF($W367="なし","※得意先にないコード",INDEX('得意先'!$C$5:$C$104,$W367)&amp;""))</f>
        <v/>
      </c>
      <c r="E367" s="26" t="n"/>
      <c r="F367" s="19" t="n"/>
      <c r="G367" s="27" t="n"/>
      <c r="H367" s="27" t="n"/>
      <c r="I367" s="27" t="n"/>
      <c r="J367" s="28">
        <f>IF($A367="","",IF('設定'!$B$10="四捨五入",ROUND(IF('設定'!$B$9="税込",N($G367)*10/110,N($G367)*10/100),0),IF('設定'!$B$10="切り上げ",ROUNDUP(IF('設定'!$B$9="税込",N($G367)*10/110,N($G367)*10/100),0),ROUNDDOWN(IF('設定'!$B$9="税込",N($G367)*10/110,N($G367)*10/100),0))))</f>
        <v/>
      </c>
      <c r="K367" s="28">
        <f>IF($A367="","",IF('設定'!$B$10="四捨五入",ROUND(IF('設定'!$B$9="税込",N($H367)*8/108,N($H367)*8/100),0),IF('設定'!$B$10="切り上げ",ROUNDUP(IF('設定'!$B$9="税込",N($H367)*8/108,N($H367)*8/100),0),ROUNDDOWN(IF('設定'!$B$9="税込",N($H367)*8/108,N($H367)*8/100),0))))</f>
        <v/>
      </c>
      <c r="L367" s="28">
        <f>IF($A367="","",N($G367)+N($H367)+N($I367)+IF('設定'!$B$9="税込",0,$J367+$K367))</f>
        <v/>
      </c>
      <c r="M367" s="29">
        <f>IF(OR($A367="",NOT(ISNUMBER($W367)),NOT(ISNUMBER($X367))),"",IF(OR(INDEX('得意先'!$D$5:$D$104,$W367)="",INDEX('得意先'!$E$5:$E$104,$W367)="",INDEX('得意先'!$F$5:$F$104,$W367)=""),"",IF(INDEX('得意先'!$F$5:$F$104,$W367)="末",DATE(YEAR($X367),(MONTH($X367)+IF(INDEX('得意先'!$D$5:$D$104,$W367)="末",0,IF(DAY($X367)&lt;=INDEX('得意先'!$D$5:$D$104,$W367),0,1))+N(INDEX('得意先'!$E$5:$E$104,$W367)))+1,0),DATE(YEAR($X367),(MONTH($X367)+IF(INDEX('得意先'!$D$5:$D$104,$W367)="末",0,IF(DAY($X367)&lt;=INDEX('得意先'!$D$5:$D$104,$W367),0,1))+N(INDEX('得意先'!$E$5:$E$104,$W367))),MIN(INDEX('得意先'!$F$5:$F$104,$W367),DAY(DATE(YEAR($X367),(MONTH($X367)+IF(INDEX('得意先'!$D$5:$D$104,$W367)="末",0,IF(DAY($X367)&lt;=INDEX('得意先'!$D$5:$D$104,$W367),0,1))+N(INDEX('得意先'!$E$5:$E$104,$W367)))+1,0)))))))</f>
        <v/>
      </c>
      <c r="N367" s="26" t="n"/>
      <c r="O367" s="29">
        <f>IF($A367="","",IF(ISNUMBER($N367),$N367,$M367))</f>
        <v/>
      </c>
      <c r="P367" s="28">
        <f>IF($A367="","",SUMIF('入金消込'!$F$5:$F$1004,$A367,'入金消込'!$G$5:$G$1004))</f>
        <v/>
      </c>
      <c r="Q367" s="28">
        <f>IF($A367="","",SUMIF('入金消込'!$F$5:$F$1004,$A367,'入金消込'!$H$5:$H$1004)+SUMIF('入金消込'!$F$5:$F$1004,$A367,'入金消込'!$I$5:$I$1004))</f>
        <v/>
      </c>
      <c r="R367" s="28">
        <f>IF($A367="","",$L367-$P367-$Q367)</f>
        <v/>
      </c>
      <c r="S367" s="30">
        <f>IF($A367="","",IF($R367=0,IF($L367=0,"請求額0","回収済"),IF($L367&lt;0,IF($R367&lt;0,"差し引き待ち","差し引きすぎ"),IF($R367&lt;0,"入金が多い",IF($P367+$Q367=0,"未入金","一部入金")))))</f>
        <v/>
      </c>
      <c r="T367" s="31">
        <f>IF(OR($A367="",N($R367)&lt;=0,NOT(ISNUMBER($O367))),"",IF($O367&lt;'設定'!$B$7,'設定'!$B$7-$O367,""))</f>
        <v/>
      </c>
      <c r="U367" s="30">
        <f>IF(OR($A367="",N($R367)&lt;=0),"",IF(NOT(ISNUMBER($O367)),'設定'!$B$22,IF($O367&gt;='設定'!$B$7,'設定'!$B$17,IF('設定'!$B$7-$O367&lt;='設定'!$B$12,'設定'!$B$18,IF('設定'!$B$7-$O367&lt;='設定'!$B$13,'設定'!$B$19,IF('設定'!$B$7-$O367&lt;='設定'!$B$14,'設定'!$B$20,'設定'!$B$21))))))</f>
        <v/>
      </c>
      <c r="V367" s="56" t="n"/>
      <c r="W367" s="32">
        <f>IF($C367="","",IFERROR(MATCH($C367,'得意先'!$B$5:$B$104,0),"なし"))</f>
        <v/>
      </c>
      <c r="X367" s="33">
        <f>IF($A367="","",IF(ISNUMBER($E367),$E367,IF(ISNUMBER($B367),$B367,"")))</f>
        <v/>
      </c>
      <c r="Y367" s="34">
        <f>IF($T367="","",$O367+ROW()/1000000)</f>
        <v/>
      </c>
      <c r="Z367" s="35">
        <f>IF(OR($A367="",$C367="",$C367&lt;&gt;'売掛帳'!$B$3,NOT(ISNUMBER($X367))),"",IF(AND($X367&gt;='売掛帳'!$Q$3,$X367&lt;='売掛帳'!$Q$4),$X367+ROW()/10000000,""))</f>
        <v/>
      </c>
    </row>
    <row r="368" ht="18" customHeight="1">
      <c r="A368" s="18" t="n"/>
      <c r="B368" s="26" t="n"/>
      <c r="C368" s="18" t="n"/>
      <c r="D368" s="20">
        <f>IF($W368="","",IF($W368="なし","※得意先にないコード",INDEX('得意先'!$C$5:$C$104,$W368)&amp;""))</f>
        <v/>
      </c>
      <c r="E368" s="26" t="n"/>
      <c r="F368" s="19" t="n"/>
      <c r="G368" s="27" t="n"/>
      <c r="H368" s="27" t="n"/>
      <c r="I368" s="27" t="n"/>
      <c r="J368" s="28">
        <f>IF($A368="","",IF('設定'!$B$10="四捨五入",ROUND(IF('設定'!$B$9="税込",N($G368)*10/110,N($G368)*10/100),0),IF('設定'!$B$10="切り上げ",ROUNDUP(IF('設定'!$B$9="税込",N($G368)*10/110,N($G368)*10/100),0),ROUNDDOWN(IF('設定'!$B$9="税込",N($G368)*10/110,N($G368)*10/100),0))))</f>
        <v/>
      </c>
      <c r="K368" s="28">
        <f>IF($A368="","",IF('設定'!$B$10="四捨五入",ROUND(IF('設定'!$B$9="税込",N($H368)*8/108,N($H368)*8/100),0),IF('設定'!$B$10="切り上げ",ROUNDUP(IF('設定'!$B$9="税込",N($H368)*8/108,N($H368)*8/100),0),ROUNDDOWN(IF('設定'!$B$9="税込",N($H368)*8/108,N($H368)*8/100),0))))</f>
        <v/>
      </c>
      <c r="L368" s="28">
        <f>IF($A368="","",N($G368)+N($H368)+N($I368)+IF('設定'!$B$9="税込",0,$J368+$K368))</f>
        <v/>
      </c>
      <c r="M368" s="29">
        <f>IF(OR($A368="",NOT(ISNUMBER($W368)),NOT(ISNUMBER($X368))),"",IF(OR(INDEX('得意先'!$D$5:$D$104,$W368)="",INDEX('得意先'!$E$5:$E$104,$W368)="",INDEX('得意先'!$F$5:$F$104,$W368)=""),"",IF(INDEX('得意先'!$F$5:$F$104,$W368)="末",DATE(YEAR($X368),(MONTH($X368)+IF(INDEX('得意先'!$D$5:$D$104,$W368)="末",0,IF(DAY($X368)&lt;=INDEX('得意先'!$D$5:$D$104,$W368),0,1))+N(INDEX('得意先'!$E$5:$E$104,$W368)))+1,0),DATE(YEAR($X368),(MONTH($X368)+IF(INDEX('得意先'!$D$5:$D$104,$W368)="末",0,IF(DAY($X368)&lt;=INDEX('得意先'!$D$5:$D$104,$W368),0,1))+N(INDEX('得意先'!$E$5:$E$104,$W368))),MIN(INDEX('得意先'!$F$5:$F$104,$W368),DAY(DATE(YEAR($X368),(MONTH($X368)+IF(INDEX('得意先'!$D$5:$D$104,$W368)="末",0,IF(DAY($X368)&lt;=INDEX('得意先'!$D$5:$D$104,$W368),0,1))+N(INDEX('得意先'!$E$5:$E$104,$W368)))+1,0)))))))</f>
        <v/>
      </c>
      <c r="N368" s="26" t="n"/>
      <c r="O368" s="29">
        <f>IF($A368="","",IF(ISNUMBER($N368),$N368,$M368))</f>
        <v/>
      </c>
      <c r="P368" s="28">
        <f>IF($A368="","",SUMIF('入金消込'!$F$5:$F$1004,$A368,'入金消込'!$G$5:$G$1004))</f>
        <v/>
      </c>
      <c r="Q368" s="28">
        <f>IF($A368="","",SUMIF('入金消込'!$F$5:$F$1004,$A368,'入金消込'!$H$5:$H$1004)+SUMIF('入金消込'!$F$5:$F$1004,$A368,'入金消込'!$I$5:$I$1004))</f>
        <v/>
      </c>
      <c r="R368" s="28">
        <f>IF($A368="","",$L368-$P368-$Q368)</f>
        <v/>
      </c>
      <c r="S368" s="30">
        <f>IF($A368="","",IF($R368=0,IF($L368=0,"請求額0","回収済"),IF($L368&lt;0,IF($R368&lt;0,"差し引き待ち","差し引きすぎ"),IF($R368&lt;0,"入金が多い",IF($P368+$Q368=0,"未入金","一部入金")))))</f>
        <v/>
      </c>
      <c r="T368" s="31">
        <f>IF(OR($A368="",N($R368)&lt;=0,NOT(ISNUMBER($O368))),"",IF($O368&lt;'設定'!$B$7,'設定'!$B$7-$O368,""))</f>
        <v/>
      </c>
      <c r="U368" s="30">
        <f>IF(OR($A368="",N($R368)&lt;=0),"",IF(NOT(ISNUMBER($O368)),'設定'!$B$22,IF($O368&gt;='設定'!$B$7,'設定'!$B$17,IF('設定'!$B$7-$O368&lt;='設定'!$B$12,'設定'!$B$18,IF('設定'!$B$7-$O368&lt;='設定'!$B$13,'設定'!$B$19,IF('設定'!$B$7-$O368&lt;='設定'!$B$14,'設定'!$B$20,'設定'!$B$21))))))</f>
        <v/>
      </c>
      <c r="V368" s="56" t="n"/>
      <c r="W368" s="32">
        <f>IF($C368="","",IFERROR(MATCH($C368,'得意先'!$B$5:$B$104,0),"なし"))</f>
        <v/>
      </c>
      <c r="X368" s="33">
        <f>IF($A368="","",IF(ISNUMBER($E368),$E368,IF(ISNUMBER($B368),$B368,"")))</f>
        <v/>
      </c>
      <c r="Y368" s="34">
        <f>IF($T368="","",$O368+ROW()/1000000)</f>
        <v/>
      </c>
      <c r="Z368" s="35">
        <f>IF(OR($A368="",$C368="",$C368&lt;&gt;'売掛帳'!$B$3,NOT(ISNUMBER($X368))),"",IF(AND($X368&gt;='売掛帳'!$Q$3,$X368&lt;='売掛帳'!$Q$4),$X368+ROW()/10000000,""))</f>
        <v/>
      </c>
    </row>
    <row r="369" ht="18" customHeight="1">
      <c r="A369" s="18" t="n"/>
      <c r="B369" s="26" t="n"/>
      <c r="C369" s="18" t="n"/>
      <c r="D369" s="20">
        <f>IF($W369="","",IF($W369="なし","※得意先にないコード",INDEX('得意先'!$C$5:$C$104,$W369)&amp;""))</f>
        <v/>
      </c>
      <c r="E369" s="26" t="n"/>
      <c r="F369" s="19" t="n"/>
      <c r="G369" s="27" t="n"/>
      <c r="H369" s="27" t="n"/>
      <c r="I369" s="27" t="n"/>
      <c r="J369" s="28">
        <f>IF($A369="","",IF('設定'!$B$10="四捨五入",ROUND(IF('設定'!$B$9="税込",N($G369)*10/110,N($G369)*10/100),0),IF('設定'!$B$10="切り上げ",ROUNDUP(IF('設定'!$B$9="税込",N($G369)*10/110,N($G369)*10/100),0),ROUNDDOWN(IF('設定'!$B$9="税込",N($G369)*10/110,N($G369)*10/100),0))))</f>
        <v/>
      </c>
      <c r="K369" s="28">
        <f>IF($A369="","",IF('設定'!$B$10="四捨五入",ROUND(IF('設定'!$B$9="税込",N($H369)*8/108,N($H369)*8/100),0),IF('設定'!$B$10="切り上げ",ROUNDUP(IF('設定'!$B$9="税込",N($H369)*8/108,N($H369)*8/100),0),ROUNDDOWN(IF('設定'!$B$9="税込",N($H369)*8/108,N($H369)*8/100),0))))</f>
        <v/>
      </c>
      <c r="L369" s="28">
        <f>IF($A369="","",N($G369)+N($H369)+N($I369)+IF('設定'!$B$9="税込",0,$J369+$K369))</f>
        <v/>
      </c>
      <c r="M369" s="29">
        <f>IF(OR($A369="",NOT(ISNUMBER($W369)),NOT(ISNUMBER($X369))),"",IF(OR(INDEX('得意先'!$D$5:$D$104,$W369)="",INDEX('得意先'!$E$5:$E$104,$W369)="",INDEX('得意先'!$F$5:$F$104,$W369)=""),"",IF(INDEX('得意先'!$F$5:$F$104,$W369)="末",DATE(YEAR($X369),(MONTH($X369)+IF(INDEX('得意先'!$D$5:$D$104,$W369)="末",0,IF(DAY($X369)&lt;=INDEX('得意先'!$D$5:$D$104,$W369),0,1))+N(INDEX('得意先'!$E$5:$E$104,$W369)))+1,0),DATE(YEAR($X369),(MONTH($X369)+IF(INDEX('得意先'!$D$5:$D$104,$W369)="末",0,IF(DAY($X369)&lt;=INDEX('得意先'!$D$5:$D$104,$W369),0,1))+N(INDEX('得意先'!$E$5:$E$104,$W369))),MIN(INDEX('得意先'!$F$5:$F$104,$W369),DAY(DATE(YEAR($X369),(MONTH($X369)+IF(INDEX('得意先'!$D$5:$D$104,$W369)="末",0,IF(DAY($X369)&lt;=INDEX('得意先'!$D$5:$D$104,$W369),0,1))+N(INDEX('得意先'!$E$5:$E$104,$W369)))+1,0)))))))</f>
        <v/>
      </c>
      <c r="N369" s="26" t="n"/>
      <c r="O369" s="29">
        <f>IF($A369="","",IF(ISNUMBER($N369),$N369,$M369))</f>
        <v/>
      </c>
      <c r="P369" s="28">
        <f>IF($A369="","",SUMIF('入金消込'!$F$5:$F$1004,$A369,'入金消込'!$G$5:$G$1004))</f>
        <v/>
      </c>
      <c r="Q369" s="28">
        <f>IF($A369="","",SUMIF('入金消込'!$F$5:$F$1004,$A369,'入金消込'!$H$5:$H$1004)+SUMIF('入金消込'!$F$5:$F$1004,$A369,'入金消込'!$I$5:$I$1004))</f>
        <v/>
      </c>
      <c r="R369" s="28">
        <f>IF($A369="","",$L369-$P369-$Q369)</f>
        <v/>
      </c>
      <c r="S369" s="30">
        <f>IF($A369="","",IF($R369=0,IF($L369=0,"請求額0","回収済"),IF($L369&lt;0,IF($R369&lt;0,"差し引き待ち","差し引きすぎ"),IF($R369&lt;0,"入金が多い",IF($P369+$Q369=0,"未入金","一部入金")))))</f>
        <v/>
      </c>
      <c r="T369" s="31">
        <f>IF(OR($A369="",N($R369)&lt;=0,NOT(ISNUMBER($O369))),"",IF($O369&lt;'設定'!$B$7,'設定'!$B$7-$O369,""))</f>
        <v/>
      </c>
      <c r="U369" s="30">
        <f>IF(OR($A369="",N($R369)&lt;=0),"",IF(NOT(ISNUMBER($O369)),'設定'!$B$22,IF($O369&gt;='設定'!$B$7,'設定'!$B$17,IF('設定'!$B$7-$O369&lt;='設定'!$B$12,'設定'!$B$18,IF('設定'!$B$7-$O369&lt;='設定'!$B$13,'設定'!$B$19,IF('設定'!$B$7-$O369&lt;='設定'!$B$14,'設定'!$B$20,'設定'!$B$21))))))</f>
        <v/>
      </c>
      <c r="V369" s="56" t="n"/>
      <c r="W369" s="32">
        <f>IF($C369="","",IFERROR(MATCH($C369,'得意先'!$B$5:$B$104,0),"なし"))</f>
        <v/>
      </c>
      <c r="X369" s="33">
        <f>IF($A369="","",IF(ISNUMBER($E369),$E369,IF(ISNUMBER($B369),$B369,"")))</f>
        <v/>
      </c>
      <c r="Y369" s="34">
        <f>IF($T369="","",$O369+ROW()/1000000)</f>
        <v/>
      </c>
      <c r="Z369" s="35">
        <f>IF(OR($A369="",$C369="",$C369&lt;&gt;'売掛帳'!$B$3,NOT(ISNUMBER($X369))),"",IF(AND($X369&gt;='売掛帳'!$Q$3,$X369&lt;='売掛帳'!$Q$4),$X369+ROW()/10000000,""))</f>
        <v/>
      </c>
    </row>
    <row r="370" ht="18" customHeight="1">
      <c r="A370" s="18" t="n"/>
      <c r="B370" s="26" t="n"/>
      <c r="C370" s="18" t="n"/>
      <c r="D370" s="20">
        <f>IF($W370="","",IF($W370="なし","※得意先にないコード",INDEX('得意先'!$C$5:$C$104,$W370)&amp;""))</f>
        <v/>
      </c>
      <c r="E370" s="26" t="n"/>
      <c r="F370" s="19" t="n"/>
      <c r="G370" s="27" t="n"/>
      <c r="H370" s="27" t="n"/>
      <c r="I370" s="27" t="n"/>
      <c r="J370" s="28">
        <f>IF($A370="","",IF('設定'!$B$10="四捨五入",ROUND(IF('設定'!$B$9="税込",N($G370)*10/110,N($G370)*10/100),0),IF('設定'!$B$10="切り上げ",ROUNDUP(IF('設定'!$B$9="税込",N($G370)*10/110,N($G370)*10/100),0),ROUNDDOWN(IF('設定'!$B$9="税込",N($G370)*10/110,N($G370)*10/100),0))))</f>
        <v/>
      </c>
      <c r="K370" s="28">
        <f>IF($A370="","",IF('設定'!$B$10="四捨五入",ROUND(IF('設定'!$B$9="税込",N($H370)*8/108,N($H370)*8/100),0),IF('設定'!$B$10="切り上げ",ROUNDUP(IF('設定'!$B$9="税込",N($H370)*8/108,N($H370)*8/100),0),ROUNDDOWN(IF('設定'!$B$9="税込",N($H370)*8/108,N($H370)*8/100),0))))</f>
        <v/>
      </c>
      <c r="L370" s="28">
        <f>IF($A370="","",N($G370)+N($H370)+N($I370)+IF('設定'!$B$9="税込",0,$J370+$K370))</f>
        <v/>
      </c>
      <c r="M370" s="29">
        <f>IF(OR($A370="",NOT(ISNUMBER($W370)),NOT(ISNUMBER($X370))),"",IF(OR(INDEX('得意先'!$D$5:$D$104,$W370)="",INDEX('得意先'!$E$5:$E$104,$W370)="",INDEX('得意先'!$F$5:$F$104,$W370)=""),"",IF(INDEX('得意先'!$F$5:$F$104,$W370)="末",DATE(YEAR($X370),(MONTH($X370)+IF(INDEX('得意先'!$D$5:$D$104,$W370)="末",0,IF(DAY($X370)&lt;=INDEX('得意先'!$D$5:$D$104,$W370),0,1))+N(INDEX('得意先'!$E$5:$E$104,$W370)))+1,0),DATE(YEAR($X370),(MONTH($X370)+IF(INDEX('得意先'!$D$5:$D$104,$W370)="末",0,IF(DAY($X370)&lt;=INDEX('得意先'!$D$5:$D$104,$W370),0,1))+N(INDEX('得意先'!$E$5:$E$104,$W370))),MIN(INDEX('得意先'!$F$5:$F$104,$W370),DAY(DATE(YEAR($X370),(MONTH($X370)+IF(INDEX('得意先'!$D$5:$D$104,$W370)="末",0,IF(DAY($X370)&lt;=INDEX('得意先'!$D$5:$D$104,$W370),0,1))+N(INDEX('得意先'!$E$5:$E$104,$W370)))+1,0)))))))</f>
        <v/>
      </c>
      <c r="N370" s="26" t="n"/>
      <c r="O370" s="29">
        <f>IF($A370="","",IF(ISNUMBER($N370),$N370,$M370))</f>
        <v/>
      </c>
      <c r="P370" s="28">
        <f>IF($A370="","",SUMIF('入金消込'!$F$5:$F$1004,$A370,'入金消込'!$G$5:$G$1004))</f>
        <v/>
      </c>
      <c r="Q370" s="28">
        <f>IF($A370="","",SUMIF('入金消込'!$F$5:$F$1004,$A370,'入金消込'!$H$5:$H$1004)+SUMIF('入金消込'!$F$5:$F$1004,$A370,'入金消込'!$I$5:$I$1004))</f>
        <v/>
      </c>
      <c r="R370" s="28">
        <f>IF($A370="","",$L370-$P370-$Q370)</f>
        <v/>
      </c>
      <c r="S370" s="30">
        <f>IF($A370="","",IF($R370=0,IF($L370=0,"請求額0","回収済"),IF($L370&lt;0,IF($R370&lt;0,"差し引き待ち","差し引きすぎ"),IF($R370&lt;0,"入金が多い",IF($P370+$Q370=0,"未入金","一部入金")))))</f>
        <v/>
      </c>
      <c r="T370" s="31">
        <f>IF(OR($A370="",N($R370)&lt;=0,NOT(ISNUMBER($O370))),"",IF($O370&lt;'設定'!$B$7,'設定'!$B$7-$O370,""))</f>
        <v/>
      </c>
      <c r="U370" s="30">
        <f>IF(OR($A370="",N($R370)&lt;=0),"",IF(NOT(ISNUMBER($O370)),'設定'!$B$22,IF($O370&gt;='設定'!$B$7,'設定'!$B$17,IF('設定'!$B$7-$O370&lt;='設定'!$B$12,'設定'!$B$18,IF('設定'!$B$7-$O370&lt;='設定'!$B$13,'設定'!$B$19,IF('設定'!$B$7-$O370&lt;='設定'!$B$14,'設定'!$B$20,'設定'!$B$21))))))</f>
        <v/>
      </c>
      <c r="V370" s="56" t="n"/>
      <c r="W370" s="32">
        <f>IF($C370="","",IFERROR(MATCH($C370,'得意先'!$B$5:$B$104,0),"なし"))</f>
        <v/>
      </c>
      <c r="X370" s="33">
        <f>IF($A370="","",IF(ISNUMBER($E370),$E370,IF(ISNUMBER($B370),$B370,"")))</f>
        <v/>
      </c>
      <c r="Y370" s="34">
        <f>IF($T370="","",$O370+ROW()/1000000)</f>
        <v/>
      </c>
      <c r="Z370" s="35">
        <f>IF(OR($A370="",$C370="",$C370&lt;&gt;'売掛帳'!$B$3,NOT(ISNUMBER($X370))),"",IF(AND($X370&gt;='売掛帳'!$Q$3,$X370&lt;='売掛帳'!$Q$4),$X370+ROW()/10000000,""))</f>
        <v/>
      </c>
    </row>
    <row r="371" ht="18" customHeight="1">
      <c r="A371" s="18" t="n"/>
      <c r="B371" s="26" t="n"/>
      <c r="C371" s="18" t="n"/>
      <c r="D371" s="20">
        <f>IF($W371="","",IF($W371="なし","※得意先にないコード",INDEX('得意先'!$C$5:$C$104,$W371)&amp;""))</f>
        <v/>
      </c>
      <c r="E371" s="26" t="n"/>
      <c r="F371" s="19" t="n"/>
      <c r="G371" s="27" t="n"/>
      <c r="H371" s="27" t="n"/>
      <c r="I371" s="27" t="n"/>
      <c r="J371" s="28">
        <f>IF($A371="","",IF('設定'!$B$10="四捨五入",ROUND(IF('設定'!$B$9="税込",N($G371)*10/110,N($G371)*10/100),0),IF('設定'!$B$10="切り上げ",ROUNDUP(IF('設定'!$B$9="税込",N($G371)*10/110,N($G371)*10/100),0),ROUNDDOWN(IF('設定'!$B$9="税込",N($G371)*10/110,N($G371)*10/100),0))))</f>
        <v/>
      </c>
      <c r="K371" s="28">
        <f>IF($A371="","",IF('設定'!$B$10="四捨五入",ROUND(IF('設定'!$B$9="税込",N($H371)*8/108,N($H371)*8/100),0),IF('設定'!$B$10="切り上げ",ROUNDUP(IF('設定'!$B$9="税込",N($H371)*8/108,N($H371)*8/100),0),ROUNDDOWN(IF('設定'!$B$9="税込",N($H371)*8/108,N($H371)*8/100),0))))</f>
        <v/>
      </c>
      <c r="L371" s="28">
        <f>IF($A371="","",N($G371)+N($H371)+N($I371)+IF('設定'!$B$9="税込",0,$J371+$K371))</f>
        <v/>
      </c>
      <c r="M371" s="29">
        <f>IF(OR($A371="",NOT(ISNUMBER($W371)),NOT(ISNUMBER($X371))),"",IF(OR(INDEX('得意先'!$D$5:$D$104,$W371)="",INDEX('得意先'!$E$5:$E$104,$W371)="",INDEX('得意先'!$F$5:$F$104,$W371)=""),"",IF(INDEX('得意先'!$F$5:$F$104,$W371)="末",DATE(YEAR($X371),(MONTH($X371)+IF(INDEX('得意先'!$D$5:$D$104,$W371)="末",0,IF(DAY($X371)&lt;=INDEX('得意先'!$D$5:$D$104,$W371),0,1))+N(INDEX('得意先'!$E$5:$E$104,$W371)))+1,0),DATE(YEAR($X371),(MONTH($X371)+IF(INDEX('得意先'!$D$5:$D$104,$W371)="末",0,IF(DAY($X371)&lt;=INDEX('得意先'!$D$5:$D$104,$W371),0,1))+N(INDEX('得意先'!$E$5:$E$104,$W371))),MIN(INDEX('得意先'!$F$5:$F$104,$W371),DAY(DATE(YEAR($X371),(MONTH($X371)+IF(INDEX('得意先'!$D$5:$D$104,$W371)="末",0,IF(DAY($X371)&lt;=INDEX('得意先'!$D$5:$D$104,$W371),0,1))+N(INDEX('得意先'!$E$5:$E$104,$W371)))+1,0)))))))</f>
        <v/>
      </c>
      <c r="N371" s="26" t="n"/>
      <c r="O371" s="29">
        <f>IF($A371="","",IF(ISNUMBER($N371),$N371,$M371))</f>
        <v/>
      </c>
      <c r="P371" s="28">
        <f>IF($A371="","",SUMIF('入金消込'!$F$5:$F$1004,$A371,'入金消込'!$G$5:$G$1004))</f>
        <v/>
      </c>
      <c r="Q371" s="28">
        <f>IF($A371="","",SUMIF('入金消込'!$F$5:$F$1004,$A371,'入金消込'!$H$5:$H$1004)+SUMIF('入金消込'!$F$5:$F$1004,$A371,'入金消込'!$I$5:$I$1004))</f>
        <v/>
      </c>
      <c r="R371" s="28">
        <f>IF($A371="","",$L371-$P371-$Q371)</f>
        <v/>
      </c>
      <c r="S371" s="30">
        <f>IF($A371="","",IF($R371=0,IF($L371=0,"請求額0","回収済"),IF($L371&lt;0,IF($R371&lt;0,"差し引き待ち","差し引きすぎ"),IF($R371&lt;0,"入金が多い",IF($P371+$Q371=0,"未入金","一部入金")))))</f>
        <v/>
      </c>
      <c r="T371" s="31">
        <f>IF(OR($A371="",N($R371)&lt;=0,NOT(ISNUMBER($O371))),"",IF($O371&lt;'設定'!$B$7,'設定'!$B$7-$O371,""))</f>
        <v/>
      </c>
      <c r="U371" s="30">
        <f>IF(OR($A371="",N($R371)&lt;=0),"",IF(NOT(ISNUMBER($O371)),'設定'!$B$22,IF($O371&gt;='設定'!$B$7,'設定'!$B$17,IF('設定'!$B$7-$O371&lt;='設定'!$B$12,'設定'!$B$18,IF('設定'!$B$7-$O371&lt;='設定'!$B$13,'設定'!$B$19,IF('設定'!$B$7-$O371&lt;='設定'!$B$14,'設定'!$B$20,'設定'!$B$21))))))</f>
        <v/>
      </c>
      <c r="V371" s="56" t="n"/>
      <c r="W371" s="32">
        <f>IF($C371="","",IFERROR(MATCH($C371,'得意先'!$B$5:$B$104,0),"なし"))</f>
        <v/>
      </c>
      <c r="X371" s="33">
        <f>IF($A371="","",IF(ISNUMBER($E371),$E371,IF(ISNUMBER($B371),$B371,"")))</f>
        <v/>
      </c>
      <c r="Y371" s="34">
        <f>IF($T371="","",$O371+ROW()/1000000)</f>
        <v/>
      </c>
      <c r="Z371" s="35">
        <f>IF(OR($A371="",$C371="",$C371&lt;&gt;'売掛帳'!$B$3,NOT(ISNUMBER($X371))),"",IF(AND($X371&gt;='売掛帳'!$Q$3,$X371&lt;='売掛帳'!$Q$4),$X371+ROW()/10000000,""))</f>
        <v/>
      </c>
    </row>
    <row r="372" ht="18" customHeight="1">
      <c r="A372" s="18" t="n"/>
      <c r="B372" s="26" t="n"/>
      <c r="C372" s="18" t="n"/>
      <c r="D372" s="20">
        <f>IF($W372="","",IF($W372="なし","※得意先にないコード",INDEX('得意先'!$C$5:$C$104,$W372)&amp;""))</f>
        <v/>
      </c>
      <c r="E372" s="26" t="n"/>
      <c r="F372" s="19" t="n"/>
      <c r="G372" s="27" t="n"/>
      <c r="H372" s="27" t="n"/>
      <c r="I372" s="27" t="n"/>
      <c r="J372" s="28">
        <f>IF($A372="","",IF('設定'!$B$10="四捨五入",ROUND(IF('設定'!$B$9="税込",N($G372)*10/110,N($G372)*10/100),0),IF('設定'!$B$10="切り上げ",ROUNDUP(IF('設定'!$B$9="税込",N($G372)*10/110,N($G372)*10/100),0),ROUNDDOWN(IF('設定'!$B$9="税込",N($G372)*10/110,N($G372)*10/100),0))))</f>
        <v/>
      </c>
      <c r="K372" s="28">
        <f>IF($A372="","",IF('設定'!$B$10="四捨五入",ROUND(IF('設定'!$B$9="税込",N($H372)*8/108,N($H372)*8/100),0),IF('設定'!$B$10="切り上げ",ROUNDUP(IF('設定'!$B$9="税込",N($H372)*8/108,N($H372)*8/100),0),ROUNDDOWN(IF('設定'!$B$9="税込",N($H372)*8/108,N($H372)*8/100),0))))</f>
        <v/>
      </c>
      <c r="L372" s="28">
        <f>IF($A372="","",N($G372)+N($H372)+N($I372)+IF('設定'!$B$9="税込",0,$J372+$K372))</f>
        <v/>
      </c>
      <c r="M372" s="29">
        <f>IF(OR($A372="",NOT(ISNUMBER($W372)),NOT(ISNUMBER($X372))),"",IF(OR(INDEX('得意先'!$D$5:$D$104,$W372)="",INDEX('得意先'!$E$5:$E$104,$W372)="",INDEX('得意先'!$F$5:$F$104,$W372)=""),"",IF(INDEX('得意先'!$F$5:$F$104,$W372)="末",DATE(YEAR($X372),(MONTH($X372)+IF(INDEX('得意先'!$D$5:$D$104,$W372)="末",0,IF(DAY($X372)&lt;=INDEX('得意先'!$D$5:$D$104,$W372),0,1))+N(INDEX('得意先'!$E$5:$E$104,$W372)))+1,0),DATE(YEAR($X372),(MONTH($X372)+IF(INDEX('得意先'!$D$5:$D$104,$W372)="末",0,IF(DAY($X372)&lt;=INDEX('得意先'!$D$5:$D$104,$W372),0,1))+N(INDEX('得意先'!$E$5:$E$104,$W372))),MIN(INDEX('得意先'!$F$5:$F$104,$W372),DAY(DATE(YEAR($X372),(MONTH($X372)+IF(INDEX('得意先'!$D$5:$D$104,$W372)="末",0,IF(DAY($X372)&lt;=INDEX('得意先'!$D$5:$D$104,$W372),0,1))+N(INDEX('得意先'!$E$5:$E$104,$W372)))+1,0)))))))</f>
        <v/>
      </c>
      <c r="N372" s="26" t="n"/>
      <c r="O372" s="29">
        <f>IF($A372="","",IF(ISNUMBER($N372),$N372,$M372))</f>
        <v/>
      </c>
      <c r="P372" s="28">
        <f>IF($A372="","",SUMIF('入金消込'!$F$5:$F$1004,$A372,'入金消込'!$G$5:$G$1004))</f>
        <v/>
      </c>
      <c r="Q372" s="28">
        <f>IF($A372="","",SUMIF('入金消込'!$F$5:$F$1004,$A372,'入金消込'!$H$5:$H$1004)+SUMIF('入金消込'!$F$5:$F$1004,$A372,'入金消込'!$I$5:$I$1004))</f>
        <v/>
      </c>
      <c r="R372" s="28">
        <f>IF($A372="","",$L372-$P372-$Q372)</f>
        <v/>
      </c>
      <c r="S372" s="30">
        <f>IF($A372="","",IF($R372=0,IF($L372=0,"請求額0","回収済"),IF($L372&lt;0,IF($R372&lt;0,"差し引き待ち","差し引きすぎ"),IF($R372&lt;0,"入金が多い",IF($P372+$Q372=0,"未入金","一部入金")))))</f>
        <v/>
      </c>
      <c r="T372" s="31">
        <f>IF(OR($A372="",N($R372)&lt;=0,NOT(ISNUMBER($O372))),"",IF($O372&lt;'設定'!$B$7,'設定'!$B$7-$O372,""))</f>
        <v/>
      </c>
      <c r="U372" s="30">
        <f>IF(OR($A372="",N($R372)&lt;=0),"",IF(NOT(ISNUMBER($O372)),'設定'!$B$22,IF($O372&gt;='設定'!$B$7,'設定'!$B$17,IF('設定'!$B$7-$O372&lt;='設定'!$B$12,'設定'!$B$18,IF('設定'!$B$7-$O372&lt;='設定'!$B$13,'設定'!$B$19,IF('設定'!$B$7-$O372&lt;='設定'!$B$14,'設定'!$B$20,'設定'!$B$21))))))</f>
        <v/>
      </c>
      <c r="V372" s="56" t="n"/>
      <c r="W372" s="32">
        <f>IF($C372="","",IFERROR(MATCH($C372,'得意先'!$B$5:$B$104,0),"なし"))</f>
        <v/>
      </c>
      <c r="X372" s="33">
        <f>IF($A372="","",IF(ISNUMBER($E372),$E372,IF(ISNUMBER($B372),$B372,"")))</f>
        <v/>
      </c>
      <c r="Y372" s="34">
        <f>IF($T372="","",$O372+ROW()/1000000)</f>
        <v/>
      </c>
      <c r="Z372" s="35">
        <f>IF(OR($A372="",$C372="",$C372&lt;&gt;'売掛帳'!$B$3,NOT(ISNUMBER($X372))),"",IF(AND($X372&gt;='売掛帳'!$Q$3,$X372&lt;='売掛帳'!$Q$4),$X372+ROW()/10000000,""))</f>
        <v/>
      </c>
    </row>
    <row r="373" ht="18" customHeight="1">
      <c r="A373" s="18" t="n"/>
      <c r="B373" s="26" t="n"/>
      <c r="C373" s="18" t="n"/>
      <c r="D373" s="20">
        <f>IF($W373="","",IF($W373="なし","※得意先にないコード",INDEX('得意先'!$C$5:$C$104,$W373)&amp;""))</f>
        <v/>
      </c>
      <c r="E373" s="26" t="n"/>
      <c r="F373" s="19" t="n"/>
      <c r="G373" s="27" t="n"/>
      <c r="H373" s="27" t="n"/>
      <c r="I373" s="27" t="n"/>
      <c r="J373" s="28">
        <f>IF($A373="","",IF('設定'!$B$10="四捨五入",ROUND(IF('設定'!$B$9="税込",N($G373)*10/110,N($G373)*10/100),0),IF('設定'!$B$10="切り上げ",ROUNDUP(IF('設定'!$B$9="税込",N($G373)*10/110,N($G373)*10/100),0),ROUNDDOWN(IF('設定'!$B$9="税込",N($G373)*10/110,N($G373)*10/100),0))))</f>
        <v/>
      </c>
      <c r="K373" s="28">
        <f>IF($A373="","",IF('設定'!$B$10="四捨五入",ROUND(IF('設定'!$B$9="税込",N($H373)*8/108,N($H373)*8/100),0),IF('設定'!$B$10="切り上げ",ROUNDUP(IF('設定'!$B$9="税込",N($H373)*8/108,N($H373)*8/100),0),ROUNDDOWN(IF('設定'!$B$9="税込",N($H373)*8/108,N($H373)*8/100),0))))</f>
        <v/>
      </c>
      <c r="L373" s="28">
        <f>IF($A373="","",N($G373)+N($H373)+N($I373)+IF('設定'!$B$9="税込",0,$J373+$K373))</f>
        <v/>
      </c>
      <c r="M373" s="29">
        <f>IF(OR($A373="",NOT(ISNUMBER($W373)),NOT(ISNUMBER($X373))),"",IF(OR(INDEX('得意先'!$D$5:$D$104,$W373)="",INDEX('得意先'!$E$5:$E$104,$W373)="",INDEX('得意先'!$F$5:$F$104,$W373)=""),"",IF(INDEX('得意先'!$F$5:$F$104,$W373)="末",DATE(YEAR($X373),(MONTH($X373)+IF(INDEX('得意先'!$D$5:$D$104,$W373)="末",0,IF(DAY($X373)&lt;=INDEX('得意先'!$D$5:$D$104,$W373),0,1))+N(INDEX('得意先'!$E$5:$E$104,$W373)))+1,0),DATE(YEAR($X373),(MONTH($X373)+IF(INDEX('得意先'!$D$5:$D$104,$W373)="末",0,IF(DAY($X373)&lt;=INDEX('得意先'!$D$5:$D$104,$W373),0,1))+N(INDEX('得意先'!$E$5:$E$104,$W373))),MIN(INDEX('得意先'!$F$5:$F$104,$W373),DAY(DATE(YEAR($X373),(MONTH($X373)+IF(INDEX('得意先'!$D$5:$D$104,$W373)="末",0,IF(DAY($X373)&lt;=INDEX('得意先'!$D$5:$D$104,$W373),0,1))+N(INDEX('得意先'!$E$5:$E$104,$W373)))+1,0)))))))</f>
        <v/>
      </c>
      <c r="N373" s="26" t="n"/>
      <c r="O373" s="29">
        <f>IF($A373="","",IF(ISNUMBER($N373),$N373,$M373))</f>
        <v/>
      </c>
      <c r="P373" s="28">
        <f>IF($A373="","",SUMIF('入金消込'!$F$5:$F$1004,$A373,'入金消込'!$G$5:$G$1004))</f>
        <v/>
      </c>
      <c r="Q373" s="28">
        <f>IF($A373="","",SUMIF('入金消込'!$F$5:$F$1004,$A373,'入金消込'!$H$5:$H$1004)+SUMIF('入金消込'!$F$5:$F$1004,$A373,'入金消込'!$I$5:$I$1004))</f>
        <v/>
      </c>
      <c r="R373" s="28">
        <f>IF($A373="","",$L373-$P373-$Q373)</f>
        <v/>
      </c>
      <c r="S373" s="30">
        <f>IF($A373="","",IF($R373=0,IF($L373=0,"請求額0","回収済"),IF($L373&lt;0,IF($R373&lt;0,"差し引き待ち","差し引きすぎ"),IF($R373&lt;0,"入金が多い",IF($P373+$Q373=0,"未入金","一部入金")))))</f>
        <v/>
      </c>
      <c r="T373" s="31">
        <f>IF(OR($A373="",N($R373)&lt;=0,NOT(ISNUMBER($O373))),"",IF($O373&lt;'設定'!$B$7,'設定'!$B$7-$O373,""))</f>
        <v/>
      </c>
      <c r="U373" s="30">
        <f>IF(OR($A373="",N($R373)&lt;=0),"",IF(NOT(ISNUMBER($O373)),'設定'!$B$22,IF($O373&gt;='設定'!$B$7,'設定'!$B$17,IF('設定'!$B$7-$O373&lt;='設定'!$B$12,'設定'!$B$18,IF('設定'!$B$7-$O373&lt;='設定'!$B$13,'設定'!$B$19,IF('設定'!$B$7-$O373&lt;='設定'!$B$14,'設定'!$B$20,'設定'!$B$21))))))</f>
        <v/>
      </c>
      <c r="V373" s="56" t="n"/>
      <c r="W373" s="32">
        <f>IF($C373="","",IFERROR(MATCH($C373,'得意先'!$B$5:$B$104,0),"なし"))</f>
        <v/>
      </c>
      <c r="X373" s="33">
        <f>IF($A373="","",IF(ISNUMBER($E373),$E373,IF(ISNUMBER($B373),$B373,"")))</f>
        <v/>
      </c>
      <c r="Y373" s="34">
        <f>IF($T373="","",$O373+ROW()/1000000)</f>
        <v/>
      </c>
      <c r="Z373" s="35">
        <f>IF(OR($A373="",$C373="",$C373&lt;&gt;'売掛帳'!$B$3,NOT(ISNUMBER($X373))),"",IF(AND($X373&gt;='売掛帳'!$Q$3,$X373&lt;='売掛帳'!$Q$4),$X373+ROW()/10000000,""))</f>
        <v/>
      </c>
    </row>
    <row r="374" ht="18" customHeight="1">
      <c r="A374" s="18" t="n"/>
      <c r="B374" s="26" t="n"/>
      <c r="C374" s="18" t="n"/>
      <c r="D374" s="20">
        <f>IF($W374="","",IF($W374="なし","※得意先にないコード",INDEX('得意先'!$C$5:$C$104,$W374)&amp;""))</f>
        <v/>
      </c>
      <c r="E374" s="26" t="n"/>
      <c r="F374" s="19" t="n"/>
      <c r="G374" s="27" t="n"/>
      <c r="H374" s="27" t="n"/>
      <c r="I374" s="27" t="n"/>
      <c r="J374" s="28">
        <f>IF($A374="","",IF('設定'!$B$10="四捨五入",ROUND(IF('設定'!$B$9="税込",N($G374)*10/110,N($G374)*10/100),0),IF('設定'!$B$10="切り上げ",ROUNDUP(IF('設定'!$B$9="税込",N($G374)*10/110,N($G374)*10/100),0),ROUNDDOWN(IF('設定'!$B$9="税込",N($G374)*10/110,N($G374)*10/100),0))))</f>
        <v/>
      </c>
      <c r="K374" s="28">
        <f>IF($A374="","",IF('設定'!$B$10="四捨五入",ROUND(IF('設定'!$B$9="税込",N($H374)*8/108,N($H374)*8/100),0),IF('設定'!$B$10="切り上げ",ROUNDUP(IF('設定'!$B$9="税込",N($H374)*8/108,N($H374)*8/100),0),ROUNDDOWN(IF('設定'!$B$9="税込",N($H374)*8/108,N($H374)*8/100),0))))</f>
        <v/>
      </c>
      <c r="L374" s="28">
        <f>IF($A374="","",N($G374)+N($H374)+N($I374)+IF('設定'!$B$9="税込",0,$J374+$K374))</f>
        <v/>
      </c>
      <c r="M374" s="29">
        <f>IF(OR($A374="",NOT(ISNUMBER($W374)),NOT(ISNUMBER($X374))),"",IF(OR(INDEX('得意先'!$D$5:$D$104,$W374)="",INDEX('得意先'!$E$5:$E$104,$W374)="",INDEX('得意先'!$F$5:$F$104,$W374)=""),"",IF(INDEX('得意先'!$F$5:$F$104,$W374)="末",DATE(YEAR($X374),(MONTH($X374)+IF(INDEX('得意先'!$D$5:$D$104,$W374)="末",0,IF(DAY($X374)&lt;=INDEX('得意先'!$D$5:$D$104,$W374),0,1))+N(INDEX('得意先'!$E$5:$E$104,$W374)))+1,0),DATE(YEAR($X374),(MONTH($X374)+IF(INDEX('得意先'!$D$5:$D$104,$W374)="末",0,IF(DAY($X374)&lt;=INDEX('得意先'!$D$5:$D$104,$W374),0,1))+N(INDEX('得意先'!$E$5:$E$104,$W374))),MIN(INDEX('得意先'!$F$5:$F$104,$W374),DAY(DATE(YEAR($X374),(MONTH($X374)+IF(INDEX('得意先'!$D$5:$D$104,$W374)="末",0,IF(DAY($X374)&lt;=INDEX('得意先'!$D$5:$D$104,$W374),0,1))+N(INDEX('得意先'!$E$5:$E$104,$W374)))+1,0)))))))</f>
        <v/>
      </c>
      <c r="N374" s="26" t="n"/>
      <c r="O374" s="29">
        <f>IF($A374="","",IF(ISNUMBER($N374),$N374,$M374))</f>
        <v/>
      </c>
      <c r="P374" s="28">
        <f>IF($A374="","",SUMIF('入金消込'!$F$5:$F$1004,$A374,'入金消込'!$G$5:$G$1004))</f>
        <v/>
      </c>
      <c r="Q374" s="28">
        <f>IF($A374="","",SUMIF('入金消込'!$F$5:$F$1004,$A374,'入金消込'!$H$5:$H$1004)+SUMIF('入金消込'!$F$5:$F$1004,$A374,'入金消込'!$I$5:$I$1004))</f>
        <v/>
      </c>
      <c r="R374" s="28">
        <f>IF($A374="","",$L374-$P374-$Q374)</f>
        <v/>
      </c>
      <c r="S374" s="30">
        <f>IF($A374="","",IF($R374=0,IF($L374=0,"請求額0","回収済"),IF($L374&lt;0,IF($R374&lt;0,"差し引き待ち","差し引きすぎ"),IF($R374&lt;0,"入金が多い",IF($P374+$Q374=0,"未入金","一部入金")))))</f>
        <v/>
      </c>
      <c r="T374" s="31">
        <f>IF(OR($A374="",N($R374)&lt;=0,NOT(ISNUMBER($O374))),"",IF($O374&lt;'設定'!$B$7,'設定'!$B$7-$O374,""))</f>
        <v/>
      </c>
      <c r="U374" s="30">
        <f>IF(OR($A374="",N($R374)&lt;=0),"",IF(NOT(ISNUMBER($O374)),'設定'!$B$22,IF($O374&gt;='設定'!$B$7,'設定'!$B$17,IF('設定'!$B$7-$O374&lt;='設定'!$B$12,'設定'!$B$18,IF('設定'!$B$7-$O374&lt;='設定'!$B$13,'設定'!$B$19,IF('設定'!$B$7-$O374&lt;='設定'!$B$14,'設定'!$B$20,'設定'!$B$21))))))</f>
        <v/>
      </c>
      <c r="V374" s="56" t="n"/>
      <c r="W374" s="32">
        <f>IF($C374="","",IFERROR(MATCH($C374,'得意先'!$B$5:$B$104,0),"なし"))</f>
        <v/>
      </c>
      <c r="X374" s="33">
        <f>IF($A374="","",IF(ISNUMBER($E374),$E374,IF(ISNUMBER($B374),$B374,"")))</f>
        <v/>
      </c>
      <c r="Y374" s="34">
        <f>IF($T374="","",$O374+ROW()/1000000)</f>
        <v/>
      </c>
      <c r="Z374" s="35">
        <f>IF(OR($A374="",$C374="",$C374&lt;&gt;'売掛帳'!$B$3,NOT(ISNUMBER($X374))),"",IF(AND($X374&gt;='売掛帳'!$Q$3,$X374&lt;='売掛帳'!$Q$4),$X374+ROW()/10000000,""))</f>
        <v/>
      </c>
    </row>
    <row r="375" ht="18" customHeight="1">
      <c r="A375" s="18" t="n"/>
      <c r="B375" s="26" t="n"/>
      <c r="C375" s="18" t="n"/>
      <c r="D375" s="20">
        <f>IF($W375="","",IF($W375="なし","※得意先にないコード",INDEX('得意先'!$C$5:$C$104,$W375)&amp;""))</f>
        <v/>
      </c>
      <c r="E375" s="26" t="n"/>
      <c r="F375" s="19" t="n"/>
      <c r="G375" s="27" t="n"/>
      <c r="H375" s="27" t="n"/>
      <c r="I375" s="27" t="n"/>
      <c r="J375" s="28">
        <f>IF($A375="","",IF('設定'!$B$10="四捨五入",ROUND(IF('設定'!$B$9="税込",N($G375)*10/110,N($G375)*10/100),0),IF('設定'!$B$10="切り上げ",ROUNDUP(IF('設定'!$B$9="税込",N($G375)*10/110,N($G375)*10/100),0),ROUNDDOWN(IF('設定'!$B$9="税込",N($G375)*10/110,N($G375)*10/100),0))))</f>
        <v/>
      </c>
      <c r="K375" s="28">
        <f>IF($A375="","",IF('設定'!$B$10="四捨五入",ROUND(IF('設定'!$B$9="税込",N($H375)*8/108,N($H375)*8/100),0),IF('設定'!$B$10="切り上げ",ROUNDUP(IF('設定'!$B$9="税込",N($H375)*8/108,N($H375)*8/100),0),ROUNDDOWN(IF('設定'!$B$9="税込",N($H375)*8/108,N($H375)*8/100),0))))</f>
        <v/>
      </c>
      <c r="L375" s="28">
        <f>IF($A375="","",N($G375)+N($H375)+N($I375)+IF('設定'!$B$9="税込",0,$J375+$K375))</f>
        <v/>
      </c>
      <c r="M375" s="29">
        <f>IF(OR($A375="",NOT(ISNUMBER($W375)),NOT(ISNUMBER($X375))),"",IF(OR(INDEX('得意先'!$D$5:$D$104,$W375)="",INDEX('得意先'!$E$5:$E$104,$W375)="",INDEX('得意先'!$F$5:$F$104,$W375)=""),"",IF(INDEX('得意先'!$F$5:$F$104,$W375)="末",DATE(YEAR($X375),(MONTH($X375)+IF(INDEX('得意先'!$D$5:$D$104,$W375)="末",0,IF(DAY($X375)&lt;=INDEX('得意先'!$D$5:$D$104,$W375),0,1))+N(INDEX('得意先'!$E$5:$E$104,$W375)))+1,0),DATE(YEAR($X375),(MONTH($X375)+IF(INDEX('得意先'!$D$5:$D$104,$W375)="末",0,IF(DAY($X375)&lt;=INDEX('得意先'!$D$5:$D$104,$W375),0,1))+N(INDEX('得意先'!$E$5:$E$104,$W375))),MIN(INDEX('得意先'!$F$5:$F$104,$W375),DAY(DATE(YEAR($X375),(MONTH($X375)+IF(INDEX('得意先'!$D$5:$D$104,$W375)="末",0,IF(DAY($X375)&lt;=INDEX('得意先'!$D$5:$D$104,$W375),0,1))+N(INDEX('得意先'!$E$5:$E$104,$W375)))+1,0)))))))</f>
        <v/>
      </c>
      <c r="N375" s="26" t="n"/>
      <c r="O375" s="29">
        <f>IF($A375="","",IF(ISNUMBER($N375),$N375,$M375))</f>
        <v/>
      </c>
      <c r="P375" s="28">
        <f>IF($A375="","",SUMIF('入金消込'!$F$5:$F$1004,$A375,'入金消込'!$G$5:$G$1004))</f>
        <v/>
      </c>
      <c r="Q375" s="28">
        <f>IF($A375="","",SUMIF('入金消込'!$F$5:$F$1004,$A375,'入金消込'!$H$5:$H$1004)+SUMIF('入金消込'!$F$5:$F$1004,$A375,'入金消込'!$I$5:$I$1004))</f>
        <v/>
      </c>
      <c r="R375" s="28">
        <f>IF($A375="","",$L375-$P375-$Q375)</f>
        <v/>
      </c>
      <c r="S375" s="30">
        <f>IF($A375="","",IF($R375=0,IF($L375=0,"請求額0","回収済"),IF($L375&lt;0,IF($R375&lt;0,"差し引き待ち","差し引きすぎ"),IF($R375&lt;0,"入金が多い",IF($P375+$Q375=0,"未入金","一部入金")))))</f>
        <v/>
      </c>
      <c r="T375" s="31">
        <f>IF(OR($A375="",N($R375)&lt;=0,NOT(ISNUMBER($O375))),"",IF($O375&lt;'設定'!$B$7,'設定'!$B$7-$O375,""))</f>
        <v/>
      </c>
      <c r="U375" s="30">
        <f>IF(OR($A375="",N($R375)&lt;=0),"",IF(NOT(ISNUMBER($O375)),'設定'!$B$22,IF($O375&gt;='設定'!$B$7,'設定'!$B$17,IF('設定'!$B$7-$O375&lt;='設定'!$B$12,'設定'!$B$18,IF('設定'!$B$7-$O375&lt;='設定'!$B$13,'設定'!$B$19,IF('設定'!$B$7-$O375&lt;='設定'!$B$14,'設定'!$B$20,'設定'!$B$21))))))</f>
        <v/>
      </c>
      <c r="V375" s="56" t="n"/>
      <c r="W375" s="32">
        <f>IF($C375="","",IFERROR(MATCH($C375,'得意先'!$B$5:$B$104,0),"なし"))</f>
        <v/>
      </c>
      <c r="X375" s="33">
        <f>IF($A375="","",IF(ISNUMBER($E375),$E375,IF(ISNUMBER($B375),$B375,"")))</f>
        <v/>
      </c>
      <c r="Y375" s="34">
        <f>IF($T375="","",$O375+ROW()/1000000)</f>
        <v/>
      </c>
      <c r="Z375" s="35">
        <f>IF(OR($A375="",$C375="",$C375&lt;&gt;'売掛帳'!$B$3,NOT(ISNUMBER($X375))),"",IF(AND($X375&gt;='売掛帳'!$Q$3,$X375&lt;='売掛帳'!$Q$4),$X375+ROW()/10000000,""))</f>
        <v/>
      </c>
    </row>
    <row r="376" ht="18" customHeight="1">
      <c r="A376" s="18" t="n"/>
      <c r="B376" s="26" t="n"/>
      <c r="C376" s="18" t="n"/>
      <c r="D376" s="20">
        <f>IF($W376="","",IF($W376="なし","※得意先にないコード",INDEX('得意先'!$C$5:$C$104,$W376)&amp;""))</f>
        <v/>
      </c>
      <c r="E376" s="26" t="n"/>
      <c r="F376" s="19" t="n"/>
      <c r="G376" s="27" t="n"/>
      <c r="H376" s="27" t="n"/>
      <c r="I376" s="27" t="n"/>
      <c r="J376" s="28">
        <f>IF($A376="","",IF('設定'!$B$10="四捨五入",ROUND(IF('設定'!$B$9="税込",N($G376)*10/110,N($G376)*10/100),0),IF('設定'!$B$10="切り上げ",ROUNDUP(IF('設定'!$B$9="税込",N($G376)*10/110,N($G376)*10/100),0),ROUNDDOWN(IF('設定'!$B$9="税込",N($G376)*10/110,N($G376)*10/100),0))))</f>
        <v/>
      </c>
      <c r="K376" s="28">
        <f>IF($A376="","",IF('設定'!$B$10="四捨五入",ROUND(IF('設定'!$B$9="税込",N($H376)*8/108,N($H376)*8/100),0),IF('設定'!$B$10="切り上げ",ROUNDUP(IF('設定'!$B$9="税込",N($H376)*8/108,N($H376)*8/100),0),ROUNDDOWN(IF('設定'!$B$9="税込",N($H376)*8/108,N($H376)*8/100),0))))</f>
        <v/>
      </c>
      <c r="L376" s="28">
        <f>IF($A376="","",N($G376)+N($H376)+N($I376)+IF('設定'!$B$9="税込",0,$J376+$K376))</f>
        <v/>
      </c>
      <c r="M376" s="29">
        <f>IF(OR($A376="",NOT(ISNUMBER($W376)),NOT(ISNUMBER($X376))),"",IF(OR(INDEX('得意先'!$D$5:$D$104,$W376)="",INDEX('得意先'!$E$5:$E$104,$W376)="",INDEX('得意先'!$F$5:$F$104,$W376)=""),"",IF(INDEX('得意先'!$F$5:$F$104,$W376)="末",DATE(YEAR($X376),(MONTH($X376)+IF(INDEX('得意先'!$D$5:$D$104,$W376)="末",0,IF(DAY($X376)&lt;=INDEX('得意先'!$D$5:$D$104,$W376),0,1))+N(INDEX('得意先'!$E$5:$E$104,$W376)))+1,0),DATE(YEAR($X376),(MONTH($X376)+IF(INDEX('得意先'!$D$5:$D$104,$W376)="末",0,IF(DAY($X376)&lt;=INDEX('得意先'!$D$5:$D$104,$W376),0,1))+N(INDEX('得意先'!$E$5:$E$104,$W376))),MIN(INDEX('得意先'!$F$5:$F$104,$W376),DAY(DATE(YEAR($X376),(MONTH($X376)+IF(INDEX('得意先'!$D$5:$D$104,$W376)="末",0,IF(DAY($X376)&lt;=INDEX('得意先'!$D$5:$D$104,$W376),0,1))+N(INDEX('得意先'!$E$5:$E$104,$W376)))+1,0)))))))</f>
        <v/>
      </c>
      <c r="N376" s="26" t="n"/>
      <c r="O376" s="29">
        <f>IF($A376="","",IF(ISNUMBER($N376),$N376,$M376))</f>
        <v/>
      </c>
      <c r="P376" s="28">
        <f>IF($A376="","",SUMIF('入金消込'!$F$5:$F$1004,$A376,'入金消込'!$G$5:$G$1004))</f>
        <v/>
      </c>
      <c r="Q376" s="28">
        <f>IF($A376="","",SUMIF('入金消込'!$F$5:$F$1004,$A376,'入金消込'!$H$5:$H$1004)+SUMIF('入金消込'!$F$5:$F$1004,$A376,'入金消込'!$I$5:$I$1004))</f>
        <v/>
      </c>
      <c r="R376" s="28">
        <f>IF($A376="","",$L376-$P376-$Q376)</f>
        <v/>
      </c>
      <c r="S376" s="30">
        <f>IF($A376="","",IF($R376=0,IF($L376=0,"請求額0","回収済"),IF($L376&lt;0,IF($R376&lt;0,"差し引き待ち","差し引きすぎ"),IF($R376&lt;0,"入金が多い",IF($P376+$Q376=0,"未入金","一部入金")))))</f>
        <v/>
      </c>
      <c r="T376" s="31">
        <f>IF(OR($A376="",N($R376)&lt;=0,NOT(ISNUMBER($O376))),"",IF($O376&lt;'設定'!$B$7,'設定'!$B$7-$O376,""))</f>
        <v/>
      </c>
      <c r="U376" s="30">
        <f>IF(OR($A376="",N($R376)&lt;=0),"",IF(NOT(ISNUMBER($O376)),'設定'!$B$22,IF($O376&gt;='設定'!$B$7,'設定'!$B$17,IF('設定'!$B$7-$O376&lt;='設定'!$B$12,'設定'!$B$18,IF('設定'!$B$7-$O376&lt;='設定'!$B$13,'設定'!$B$19,IF('設定'!$B$7-$O376&lt;='設定'!$B$14,'設定'!$B$20,'設定'!$B$21))))))</f>
        <v/>
      </c>
      <c r="V376" s="56" t="n"/>
      <c r="W376" s="32">
        <f>IF($C376="","",IFERROR(MATCH($C376,'得意先'!$B$5:$B$104,0),"なし"))</f>
        <v/>
      </c>
      <c r="X376" s="33">
        <f>IF($A376="","",IF(ISNUMBER($E376),$E376,IF(ISNUMBER($B376),$B376,"")))</f>
        <v/>
      </c>
      <c r="Y376" s="34">
        <f>IF($T376="","",$O376+ROW()/1000000)</f>
        <v/>
      </c>
      <c r="Z376" s="35">
        <f>IF(OR($A376="",$C376="",$C376&lt;&gt;'売掛帳'!$B$3,NOT(ISNUMBER($X376))),"",IF(AND($X376&gt;='売掛帳'!$Q$3,$X376&lt;='売掛帳'!$Q$4),$X376+ROW()/10000000,""))</f>
        <v/>
      </c>
    </row>
    <row r="377" ht="18" customHeight="1">
      <c r="A377" s="18" t="n"/>
      <c r="B377" s="26" t="n"/>
      <c r="C377" s="18" t="n"/>
      <c r="D377" s="20">
        <f>IF($W377="","",IF($W377="なし","※得意先にないコード",INDEX('得意先'!$C$5:$C$104,$W377)&amp;""))</f>
        <v/>
      </c>
      <c r="E377" s="26" t="n"/>
      <c r="F377" s="19" t="n"/>
      <c r="G377" s="27" t="n"/>
      <c r="H377" s="27" t="n"/>
      <c r="I377" s="27" t="n"/>
      <c r="J377" s="28">
        <f>IF($A377="","",IF('設定'!$B$10="四捨五入",ROUND(IF('設定'!$B$9="税込",N($G377)*10/110,N($G377)*10/100),0),IF('設定'!$B$10="切り上げ",ROUNDUP(IF('設定'!$B$9="税込",N($G377)*10/110,N($G377)*10/100),0),ROUNDDOWN(IF('設定'!$B$9="税込",N($G377)*10/110,N($G377)*10/100),0))))</f>
        <v/>
      </c>
      <c r="K377" s="28">
        <f>IF($A377="","",IF('設定'!$B$10="四捨五入",ROUND(IF('設定'!$B$9="税込",N($H377)*8/108,N($H377)*8/100),0),IF('設定'!$B$10="切り上げ",ROUNDUP(IF('設定'!$B$9="税込",N($H377)*8/108,N($H377)*8/100),0),ROUNDDOWN(IF('設定'!$B$9="税込",N($H377)*8/108,N($H377)*8/100),0))))</f>
        <v/>
      </c>
      <c r="L377" s="28">
        <f>IF($A377="","",N($G377)+N($H377)+N($I377)+IF('設定'!$B$9="税込",0,$J377+$K377))</f>
        <v/>
      </c>
      <c r="M377" s="29">
        <f>IF(OR($A377="",NOT(ISNUMBER($W377)),NOT(ISNUMBER($X377))),"",IF(OR(INDEX('得意先'!$D$5:$D$104,$W377)="",INDEX('得意先'!$E$5:$E$104,$W377)="",INDEX('得意先'!$F$5:$F$104,$W377)=""),"",IF(INDEX('得意先'!$F$5:$F$104,$W377)="末",DATE(YEAR($X377),(MONTH($X377)+IF(INDEX('得意先'!$D$5:$D$104,$W377)="末",0,IF(DAY($X377)&lt;=INDEX('得意先'!$D$5:$D$104,$W377),0,1))+N(INDEX('得意先'!$E$5:$E$104,$W377)))+1,0),DATE(YEAR($X377),(MONTH($X377)+IF(INDEX('得意先'!$D$5:$D$104,$W377)="末",0,IF(DAY($X377)&lt;=INDEX('得意先'!$D$5:$D$104,$W377),0,1))+N(INDEX('得意先'!$E$5:$E$104,$W377))),MIN(INDEX('得意先'!$F$5:$F$104,$W377),DAY(DATE(YEAR($X377),(MONTH($X377)+IF(INDEX('得意先'!$D$5:$D$104,$W377)="末",0,IF(DAY($X377)&lt;=INDEX('得意先'!$D$5:$D$104,$W377),0,1))+N(INDEX('得意先'!$E$5:$E$104,$W377)))+1,0)))))))</f>
        <v/>
      </c>
      <c r="N377" s="26" t="n"/>
      <c r="O377" s="29">
        <f>IF($A377="","",IF(ISNUMBER($N377),$N377,$M377))</f>
        <v/>
      </c>
      <c r="P377" s="28">
        <f>IF($A377="","",SUMIF('入金消込'!$F$5:$F$1004,$A377,'入金消込'!$G$5:$G$1004))</f>
        <v/>
      </c>
      <c r="Q377" s="28">
        <f>IF($A377="","",SUMIF('入金消込'!$F$5:$F$1004,$A377,'入金消込'!$H$5:$H$1004)+SUMIF('入金消込'!$F$5:$F$1004,$A377,'入金消込'!$I$5:$I$1004))</f>
        <v/>
      </c>
      <c r="R377" s="28">
        <f>IF($A377="","",$L377-$P377-$Q377)</f>
        <v/>
      </c>
      <c r="S377" s="30">
        <f>IF($A377="","",IF($R377=0,IF($L377=0,"請求額0","回収済"),IF($L377&lt;0,IF($R377&lt;0,"差し引き待ち","差し引きすぎ"),IF($R377&lt;0,"入金が多い",IF($P377+$Q377=0,"未入金","一部入金")))))</f>
        <v/>
      </c>
      <c r="T377" s="31">
        <f>IF(OR($A377="",N($R377)&lt;=0,NOT(ISNUMBER($O377))),"",IF($O377&lt;'設定'!$B$7,'設定'!$B$7-$O377,""))</f>
        <v/>
      </c>
      <c r="U377" s="30">
        <f>IF(OR($A377="",N($R377)&lt;=0),"",IF(NOT(ISNUMBER($O377)),'設定'!$B$22,IF($O377&gt;='設定'!$B$7,'設定'!$B$17,IF('設定'!$B$7-$O377&lt;='設定'!$B$12,'設定'!$B$18,IF('設定'!$B$7-$O377&lt;='設定'!$B$13,'設定'!$B$19,IF('設定'!$B$7-$O377&lt;='設定'!$B$14,'設定'!$B$20,'設定'!$B$21))))))</f>
        <v/>
      </c>
      <c r="V377" s="56" t="n"/>
      <c r="W377" s="32">
        <f>IF($C377="","",IFERROR(MATCH($C377,'得意先'!$B$5:$B$104,0),"なし"))</f>
        <v/>
      </c>
      <c r="X377" s="33">
        <f>IF($A377="","",IF(ISNUMBER($E377),$E377,IF(ISNUMBER($B377),$B377,"")))</f>
        <v/>
      </c>
      <c r="Y377" s="34">
        <f>IF($T377="","",$O377+ROW()/1000000)</f>
        <v/>
      </c>
      <c r="Z377" s="35">
        <f>IF(OR($A377="",$C377="",$C377&lt;&gt;'売掛帳'!$B$3,NOT(ISNUMBER($X377))),"",IF(AND($X377&gt;='売掛帳'!$Q$3,$X377&lt;='売掛帳'!$Q$4),$X377+ROW()/10000000,""))</f>
        <v/>
      </c>
    </row>
    <row r="378" ht="18" customHeight="1">
      <c r="A378" s="18" t="n"/>
      <c r="B378" s="26" t="n"/>
      <c r="C378" s="18" t="n"/>
      <c r="D378" s="20">
        <f>IF($W378="","",IF($W378="なし","※得意先にないコード",INDEX('得意先'!$C$5:$C$104,$W378)&amp;""))</f>
        <v/>
      </c>
      <c r="E378" s="26" t="n"/>
      <c r="F378" s="19" t="n"/>
      <c r="G378" s="27" t="n"/>
      <c r="H378" s="27" t="n"/>
      <c r="I378" s="27" t="n"/>
      <c r="J378" s="28">
        <f>IF($A378="","",IF('設定'!$B$10="四捨五入",ROUND(IF('設定'!$B$9="税込",N($G378)*10/110,N($G378)*10/100),0),IF('設定'!$B$10="切り上げ",ROUNDUP(IF('設定'!$B$9="税込",N($G378)*10/110,N($G378)*10/100),0),ROUNDDOWN(IF('設定'!$B$9="税込",N($G378)*10/110,N($G378)*10/100),0))))</f>
        <v/>
      </c>
      <c r="K378" s="28">
        <f>IF($A378="","",IF('設定'!$B$10="四捨五入",ROUND(IF('設定'!$B$9="税込",N($H378)*8/108,N($H378)*8/100),0),IF('設定'!$B$10="切り上げ",ROUNDUP(IF('設定'!$B$9="税込",N($H378)*8/108,N($H378)*8/100),0),ROUNDDOWN(IF('設定'!$B$9="税込",N($H378)*8/108,N($H378)*8/100),0))))</f>
        <v/>
      </c>
      <c r="L378" s="28">
        <f>IF($A378="","",N($G378)+N($H378)+N($I378)+IF('設定'!$B$9="税込",0,$J378+$K378))</f>
        <v/>
      </c>
      <c r="M378" s="29">
        <f>IF(OR($A378="",NOT(ISNUMBER($W378)),NOT(ISNUMBER($X378))),"",IF(OR(INDEX('得意先'!$D$5:$D$104,$W378)="",INDEX('得意先'!$E$5:$E$104,$W378)="",INDEX('得意先'!$F$5:$F$104,$W378)=""),"",IF(INDEX('得意先'!$F$5:$F$104,$W378)="末",DATE(YEAR($X378),(MONTH($X378)+IF(INDEX('得意先'!$D$5:$D$104,$W378)="末",0,IF(DAY($X378)&lt;=INDEX('得意先'!$D$5:$D$104,$W378),0,1))+N(INDEX('得意先'!$E$5:$E$104,$W378)))+1,0),DATE(YEAR($X378),(MONTH($X378)+IF(INDEX('得意先'!$D$5:$D$104,$W378)="末",0,IF(DAY($X378)&lt;=INDEX('得意先'!$D$5:$D$104,$W378),0,1))+N(INDEX('得意先'!$E$5:$E$104,$W378))),MIN(INDEX('得意先'!$F$5:$F$104,$W378),DAY(DATE(YEAR($X378),(MONTH($X378)+IF(INDEX('得意先'!$D$5:$D$104,$W378)="末",0,IF(DAY($X378)&lt;=INDEX('得意先'!$D$5:$D$104,$W378),0,1))+N(INDEX('得意先'!$E$5:$E$104,$W378)))+1,0)))))))</f>
        <v/>
      </c>
      <c r="N378" s="26" t="n"/>
      <c r="O378" s="29">
        <f>IF($A378="","",IF(ISNUMBER($N378),$N378,$M378))</f>
        <v/>
      </c>
      <c r="P378" s="28">
        <f>IF($A378="","",SUMIF('入金消込'!$F$5:$F$1004,$A378,'入金消込'!$G$5:$G$1004))</f>
        <v/>
      </c>
      <c r="Q378" s="28">
        <f>IF($A378="","",SUMIF('入金消込'!$F$5:$F$1004,$A378,'入金消込'!$H$5:$H$1004)+SUMIF('入金消込'!$F$5:$F$1004,$A378,'入金消込'!$I$5:$I$1004))</f>
        <v/>
      </c>
      <c r="R378" s="28">
        <f>IF($A378="","",$L378-$P378-$Q378)</f>
        <v/>
      </c>
      <c r="S378" s="30">
        <f>IF($A378="","",IF($R378=0,IF($L378=0,"請求額0","回収済"),IF($L378&lt;0,IF($R378&lt;0,"差し引き待ち","差し引きすぎ"),IF($R378&lt;0,"入金が多い",IF($P378+$Q378=0,"未入金","一部入金")))))</f>
        <v/>
      </c>
      <c r="T378" s="31">
        <f>IF(OR($A378="",N($R378)&lt;=0,NOT(ISNUMBER($O378))),"",IF($O378&lt;'設定'!$B$7,'設定'!$B$7-$O378,""))</f>
        <v/>
      </c>
      <c r="U378" s="30">
        <f>IF(OR($A378="",N($R378)&lt;=0),"",IF(NOT(ISNUMBER($O378)),'設定'!$B$22,IF($O378&gt;='設定'!$B$7,'設定'!$B$17,IF('設定'!$B$7-$O378&lt;='設定'!$B$12,'設定'!$B$18,IF('設定'!$B$7-$O378&lt;='設定'!$B$13,'設定'!$B$19,IF('設定'!$B$7-$O378&lt;='設定'!$B$14,'設定'!$B$20,'設定'!$B$21))))))</f>
        <v/>
      </c>
      <c r="V378" s="56" t="n"/>
      <c r="W378" s="32">
        <f>IF($C378="","",IFERROR(MATCH($C378,'得意先'!$B$5:$B$104,0),"なし"))</f>
        <v/>
      </c>
      <c r="X378" s="33">
        <f>IF($A378="","",IF(ISNUMBER($E378),$E378,IF(ISNUMBER($B378),$B378,"")))</f>
        <v/>
      </c>
      <c r="Y378" s="34">
        <f>IF($T378="","",$O378+ROW()/1000000)</f>
        <v/>
      </c>
      <c r="Z378" s="35">
        <f>IF(OR($A378="",$C378="",$C378&lt;&gt;'売掛帳'!$B$3,NOT(ISNUMBER($X378))),"",IF(AND($X378&gt;='売掛帳'!$Q$3,$X378&lt;='売掛帳'!$Q$4),$X378+ROW()/10000000,""))</f>
        <v/>
      </c>
    </row>
    <row r="379" ht="18" customHeight="1">
      <c r="A379" s="18" t="n"/>
      <c r="B379" s="26" t="n"/>
      <c r="C379" s="18" t="n"/>
      <c r="D379" s="20">
        <f>IF($W379="","",IF($W379="なし","※得意先にないコード",INDEX('得意先'!$C$5:$C$104,$W379)&amp;""))</f>
        <v/>
      </c>
      <c r="E379" s="26" t="n"/>
      <c r="F379" s="19" t="n"/>
      <c r="G379" s="27" t="n"/>
      <c r="H379" s="27" t="n"/>
      <c r="I379" s="27" t="n"/>
      <c r="J379" s="28">
        <f>IF($A379="","",IF('設定'!$B$10="四捨五入",ROUND(IF('設定'!$B$9="税込",N($G379)*10/110,N($G379)*10/100),0),IF('設定'!$B$10="切り上げ",ROUNDUP(IF('設定'!$B$9="税込",N($G379)*10/110,N($G379)*10/100),0),ROUNDDOWN(IF('設定'!$B$9="税込",N($G379)*10/110,N($G379)*10/100),0))))</f>
        <v/>
      </c>
      <c r="K379" s="28">
        <f>IF($A379="","",IF('設定'!$B$10="四捨五入",ROUND(IF('設定'!$B$9="税込",N($H379)*8/108,N($H379)*8/100),0),IF('設定'!$B$10="切り上げ",ROUNDUP(IF('設定'!$B$9="税込",N($H379)*8/108,N($H379)*8/100),0),ROUNDDOWN(IF('設定'!$B$9="税込",N($H379)*8/108,N($H379)*8/100),0))))</f>
        <v/>
      </c>
      <c r="L379" s="28">
        <f>IF($A379="","",N($G379)+N($H379)+N($I379)+IF('設定'!$B$9="税込",0,$J379+$K379))</f>
        <v/>
      </c>
      <c r="M379" s="29">
        <f>IF(OR($A379="",NOT(ISNUMBER($W379)),NOT(ISNUMBER($X379))),"",IF(OR(INDEX('得意先'!$D$5:$D$104,$W379)="",INDEX('得意先'!$E$5:$E$104,$W379)="",INDEX('得意先'!$F$5:$F$104,$W379)=""),"",IF(INDEX('得意先'!$F$5:$F$104,$W379)="末",DATE(YEAR($X379),(MONTH($X379)+IF(INDEX('得意先'!$D$5:$D$104,$W379)="末",0,IF(DAY($X379)&lt;=INDEX('得意先'!$D$5:$D$104,$W379),0,1))+N(INDEX('得意先'!$E$5:$E$104,$W379)))+1,0),DATE(YEAR($X379),(MONTH($X379)+IF(INDEX('得意先'!$D$5:$D$104,$W379)="末",0,IF(DAY($X379)&lt;=INDEX('得意先'!$D$5:$D$104,$W379),0,1))+N(INDEX('得意先'!$E$5:$E$104,$W379))),MIN(INDEX('得意先'!$F$5:$F$104,$W379),DAY(DATE(YEAR($X379),(MONTH($X379)+IF(INDEX('得意先'!$D$5:$D$104,$W379)="末",0,IF(DAY($X379)&lt;=INDEX('得意先'!$D$5:$D$104,$W379),0,1))+N(INDEX('得意先'!$E$5:$E$104,$W379)))+1,0)))))))</f>
        <v/>
      </c>
      <c r="N379" s="26" t="n"/>
      <c r="O379" s="29">
        <f>IF($A379="","",IF(ISNUMBER($N379),$N379,$M379))</f>
        <v/>
      </c>
      <c r="P379" s="28">
        <f>IF($A379="","",SUMIF('入金消込'!$F$5:$F$1004,$A379,'入金消込'!$G$5:$G$1004))</f>
        <v/>
      </c>
      <c r="Q379" s="28">
        <f>IF($A379="","",SUMIF('入金消込'!$F$5:$F$1004,$A379,'入金消込'!$H$5:$H$1004)+SUMIF('入金消込'!$F$5:$F$1004,$A379,'入金消込'!$I$5:$I$1004))</f>
        <v/>
      </c>
      <c r="R379" s="28">
        <f>IF($A379="","",$L379-$P379-$Q379)</f>
        <v/>
      </c>
      <c r="S379" s="30">
        <f>IF($A379="","",IF($R379=0,IF($L379=0,"請求額0","回収済"),IF($L379&lt;0,IF($R379&lt;0,"差し引き待ち","差し引きすぎ"),IF($R379&lt;0,"入金が多い",IF($P379+$Q379=0,"未入金","一部入金")))))</f>
        <v/>
      </c>
      <c r="T379" s="31">
        <f>IF(OR($A379="",N($R379)&lt;=0,NOT(ISNUMBER($O379))),"",IF($O379&lt;'設定'!$B$7,'設定'!$B$7-$O379,""))</f>
        <v/>
      </c>
      <c r="U379" s="30">
        <f>IF(OR($A379="",N($R379)&lt;=0),"",IF(NOT(ISNUMBER($O379)),'設定'!$B$22,IF($O379&gt;='設定'!$B$7,'設定'!$B$17,IF('設定'!$B$7-$O379&lt;='設定'!$B$12,'設定'!$B$18,IF('設定'!$B$7-$O379&lt;='設定'!$B$13,'設定'!$B$19,IF('設定'!$B$7-$O379&lt;='設定'!$B$14,'設定'!$B$20,'設定'!$B$21))))))</f>
        <v/>
      </c>
      <c r="V379" s="56" t="n"/>
      <c r="W379" s="32">
        <f>IF($C379="","",IFERROR(MATCH($C379,'得意先'!$B$5:$B$104,0),"なし"))</f>
        <v/>
      </c>
      <c r="X379" s="33">
        <f>IF($A379="","",IF(ISNUMBER($E379),$E379,IF(ISNUMBER($B379),$B379,"")))</f>
        <v/>
      </c>
      <c r="Y379" s="34">
        <f>IF($T379="","",$O379+ROW()/1000000)</f>
        <v/>
      </c>
      <c r="Z379" s="35">
        <f>IF(OR($A379="",$C379="",$C379&lt;&gt;'売掛帳'!$B$3,NOT(ISNUMBER($X379))),"",IF(AND($X379&gt;='売掛帳'!$Q$3,$X379&lt;='売掛帳'!$Q$4),$X379+ROW()/10000000,""))</f>
        <v/>
      </c>
    </row>
    <row r="380" ht="18" customHeight="1">
      <c r="A380" s="18" t="n"/>
      <c r="B380" s="26" t="n"/>
      <c r="C380" s="18" t="n"/>
      <c r="D380" s="20">
        <f>IF($W380="","",IF($W380="なし","※得意先にないコード",INDEX('得意先'!$C$5:$C$104,$W380)&amp;""))</f>
        <v/>
      </c>
      <c r="E380" s="26" t="n"/>
      <c r="F380" s="19" t="n"/>
      <c r="G380" s="27" t="n"/>
      <c r="H380" s="27" t="n"/>
      <c r="I380" s="27" t="n"/>
      <c r="J380" s="28">
        <f>IF($A380="","",IF('設定'!$B$10="四捨五入",ROUND(IF('設定'!$B$9="税込",N($G380)*10/110,N($G380)*10/100),0),IF('設定'!$B$10="切り上げ",ROUNDUP(IF('設定'!$B$9="税込",N($G380)*10/110,N($G380)*10/100),0),ROUNDDOWN(IF('設定'!$B$9="税込",N($G380)*10/110,N($G380)*10/100),0))))</f>
        <v/>
      </c>
      <c r="K380" s="28">
        <f>IF($A380="","",IF('設定'!$B$10="四捨五入",ROUND(IF('設定'!$B$9="税込",N($H380)*8/108,N($H380)*8/100),0),IF('設定'!$B$10="切り上げ",ROUNDUP(IF('設定'!$B$9="税込",N($H380)*8/108,N($H380)*8/100),0),ROUNDDOWN(IF('設定'!$B$9="税込",N($H380)*8/108,N($H380)*8/100),0))))</f>
        <v/>
      </c>
      <c r="L380" s="28">
        <f>IF($A380="","",N($G380)+N($H380)+N($I380)+IF('設定'!$B$9="税込",0,$J380+$K380))</f>
        <v/>
      </c>
      <c r="M380" s="29">
        <f>IF(OR($A380="",NOT(ISNUMBER($W380)),NOT(ISNUMBER($X380))),"",IF(OR(INDEX('得意先'!$D$5:$D$104,$W380)="",INDEX('得意先'!$E$5:$E$104,$W380)="",INDEX('得意先'!$F$5:$F$104,$W380)=""),"",IF(INDEX('得意先'!$F$5:$F$104,$W380)="末",DATE(YEAR($X380),(MONTH($X380)+IF(INDEX('得意先'!$D$5:$D$104,$W380)="末",0,IF(DAY($X380)&lt;=INDEX('得意先'!$D$5:$D$104,$W380),0,1))+N(INDEX('得意先'!$E$5:$E$104,$W380)))+1,0),DATE(YEAR($X380),(MONTH($X380)+IF(INDEX('得意先'!$D$5:$D$104,$W380)="末",0,IF(DAY($X380)&lt;=INDEX('得意先'!$D$5:$D$104,$W380),0,1))+N(INDEX('得意先'!$E$5:$E$104,$W380))),MIN(INDEX('得意先'!$F$5:$F$104,$W380),DAY(DATE(YEAR($X380),(MONTH($X380)+IF(INDEX('得意先'!$D$5:$D$104,$W380)="末",0,IF(DAY($X380)&lt;=INDEX('得意先'!$D$5:$D$104,$W380),0,1))+N(INDEX('得意先'!$E$5:$E$104,$W380)))+1,0)))))))</f>
        <v/>
      </c>
      <c r="N380" s="26" t="n"/>
      <c r="O380" s="29">
        <f>IF($A380="","",IF(ISNUMBER($N380),$N380,$M380))</f>
        <v/>
      </c>
      <c r="P380" s="28">
        <f>IF($A380="","",SUMIF('入金消込'!$F$5:$F$1004,$A380,'入金消込'!$G$5:$G$1004))</f>
        <v/>
      </c>
      <c r="Q380" s="28">
        <f>IF($A380="","",SUMIF('入金消込'!$F$5:$F$1004,$A380,'入金消込'!$H$5:$H$1004)+SUMIF('入金消込'!$F$5:$F$1004,$A380,'入金消込'!$I$5:$I$1004))</f>
        <v/>
      </c>
      <c r="R380" s="28">
        <f>IF($A380="","",$L380-$P380-$Q380)</f>
        <v/>
      </c>
      <c r="S380" s="30">
        <f>IF($A380="","",IF($R380=0,IF($L380=0,"請求額0","回収済"),IF($L380&lt;0,IF($R380&lt;0,"差し引き待ち","差し引きすぎ"),IF($R380&lt;0,"入金が多い",IF($P380+$Q380=0,"未入金","一部入金")))))</f>
        <v/>
      </c>
      <c r="T380" s="31">
        <f>IF(OR($A380="",N($R380)&lt;=0,NOT(ISNUMBER($O380))),"",IF($O380&lt;'設定'!$B$7,'設定'!$B$7-$O380,""))</f>
        <v/>
      </c>
      <c r="U380" s="30">
        <f>IF(OR($A380="",N($R380)&lt;=0),"",IF(NOT(ISNUMBER($O380)),'設定'!$B$22,IF($O380&gt;='設定'!$B$7,'設定'!$B$17,IF('設定'!$B$7-$O380&lt;='設定'!$B$12,'設定'!$B$18,IF('設定'!$B$7-$O380&lt;='設定'!$B$13,'設定'!$B$19,IF('設定'!$B$7-$O380&lt;='設定'!$B$14,'設定'!$B$20,'設定'!$B$21))))))</f>
        <v/>
      </c>
      <c r="V380" s="56" t="n"/>
      <c r="W380" s="32">
        <f>IF($C380="","",IFERROR(MATCH($C380,'得意先'!$B$5:$B$104,0),"なし"))</f>
        <v/>
      </c>
      <c r="X380" s="33">
        <f>IF($A380="","",IF(ISNUMBER($E380),$E380,IF(ISNUMBER($B380),$B380,"")))</f>
        <v/>
      </c>
      <c r="Y380" s="34">
        <f>IF($T380="","",$O380+ROW()/1000000)</f>
        <v/>
      </c>
      <c r="Z380" s="35">
        <f>IF(OR($A380="",$C380="",$C380&lt;&gt;'売掛帳'!$B$3,NOT(ISNUMBER($X380))),"",IF(AND($X380&gt;='売掛帳'!$Q$3,$X380&lt;='売掛帳'!$Q$4),$X380+ROW()/10000000,""))</f>
        <v/>
      </c>
    </row>
    <row r="381" ht="18" customHeight="1">
      <c r="A381" s="18" t="n"/>
      <c r="B381" s="26" t="n"/>
      <c r="C381" s="18" t="n"/>
      <c r="D381" s="20">
        <f>IF($W381="","",IF($W381="なし","※得意先にないコード",INDEX('得意先'!$C$5:$C$104,$W381)&amp;""))</f>
        <v/>
      </c>
      <c r="E381" s="26" t="n"/>
      <c r="F381" s="19" t="n"/>
      <c r="G381" s="27" t="n"/>
      <c r="H381" s="27" t="n"/>
      <c r="I381" s="27" t="n"/>
      <c r="J381" s="28">
        <f>IF($A381="","",IF('設定'!$B$10="四捨五入",ROUND(IF('設定'!$B$9="税込",N($G381)*10/110,N($G381)*10/100),0),IF('設定'!$B$10="切り上げ",ROUNDUP(IF('設定'!$B$9="税込",N($G381)*10/110,N($G381)*10/100),0),ROUNDDOWN(IF('設定'!$B$9="税込",N($G381)*10/110,N($G381)*10/100),0))))</f>
        <v/>
      </c>
      <c r="K381" s="28">
        <f>IF($A381="","",IF('設定'!$B$10="四捨五入",ROUND(IF('設定'!$B$9="税込",N($H381)*8/108,N($H381)*8/100),0),IF('設定'!$B$10="切り上げ",ROUNDUP(IF('設定'!$B$9="税込",N($H381)*8/108,N($H381)*8/100),0),ROUNDDOWN(IF('設定'!$B$9="税込",N($H381)*8/108,N($H381)*8/100),0))))</f>
        <v/>
      </c>
      <c r="L381" s="28">
        <f>IF($A381="","",N($G381)+N($H381)+N($I381)+IF('設定'!$B$9="税込",0,$J381+$K381))</f>
        <v/>
      </c>
      <c r="M381" s="29">
        <f>IF(OR($A381="",NOT(ISNUMBER($W381)),NOT(ISNUMBER($X381))),"",IF(OR(INDEX('得意先'!$D$5:$D$104,$W381)="",INDEX('得意先'!$E$5:$E$104,$W381)="",INDEX('得意先'!$F$5:$F$104,$W381)=""),"",IF(INDEX('得意先'!$F$5:$F$104,$W381)="末",DATE(YEAR($X381),(MONTH($X381)+IF(INDEX('得意先'!$D$5:$D$104,$W381)="末",0,IF(DAY($X381)&lt;=INDEX('得意先'!$D$5:$D$104,$W381),0,1))+N(INDEX('得意先'!$E$5:$E$104,$W381)))+1,0),DATE(YEAR($X381),(MONTH($X381)+IF(INDEX('得意先'!$D$5:$D$104,$W381)="末",0,IF(DAY($X381)&lt;=INDEX('得意先'!$D$5:$D$104,$W381),0,1))+N(INDEX('得意先'!$E$5:$E$104,$W381))),MIN(INDEX('得意先'!$F$5:$F$104,$W381),DAY(DATE(YEAR($X381),(MONTH($X381)+IF(INDEX('得意先'!$D$5:$D$104,$W381)="末",0,IF(DAY($X381)&lt;=INDEX('得意先'!$D$5:$D$104,$W381),0,1))+N(INDEX('得意先'!$E$5:$E$104,$W381)))+1,0)))))))</f>
        <v/>
      </c>
      <c r="N381" s="26" t="n"/>
      <c r="O381" s="29">
        <f>IF($A381="","",IF(ISNUMBER($N381),$N381,$M381))</f>
        <v/>
      </c>
      <c r="P381" s="28">
        <f>IF($A381="","",SUMIF('入金消込'!$F$5:$F$1004,$A381,'入金消込'!$G$5:$G$1004))</f>
        <v/>
      </c>
      <c r="Q381" s="28">
        <f>IF($A381="","",SUMIF('入金消込'!$F$5:$F$1004,$A381,'入金消込'!$H$5:$H$1004)+SUMIF('入金消込'!$F$5:$F$1004,$A381,'入金消込'!$I$5:$I$1004))</f>
        <v/>
      </c>
      <c r="R381" s="28">
        <f>IF($A381="","",$L381-$P381-$Q381)</f>
        <v/>
      </c>
      <c r="S381" s="30">
        <f>IF($A381="","",IF($R381=0,IF($L381=0,"請求額0","回収済"),IF($L381&lt;0,IF($R381&lt;0,"差し引き待ち","差し引きすぎ"),IF($R381&lt;0,"入金が多い",IF($P381+$Q381=0,"未入金","一部入金")))))</f>
        <v/>
      </c>
      <c r="T381" s="31">
        <f>IF(OR($A381="",N($R381)&lt;=0,NOT(ISNUMBER($O381))),"",IF($O381&lt;'設定'!$B$7,'設定'!$B$7-$O381,""))</f>
        <v/>
      </c>
      <c r="U381" s="30">
        <f>IF(OR($A381="",N($R381)&lt;=0),"",IF(NOT(ISNUMBER($O381)),'設定'!$B$22,IF($O381&gt;='設定'!$B$7,'設定'!$B$17,IF('設定'!$B$7-$O381&lt;='設定'!$B$12,'設定'!$B$18,IF('設定'!$B$7-$O381&lt;='設定'!$B$13,'設定'!$B$19,IF('設定'!$B$7-$O381&lt;='設定'!$B$14,'設定'!$B$20,'設定'!$B$21))))))</f>
        <v/>
      </c>
      <c r="V381" s="56" t="n"/>
      <c r="W381" s="32">
        <f>IF($C381="","",IFERROR(MATCH($C381,'得意先'!$B$5:$B$104,0),"なし"))</f>
        <v/>
      </c>
      <c r="X381" s="33">
        <f>IF($A381="","",IF(ISNUMBER($E381),$E381,IF(ISNUMBER($B381),$B381,"")))</f>
        <v/>
      </c>
      <c r="Y381" s="34">
        <f>IF($T381="","",$O381+ROW()/1000000)</f>
        <v/>
      </c>
      <c r="Z381" s="35">
        <f>IF(OR($A381="",$C381="",$C381&lt;&gt;'売掛帳'!$B$3,NOT(ISNUMBER($X381))),"",IF(AND($X381&gt;='売掛帳'!$Q$3,$X381&lt;='売掛帳'!$Q$4),$X381+ROW()/10000000,""))</f>
        <v/>
      </c>
    </row>
    <row r="382" ht="18" customHeight="1">
      <c r="A382" s="18" t="n"/>
      <c r="B382" s="26" t="n"/>
      <c r="C382" s="18" t="n"/>
      <c r="D382" s="20">
        <f>IF($W382="","",IF($W382="なし","※得意先にないコード",INDEX('得意先'!$C$5:$C$104,$W382)&amp;""))</f>
        <v/>
      </c>
      <c r="E382" s="26" t="n"/>
      <c r="F382" s="19" t="n"/>
      <c r="G382" s="27" t="n"/>
      <c r="H382" s="27" t="n"/>
      <c r="I382" s="27" t="n"/>
      <c r="J382" s="28">
        <f>IF($A382="","",IF('設定'!$B$10="四捨五入",ROUND(IF('設定'!$B$9="税込",N($G382)*10/110,N($G382)*10/100),0),IF('設定'!$B$10="切り上げ",ROUNDUP(IF('設定'!$B$9="税込",N($G382)*10/110,N($G382)*10/100),0),ROUNDDOWN(IF('設定'!$B$9="税込",N($G382)*10/110,N($G382)*10/100),0))))</f>
        <v/>
      </c>
      <c r="K382" s="28">
        <f>IF($A382="","",IF('設定'!$B$10="四捨五入",ROUND(IF('設定'!$B$9="税込",N($H382)*8/108,N($H382)*8/100),0),IF('設定'!$B$10="切り上げ",ROUNDUP(IF('設定'!$B$9="税込",N($H382)*8/108,N($H382)*8/100),0),ROUNDDOWN(IF('設定'!$B$9="税込",N($H382)*8/108,N($H382)*8/100),0))))</f>
        <v/>
      </c>
      <c r="L382" s="28">
        <f>IF($A382="","",N($G382)+N($H382)+N($I382)+IF('設定'!$B$9="税込",0,$J382+$K382))</f>
        <v/>
      </c>
      <c r="M382" s="29">
        <f>IF(OR($A382="",NOT(ISNUMBER($W382)),NOT(ISNUMBER($X382))),"",IF(OR(INDEX('得意先'!$D$5:$D$104,$W382)="",INDEX('得意先'!$E$5:$E$104,$W382)="",INDEX('得意先'!$F$5:$F$104,$W382)=""),"",IF(INDEX('得意先'!$F$5:$F$104,$W382)="末",DATE(YEAR($X382),(MONTH($X382)+IF(INDEX('得意先'!$D$5:$D$104,$W382)="末",0,IF(DAY($X382)&lt;=INDEX('得意先'!$D$5:$D$104,$W382),0,1))+N(INDEX('得意先'!$E$5:$E$104,$W382)))+1,0),DATE(YEAR($X382),(MONTH($X382)+IF(INDEX('得意先'!$D$5:$D$104,$W382)="末",0,IF(DAY($X382)&lt;=INDEX('得意先'!$D$5:$D$104,$W382),0,1))+N(INDEX('得意先'!$E$5:$E$104,$W382))),MIN(INDEX('得意先'!$F$5:$F$104,$W382),DAY(DATE(YEAR($X382),(MONTH($X382)+IF(INDEX('得意先'!$D$5:$D$104,$W382)="末",0,IF(DAY($X382)&lt;=INDEX('得意先'!$D$5:$D$104,$W382),0,1))+N(INDEX('得意先'!$E$5:$E$104,$W382)))+1,0)))))))</f>
        <v/>
      </c>
      <c r="N382" s="26" t="n"/>
      <c r="O382" s="29">
        <f>IF($A382="","",IF(ISNUMBER($N382),$N382,$M382))</f>
        <v/>
      </c>
      <c r="P382" s="28">
        <f>IF($A382="","",SUMIF('入金消込'!$F$5:$F$1004,$A382,'入金消込'!$G$5:$G$1004))</f>
        <v/>
      </c>
      <c r="Q382" s="28">
        <f>IF($A382="","",SUMIF('入金消込'!$F$5:$F$1004,$A382,'入金消込'!$H$5:$H$1004)+SUMIF('入金消込'!$F$5:$F$1004,$A382,'入金消込'!$I$5:$I$1004))</f>
        <v/>
      </c>
      <c r="R382" s="28">
        <f>IF($A382="","",$L382-$P382-$Q382)</f>
        <v/>
      </c>
      <c r="S382" s="30">
        <f>IF($A382="","",IF($R382=0,IF($L382=0,"請求額0","回収済"),IF($L382&lt;0,IF($R382&lt;0,"差し引き待ち","差し引きすぎ"),IF($R382&lt;0,"入金が多い",IF($P382+$Q382=0,"未入金","一部入金")))))</f>
        <v/>
      </c>
      <c r="T382" s="31">
        <f>IF(OR($A382="",N($R382)&lt;=0,NOT(ISNUMBER($O382))),"",IF($O382&lt;'設定'!$B$7,'設定'!$B$7-$O382,""))</f>
        <v/>
      </c>
      <c r="U382" s="30">
        <f>IF(OR($A382="",N($R382)&lt;=0),"",IF(NOT(ISNUMBER($O382)),'設定'!$B$22,IF($O382&gt;='設定'!$B$7,'設定'!$B$17,IF('設定'!$B$7-$O382&lt;='設定'!$B$12,'設定'!$B$18,IF('設定'!$B$7-$O382&lt;='設定'!$B$13,'設定'!$B$19,IF('設定'!$B$7-$O382&lt;='設定'!$B$14,'設定'!$B$20,'設定'!$B$21))))))</f>
        <v/>
      </c>
      <c r="V382" s="56" t="n"/>
      <c r="W382" s="32">
        <f>IF($C382="","",IFERROR(MATCH($C382,'得意先'!$B$5:$B$104,0),"なし"))</f>
        <v/>
      </c>
      <c r="X382" s="33">
        <f>IF($A382="","",IF(ISNUMBER($E382),$E382,IF(ISNUMBER($B382),$B382,"")))</f>
        <v/>
      </c>
      <c r="Y382" s="34">
        <f>IF($T382="","",$O382+ROW()/1000000)</f>
        <v/>
      </c>
      <c r="Z382" s="35">
        <f>IF(OR($A382="",$C382="",$C382&lt;&gt;'売掛帳'!$B$3,NOT(ISNUMBER($X382))),"",IF(AND($X382&gt;='売掛帳'!$Q$3,$X382&lt;='売掛帳'!$Q$4),$X382+ROW()/10000000,""))</f>
        <v/>
      </c>
    </row>
    <row r="383" ht="18" customHeight="1">
      <c r="A383" s="18" t="n"/>
      <c r="B383" s="26" t="n"/>
      <c r="C383" s="18" t="n"/>
      <c r="D383" s="20">
        <f>IF($W383="","",IF($W383="なし","※得意先にないコード",INDEX('得意先'!$C$5:$C$104,$W383)&amp;""))</f>
        <v/>
      </c>
      <c r="E383" s="26" t="n"/>
      <c r="F383" s="19" t="n"/>
      <c r="G383" s="27" t="n"/>
      <c r="H383" s="27" t="n"/>
      <c r="I383" s="27" t="n"/>
      <c r="J383" s="28">
        <f>IF($A383="","",IF('設定'!$B$10="四捨五入",ROUND(IF('設定'!$B$9="税込",N($G383)*10/110,N($G383)*10/100),0),IF('設定'!$B$10="切り上げ",ROUNDUP(IF('設定'!$B$9="税込",N($G383)*10/110,N($G383)*10/100),0),ROUNDDOWN(IF('設定'!$B$9="税込",N($G383)*10/110,N($G383)*10/100),0))))</f>
        <v/>
      </c>
      <c r="K383" s="28">
        <f>IF($A383="","",IF('設定'!$B$10="四捨五入",ROUND(IF('設定'!$B$9="税込",N($H383)*8/108,N($H383)*8/100),0),IF('設定'!$B$10="切り上げ",ROUNDUP(IF('設定'!$B$9="税込",N($H383)*8/108,N($H383)*8/100),0),ROUNDDOWN(IF('設定'!$B$9="税込",N($H383)*8/108,N($H383)*8/100),0))))</f>
        <v/>
      </c>
      <c r="L383" s="28">
        <f>IF($A383="","",N($G383)+N($H383)+N($I383)+IF('設定'!$B$9="税込",0,$J383+$K383))</f>
        <v/>
      </c>
      <c r="M383" s="29">
        <f>IF(OR($A383="",NOT(ISNUMBER($W383)),NOT(ISNUMBER($X383))),"",IF(OR(INDEX('得意先'!$D$5:$D$104,$W383)="",INDEX('得意先'!$E$5:$E$104,$W383)="",INDEX('得意先'!$F$5:$F$104,$W383)=""),"",IF(INDEX('得意先'!$F$5:$F$104,$W383)="末",DATE(YEAR($X383),(MONTH($X383)+IF(INDEX('得意先'!$D$5:$D$104,$W383)="末",0,IF(DAY($X383)&lt;=INDEX('得意先'!$D$5:$D$104,$W383),0,1))+N(INDEX('得意先'!$E$5:$E$104,$W383)))+1,0),DATE(YEAR($X383),(MONTH($X383)+IF(INDEX('得意先'!$D$5:$D$104,$W383)="末",0,IF(DAY($X383)&lt;=INDEX('得意先'!$D$5:$D$104,$W383),0,1))+N(INDEX('得意先'!$E$5:$E$104,$W383))),MIN(INDEX('得意先'!$F$5:$F$104,$W383),DAY(DATE(YEAR($X383),(MONTH($X383)+IF(INDEX('得意先'!$D$5:$D$104,$W383)="末",0,IF(DAY($X383)&lt;=INDEX('得意先'!$D$5:$D$104,$W383),0,1))+N(INDEX('得意先'!$E$5:$E$104,$W383)))+1,0)))))))</f>
        <v/>
      </c>
      <c r="N383" s="26" t="n"/>
      <c r="O383" s="29">
        <f>IF($A383="","",IF(ISNUMBER($N383),$N383,$M383))</f>
        <v/>
      </c>
      <c r="P383" s="28">
        <f>IF($A383="","",SUMIF('入金消込'!$F$5:$F$1004,$A383,'入金消込'!$G$5:$G$1004))</f>
        <v/>
      </c>
      <c r="Q383" s="28">
        <f>IF($A383="","",SUMIF('入金消込'!$F$5:$F$1004,$A383,'入金消込'!$H$5:$H$1004)+SUMIF('入金消込'!$F$5:$F$1004,$A383,'入金消込'!$I$5:$I$1004))</f>
        <v/>
      </c>
      <c r="R383" s="28">
        <f>IF($A383="","",$L383-$P383-$Q383)</f>
        <v/>
      </c>
      <c r="S383" s="30">
        <f>IF($A383="","",IF($R383=0,IF($L383=0,"請求額0","回収済"),IF($L383&lt;0,IF($R383&lt;0,"差し引き待ち","差し引きすぎ"),IF($R383&lt;0,"入金が多い",IF($P383+$Q383=0,"未入金","一部入金")))))</f>
        <v/>
      </c>
      <c r="T383" s="31">
        <f>IF(OR($A383="",N($R383)&lt;=0,NOT(ISNUMBER($O383))),"",IF($O383&lt;'設定'!$B$7,'設定'!$B$7-$O383,""))</f>
        <v/>
      </c>
      <c r="U383" s="30">
        <f>IF(OR($A383="",N($R383)&lt;=0),"",IF(NOT(ISNUMBER($O383)),'設定'!$B$22,IF($O383&gt;='設定'!$B$7,'設定'!$B$17,IF('設定'!$B$7-$O383&lt;='設定'!$B$12,'設定'!$B$18,IF('設定'!$B$7-$O383&lt;='設定'!$B$13,'設定'!$B$19,IF('設定'!$B$7-$O383&lt;='設定'!$B$14,'設定'!$B$20,'設定'!$B$21))))))</f>
        <v/>
      </c>
      <c r="V383" s="56" t="n"/>
      <c r="W383" s="32">
        <f>IF($C383="","",IFERROR(MATCH($C383,'得意先'!$B$5:$B$104,0),"なし"))</f>
        <v/>
      </c>
      <c r="X383" s="33">
        <f>IF($A383="","",IF(ISNUMBER($E383),$E383,IF(ISNUMBER($B383),$B383,"")))</f>
        <v/>
      </c>
      <c r="Y383" s="34">
        <f>IF($T383="","",$O383+ROW()/1000000)</f>
        <v/>
      </c>
      <c r="Z383" s="35">
        <f>IF(OR($A383="",$C383="",$C383&lt;&gt;'売掛帳'!$B$3,NOT(ISNUMBER($X383))),"",IF(AND($X383&gt;='売掛帳'!$Q$3,$X383&lt;='売掛帳'!$Q$4),$X383+ROW()/10000000,""))</f>
        <v/>
      </c>
    </row>
    <row r="384" ht="18" customHeight="1">
      <c r="A384" s="18" t="n"/>
      <c r="B384" s="26" t="n"/>
      <c r="C384" s="18" t="n"/>
      <c r="D384" s="20">
        <f>IF($W384="","",IF($W384="なし","※得意先にないコード",INDEX('得意先'!$C$5:$C$104,$W384)&amp;""))</f>
        <v/>
      </c>
      <c r="E384" s="26" t="n"/>
      <c r="F384" s="19" t="n"/>
      <c r="G384" s="27" t="n"/>
      <c r="H384" s="27" t="n"/>
      <c r="I384" s="27" t="n"/>
      <c r="J384" s="28">
        <f>IF($A384="","",IF('設定'!$B$10="四捨五入",ROUND(IF('設定'!$B$9="税込",N($G384)*10/110,N($G384)*10/100),0),IF('設定'!$B$10="切り上げ",ROUNDUP(IF('設定'!$B$9="税込",N($G384)*10/110,N($G384)*10/100),0),ROUNDDOWN(IF('設定'!$B$9="税込",N($G384)*10/110,N($G384)*10/100),0))))</f>
        <v/>
      </c>
      <c r="K384" s="28">
        <f>IF($A384="","",IF('設定'!$B$10="四捨五入",ROUND(IF('設定'!$B$9="税込",N($H384)*8/108,N($H384)*8/100),0),IF('設定'!$B$10="切り上げ",ROUNDUP(IF('設定'!$B$9="税込",N($H384)*8/108,N($H384)*8/100),0),ROUNDDOWN(IF('設定'!$B$9="税込",N($H384)*8/108,N($H384)*8/100),0))))</f>
        <v/>
      </c>
      <c r="L384" s="28">
        <f>IF($A384="","",N($G384)+N($H384)+N($I384)+IF('設定'!$B$9="税込",0,$J384+$K384))</f>
        <v/>
      </c>
      <c r="M384" s="29">
        <f>IF(OR($A384="",NOT(ISNUMBER($W384)),NOT(ISNUMBER($X384))),"",IF(OR(INDEX('得意先'!$D$5:$D$104,$W384)="",INDEX('得意先'!$E$5:$E$104,$W384)="",INDEX('得意先'!$F$5:$F$104,$W384)=""),"",IF(INDEX('得意先'!$F$5:$F$104,$W384)="末",DATE(YEAR($X384),(MONTH($X384)+IF(INDEX('得意先'!$D$5:$D$104,$W384)="末",0,IF(DAY($X384)&lt;=INDEX('得意先'!$D$5:$D$104,$W384),0,1))+N(INDEX('得意先'!$E$5:$E$104,$W384)))+1,0),DATE(YEAR($X384),(MONTH($X384)+IF(INDEX('得意先'!$D$5:$D$104,$W384)="末",0,IF(DAY($X384)&lt;=INDEX('得意先'!$D$5:$D$104,$W384),0,1))+N(INDEX('得意先'!$E$5:$E$104,$W384))),MIN(INDEX('得意先'!$F$5:$F$104,$W384),DAY(DATE(YEAR($X384),(MONTH($X384)+IF(INDEX('得意先'!$D$5:$D$104,$W384)="末",0,IF(DAY($X384)&lt;=INDEX('得意先'!$D$5:$D$104,$W384),0,1))+N(INDEX('得意先'!$E$5:$E$104,$W384)))+1,0)))))))</f>
        <v/>
      </c>
      <c r="N384" s="26" t="n"/>
      <c r="O384" s="29">
        <f>IF($A384="","",IF(ISNUMBER($N384),$N384,$M384))</f>
        <v/>
      </c>
      <c r="P384" s="28">
        <f>IF($A384="","",SUMIF('入金消込'!$F$5:$F$1004,$A384,'入金消込'!$G$5:$G$1004))</f>
        <v/>
      </c>
      <c r="Q384" s="28">
        <f>IF($A384="","",SUMIF('入金消込'!$F$5:$F$1004,$A384,'入金消込'!$H$5:$H$1004)+SUMIF('入金消込'!$F$5:$F$1004,$A384,'入金消込'!$I$5:$I$1004))</f>
        <v/>
      </c>
      <c r="R384" s="28">
        <f>IF($A384="","",$L384-$P384-$Q384)</f>
        <v/>
      </c>
      <c r="S384" s="30">
        <f>IF($A384="","",IF($R384=0,IF($L384=0,"請求額0","回収済"),IF($L384&lt;0,IF($R384&lt;0,"差し引き待ち","差し引きすぎ"),IF($R384&lt;0,"入金が多い",IF($P384+$Q384=0,"未入金","一部入金")))))</f>
        <v/>
      </c>
      <c r="T384" s="31">
        <f>IF(OR($A384="",N($R384)&lt;=0,NOT(ISNUMBER($O384))),"",IF($O384&lt;'設定'!$B$7,'設定'!$B$7-$O384,""))</f>
        <v/>
      </c>
      <c r="U384" s="30">
        <f>IF(OR($A384="",N($R384)&lt;=0),"",IF(NOT(ISNUMBER($O384)),'設定'!$B$22,IF($O384&gt;='設定'!$B$7,'設定'!$B$17,IF('設定'!$B$7-$O384&lt;='設定'!$B$12,'設定'!$B$18,IF('設定'!$B$7-$O384&lt;='設定'!$B$13,'設定'!$B$19,IF('設定'!$B$7-$O384&lt;='設定'!$B$14,'設定'!$B$20,'設定'!$B$21))))))</f>
        <v/>
      </c>
      <c r="V384" s="56" t="n"/>
      <c r="W384" s="32">
        <f>IF($C384="","",IFERROR(MATCH($C384,'得意先'!$B$5:$B$104,0),"なし"))</f>
        <v/>
      </c>
      <c r="X384" s="33">
        <f>IF($A384="","",IF(ISNUMBER($E384),$E384,IF(ISNUMBER($B384),$B384,"")))</f>
        <v/>
      </c>
      <c r="Y384" s="34">
        <f>IF($T384="","",$O384+ROW()/1000000)</f>
        <v/>
      </c>
      <c r="Z384" s="35">
        <f>IF(OR($A384="",$C384="",$C384&lt;&gt;'売掛帳'!$B$3,NOT(ISNUMBER($X384))),"",IF(AND($X384&gt;='売掛帳'!$Q$3,$X384&lt;='売掛帳'!$Q$4),$X384+ROW()/10000000,""))</f>
        <v/>
      </c>
    </row>
    <row r="385" ht="18" customHeight="1">
      <c r="A385" s="18" t="n"/>
      <c r="B385" s="26" t="n"/>
      <c r="C385" s="18" t="n"/>
      <c r="D385" s="20">
        <f>IF($W385="","",IF($W385="なし","※得意先にないコード",INDEX('得意先'!$C$5:$C$104,$W385)&amp;""))</f>
        <v/>
      </c>
      <c r="E385" s="26" t="n"/>
      <c r="F385" s="19" t="n"/>
      <c r="G385" s="27" t="n"/>
      <c r="H385" s="27" t="n"/>
      <c r="I385" s="27" t="n"/>
      <c r="J385" s="28">
        <f>IF($A385="","",IF('設定'!$B$10="四捨五入",ROUND(IF('設定'!$B$9="税込",N($G385)*10/110,N($G385)*10/100),0),IF('設定'!$B$10="切り上げ",ROUNDUP(IF('設定'!$B$9="税込",N($G385)*10/110,N($G385)*10/100),0),ROUNDDOWN(IF('設定'!$B$9="税込",N($G385)*10/110,N($G385)*10/100),0))))</f>
        <v/>
      </c>
      <c r="K385" s="28">
        <f>IF($A385="","",IF('設定'!$B$10="四捨五入",ROUND(IF('設定'!$B$9="税込",N($H385)*8/108,N($H385)*8/100),0),IF('設定'!$B$10="切り上げ",ROUNDUP(IF('設定'!$B$9="税込",N($H385)*8/108,N($H385)*8/100),0),ROUNDDOWN(IF('設定'!$B$9="税込",N($H385)*8/108,N($H385)*8/100),0))))</f>
        <v/>
      </c>
      <c r="L385" s="28">
        <f>IF($A385="","",N($G385)+N($H385)+N($I385)+IF('設定'!$B$9="税込",0,$J385+$K385))</f>
        <v/>
      </c>
      <c r="M385" s="29">
        <f>IF(OR($A385="",NOT(ISNUMBER($W385)),NOT(ISNUMBER($X385))),"",IF(OR(INDEX('得意先'!$D$5:$D$104,$W385)="",INDEX('得意先'!$E$5:$E$104,$W385)="",INDEX('得意先'!$F$5:$F$104,$W385)=""),"",IF(INDEX('得意先'!$F$5:$F$104,$W385)="末",DATE(YEAR($X385),(MONTH($X385)+IF(INDEX('得意先'!$D$5:$D$104,$W385)="末",0,IF(DAY($X385)&lt;=INDEX('得意先'!$D$5:$D$104,$W385),0,1))+N(INDEX('得意先'!$E$5:$E$104,$W385)))+1,0),DATE(YEAR($X385),(MONTH($X385)+IF(INDEX('得意先'!$D$5:$D$104,$W385)="末",0,IF(DAY($X385)&lt;=INDEX('得意先'!$D$5:$D$104,$W385),0,1))+N(INDEX('得意先'!$E$5:$E$104,$W385))),MIN(INDEX('得意先'!$F$5:$F$104,$W385),DAY(DATE(YEAR($X385),(MONTH($X385)+IF(INDEX('得意先'!$D$5:$D$104,$W385)="末",0,IF(DAY($X385)&lt;=INDEX('得意先'!$D$5:$D$104,$W385),0,1))+N(INDEX('得意先'!$E$5:$E$104,$W385)))+1,0)))))))</f>
        <v/>
      </c>
      <c r="N385" s="26" t="n"/>
      <c r="O385" s="29">
        <f>IF($A385="","",IF(ISNUMBER($N385),$N385,$M385))</f>
        <v/>
      </c>
      <c r="P385" s="28">
        <f>IF($A385="","",SUMIF('入金消込'!$F$5:$F$1004,$A385,'入金消込'!$G$5:$G$1004))</f>
        <v/>
      </c>
      <c r="Q385" s="28">
        <f>IF($A385="","",SUMIF('入金消込'!$F$5:$F$1004,$A385,'入金消込'!$H$5:$H$1004)+SUMIF('入金消込'!$F$5:$F$1004,$A385,'入金消込'!$I$5:$I$1004))</f>
        <v/>
      </c>
      <c r="R385" s="28">
        <f>IF($A385="","",$L385-$P385-$Q385)</f>
        <v/>
      </c>
      <c r="S385" s="30">
        <f>IF($A385="","",IF($R385=0,IF($L385=0,"請求額0","回収済"),IF($L385&lt;0,IF($R385&lt;0,"差し引き待ち","差し引きすぎ"),IF($R385&lt;0,"入金が多い",IF($P385+$Q385=0,"未入金","一部入金")))))</f>
        <v/>
      </c>
      <c r="T385" s="31">
        <f>IF(OR($A385="",N($R385)&lt;=0,NOT(ISNUMBER($O385))),"",IF($O385&lt;'設定'!$B$7,'設定'!$B$7-$O385,""))</f>
        <v/>
      </c>
      <c r="U385" s="30">
        <f>IF(OR($A385="",N($R385)&lt;=0),"",IF(NOT(ISNUMBER($O385)),'設定'!$B$22,IF($O385&gt;='設定'!$B$7,'設定'!$B$17,IF('設定'!$B$7-$O385&lt;='設定'!$B$12,'設定'!$B$18,IF('設定'!$B$7-$O385&lt;='設定'!$B$13,'設定'!$B$19,IF('設定'!$B$7-$O385&lt;='設定'!$B$14,'設定'!$B$20,'設定'!$B$21))))))</f>
        <v/>
      </c>
      <c r="V385" s="56" t="n"/>
      <c r="W385" s="32">
        <f>IF($C385="","",IFERROR(MATCH($C385,'得意先'!$B$5:$B$104,0),"なし"))</f>
        <v/>
      </c>
      <c r="X385" s="33">
        <f>IF($A385="","",IF(ISNUMBER($E385),$E385,IF(ISNUMBER($B385),$B385,"")))</f>
        <v/>
      </c>
      <c r="Y385" s="34">
        <f>IF($T385="","",$O385+ROW()/1000000)</f>
        <v/>
      </c>
      <c r="Z385" s="35">
        <f>IF(OR($A385="",$C385="",$C385&lt;&gt;'売掛帳'!$B$3,NOT(ISNUMBER($X385))),"",IF(AND($X385&gt;='売掛帳'!$Q$3,$X385&lt;='売掛帳'!$Q$4),$X385+ROW()/10000000,""))</f>
        <v/>
      </c>
    </row>
    <row r="386" ht="18" customHeight="1">
      <c r="A386" s="18" t="n"/>
      <c r="B386" s="26" t="n"/>
      <c r="C386" s="18" t="n"/>
      <c r="D386" s="20">
        <f>IF($W386="","",IF($W386="なし","※得意先にないコード",INDEX('得意先'!$C$5:$C$104,$W386)&amp;""))</f>
        <v/>
      </c>
      <c r="E386" s="26" t="n"/>
      <c r="F386" s="19" t="n"/>
      <c r="G386" s="27" t="n"/>
      <c r="H386" s="27" t="n"/>
      <c r="I386" s="27" t="n"/>
      <c r="J386" s="28">
        <f>IF($A386="","",IF('設定'!$B$10="四捨五入",ROUND(IF('設定'!$B$9="税込",N($G386)*10/110,N($G386)*10/100),0),IF('設定'!$B$10="切り上げ",ROUNDUP(IF('設定'!$B$9="税込",N($G386)*10/110,N($G386)*10/100),0),ROUNDDOWN(IF('設定'!$B$9="税込",N($G386)*10/110,N($G386)*10/100),0))))</f>
        <v/>
      </c>
      <c r="K386" s="28">
        <f>IF($A386="","",IF('設定'!$B$10="四捨五入",ROUND(IF('設定'!$B$9="税込",N($H386)*8/108,N($H386)*8/100),0),IF('設定'!$B$10="切り上げ",ROUNDUP(IF('設定'!$B$9="税込",N($H386)*8/108,N($H386)*8/100),0),ROUNDDOWN(IF('設定'!$B$9="税込",N($H386)*8/108,N($H386)*8/100),0))))</f>
        <v/>
      </c>
      <c r="L386" s="28">
        <f>IF($A386="","",N($G386)+N($H386)+N($I386)+IF('設定'!$B$9="税込",0,$J386+$K386))</f>
        <v/>
      </c>
      <c r="M386" s="29">
        <f>IF(OR($A386="",NOT(ISNUMBER($W386)),NOT(ISNUMBER($X386))),"",IF(OR(INDEX('得意先'!$D$5:$D$104,$W386)="",INDEX('得意先'!$E$5:$E$104,$W386)="",INDEX('得意先'!$F$5:$F$104,$W386)=""),"",IF(INDEX('得意先'!$F$5:$F$104,$W386)="末",DATE(YEAR($X386),(MONTH($X386)+IF(INDEX('得意先'!$D$5:$D$104,$W386)="末",0,IF(DAY($X386)&lt;=INDEX('得意先'!$D$5:$D$104,$W386),0,1))+N(INDEX('得意先'!$E$5:$E$104,$W386)))+1,0),DATE(YEAR($X386),(MONTH($X386)+IF(INDEX('得意先'!$D$5:$D$104,$W386)="末",0,IF(DAY($X386)&lt;=INDEX('得意先'!$D$5:$D$104,$W386),0,1))+N(INDEX('得意先'!$E$5:$E$104,$W386))),MIN(INDEX('得意先'!$F$5:$F$104,$W386),DAY(DATE(YEAR($X386),(MONTH($X386)+IF(INDEX('得意先'!$D$5:$D$104,$W386)="末",0,IF(DAY($X386)&lt;=INDEX('得意先'!$D$5:$D$104,$W386),0,1))+N(INDEX('得意先'!$E$5:$E$104,$W386)))+1,0)))))))</f>
        <v/>
      </c>
      <c r="N386" s="26" t="n"/>
      <c r="O386" s="29">
        <f>IF($A386="","",IF(ISNUMBER($N386),$N386,$M386))</f>
        <v/>
      </c>
      <c r="P386" s="28">
        <f>IF($A386="","",SUMIF('入金消込'!$F$5:$F$1004,$A386,'入金消込'!$G$5:$G$1004))</f>
        <v/>
      </c>
      <c r="Q386" s="28">
        <f>IF($A386="","",SUMIF('入金消込'!$F$5:$F$1004,$A386,'入金消込'!$H$5:$H$1004)+SUMIF('入金消込'!$F$5:$F$1004,$A386,'入金消込'!$I$5:$I$1004))</f>
        <v/>
      </c>
      <c r="R386" s="28">
        <f>IF($A386="","",$L386-$P386-$Q386)</f>
        <v/>
      </c>
      <c r="S386" s="30">
        <f>IF($A386="","",IF($R386=0,IF($L386=0,"請求額0","回収済"),IF($L386&lt;0,IF($R386&lt;0,"差し引き待ち","差し引きすぎ"),IF($R386&lt;0,"入金が多い",IF($P386+$Q386=0,"未入金","一部入金")))))</f>
        <v/>
      </c>
      <c r="T386" s="31">
        <f>IF(OR($A386="",N($R386)&lt;=0,NOT(ISNUMBER($O386))),"",IF($O386&lt;'設定'!$B$7,'設定'!$B$7-$O386,""))</f>
        <v/>
      </c>
      <c r="U386" s="30">
        <f>IF(OR($A386="",N($R386)&lt;=0),"",IF(NOT(ISNUMBER($O386)),'設定'!$B$22,IF($O386&gt;='設定'!$B$7,'設定'!$B$17,IF('設定'!$B$7-$O386&lt;='設定'!$B$12,'設定'!$B$18,IF('設定'!$B$7-$O386&lt;='設定'!$B$13,'設定'!$B$19,IF('設定'!$B$7-$O386&lt;='設定'!$B$14,'設定'!$B$20,'設定'!$B$21))))))</f>
        <v/>
      </c>
      <c r="V386" s="56" t="n"/>
      <c r="W386" s="32">
        <f>IF($C386="","",IFERROR(MATCH($C386,'得意先'!$B$5:$B$104,0),"なし"))</f>
        <v/>
      </c>
      <c r="X386" s="33">
        <f>IF($A386="","",IF(ISNUMBER($E386),$E386,IF(ISNUMBER($B386),$B386,"")))</f>
        <v/>
      </c>
      <c r="Y386" s="34">
        <f>IF($T386="","",$O386+ROW()/1000000)</f>
        <v/>
      </c>
      <c r="Z386" s="35">
        <f>IF(OR($A386="",$C386="",$C386&lt;&gt;'売掛帳'!$B$3,NOT(ISNUMBER($X386))),"",IF(AND($X386&gt;='売掛帳'!$Q$3,$X386&lt;='売掛帳'!$Q$4),$X386+ROW()/10000000,""))</f>
        <v/>
      </c>
    </row>
    <row r="387" ht="18" customHeight="1">
      <c r="A387" s="18" t="n"/>
      <c r="B387" s="26" t="n"/>
      <c r="C387" s="18" t="n"/>
      <c r="D387" s="20">
        <f>IF($W387="","",IF($W387="なし","※得意先にないコード",INDEX('得意先'!$C$5:$C$104,$W387)&amp;""))</f>
        <v/>
      </c>
      <c r="E387" s="26" t="n"/>
      <c r="F387" s="19" t="n"/>
      <c r="G387" s="27" t="n"/>
      <c r="H387" s="27" t="n"/>
      <c r="I387" s="27" t="n"/>
      <c r="J387" s="28">
        <f>IF($A387="","",IF('設定'!$B$10="四捨五入",ROUND(IF('設定'!$B$9="税込",N($G387)*10/110,N($G387)*10/100),0),IF('設定'!$B$10="切り上げ",ROUNDUP(IF('設定'!$B$9="税込",N($G387)*10/110,N($G387)*10/100),0),ROUNDDOWN(IF('設定'!$B$9="税込",N($G387)*10/110,N($G387)*10/100),0))))</f>
        <v/>
      </c>
      <c r="K387" s="28">
        <f>IF($A387="","",IF('設定'!$B$10="四捨五入",ROUND(IF('設定'!$B$9="税込",N($H387)*8/108,N($H387)*8/100),0),IF('設定'!$B$10="切り上げ",ROUNDUP(IF('設定'!$B$9="税込",N($H387)*8/108,N($H387)*8/100),0),ROUNDDOWN(IF('設定'!$B$9="税込",N($H387)*8/108,N($H387)*8/100),0))))</f>
        <v/>
      </c>
      <c r="L387" s="28">
        <f>IF($A387="","",N($G387)+N($H387)+N($I387)+IF('設定'!$B$9="税込",0,$J387+$K387))</f>
        <v/>
      </c>
      <c r="M387" s="29">
        <f>IF(OR($A387="",NOT(ISNUMBER($W387)),NOT(ISNUMBER($X387))),"",IF(OR(INDEX('得意先'!$D$5:$D$104,$W387)="",INDEX('得意先'!$E$5:$E$104,$W387)="",INDEX('得意先'!$F$5:$F$104,$W387)=""),"",IF(INDEX('得意先'!$F$5:$F$104,$W387)="末",DATE(YEAR($X387),(MONTH($X387)+IF(INDEX('得意先'!$D$5:$D$104,$W387)="末",0,IF(DAY($X387)&lt;=INDEX('得意先'!$D$5:$D$104,$W387),0,1))+N(INDEX('得意先'!$E$5:$E$104,$W387)))+1,0),DATE(YEAR($X387),(MONTH($X387)+IF(INDEX('得意先'!$D$5:$D$104,$W387)="末",0,IF(DAY($X387)&lt;=INDEX('得意先'!$D$5:$D$104,$W387),0,1))+N(INDEX('得意先'!$E$5:$E$104,$W387))),MIN(INDEX('得意先'!$F$5:$F$104,$W387),DAY(DATE(YEAR($X387),(MONTH($X387)+IF(INDEX('得意先'!$D$5:$D$104,$W387)="末",0,IF(DAY($X387)&lt;=INDEX('得意先'!$D$5:$D$104,$W387),0,1))+N(INDEX('得意先'!$E$5:$E$104,$W387)))+1,0)))))))</f>
        <v/>
      </c>
      <c r="N387" s="26" t="n"/>
      <c r="O387" s="29">
        <f>IF($A387="","",IF(ISNUMBER($N387),$N387,$M387))</f>
        <v/>
      </c>
      <c r="P387" s="28">
        <f>IF($A387="","",SUMIF('入金消込'!$F$5:$F$1004,$A387,'入金消込'!$G$5:$G$1004))</f>
        <v/>
      </c>
      <c r="Q387" s="28">
        <f>IF($A387="","",SUMIF('入金消込'!$F$5:$F$1004,$A387,'入金消込'!$H$5:$H$1004)+SUMIF('入金消込'!$F$5:$F$1004,$A387,'入金消込'!$I$5:$I$1004))</f>
        <v/>
      </c>
      <c r="R387" s="28">
        <f>IF($A387="","",$L387-$P387-$Q387)</f>
        <v/>
      </c>
      <c r="S387" s="30">
        <f>IF($A387="","",IF($R387=0,IF($L387=0,"請求額0","回収済"),IF($L387&lt;0,IF($R387&lt;0,"差し引き待ち","差し引きすぎ"),IF($R387&lt;0,"入金が多い",IF($P387+$Q387=0,"未入金","一部入金")))))</f>
        <v/>
      </c>
      <c r="T387" s="31">
        <f>IF(OR($A387="",N($R387)&lt;=0,NOT(ISNUMBER($O387))),"",IF($O387&lt;'設定'!$B$7,'設定'!$B$7-$O387,""))</f>
        <v/>
      </c>
      <c r="U387" s="30">
        <f>IF(OR($A387="",N($R387)&lt;=0),"",IF(NOT(ISNUMBER($O387)),'設定'!$B$22,IF($O387&gt;='設定'!$B$7,'設定'!$B$17,IF('設定'!$B$7-$O387&lt;='設定'!$B$12,'設定'!$B$18,IF('設定'!$B$7-$O387&lt;='設定'!$B$13,'設定'!$B$19,IF('設定'!$B$7-$O387&lt;='設定'!$B$14,'設定'!$B$20,'設定'!$B$21))))))</f>
        <v/>
      </c>
      <c r="V387" s="56" t="n"/>
      <c r="W387" s="32">
        <f>IF($C387="","",IFERROR(MATCH($C387,'得意先'!$B$5:$B$104,0),"なし"))</f>
        <v/>
      </c>
      <c r="X387" s="33">
        <f>IF($A387="","",IF(ISNUMBER($E387),$E387,IF(ISNUMBER($B387),$B387,"")))</f>
        <v/>
      </c>
      <c r="Y387" s="34">
        <f>IF($T387="","",$O387+ROW()/1000000)</f>
        <v/>
      </c>
      <c r="Z387" s="35">
        <f>IF(OR($A387="",$C387="",$C387&lt;&gt;'売掛帳'!$B$3,NOT(ISNUMBER($X387))),"",IF(AND($X387&gt;='売掛帳'!$Q$3,$X387&lt;='売掛帳'!$Q$4),$X387+ROW()/10000000,""))</f>
        <v/>
      </c>
    </row>
    <row r="388" ht="18" customHeight="1">
      <c r="A388" s="18" t="n"/>
      <c r="B388" s="26" t="n"/>
      <c r="C388" s="18" t="n"/>
      <c r="D388" s="20">
        <f>IF($W388="","",IF($W388="なし","※得意先にないコード",INDEX('得意先'!$C$5:$C$104,$W388)&amp;""))</f>
        <v/>
      </c>
      <c r="E388" s="26" t="n"/>
      <c r="F388" s="19" t="n"/>
      <c r="G388" s="27" t="n"/>
      <c r="H388" s="27" t="n"/>
      <c r="I388" s="27" t="n"/>
      <c r="J388" s="28">
        <f>IF($A388="","",IF('設定'!$B$10="四捨五入",ROUND(IF('設定'!$B$9="税込",N($G388)*10/110,N($G388)*10/100),0),IF('設定'!$B$10="切り上げ",ROUNDUP(IF('設定'!$B$9="税込",N($G388)*10/110,N($G388)*10/100),0),ROUNDDOWN(IF('設定'!$B$9="税込",N($G388)*10/110,N($G388)*10/100),0))))</f>
        <v/>
      </c>
      <c r="K388" s="28">
        <f>IF($A388="","",IF('設定'!$B$10="四捨五入",ROUND(IF('設定'!$B$9="税込",N($H388)*8/108,N($H388)*8/100),0),IF('設定'!$B$10="切り上げ",ROUNDUP(IF('設定'!$B$9="税込",N($H388)*8/108,N($H388)*8/100),0),ROUNDDOWN(IF('設定'!$B$9="税込",N($H388)*8/108,N($H388)*8/100),0))))</f>
        <v/>
      </c>
      <c r="L388" s="28">
        <f>IF($A388="","",N($G388)+N($H388)+N($I388)+IF('設定'!$B$9="税込",0,$J388+$K388))</f>
        <v/>
      </c>
      <c r="M388" s="29">
        <f>IF(OR($A388="",NOT(ISNUMBER($W388)),NOT(ISNUMBER($X388))),"",IF(OR(INDEX('得意先'!$D$5:$D$104,$W388)="",INDEX('得意先'!$E$5:$E$104,$W388)="",INDEX('得意先'!$F$5:$F$104,$W388)=""),"",IF(INDEX('得意先'!$F$5:$F$104,$W388)="末",DATE(YEAR($X388),(MONTH($X388)+IF(INDEX('得意先'!$D$5:$D$104,$W388)="末",0,IF(DAY($X388)&lt;=INDEX('得意先'!$D$5:$D$104,$W388),0,1))+N(INDEX('得意先'!$E$5:$E$104,$W388)))+1,0),DATE(YEAR($X388),(MONTH($X388)+IF(INDEX('得意先'!$D$5:$D$104,$W388)="末",0,IF(DAY($X388)&lt;=INDEX('得意先'!$D$5:$D$104,$W388),0,1))+N(INDEX('得意先'!$E$5:$E$104,$W388))),MIN(INDEX('得意先'!$F$5:$F$104,$W388),DAY(DATE(YEAR($X388),(MONTH($X388)+IF(INDEX('得意先'!$D$5:$D$104,$W388)="末",0,IF(DAY($X388)&lt;=INDEX('得意先'!$D$5:$D$104,$W388),0,1))+N(INDEX('得意先'!$E$5:$E$104,$W388)))+1,0)))))))</f>
        <v/>
      </c>
      <c r="N388" s="26" t="n"/>
      <c r="O388" s="29">
        <f>IF($A388="","",IF(ISNUMBER($N388),$N388,$M388))</f>
        <v/>
      </c>
      <c r="P388" s="28">
        <f>IF($A388="","",SUMIF('入金消込'!$F$5:$F$1004,$A388,'入金消込'!$G$5:$G$1004))</f>
        <v/>
      </c>
      <c r="Q388" s="28">
        <f>IF($A388="","",SUMIF('入金消込'!$F$5:$F$1004,$A388,'入金消込'!$H$5:$H$1004)+SUMIF('入金消込'!$F$5:$F$1004,$A388,'入金消込'!$I$5:$I$1004))</f>
        <v/>
      </c>
      <c r="R388" s="28">
        <f>IF($A388="","",$L388-$P388-$Q388)</f>
        <v/>
      </c>
      <c r="S388" s="30">
        <f>IF($A388="","",IF($R388=0,IF($L388=0,"請求額0","回収済"),IF($L388&lt;0,IF($R388&lt;0,"差し引き待ち","差し引きすぎ"),IF($R388&lt;0,"入金が多い",IF($P388+$Q388=0,"未入金","一部入金")))))</f>
        <v/>
      </c>
      <c r="T388" s="31">
        <f>IF(OR($A388="",N($R388)&lt;=0,NOT(ISNUMBER($O388))),"",IF($O388&lt;'設定'!$B$7,'設定'!$B$7-$O388,""))</f>
        <v/>
      </c>
      <c r="U388" s="30">
        <f>IF(OR($A388="",N($R388)&lt;=0),"",IF(NOT(ISNUMBER($O388)),'設定'!$B$22,IF($O388&gt;='設定'!$B$7,'設定'!$B$17,IF('設定'!$B$7-$O388&lt;='設定'!$B$12,'設定'!$B$18,IF('設定'!$B$7-$O388&lt;='設定'!$B$13,'設定'!$B$19,IF('設定'!$B$7-$O388&lt;='設定'!$B$14,'設定'!$B$20,'設定'!$B$21))))))</f>
        <v/>
      </c>
      <c r="V388" s="56" t="n"/>
      <c r="W388" s="32">
        <f>IF($C388="","",IFERROR(MATCH($C388,'得意先'!$B$5:$B$104,0),"なし"))</f>
        <v/>
      </c>
      <c r="X388" s="33">
        <f>IF($A388="","",IF(ISNUMBER($E388),$E388,IF(ISNUMBER($B388),$B388,"")))</f>
        <v/>
      </c>
      <c r="Y388" s="34">
        <f>IF($T388="","",$O388+ROW()/1000000)</f>
        <v/>
      </c>
      <c r="Z388" s="35">
        <f>IF(OR($A388="",$C388="",$C388&lt;&gt;'売掛帳'!$B$3,NOT(ISNUMBER($X388))),"",IF(AND($X388&gt;='売掛帳'!$Q$3,$X388&lt;='売掛帳'!$Q$4),$X388+ROW()/10000000,""))</f>
        <v/>
      </c>
    </row>
    <row r="389" ht="18" customHeight="1">
      <c r="A389" s="18" t="n"/>
      <c r="B389" s="26" t="n"/>
      <c r="C389" s="18" t="n"/>
      <c r="D389" s="20">
        <f>IF($W389="","",IF($W389="なし","※得意先にないコード",INDEX('得意先'!$C$5:$C$104,$W389)&amp;""))</f>
        <v/>
      </c>
      <c r="E389" s="26" t="n"/>
      <c r="F389" s="19" t="n"/>
      <c r="G389" s="27" t="n"/>
      <c r="H389" s="27" t="n"/>
      <c r="I389" s="27" t="n"/>
      <c r="J389" s="28">
        <f>IF($A389="","",IF('設定'!$B$10="四捨五入",ROUND(IF('設定'!$B$9="税込",N($G389)*10/110,N($G389)*10/100),0),IF('設定'!$B$10="切り上げ",ROUNDUP(IF('設定'!$B$9="税込",N($G389)*10/110,N($G389)*10/100),0),ROUNDDOWN(IF('設定'!$B$9="税込",N($G389)*10/110,N($G389)*10/100),0))))</f>
        <v/>
      </c>
      <c r="K389" s="28">
        <f>IF($A389="","",IF('設定'!$B$10="四捨五入",ROUND(IF('設定'!$B$9="税込",N($H389)*8/108,N($H389)*8/100),0),IF('設定'!$B$10="切り上げ",ROUNDUP(IF('設定'!$B$9="税込",N($H389)*8/108,N($H389)*8/100),0),ROUNDDOWN(IF('設定'!$B$9="税込",N($H389)*8/108,N($H389)*8/100),0))))</f>
        <v/>
      </c>
      <c r="L389" s="28">
        <f>IF($A389="","",N($G389)+N($H389)+N($I389)+IF('設定'!$B$9="税込",0,$J389+$K389))</f>
        <v/>
      </c>
      <c r="M389" s="29">
        <f>IF(OR($A389="",NOT(ISNUMBER($W389)),NOT(ISNUMBER($X389))),"",IF(OR(INDEX('得意先'!$D$5:$D$104,$W389)="",INDEX('得意先'!$E$5:$E$104,$W389)="",INDEX('得意先'!$F$5:$F$104,$W389)=""),"",IF(INDEX('得意先'!$F$5:$F$104,$W389)="末",DATE(YEAR($X389),(MONTH($X389)+IF(INDEX('得意先'!$D$5:$D$104,$W389)="末",0,IF(DAY($X389)&lt;=INDEX('得意先'!$D$5:$D$104,$W389),0,1))+N(INDEX('得意先'!$E$5:$E$104,$W389)))+1,0),DATE(YEAR($X389),(MONTH($X389)+IF(INDEX('得意先'!$D$5:$D$104,$W389)="末",0,IF(DAY($X389)&lt;=INDEX('得意先'!$D$5:$D$104,$W389),0,1))+N(INDEX('得意先'!$E$5:$E$104,$W389))),MIN(INDEX('得意先'!$F$5:$F$104,$W389),DAY(DATE(YEAR($X389),(MONTH($X389)+IF(INDEX('得意先'!$D$5:$D$104,$W389)="末",0,IF(DAY($X389)&lt;=INDEX('得意先'!$D$5:$D$104,$W389),0,1))+N(INDEX('得意先'!$E$5:$E$104,$W389)))+1,0)))))))</f>
        <v/>
      </c>
      <c r="N389" s="26" t="n"/>
      <c r="O389" s="29">
        <f>IF($A389="","",IF(ISNUMBER($N389),$N389,$M389))</f>
        <v/>
      </c>
      <c r="P389" s="28">
        <f>IF($A389="","",SUMIF('入金消込'!$F$5:$F$1004,$A389,'入金消込'!$G$5:$G$1004))</f>
        <v/>
      </c>
      <c r="Q389" s="28">
        <f>IF($A389="","",SUMIF('入金消込'!$F$5:$F$1004,$A389,'入金消込'!$H$5:$H$1004)+SUMIF('入金消込'!$F$5:$F$1004,$A389,'入金消込'!$I$5:$I$1004))</f>
        <v/>
      </c>
      <c r="R389" s="28">
        <f>IF($A389="","",$L389-$P389-$Q389)</f>
        <v/>
      </c>
      <c r="S389" s="30">
        <f>IF($A389="","",IF($R389=0,IF($L389=0,"請求額0","回収済"),IF($L389&lt;0,IF($R389&lt;0,"差し引き待ち","差し引きすぎ"),IF($R389&lt;0,"入金が多い",IF($P389+$Q389=0,"未入金","一部入金")))))</f>
        <v/>
      </c>
      <c r="T389" s="31">
        <f>IF(OR($A389="",N($R389)&lt;=0,NOT(ISNUMBER($O389))),"",IF($O389&lt;'設定'!$B$7,'設定'!$B$7-$O389,""))</f>
        <v/>
      </c>
      <c r="U389" s="30">
        <f>IF(OR($A389="",N($R389)&lt;=0),"",IF(NOT(ISNUMBER($O389)),'設定'!$B$22,IF($O389&gt;='設定'!$B$7,'設定'!$B$17,IF('設定'!$B$7-$O389&lt;='設定'!$B$12,'設定'!$B$18,IF('設定'!$B$7-$O389&lt;='設定'!$B$13,'設定'!$B$19,IF('設定'!$B$7-$O389&lt;='設定'!$B$14,'設定'!$B$20,'設定'!$B$21))))))</f>
        <v/>
      </c>
      <c r="V389" s="56" t="n"/>
      <c r="W389" s="32">
        <f>IF($C389="","",IFERROR(MATCH($C389,'得意先'!$B$5:$B$104,0),"なし"))</f>
        <v/>
      </c>
      <c r="X389" s="33">
        <f>IF($A389="","",IF(ISNUMBER($E389),$E389,IF(ISNUMBER($B389),$B389,"")))</f>
        <v/>
      </c>
      <c r="Y389" s="34">
        <f>IF($T389="","",$O389+ROW()/1000000)</f>
        <v/>
      </c>
      <c r="Z389" s="35">
        <f>IF(OR($A389="",$C389="",$C389&lt;&gt;'売掛帳'!$B$3,NOT(ISNUMBER($X389))),"",IF(AND($X389&gt;='売掛帳'!$Q$3,$X389&lt;='売掛帳'!$Q$4),$X389+ROW()/10000000,""))</f>
        <v/>
      </c>
    </row>
    <row r="390" ht="18" customHeight="1">
      <c r="A390" s="18" t="n"/>
      <c r="B390" s="26" t="n"/>
      <c r="C390" s="18" t="n"/>
      <c r="D390" s="20">
        <f>IF($W390="","",IF($W390="なし","※得意先にないコード",INDEX('得意先'!$C$5:$C$104,$W390)&amp;""))</f>
        <v/>
      </c>
      <c r="E390" s="26" t="n"/>
      <c r="F390" s="19" t="n"/>
      <c r="G390" s="27" t="n"/>
      <c r="H390" s="27" t="n"/>
      <c r="I390" s="27" t="n"/>
      <c r="J390" s="28">
        <f>IF($A390="","",IF('設定'!$B$10="四捨五入",ROUND(IF('設定'!$B$9="税込",N($G390)*10/110,N($G390)*10/100),0),IF('設定'!$B$10="切り上げ",ROUNDUP(IF('設定'!$B$9="税込",N($G390)*10/110,N($G390)*10/100),0),ROUNDDOWN(IF('設定'!$B$9="税込",N($G390)*10/110,N($G390)*10/100),0))))</f>
        <v/>
      </c>
      <c r="K390" s="28">
        <f>IF($A390="","",IF('設定'!$B$10="四捨五入",ROUND(IF('設定'!$B$9="税込",N($H390)*8/108,N($H390)*8/100),0),IF('設定'!$B$10="切り上げ",ROUNDUP(IF('設定'!$B$9="税込",N($H390)*8/108,N($H390)*8/100),0),ROUNDDOWN(IF('設定'!$B$9="税込",N($H390)*8/108,N($H390)*8/100),0))))</f>
        <v/>
      </c>
      <c r="L390" s="28">
        <f>IF($A390="","",N($G390)+N($H390)+N($I390)+IF('設定'!$B$9="税込",0,$J390+$K390))</f>
        <v/>
      </c>
      <c r="M390" s="29">
        <f>IF(OR($A390="",NOT(ISNUMBER($W390)),NOT(ISNUMBER($X390))),"",IF(OR(INDEX('得意先'!$D$5:$D$104,$W390)="",INDEX('得意先'!$E$5:$E$104,$W390)="",INDEX('得意先'!$F$5:$F$104,$W390)=""),"",IF(INDEX('得意先'!$F$5:$F$104,$W390)="末",DATE(YEAR($X390),(MONTH($X390)+IF(INDEX('得意先'!$D$5:$D$104,$W390)="末",0,IF(DAY($X390)&lt;=INDEX('得意先'!$D$5:$D$104,$W390),0,1))+N(INDEX('得意先'!$E$5:$E$104,$W390)))+1,0),DATE(YEAR($X390),(MONTH($X390)+IF(INDEX('得意先'!$D$5:$D$104,$W390)="末",0,IF(DAY($X390)&lt;=INDEX('得意先'!$D$5:$D$104,$W390),0,1))+N(INDEX('得意先'!$E$5:$E$104,$W390))),MIN(INDEX('得意先'!$F$5:$F$104,$W390),DAY(DATE(YEAR($X390),(MONTH($X390)+IF(INDEX('得意先'!$D$5:$D$104,$W390)="末",0,IF(DAY($X390)&lt;=INDEX('得意先'!$D$5:$D$104,$W390),0,1))+N(INDEX('得意先'!$E$5:$E$104,$W390)))+1,0)))))))</f>
        <v/>
      </c>
      <c r="N390" s="26" t="n"/>
      <c r="O390" s="29">
        <f>IF($A390="","",IF(ISNUMBER($N390),$N390,$M390))</f>
        <v/>
      </c>
      <c r="P390" s="28">
        <f>IF($A390="","",SUMIF('入金消込'!$F$5:$F$1004,$A390,'入金消込'!$G$5:$G$1004))</f>
        <v/>
      </c>
      <c r="Q390" s="28">
        <f>IF($A390="","",SUMIF('入金消込'!$F$5:$F$1004,$A390,'入金消込'!$H$5:$H$1004)+SUMIF('入金消込'!$F$5:$F$1004,$A390,'入金消込'!$I$5:$I$1004))</f>
        <v/>
      </c>
      <c r="R390" s="28">
        <f>IF($A390="","",$L390-$P390-$Q390)</f>
        <v/>
      </c>
      <c r="S390" s="30">
        <f>IF($A390="","",IF($R390=0,IF($L390=0,"請求額0","回収済"),IF($L390&lt;0,IF($R390&lt;0,"差し引き待ち","差し引きすぎ"),IF($R390&lt;0,"入金が多い",IF($P390+$Q390=0,"未入金","一部入金")))))</f>
        <v/>
      </c>
      <c r="T390" s="31">
        <f>IF(OR($A390="",N($R390)&lt;=0,NOT(ISNUMBER($O390))),"",IF($O390&lt;'設定'!$B$7,'設定'!$B$7-$O390,""))</f>
        <v/>
      </c>
      <c r="U390" s="30">
        <f>IF(OR($A390="",N($R390)&lt;=0),"",IF(NOT(ISNUMBER($O390)),'設定'!$B$22,IF($O390&gt;='設定'!$B$7,'設定'!$B$17,IF('設定'!$B$7-$O390&lt;='設定'!$B$12,'設定'!$B$18,IF('設定'!$B$7-$O390&lt;='設定'!$B$13,'設定'!$B$19,IF('設定'!$B$7-$O390&lt;='設定'!$B$14,'設定'!$B$20,'設定'!$B$21))))))</f>
        <v/>
      </c>
      <c r="V390" s="56" t="n"/>
      <c r="W390" s="32">
        <f>IF($C390="","",IFERROR(MATCH($C390,'得意先'!$B$5:$B$104,0),"なし"))</f>
        <v/>
      </c>
      <c r="X390" s="33">
        <f>IF($A390="","",IF(ISNUMBER($E390),$E390,IF(ISNUMBER($B390),$B390,"")))</f>
        <v/>
      </c>
      <c r="Y390" s="34">
        <f>IF($T390="","",$O390+ROW()/1000000)</f>
        <v/>
      </c>
      <c r="Z390" s="35">
        <f>IF(OR($A390="",$C390="",$C390&lt;&gt;'売掛帳'!$B$3,NOT(ISNUMBER($X390))),"",IF(AND($X390&gt;='売掛帳'!$Q$3,$X390&lt;='売掛帳'!$Q$4),$X390+ROW()/10000000,""))</f>
        <v/>
      </c>
    </row>
    <row r="391" ht="18" customHeight="1">
      <c r="A391" s="18" t="n"/>
      <c r="B391" s="26" t="n"/>
      <c r="C391" s="18" t="n"/>
      <c r="D391" s="20">
        <f>IF($W391="","",IF($W391="なし","※得意先にないコード",INDEX('得意先'!$C$5:$C$104,$W391)&amp;""))</f>
        <v/>
      </c>
      <c r="E391" s="26" t="n"/>
      <c r="F391" s="19" t="n"/>
      <c r="G391" s="27" t="n"/>
      <c r="H391" s="27" t="n"/>
      <c r="I391" s="27" t="n"/>
      <c r="J391" s="28">
        <f>IF($A391="","",IF('設定'!$B$10="四捨五入",ROUND(IF('設定'!$B$9="税込",N($G391)*10/110,N($G391)*10/100),0),IF('設定'!$B$10="切り上げ",ROUNDUP(IF('設定'!$B$9="税込",N($G391)*10/110,N($G391)*10/100),0),ROUNDDOWN(IF('設定'!$B$9="税込",N($G391)*10/110,N($G391)*10/100),0))))</f>
        <v/>
      </c>
      <c r="K391" s="28">
        <f>IF($A391="","",IF('設定'!$B$10="四捨五入",ROUND(IF('設定'!$B$9="税込",N($H391)*8/108,N($H391)*8/100),0),IF('設定'!$B$10="切り上げ",ROUNDUP(IF('設定'!$B$9="税込",N($H391)*8/108,N($H391)*8/100),0),ROUNDDOWN(IF('設定'!$B$9="税込",N($H391)*8/108,N($H391)*8/100),0))))</f>
        <v/>
      </c>
      <c r="L391" s="28">
        <f>IF($A391="","",N($G391)+N($H391)+N($I391)+IF('設定'!$B$9="税込",0,$J391+$K391))</f>
        <v/>
      </c>
      <c r="M391" s="29">
        <f>IF(OR($A391="",NOT(ISNUMBER($W391)),NOT(ISNUMBER($X391))),"",IF(OR(INDEX('得意先'!$D$5:$D$104,$W391)="",INDEX('得意先'!$E$5:$E$104,$W391)="",INDEX('得意先'!$F$5:$F$104,$W391)=""),"",IF(INDEX('得意先'!$F$5:$F$104,$W391)="末",DATE(YEAR($X391),(MONTH($X391)+IF(INDEX('得意先'!$D$5:$D$104,$W391)="末",0,IF(DAY($X391)&lt;=INDEX('得意先'!$D$5:$D$104,$W391),0,1))+N(INDEX('得意先'!$E$5:$E$104,$W391)))+1,0),DATE(YEAR($X391),(MONTH($X391)+IF(INDEX('得意先'!$D$5:$D$104,$W391)="末",0,IF(DAY($X391)&lt;=INDEX('得意先'!$D$5:$D$104,$W391),0,1))+N(INDEX('得意先'!$E$5:$E$104,$W391))),MIN(INDEX('得意先'!$F$5:$F$104,$W391),DAY(DATE(YEAR($X391),(MONTH($X391)+IF(INDEX('得意先'!$D$5:$D$104,$W391)="末",0,IF(DAY($X391)&lt;=INDEX('得意先'!$D$5:$D$104,$W391),0,1))+N(INDEX('得意先'!$E$5:$E$104,$W391)))+1,0)))))))</f>
        <v/>
      </c>
      <c r="N391" s="26" t="n"/>
      <c r="O391" s="29">
        <f>IF($A391="","",IF(ISNUMBER($N391),$N391,$M391))</f>
        <v/>
      </c>
      <c r="P391" s="28">
        <f>IF($A391="","",SUMIF('入金消込'!$F$5:$F$1004,$A391,'入金消込'!$G$5:$G$1004))</f>
        <v/>
      </c>
      <c r="Q391" s="28">
        <f>IF($A391="","",SUMIF('入金消込'!$F$5:$F$1004,$A391,'入金消込'!$H$5:$H$1004)+SUMIF('入金消込'!$F$5:$F$1004,$A391,'入金消込'!$I$5:$I$1004))</f>
        <v/>
      </c>
      <c r="R391" s="28">
        <f>IF($A391="","",$L391-$P391-$Q391)</f>
        <v/>
      </c>
      <c r="S391" s="30">
        <f>IF($A391="","",IF($R391=0,IF($L391=0,"請求額0","回収済"),IF($L391&lt;0,IF($R391&lt;0,"差し引き待ち","差し引きすぎ"),IF($R391&lt;0,"入金が多い",IF($P391+$Q391=0,"未入金","一部入金")))))</f>
        <v/>
      </c>
      <c r="T391" s="31">
        <f>IF(OR($A391="",N($R391)&lt;=0,NOT(ISNUMBER($O391))),"",IF($O391&lt;'設定'!$B$7,'設定'!$B$7-$O391,""))</f>
        <v/>
      </c>
      <c r="U391" s="30">
        <f>IF(OR($A391="",N($R391)&lt;=0),"",IF(NOT(ISNUMBER($O391)),'設定'!$B$22,IF($O391&gt;='設定'!$B$7,'設定'!$B$17,IF('設定'!$B$7-$O391&lt;='設定'!$B$12,'設定'!$B$18,IF('設定'!$B$7-$O391&lt;='設定'!$B$13,'設定'!$B$19,IF('設定'!$B$7-$O391&lt;='設定'!$B$14,'設定'!$B$20,'設定'!$B$21))))))</f>
        <v/>
      </c>
      <c r="V391" s="56" t="n"/>
      <c r="W391" s="32">
        <f>IF($C391="","",IFERROR(MATCH($C391,'得意先'!$B$5:$B$104,0),"なし"))</f>
        <v/>
      </c>
      <c r="X391" s="33">
        <f>IF($A391="","",IF(ISNUMBER($E391),$E391,IF(ISNUMBER($B391),$B391,"")))</f>
        <v/>
      </c>
      <c r="Y391" s="34">
        <f>IF($T391="","",$O391+ROW()/1000000)</f>
        <v/>
      </c>
      <c r="Z391" s="35">
        <f>IF(OR($A391="",$C391="",$C391&lt;&gt;'売掛帳'!$B$3,NOT(ISNUMBER($X391))),"",IF(AND($X391&gt;='売掛帳'!$Q$3,$X391&lt;='売掛帳'!$Q$4),$X391+ROW()/10000000,""))</f>
        <v/>
      </c>
    </row>
    <row r="392" ht="18" customHeight="1">
      <c r="A392" s="18" t="n"/>
      <c r="B392" s="26" t="n"/>
      <c r="C392" s="18" t="n"/>
      <c r="D392" s="20">
        <f>IF($W392="","",IF($W392="なし","※得意先にないコード",INDEX('得意先'!$C$5:$C$104,$W392)&amp;""))</f>
        <v/>
      </c>
      <c r="E392" s="26" t="n"/>
      <c r="F392" s="19" t="n"/>
      <c r="G392" s="27" t="n"/>
      <c r="H392" s="27" t="n"/>
      <c r="I392" s="27" t="n"/>
      <c r="J392" s="28">
        <f>IF($A392="","",IF('設定'!$B$10="四捨五入",ROUND(IF('設定'!$B$9="税込",N($G392)*10/110,N($G392)*10/100),0),IF('設定'!$B$10="切り上げ",ROUNDUP(IF('設定'!$B$9="税込",N($G392)*10/110,N($G392)*10/100),0),ROUNDDOWN(IF('設定'!$B$9="税込",N($G392)*10/110,N($G392)*10/100),0))))</f>
        <v/>
      </c>
      <c r="K392" s="28">
        <f>IF($A392="","",IF('設定'!$B$10="四捨五入",ROUND(IF('設定'!$B$9="税込",N($H392)*8/108,N($H392)*8/100),0),IF('設定'!$B$10="切り上げ",ROUNDUP(IF('設定'!$B$9="税込",N($H392)*8/108,N($H392)*8/100),0),ROUNDDOWN(IF('設定'!$B$9="税込",N($H392)*8/108,N($H392)*8/100),0))))</f>
        <v/>
      </c>
      <c r="L392" s="28">
        <f>IF($A392="","",N($G392)+N($H392)+N($I392)+IF('設定'!$B$9="税込",0,$J392+$K392))</f>
        <v/>
      </c>
      <c r="M392" s="29">
        <f>IF(OR($A392="",NOT(ISNUMBER($W392)),NOT(ISNUMBER($X392))),"",IF(OR(INDEX('得意先'!$D$5:$D$104,$W392)="",INDEX('得意先'!$E$5:$E$104,$W392)="",INDEX('得意先'!$F$5:$F$104,$W392)=""),"",IF(INDEX('得意先'!$F$5:$F$104,$W392)="末",DATE(YEAR($X392),(MONTH($X392)+IF(INDEX('得意先'!$D$5:$D$104,$W392)="末",0,IF(DAY($X392)&lt;=INDEX('得意先'!$D$5:$D$104,$W392),0,1))+N(INDEX('得意先'!$E$5:$E$104,$W392)))+1,0),DATE(YEAR($X392),(MONTH($X392)+IF(INDEX('得意先'!$D$5:$D$104,$W392)="末",0,IF(DAY($X392)&lt;=INDEX('得意先'!$D$5:$D$104,$W392),0,1))+N(INDEX('得意先'!$E$5:$E$104,$W392))),MIN(INDEX('得意先'!$F$5:$F$104,$W392),DAY(DATE(YEAR($X392),(MONTH($X392)+IF(INDEX('得意先'!$D$5:$D$104,$W392)="末",0,IF(DAY($X392)&lt;=INDEX('得意先'!$D$5:$D$104,$W392),0,1))+N(INDEX('得意先'!$E$5:$E$104,$W392)))+1,0)))))))</f>
        <v/>
      </c>
      <c r="N392" s="26" t="n"/>
      <c r="O392" s="29">
        <f>IF($A392="","",IF(ISNUMBER($N392),$N392,$M392))</f>
        <v/>
      </c>
      <c r="P392" s="28">
        <f>IF($A392="","",SUMIF('入金消込'!$F$5:$F$1004,$A392,'入金消込'!$G$5:$G$1004))</f>
        <v/>
      </c>
      <c r="Q392" s="28">
        <f>IF($A392="","",SUMIF('入金消込'!$F$5:$F$1004,$A392,'入金消込'!$H$5:$H$1004)+SUMIF('入金消込'!$F$5:$F$1004,$A392,'入金消込'!$I$5:$I$1004))</f>
        <v/>
      </c>
      <c r="R392" s="28">
        <f>IF($A392="","",$L392-$P392-$Q392)</f>
        <v/>
      </c>
      <c r="S392" s="30">
        <f>IF($A392="","",IF($R392=0,IF($L392=0,"請求額0","回収済"),IF($L392&lt;0,IF($R392&lt;0,"差し引き待ち","差し引きすぎ"),IF($R392&lt;0,"入金が多い",IF($P392+$Q392=0,"未入金","一部入金")))))</f>
        <v/>
      </c>
      <c r="T392" s="31">
        <f>IF(OR($A392="",N($R392)&lt;=0,NOT(ISNUMBER($O392))),"",IF($O392&lt;'設定'!$B$7,'設定'!$B$7-$O392,""))</f>
        <v/>
      </c>
      <c r="U392" s="30">
        <f>IF(OR($A392="",N($R392)&lt;=0),"",IF(NOT(ISNUMBER($O392)),'設定'!$B$22,IF($O392&gt;='設定'!$B$7,'設定'!$B$17,IF('設定'!$B$7-$O392&lt;='設定'!$B$12,'設定'!$B$18,IF('設定'!$B$7-$O392&lt;='設定'!$B$13,'設定'!$B$19,IF('設定'!$B$7-$O392&lt;='設定'!$B$14,'設定'!$B$20,'設定'!$B$21))))))</f>
        <v/>
      </c>
      <c r="V392" s="56" t="n"/>
      <c r="W392" s="32">
        <f>IF($C392="","",IFERROR(MATCH($C392,'得意先'!$B$5:$B$104,0),"なし"))</f>
        <v/>
      </c>
      <c r="X392" s="33">
        <f>IF($A392="","",IF(ISNUMBER($E392),$E392,IF(ISNUMBER($B392),$B392,"")))</f>
        <v/>
      </c>
      <c r="Y392" s="34">
        <f>IF($T392="","",$O392+ROW()/1000000)</f>
        <v/>
      </c>
      <c r="Z392" s="35">
        <f>IF(OR($A392="",$C392="",$C392&lt;&gt;'売掛帳'!$B$3,NOT(ISNUMBER($X392))),"",IF(AND($X392&gt;='売掛帳'!$Q$3,$X392&lt;='売掛帳'!$Q$4),$X392+ROW()/10000000,""))</f>
        <v/>
      </c>
    </row>
    <row r="393" ht="18" customHeight="1">
      <c r="A393" s="18" t="n"/>
      <c r="B393" s="26" t="n"/>
      <c r="C393" s="18" t="n"/>
      <c r="D393" s="20">
        <f>IF($W393="","",IF($W393="なし","※得意先にないコード",INDEX('得意先'!$C$5:$C$104,$W393)&amp;""))</f>
        <v/>
      </c>
      <c r="E393" s="26" t="n"/>
      <c r="F393" s="19" t="n"/>
      <c r="G393" s="27" t="n"/>
      <c r="H393" s="27" t="n"/>
      <c r="I393" s="27" t="n"/>
      <c r="J393" s="28">
        <f>IF($A393="","",IF('設定'!$B$10="四捨五入",ROUND(IF('設定'!$B$9="税込",N($G393)*10/110,N($G393)*10/100),0),IF('設定'!$B$10="切り上げ",ROUNDUP(IF('設定'!$B$9="税込",N($G393)*10/110,N($G393)*10/100),0),ROUNDDOWN(IF('設定'!$B$9="税込",N($G393)*10/110,N($G393)*10/100),0))))</f>
        <v/>
      </c>
      <c r="K393" s="28">
        <f>IF($A393="","",IF('設定'!$B$10="四捨五入",ROUND(IF('設定'!$B$9="税込",N($H393)*8/108,N($H393)*8/100),0),IF('設定'!$B$10="切り上げ",ROUNDUP(IF('設定'!$B$9="税込",N($H393)*8/108,N($H393)*8/100),0),ROUNDDOWN(IF('設定'!$B$9="税込",N($H393)*8/108,N($H393)*8/100),0))))</f>
        <v/>
      </c>
      <c r="L393" s="28">
        <f>IF($A393="","",N($G393)+N($H393)+N($I393)+IF('設定'!$B$9="税込",0,$J393+$K393))</f>
        <v/>
      </c>
      <c r="M393" s="29">
        <f>IF(OR($A393="",NOT(ISNUMBER($W393)),NOT(ISNUMBER($X393))),"",IF(OR(INDEX('得意先'!$D$5:$D$104,$W393)="",INDEX('得意先'!$E$5:$E$104,$W393)="",INDEX('得意先'!$F$5:$F$104,$W393)=""),"",IF(INDEX('得意先'!$F$5:$F$104,$W393)="末",DATE(YEAR($X393),(MONTH($X393)+IF(INDEX('得意先'!$D$5:$D$104,$W393)="末",0,IF(DAY($X393)&lt;=INDEX('得意先'!$D$5:$D$104,$W393),0,1))+N(INDEX('得意先'!$E$5:$E$104,$W393)))+1,0),DATE(YEAR($X393),(MONTH($X393)+IF(INDEX('得意先'!$D$5:$D$104,$W393)="末",0,IF(DAY($X393)&lt;=INDEX('得意先'!$D$5:$D$104,$W393),0,1))+N(INDEX('得意先'!$E$5:$E$104,$W393))),MIN(INDEX('得意先'!$F$5:$F$104,$W393),DAY(DATE(YEAR($X393),(MONTH($X393)+IF(INDEX('得意先'!$D$5:$D$104,$W393)="末",0,IF(DAY($X393)&lt;=INDEX('得意先'!$D$5:$D$104,$W393),0,1))+N(INDEX('得意先'!$E$5:$E$104,$W393)))+1,0)))))))</f>
        <v/>
      </c>
      <c r="N393" s="26" t="n"/>
      <c r="O393" s="29">
        <f>IF($A393="","",IF(ISNUMBER($N393),$N393,$M393))</f>
        <v/>
      </c>
      <c r="P393" s="28">
        <f>IF($A393="","",SUMIF('入金消込'!$F$5:$F$1004,$A393,'入金消込'!$G$5:$G$1004))</f>
        <v/>
      </c>
      <c r="Q393" s="28">
        <f>IF($A393="","",SUMIF('入金消込'!$F$5:$F$1004,$A393,'入金消込'!$H$5:$H$1004)+SUMIF('入金消込'!$F$5:$F$1004,$A393,'入金消込'!$I$5:$I$1004))</f>
        <v/>
      </c>
      <c r="R393" s="28">
        <f>IF($A393="","",$L393-$P393-$Q393)</f>
        <v/>
      </c>
      <c r="S393" s="30">
        <f>IF($A393="","",IF($R393=0,IF($L393=0,"請求額0","回収済"),IF($L393&lt;0,IF($R393&lt;0,"差し引き待ち","差し引きすぎ"),IF($R393&lt;0,"入金が多い",IF($P393+$Q393=0,"未入金","一部入金")))))</f>
        <v/>
      </c>
      <c r="T393" s="31">
        <f>IF(OR($A393="",N($R393)&lt;=0,NOT(ISNUMBER($O393))),"",IF($O393&lt;'設定'!$B$7,'設定'!$B$7-$O393,""))</f>
        <v/>
      </c>
      <c r="U393" s="30">
        <f>IF(OR($A393="",N($R393)&lt;=0),"",IF(NOT(ISNUMBER($O393)),'設定'!$B$22,IF($O393&gt;='設定'!$B$7,'設定'!$B$17,IF('設定'!$B$7-$O393&lt;='設定'!$B$12,'設定'!$B$18,IF('設定'!$B$7-$O393&lt;='設定'!$B$13,'設定'!$B$19,IF('設定'!$B$7-$O393&lt;='設定'!$B$14,'設定'!$B$20,'設定'!$B$21))))))</f>
        <v/>
      </c>
      <c r="V393" s="56" t="n"/>
      <c r="W393" s="32">
        <f>IF($C393="","",IFERROR(MATCH($C393,'得意先'!$B$5:$B$104,0),"なし"))</f>
        <v/>
      </c>
      <c r="X393" s="33">
        <f>IF($A393="","",IF(ISNUMBER($E393),$E393,IF(ISNUMBER($B393),$B393,"")))</f>
        <v/>
      </c>
      <c r="Y393" s="34">
        <f>IF($T393="","",$O393+ROW()/1000000)</f>
        <v/>
      </c>
      <c r="Z393" s="35">
        <f>IF(OR($A393="",$C393="",$C393&lt;&gt;'売掛帳'!$B$3,NOT(ISNUMBER($X393))),"",IF(AND($X393&gt;='売掛帳'!$Q$3,$X393&lt;='売掛帳'!$Q$4),$X393+ROW()/10000000,""))</f>
        <v/>
      </c>
    </row>
    <row r="394" ht="18" customHeight="1">
      <c r="A394" s="18" t="n"/>
      <c r="B394" s="26" t="n"/>
      <c r="C394" s="18" t="n"/>
      <c r="D394" s="20">
        <f>IF($W394="","",IF($W394="なし","※得意先にないコード",INDEX('得意先'!$C$5:$C$104,$W394)&amp;""))</f>
        <v/>
      </c>
      <c r="E394" s="26" t="n"/>
      <c r="F394" s="19" t="n"/>
      <c r="G394" s="27" t="n"/>
      <c r="H394" s="27" t="n"/>
      <c r="I394" s="27" t="n"/>
      <c r="J394" s="28">
        <f>IF($A394="","",IF('設定'!$B$10="四捨五入",ROUND(IF('設定'!$B$9="税込",N($G394)*10/110,N($G394)*10/100),0),IF('設定'!$B$10="切り上げ",ROUNDUP(IF('設定'!$B$9="税込",N($G394)*10/110,N($G394)*10/100),0),ROUNDDOWN(IF('設定'!$B$9="税込",N($G394)*10/110,N($G394)*10/100),0))))</f>
        <v/>
      </c>
      <c r="K394" s="28">
        <f>IF($A394="","",IF('設定'!$B$10="四捨五入",ROUND(IF('設定'!$B$9="税込",N($H394)*8/108,N($H394)*8/100),0),IF('設定'!$B$10="切り上げ",ROUNDUP(IF('設定'!$B$9="税込",N($H394)*8/108,N($H394)*8/100),0),ROUNDDOWN(IF('設定'!$B$9="税込",N($H394)*8/108,N($H394)*8/100),0))))</f>
        <v/>
      </c>
      <c r="L394" s="28">
        <f>IF($A394="","",N($G394)+N($H394)+N($I394)+IF('設定'!$B$9="税込",0,$J394+$K394))</f>
        <v/>
      </c>
      <c r="M394" s="29">
        <f>IF(OR($A394="",NOT(ISNUMBER($W394)),NOT(ISNUMBER($X394))),"",IF(OR(INDEX('得意先'!$D$5:$D$104,$W394)="",INDEX('得意先'!$E$5:$E$104,$W394)="",INDEX('得意先'!$F$5:$F$104,$W394)=""),"",IF(INDEX('得意先'!$F$5:$F$104,$W394)="末",DATE(YEAR($X394),(MONTH($X394)+IF(INDEX('得意先'!$D$5:$D$104,$W394)="末",0,IF(DAY($X394)&lt;=INDEX('得意先'!$D$5:$D$104,$W394),0,1))+N(INDEX('得意先'!$E$5:$E$104,$W394)))+1,0),DATE(YEAR($X394),(MONTH($X394)+IF(INDEX('得意先'!$D$5:$D$104,$W394)="末",0,IF(DAY($X394)&lt;=INDEX('得意先'!$D$5:$D$104,$W394),0,1))+N(INDEX('得意先'!$E$5:$E$104,$W394))),MIN(INDEX('得意先'!$F$5:$F$104,$W394),DAY(DATE(YEAR($X394),(MONTH($X394)+IF(INDEX('得意先'!$D$5:$D$104,$W394)="末",0,IF(DAY($X394)&lt;=INDEX('得意先'!$D$5:$D$104,$W394),0,1))+N(INDEX('得意先'!$E$5:$E$104,$W394)))+1,0)))))))</f>
        <v/>
      </c>
      <c r="N394" s="26" t="n"/>
      <c r="O394" s="29">
        <f>IF($A394="","",IF(ISNUMBER($N394),$N394,$M394))</f>
        <v/>
      </c>
      <c r="P394" s="28">
        <f>IF($A394="","",SUMIF('入金消込'!$F$5:$F$1004,$A394,'入金消込'!$G$5:$G$1004))</f>
        <v/>
      </c>
      <c r="Q394" s="28">
        <f>IF($A394="","",SUMIF('入金消込'!$F$5:$F$1004,$A394,'入金消込'!$H$5:$H$1004)+SUMIF('入金消込'!$F$5:$F$1004,$A394,'入金消込'!$I$5:$I$1004))</f>
        <v/>
      </c>
      <c r="R394" s="28">
        <f>IF($A394="","",$L394-$P394-$Q394)</f>
        <v/>
      </c>
      <c r="S394" s="30">
        <f>IF($A394="","",IF($R394=0,IF($L394=0,"請求額0","回収済"),IF($L394&lt;0,IF($R394&lt;0,"差し引き待ち","差し引きすぎ"),IF($R394&lt;0,"入金が多い",IF($P394+$Q394=0,"未入金","一部入金")))))</f>
        <v/>
      </c>
      <c r="T394" s="31">
        <f>IF(OR($A394="",N($R394)&lt;=0,NOT(ISNUMBER($O394))),"",IF($O394&lt;'設定'!$B$7,'設定'!$B$7-$O394,""))</f>
        <v/>
      </c>
      <c r="U394" s="30">
        <f>IF(OR($A394="",N($R394)&lt;=0),"",IF(NOT(ISNUMBER($O394)),'設定'!$B$22,IF($O394&gt;='設定'!$B$7,'設定'!$B$17,IF('設定'!$B$7-$O394&lt;='設定'!$B$12,'設定'!$B$18,IF('設定'!$B$7-$O394&lt;='設定'!$B$13,'設定'!$B$19,IF('設定'!$B$7-$O394&lt;='設定'!$B$14,'設定'!$B$20,'設定'!$B$21))))))</f>
        <v/>
      </c>
      <c r="V394" s="56" t="n"/>
      <c r="W394" s="32">
        <f>IF($C394="","",IFERROR(MATCH($C394,'得意先'!$B$5:$B$104,0),"なし"))</f>
        <v/>
      </c>
      <c r="X394" s="33">
        <f>IF($A394="","",IF(ISNUMBER($E394),$E394,IF(ISNUMBER($B394),$B394,"")))</f>
        <v/>
      </c>
      <c r="Y394" s="34">
        <f>IF($T394="","",$O394+ROW()/1000000)</f>
        <v/>
      </c>
      <c r="Z394" s="35">
        <f>IF(OR($A394="",$C394="",$C394&lt;&gt;'売掛帳'!$B$3,NOT(ISNUMBER($X394))),"",IF(AND($X394&gt;='売掛帳'!$Q$3,$X394&lt;='売掛帳'!$Q$4),$X394+ROW()/10000000,""))</f>
        <v/>
      </c>
    </row>
    <row r="395" ht="18" customHeight="1">
      <c r="A395" s="18" t="n"/>
      <c r="B395" s="26" t="n"/>
      <c r="C395" s="18" t="n"/>
      <c r="D395" s="20">
        <f>IF($W395="","",IF($W395="なし","※得意先にないコード",INDEX('得意先'!$C$5:$C$104,$W395)&amp;""))</f>
        <v/>
      </c>
      <c r="E395" s="26" t="n"/>
      <c r="F395" s="19" t="n"/>
      <c r="G395" s="27" t="n"/>
      <c r="H395" s="27" t="n"/>
      <c r="I395" s="27" t="n"/>
      <c r="J395" s="28">
        <f>IF($A395="","",IF('設定'!$B$10="四捨五入",ROUND(IF('設定'!$B$9="税込",N($G395)*10/110,N($G395)*10/100),0),IF('設定'!$B$10="切り上げ",ROUNDUP(IF('設定'!$B$9="税込",N($G395)*10/110,N($G395)*10/100),0),ROUNDDOWN(IF('設定'!$B$9="税込",N($G395)*10/110,N($G395)*10/100),0))))</f>
        <v/>
      </c>
      <c r="K395" s="28">
        <f>IF($A395="","",IF('設定'!$B$10="四捨五入",ROUND(IF('設定'!$B$9="税込",N($H395)*8/108,N($H395)*8/100),0),IF('設定'!$B$10="切り上げ",ROUNDUP(IF('設定'!$B$9="税込",N($H395)*8/108,N($H395)*8/100),0),ROUNDDOWN(IF('設定'!$B$9="税込",N($H395)*8/108,N($H395)*8/100),0))))</f>
        <v/>
      </c>
      <c r="L395" s="28">
        <f>IF($A395="","",N($G395)+N($H395)+N($I395)+IF('設定'!$B$9="税込",0,$J395+$K395))</f>
        <v/>
      </c>
      <c r="M395" s="29">
        <f>IF(OR($A395="",NOT(ISNUMBER($W395)),NOT(ISNUMBER($X395))),"",IF(OR(INDEX('得意先'!$D$5:$D$104,$W395)="",INDEX('得意先'!$E$5:$E$104,$W395)="",INDEX('得意先'!$F$5:$F$104,$W395)=""),"",IF(INDEX('得意先'!$F$5:$F$104,$W395)="末",DATE(YEAR($X395),(MONTH($X395)+IF(INDEX('得意先'!$D$5:$D$104,$W395)="末",0,IF(DAY($X395)&lt;=INDEX('得意先'!$D$5:$D$104,$W395),0,1))+N(INDEX('得意先'!$E$5:$E$104,$W395)))+1,0),DATE(YEAR($X395),(MONTH($X395)+IF(INDEX('得意先'!$D$5:$D$104,$W395)="末",0,IF(DAY($X395)&lt;=INDEX('得意先'!$D$5:$D$104,$W395),0,1))+N(INDEX('得意先'!$E$5:$E$104,$W395))),MIN(INDEX('得意先'!$F$5:$F$104,$W395),DAY(DATE(YEAR($X395),(MONTH($X395)+IF(INDEX('得意先'!$D$5:$D$104,$W395)="末",0,IF(DAY($X395)&lt;=INDEX('得意先'!$D$5:$D$104,$W395),0,1))+N(INDEX('得意先'!$E$5:$E$104,$W395)))+1,0)))))))</f>
        <v/>
      </c>
      <c r="N395" s="26" t="n"/>
      <c r="O395" s="29">
        <f>IF($A395="","",IF(ISNUMBER($N395),$N395,$M395))</f>
        <v/>
      </c>
      <c r="P395" s="28">
        <f>IF($A395="","",SUMIF('入金消込'!$F$5:$F$1004,$A395,'入金消込'!$G$5:$G$1004))</f>
        <v/>
      </c>
      <c r="Q395" s="28">
        <f>IF($A395="","",SUMIF('入金消込'!$F$5:$F$1004,$A395,'入金消込'!$H$5:$H$1004)+SUMIF('入金消込'!$F$5:$F$1004,$A395,'入金消込'!$I$5:$I$1004))</f>
        <v/>
      </c>
      <c r="R395" s="28">
        <f>IF($A395="","",$L395-$P395-$Q395)</f>
        <v/>
      </c>
      <c r="S395" s="30">
        <f>IF($A395="","",IF($R395=0,IF($L395=0,"請求額0","回収済"),IF($L395&lt;0,IF($R395&lt;0,"差し引き待ち","差し引きすぎ"),IF($R395&lt;0,"入金が多い",IF($P395+$Q395=0,"未入金","一部入金")))))</f>
        <v/>
      </c>
      <c r="T395" s="31">
        <f>IF(OR($A395="",N($R395)&lt;=0,NOT(ISNUMBER($O395))),"",IF($O395&lt;'設定'!$B$7,'設定'!$B$7-$O395,""))</f>
        <v/>
      </c>
      <c r="U395" s="30">
        <f>IF(OR($A395="",N($R395)&lt;=0),"",IF(NOT(ISNUMBER($O395)),'設定'!$B$22,IF($O395&gt;='設定'!$B$7,'設定'!$B$17,IF('設定'!$B$7-$O395&lt;='設定'!$B$12,'設定'!$B$18,IF('設定'!$B$7-$O395&lt;='設定'!$B$13,'設定'!$B$19,IF('設定'!$B$7-$O395&lt;='設定'!$B$14,'設定'!$B$20,'設定'!$B$21))))))</f>
        <v/>
      </c>
      <c r="V395" s="56" t="n"/>
      <c r="W395" s="32">
        <f>IF($C395="","",IFERROR(MATCH($C395,'得意先'!$B$5:$B$104,0),"なし"))</f>
        <v/>
      </c>
      <c r="X395" s="33">
        <f>IF($A395="","",IF(ISNUMBER($E395),$E395,IF(ISNUMBER($B395),$B395,"")))</f>
        <v/>
      </c>
      <c r="Y395" s="34">
        <f>IF($T395="","",$O395+ROW()/1000000)</f>
        <v/>
      </c>
      <c r="Z395" s="35">
        <f>IF(OR($A395="",$C395="",$C395&lt;&gt;'売掛帳'!$B$3,NOT(ISNUMBER($X395))),"",IF(AND($X395&gt;='売掛帳'!$Q$3,$X395&lt;='売掛帳'!$Q$4),$X395+ROW()/10000000,""))</f>
        <v/>
      </c>
    </row>
    <row r="396" ht="18" customHeight="1">
      <c r="A396" s="18" t="n"/>
      <c r="B396" s="26" t="n"/>
      <c r="C396" s="18" t="n"/>
      <c r="D396" s="20">
        <f>IF($W396="","",IF($W396="なし","※得意先にないコード",INDEX('得意先'!$C$5:$C$104,$W396)&amp;""))</f>
        <v/>
      </c>
      <c r="E396" s="26" t="n"/>
      <c r="F396" s="19" t="n"/>
      <c r="G396" s="27" t="n"/>
      <c r="H396" s="27" t="n"/>
      <c r="I396" s="27" t="n"/>
      <c r="J396" s="28">
        <f>IF($A396="","",IF('設定'!$B$10="四捨五入",ROUND(IF('設定'!$B$9="税込",N($G396)*10/110,N($G396)*10/100),0),IF('設定'!$B$10="切り上げ",ROUNDUP(IF('設定'!$B$9="税込",N($G396)*10/110,N($G396)*10/100),0),ROUNDDOWN(IF('設定'!$B$9="税込",N($G396)*10/110,N($G396)*10/100),0))))</f>
        <v/>
      </c>
      <c r="K396" s="28">
        <f>IF($A396="","",IF('設定'!$B$10="四捨五入",ROUND(IF('設定'!$B$9="税込",N($H396)*8/108,N($H396)*8/100),0),IF('設定'!$B$10="切り上げ",ROUNDUP(IF('設定'!$B$9="税込",N($H396)*8/108,N($H396)*8/100),0),ROUNDDOWN(IF('設定'!$B$9="税込",N($H396)*8/108,N($H396)*8/100),0))))</f>
        <v/>
      </c>
      <c r="L396" s="28">
        <f>IF($A396="","",N($G396)+N($H396)+N($I396)+IF('設定'!$B$9="税込",0,$J396+$K396))</f>
        <v/>
      </c>
      <c r="M396" s="29">
        <f>IF(OR($A396="",NOT(ISNUMBER($W396)),NOT(ISNUMBER($X396))),"",IF(OR(INDEX('得意先'!$D$5:$D$104,$W396)="",INDEX('得意先'!$E$5:$E$104,$W396)="",INDEX('得意先'!$F$5:$F$104,$W396)=""),"",IF(INDEX('得意先'!$F$5:$F$104,$W396)="末",DATE(YEAR($X396),(MONTH($X396)+IF(INDEX('得意先'!$D$5:$D$104,$W396)="末",0,IF(DAY($X396)&lt;=INDEX('得意先'!$D$5:$D$104,$W396),0,1))+N(INDEX('得意先'!$E$5:$E$104,$W396)))+1,0),DATE(YEAR($X396),(MONTH($X396)+IF(INDEX('得意先'!$D$5:$D$104,$W396)="末",0,IF(DAY($X396)&lt;=INDEX('得意先'!$D$5:$D$104,$W396),0,1))+N(INDEX('得意先'!$E$5:$E$104,$W396))),MIN(INDEX('得意先'!$F$5:$F$104,$W396),DAY(DATE(YEAR($X396),(MONTH($X396)+IF(INDEX('得意先'!$D$5:$D$104,$W396)="末",0,IF(DAY($X396)&lt;=INDEX('得意先'!$D$5:$D$104,$W396),0,1))+N(INDEX('得意先'!$E$5:$E$104,$W396)))+1,0)))))))</f>
        <v/>
      </c>
      <c r="N396" s="26" t="n"/>
      <c r="O396" s="29">
        <f>IF($A396="","",IF(ISNUMBER($N396),$N396,$M396))</f>
        <v/>
      </c>
      <c r="P396" s="28">
        <f>IF($A396="","",SUMIF('入金消込'!$F$5:$F$1004,$A396,'入金消込'!$G$5:$G$1004))</f>
        <v/>
      </c>
      <c r="Q396" s="28">
        <f>IF($A396="","",SUMIF('入金消込'!$F$5:$F$1004,$A396,'入金消込'!$H$5:$H$1004)+SUMIF('入金消込'!$F$5:$F$1004,$A396,'入金消込'!$I$5:$I$1004))</f>
        <v/>
      </c>
      <c r="R396" s="28">
        <f>IF($A396="","",$L396-$P396-$Q396)</f>
        <v/>
      </c>
      <c r="S396" s="30">
        <f>IF($A396="","",IF($R396=0,IF($L396=0,"請求額0","回収済"),IF($L396&lt;0,IF($R396&lt;0,"差し引き待ち","差し引きすぎ"),IF($R396&lt;0,"入金が多い",IF($P396+$Q396=0,"未入金","一部入金")))))</f>
        <v/>
      </c>
      <c r="T396" s="31">
        <f>IF(OR($A396="",N($R396)&lt;=0,NOT(ISNUMBER($O396))),"",IF($O396&lt;'設定'!$B$7,'設定'!$B$7-$O396,""))</f>
        <v/>
      </c>
      <c r="U396" s="30">
        <f>IF(OR($A396="",N($R396)&lt;=0),"",IF(NOT(ISNUMBER($O396)),'設定'!$B$22,IF($O396&gt;='設定'!$B$7,'設定'!$B$17,IF('設定'!$B$7-$O396&lt;='設定'!$B$12,'設定'!$B$18,IF('設定'!$B$7-$O396&lt;='設定'!$B$13,'設定'!$B$19,IF('設定'!$B$7-$O396&lt;='設定'!$B$14,'設定'!$B$20,'設定'!$B$21))))))</f>
        <v/>
      </c>
      <c r="V396" s="56" t="n"/>
      <c r="W396" s="32">
        <f>IF($C396="","",IFERROR(MATCH($C396,'得意先'!$B$5:$B$104,0),"なし"))</f>
        <v/>
      </c>
      <c r="X396" s="33">
        <f>IF($A396="","",IF(ISNUMBER($E396),$E396,IF(ISNUMBER($B396),$B396,"")))</f>
        <v/>
      </c>
      <c r="Y396" s="34">
        <f>IF($T396="","",$O396+ROW()/1000000)</f>
        <v/>
      </c>
      <c r="Z396" s="35">
        <f>IF(OR($A396="",$C396="",$C396&lt;&gt;'売掛帳'!$B$3,NOT(ISNUMBER($X396))),"",IF(AND($X396&gt;='売掛帳'!$Q$3,$X396&lt;='売掛帳'!$Q$4),$X396+ROW()/10000000,""))</f>
        <v/>
      </c>
    </row>
    <row r="397" ht="18" customHeight="1">
      <c r="A397" s="18" t="n"/>
      <c r="B397" s="26" t="n"/>
      <c r="C397" s="18" t="n"/>
      <c r="D397" s="20">
        <f>IF($W397="","",IF($W397="なし","※得意先にないコード",INDEX('得意先'!$C$5:$C$104,$W397)&amp;""))</f>
        <v/>
      </c>
      <c r="E397" s="26" t="n"/>
      <c r="F397" s="19" t="n"/>
      <c r="G397" s="27" t="n"/>
      <c r="H397" s="27" t="n"/>
      <c r="I397" s="27" t="n"/>
      <c r="J397" s="28">
        <f>IF($A397="","",IF('設定'!$B$10="四捨五入",ROUND(IF('設定'!$B$9="税込",N($G397)*10/110,N($G397)*10/100),0),IF('設定'!$B$10="切り上げ",ROUNDUP(IF('設定'!$B$9="税込",N($G397)*10/110,N($G397)*10/100),0),ROUNDDOWN(IF('設定'!$B$9="税込",N($G397)*10/110,N($G397)*10/100),0))))</f>
        <v/>
      </c>
      <c r="K397" s="28">
        <f>IF($A397="","",IF('設定'!$B$10="四捨五入",ROUND(IF('設定'!$B$9="税込",N($H397)*8/108,N($H397)*8/100),0),IF('設定'!$B$10="切り上げ",ROUNDUP(IF('設定'!$B$9="税込",N($H397)*8/108,N($H397)*8/100),0),ROUNDDOWN(IF('設定'!$B$9="税込",N($H397)*8/108,N($H397)*8/100),0))))</f>
        <v/>
      </c>
      <c r="L397" s="28">
        <f>IF($A397="","",N($G397)+N($H397)+N($I397)+IF('設定'!$B$9="税込",0,$J397+$K397))</f>
        <v/>
      </c>
      <c r="M397" s="29">
        <f>IF(OR($A397="",NOT(ISNUMBER($W397)),NOT(ISNUMBER($X397))),"",IF(OR(INDEX('得意先'!$D$5:$D$104,$W397)="",INDEX('得意先'!$E$5:$E$104,$W397)="",INDEX('得意先'!$F$5:$F$104,$W397)=""),"",IF(INDEX('得意先'!$F$5:$F$104,$W397)="末",DATE(YEAR($X397),(MONTH($X397)+IF(INDEX('得意先'!$D$5:$D$104,$W397)="末",0,IF(DAY($X397)&lt;=INDEX('得意先'!$D$5:$D$104,$W397),0,1))+N(INDEX('得意先'!$E$5:$E$104,$W397)))+1,0),DATE(YEAR($X397),(MONTH($X397)+IF(INDEX('得意先'!$D$5:$D$104,$W397)="末",0,IF(DAY($X397)&lt;=INDEX('得意先'!$D$5:$D$104,$W397),0,1))+N(INDEX('得意先'!$E$5:$E$104,$W397))),MIN(INDEX('得意先'!$F$5:$F$104,$W397),DAY(DATE(YEAR($X397),(MONTH($X397)+IF(INDEX('得意先'!$D$5:$D$104,$W397)="末",0,IF(DAY($X397)&lt;=INDEX('得意先'!$D$5:$D$104,$W397),0,1))+N(INDEX('得意先'!$E$5:$E$104,$W397)))+1,0)))))))</f>
        <v/>
      </c>
      <c r="N397" s="26" t="n"/>
      <c r="O397" s="29">
        <f>IF($A397="","",IF(ISNUMBER($N397),$N397,$M397))</f>
        <v/>
      </c>
      <c r="P397" s="28">
        <f>IF($A397="","",SUMIF('入金消込'!$F$5:$F$1004,$A397,'入金消込'!$G$5:$G$1004))</f>
        <v/>
      </c>
      <c r="Q397" s="28">
        <f>IF($A397="","",SUMIF('入金消込'!$F$5:$F$1004,$A397,'入金消込'!$H$5:$H$1004)+SUMIF('入金消込'!$F$5:$F$1004,$A397,'入金消込'!$I$5:$I$1004))</f>
        <v/>
      </c>
      <c r="R397" s="28">
        <f>IF($A397="","",$L397-$P397-$Q397)</f>
        <v/>
      </c>
      <c r="S397" s="30">
        <f>IF($A397="","",IF($R397=0,IF($L397=0,"請求額0","回収済"),IF($L397&lt;0,IF($R397&lt;0,"差し引き待ち","差し引きすぎ"),IF($R397&lt;0,"入金が多い",IF($P397+$Q397=0,"未入金","一部入金")))))</f>
        <v/>
      </c>
      <c r="T397" s="31">
        <f>IF(OR($A397="",N($R397)&lt;=0,NOT(ISNUMBER($O397))),"",IF($O397&lt;'設定'!$B$7,'設定'!$B$7-$O397,""))</f>
        <v/>
      </c>
      <c r="U397" s="30">
        <f>IF(OR($A397="",N($R397)&lt;=0),"",IF(NOT(ISNUMBER($O397)),'設定'!$B$22,IF($O397&gt;='設定'!$B$7,'設定'!$B$17,IF('設定'!$B$7-$O397&lt;='設定'!$B$12,'設定'!$B$18,IF('設定'!$B$7-$O397&lt;='設定'!$B$13,'設定'!$B$19,IF('設定'!$B$7-$O397&lt;='設定'!$B$14,'設定'!$B$20,'設定'!$B$21))))))</f>
        <v/>
      </c>
      <c r="V397" s="56" t="n"/>
      <c r="W397" s="32">
        <f>IF($C397="","",IFERROR(MATCH($C397,'得意先'!$B$5:$B$104,0),"なし"))</f>
        <v/>
      </c>
      <c r="X397" s="33">
        <f>IF($A397="","",IF(ISNUMBER($E397),$E397,IF(ISNUMBER($B397),$B397,"")))</f>
        <v/>
      </c>
      <c r="Y397" s="34">
        <f>IF($T397="","",$O397+ROW()/1000000)</f>
        <v/>
      </c>
      <c r="Z397" s="35">
        <f>IF(OR($A397="",$C397="",$C397&lt;&gt;'売掛帳'!$B$3,NOT(ISNUMBER($X397))),"",IF(AND($X397&gt;='売掛帳'!$Q$3,$X397&lt;='売掛帳'!$Q$4),$X397+ROW()/10000000,""))</f>
        <v/>
      </c>
    </row>
    <row r="398" ht="18" customHeight="1">
      <c r="A398" s="18" t="n"/>
      <c r="B398" s="26" t="n"/>
      <c r="C398" s="18" t="n"/>
      <c r="D398" s="20">
        <f>IF($W398="","",IF($W398="なし","※得意先にないコード",INDEX('得意先'!$C$5:$C$104,$W398)&amp;""))</f>
        <v/>
      </c>
      <c r="E398" s="26" t="n"/>
      <c r="F398" s="19" t="n"/>
      <c r="G398" s="27" t="n"/>
      <c r="H398" s="27" t="n"/>
      <c r="I398" s="27" t="n"/>
      <c r="J398" s="28">
        <f>IF($A398="","",IF('設定'!$B$10="四捨五入",ROUND(IF('設定'!$B$9="税込",N($G398)*10/110,N($G398)*10/100),0),IF('設定'!$B$10="切り上げ",ROUNDUP(IF('設定'!$B$9="税込",N($G398)*10/110,N($G398)*10/100),0),ROUNDDOWN(IF('設定'!$B$9="税込",N($G398)*10/110,N($G398)*10/100),0))))</f>
        <v/>
      </c>
      <c r="K398" s="28">
        <f>IF($A398="","",IF('設定'!$B$10="四捨五入",ROUND(IF('設定'!$B$9="税込",N($H398)*8/108,N($H398)*8/100),0),IF('設定'!$B$10="切り上げ",ROUNDUP(IF('設定'!$B$9="税込",N($H398)*8/108,N($H398)*8/100),0),ROUNDDOWN(IF('設定'!$B$9="税込",N($H398)*8/108,N($H398)*8/100),0))))</f>
        <v/>
      </c>
      <c r="L398" s="28">
        <f>IF($A398="","",N($G398)+N($H398)+N($I398)+IF('設定'!$B$9="税込",0,$J398+$K398))</f>
        <v/>
      </c>
      <c r="M398" s="29">
        <f>IF(OR($A398="",NOT(ISNUMBER($W398)),NOT(ISNUMBER($X398))),"",IF(OR(INDEX('得意先'!$D$5:$D$104,$W398)="",INDEX('得意先'!$E$5:$E$104,$W398)="",INDEX('得意先'!$F$5:$F$104,$W398)=""),"",IF(INDEX('得意先'!$F$5:$F$104,$W398)="末",DATE(YEAR($X398),(MONTH($X398)+IF(INDEX('得意先'!$D$5:$D$104,$W398)="末",0,IF(DAY($X398)&lt;=INDEX('得意先'!$D$5:$D$104,$W398),0,1))+N(INDEX('得意先'!$E$5:$E$104,$W398)))+1,0),DATE(YEAR($X398),(MONTH($X398)+IF(INDEX('得意先'!$D$5:$D$104,$W398)="末",0,IF(DAY($X398)&lt;=INDEX('得意先'!$D$5:$D$104,$W398),0,1))+N(INDEX('得意先'!$E$5:$E$104,$W398))),MIN(INDEX('得意先'!$F$5:$F$104,$W398),DAY(DATE(YEAR($X398),(MONTH($X398)+IF(INDEX('得意先'!$D$5:$D$104,$W398)="末",0,IF(DAY($X398)&lt;=INDEX('得意先'!$D$5:$D$104,$W398),0,1))+N(INDEX('得意先'!$E$5:$E$104,$W398)))+1,0)))))))</f>
        <v/>
      </c>
      <c r="N398" s="26" t="n"/>
      <c r="O398" s="29">
        <f>IF($A398="","",IF(ISNUMBER($N398),$N398,$M398))</f>
        <v/>
      </c>
      <c r="P398" s="28">
        <f>IF($A398="","",SUMIF('入金消込'!$F$5:$F$1004,$A398,'入金消込'!$G$5:$G$1004))</f>
        <v/>
      </c>
      <c r="Q398" s="28">
        <f>IF($A398="","",SUMIF('入金消込'!$F$5:$F$1004,$A398,'入金消込'!$H$5:$H$1004)+SUMIF('入金消込'!$F$5:$F$1004,$A398,'入金消込'!$I$5:$I$1004))</f>
        <v/>
      </c>
      <c r="R398" s="28">
        <f>IF($A398="","",$L398-$P398-$Q398)</f>
        <v/>
      </c>
      <c r="S398" s="30">
        <f>IF($A398="","",IF($R398=0,IF($L398=0,"請求額0","回収済"),IF($L398&lt;0,IF($R398&lt;0,"差し引き待ち","差し引きすぎ"),IF($R398&lt;0,"入金が多い",IF($P398+$Q398=0,"未入金","一部入金")))))</f>
        <v/>
      </c>
      <c r="T398" s="31">
        <f>IF(OR($A398="",N($R398)&lt;=0,NOT(ISNUMBER($O398))),"",IF($O398&lt;'設定'!$B$7,'設定'!$B$7-$O398,""))</f>
        <v/>
      </c>
      <c r="U398" s="30">
        <f>IF(OR($A398="",N($R398)&lt;=0),"",IF(NOT(ISNUMBER($O398)),'設定'!$B$22,IF($O398&gt;='設定'!$B$7,'設定'!$B$17,IF('設定'!$B$7-$O398&lt;='設定'!$B$12,'設定'!$B$18,IF('設定'!$B$7-$O398&lt;='設定'!$B$13,'設定'!$B$19,IF('設定'!$B$7-$O398&lt;='設定'!$B$14,'設定'!$B$20,'設定'!$B$21))))))</f>
        <v/>
      </c>
      <c r="V398" s="56" t="n"/>
      <c r="W398" s="32">
        <f>IF($C398="","",IFERROR(MATCH($C398,'得意先'!$B$5:$B$104,0),"なし"))</f>
        <v/>
      </c>
      <c r="X398" s="33">
        <f>IF($A398="","",IF(ISNUMBER($E398),$E398,IF(ISNUMBER($B398),$B398,"")))</f>
        <v/>
      </c>
      <c r="Y398" s="34">
        <f>IF($T398="","",$O398+ROW()/1000000)</f>
        <v/>
      </c>
      <c r="Z398" s="35">
        <f>IF(OR($A398="",$C398="",$C398&lt;&gt;'売掛帳'!$B$3,NOT(ISNUMBER($X398))),"",IF(AND($X398&gt;='売掛帳'!$Q$3,$X398&lt;='売掛帳'!$Q$4),$X398+ROW()/10000000,""))</f>
        <v/>
      </c>
    </row>
    <row r="399" ht="18" customHeight="1">
      <c r="A399" s="18" t="n"/>
      <c r="B399" s="26" t="n"/>
      <c r="C399" s="18" t="n"/>
      <c r="D399" s="20">
        <f>IF($W399="","",IF($W399="なし","※得意先にないコード",INDEX('得意先'!$C$5:$C$104,$W399)&amp;""))</f>
        <v/>
      </c>
      <c r="E399" s="26" t="n"/>
      <c r="F399" s="19" t="n"/>
      <c r="G399" s="27" t="n"/>
      <c r="H399" s="27" t="n"/>
      <c r="I399" s="27" t="n"/>
      <c r="J399" s="28">
        <f>IF($A399="","",IF('設定'!$B$10="四捨五入",ROUND(IF('設定'!$B$9="税込",N($G399)*10/110,N($G399)*10/100),0),IF('設定'!$B$10="切り上げ",ROUNDUP(IF('設定'!$B$9="税込",N($G399)*10/110,N($G399)*10/100),0),ROUNDDOWN(IF('設定'!$B$9="税込",N($G399)*10/110,N($G399)*10/100),0))))</f>
        <v/>
      </c>
      <c r="K399" s="28">
        <f>IF($A399="","",IF('設定'!$B$10="四捨五入",ROUND(IF('設定'!$B$9="税込",N($H399)*8/108,N($H399)*8/100),0),IF('設定'!$B$10="切り上げ",ROUNDUP(IF('設定'!$B$9="税込",N($H399)*8/108,N($H399)*8/100),0),ROUNDDOWN(IF('設定'!$B$9="税込",N($H399)*8/108,N($H399)*8/100),0))))</f>
        <v/>
      </c>
      <c r="L399" s="28">
        <f>IF($A399="","",N($G399)+N($H399)+N($I399)+IF('設定'!$B$9="税込",0,$J399+$K399))</f>
        <v/>
      </c>
      <c r="M399" s="29">
        <f>IF(OR($A399="",NOT(ISNUMBER($W399)),NOT(ISNUMBER($X399))),"",IF(OR(INDEX('得意先'!$D$5:$D$104,$W399)="",INDEX('得意先'!$E$5:$E$104,$W399)="",INDEX('得意先'!$F$5:$F$104,$W399)=""),"",IF(INDEX('得意先'!$F$5:$F$104,$W399)="末",DATE(YEAR($X399),(MONTH($X399)+IF(INDEX('得意先'!$D$5:$D$104,$W399)="末",0,IF(DAY($X399)&lt;=INDEX('得意先'!$D$5:$D$104,$W399),0,1))+N(INDEX('得意先'!$E$5:$E$104,$W399)))+1,0),DATE(YEAR($X399),(MONTH($X399)+IF(INDEX('得意先'!$D$5:$D$104,$W399)="末",0,IF(DAY($X399)&lt;=INDEX('得意先'!$D$5:$D$104,$W399),0,1))+N(INDEX('得意先'!$E$5:$E$104,$W399))),MIN(INDEX('得意先'!$F$5:$F$104,$W399),DAY(DATE(YEAR($X399),(MONTH($X399)+IF(INDEX('得意先'!$D$5:$D$104,$W399)="末",0,IF(DAY($X399)&lt;=INDEX('得意先'!$D$5:$D$104,$W399),0,1))+N(INDEX('得意先'!$E$5:$E$104,$W399)))+1,0)))))))</f>
        <v/>
      </c>
      <c r="N399" s="26" t="n"/>
      <c r="O399" s="29">
        <f>IF($A399="","",IF(ISNUMBER($N399),$N399,$M399))</f>
        <v/>
      </c>
      <c r="P399" s="28">
        <f>IF($A399="","",SUMIF('入金消込'!$F$5:$F$1004,$A399,'入金消込'!$G$5:$G$1004))</f>
        <v/>
      </c>
      <c r="Q399" s="28">
        <f>IF($A399="","",SUMIF('入金消込'!$F$5:$F$1004,$A399,'入金消込'!$H$5:$H$1004)+SUMIF('入金消込'!$F$5:$F$1004,$A399,'入金消込'!$I$5:$I$1004))</f>
        <v/>
      </c>
      <c r="R399" s="28">
        <f>IF($A399="","",$L399-$P399-$Q399)</f>
        <v/>
      </c>
      <c r="S399" s="30">
        <f>IF($A399="","",IF($R399=0,IF($L399=0,"請求額0","回収済"),IF($L399&lt;0,IF($R399&lt;0,"差し引き待ち","差し引きすぎ"),IF($R399&lt;0,"入金が多い",IF($P399+$Q399=0,"未入金","一部入金")))))</f>
        <v/>
      </c>
      <c r="T399" s="31">
        <f>IF(OR($A399="",N($R399)&lt;=0,NOT(ISNUMBER($O399))),"",IF($O399&lt;'設定'!$B$7,'設定'!$B$7-$O399,""))</f>
        <v/>
      </c>
      <c r="U399" s="30">
        <f>IF(OR($A399="",N($R399)&lt;=0),"",IF(NOT(ISNUMBER($O399)),'設定'!$B$22,IF($O399&gt;='設定'!$B$7,'設定'!$B$17,IF('設定'!$B$7-$O399&lt;='設定'!$B$12,'設定'!$B$18,IF('設定'!$B$7-$O399&lt;='設定'!$B$13,'設定'!$B$19,IF('設定'!$B$7-$O399&lt;='設定'!$B$14,'設定'!$B$20,'設定'!$B$21))))))</f>
        <v/>
      </c>
      <c r="V399" s="56" t="n"/>
      <c r="W399" s="32">
        <f>IF($C399="","",IFERROR(MATCH($C399,'得意先'!$B$5:$B$104,0),"なし"))</f>
        <v/>
      </c>
      <c r="X399" s="33">
        <f>IF($A399="","",IF(ISNUMBER($E399),$E399,IF(ISNUMBER($B399),$B399,"")))</f>
        <v/>
      </c>
      <c r="Y399" s="34">
        <f>IF($T399="","",$O399+ROW()/1000000)</f>
        <v/>
      </c>
      <c r="Z399" s="35">
        <f>IF(OR($A399="",$C399="",$C399&lt;&gt;'売掛帳'!$B$3,NOT(ISNUMBER($X399))),"",IF(AND($X399&gt;='売掛帳'!$Q$3,$X399&lt;='売掛帳'!$Q$4),$X399+ROW()/10000000,""))</f>
        <v/>
      </c>
    </row>
    <row r="400" ht="18" customHeight="1">
      <c r="A400" s="18" t="n"/>
      <c r="B400" s="26" t="n"/>
      <c r="C400" s="18" t="n"/>
      <c r="D400" s="20">
        <f>IF($W400="","",IF($W400="なし","※得意先にないコード",INDEX('得意先'!$C$5:$C$104,$W400)&amp;""))</f>
        <v/>
      </c>
      <c r="E400" s="26" t="n"/>
      <c r="F400" s="19" t="n"/>
      <c r="G400" s="27" t="n"/>
      <c r="H400" s="27" t="n"/>
      <c r="I400" s="27" t="n"/>
      <c r="J400" s="28">
        <f>IF($A400="","",IF('設定'!$B$10="四捨五入",ROUND(IF('設定'!$B$9="税込",N($G400)*10/110,N($G400)*10/100),0),IF('設定'!$B$10="切り上げ",ROUNDUP(IF('設定'!$B$9="税込",N($G400)*10/110,N($G400)*10/100),0),ROUNDDOWN(IF('設定'!$B$9="税込",N($G400)*10/110,N($G400)*10/100),0))))</f>
        <v/>
      </c>
      <c r="K400" s="28">
        <f>IF($A400="","",IF('設定'!$B$10="四捨五入",ROUND(IF('設定'!$B$9="税込",N($H400)*8/108,N($H400)*8/100),0),IF('設定'!$B$10="切り上げ",ROUNDUP(IF('設定'!$B$9="税込",N($H400)*8/108,N($H400)*8/100),0),ROUNDDOWN(IF('設定'!$B$9="税込",N($H400)*8/108,N($H400)*8/100),0))))</f>
        <v/>
      </c>
      <c r="L400" s="28">
        <f>IF($A400="","",N($G400)+N($H400)+N($I400)+IF('設定'!$B$9="税込",0,$J400+$K400))</f>
        <v/>
      </c>
      <c r="M400" s="29">
        <f>IF(OR($A400="",NOT(ISNUMBER($W400)),NOT(ISNUMBER($X400))),"",IF(OR(INDEX('得意先'!$D$5:$D$104,$W400)="",INDEX('得意先'!$E$5:$E$104,$W400)="",INDEX('得意先'!$F$5:$F$104,$W400)=""),"",IF(INDEX('得意先'!$F$5:$F$104,$W400)="末",DATE(YEAR($X400),(MONTH($X400)+IF(INDEX('得意先'!$D$5:$D$104,$W400)="末",0,IF(DAY($X400)&lt;=INDEX('得意先'!$D$5:$D$104,$W400),0,1))+N(INDEX('得意先'!$E$5:$E$104,$W400)))+1,0),DATE(YEAR($X400),(MONTH($X400)+IF(INDEX('得意先'!$D$5:$D$104,$W400)="末",0,IF(DAY($X400)&lt;=INDEX('得意先'!$D$5:$D$104,$W400),0,1))+N(INDEX('得意先'!$E$5:$E$104,$W400))),MIN(INDEX('得意先'!$F$5:$F$104,$W400),DAY(DATE(YEAR($X400),(MONTH($X400)+IF(INDEX('得意先'!$D$5:$D$104,$W400)="末",0,IF(DAY($X400)&lt;=INDEX('得意先'!$D$5:$D$104,$W400),0,1))+N(INDEX('得意先'!$E$5:$E$104,$W400)))+1,0)))))))</f>
        <v/>
      </c>
      <c r="N400" s="26" t="n"/>
      <c r="O400" s="29">
        <f>IF($A400="","",IF(ISNUMBER($N400),$N400,$M400))</f>
        <v/>
      </c>
      <c r="P400" s="28">
        <f>IF($A400="","",SUMIF('入金消込'!$F$5:$F$1004,$A400,'入金消込'!$G$5:$G$1004))</f>
        <v/>
      </c>
      <c r="Q400" s="28">
        <f>IF($A400="","",SUMIF('入金消込'!$F$5:$F$1004,$A400,'入金消込'!$H$5:$H$1004)+SUMIF('入金消込'!$F$5:$F$1004,$A400,'入金消込'!$I$5:$I$1004))</f>
        <v/>
      </c>
      <c r="R400" s="28">
        <f>IF($A400="","",$L400-$P400-$Q400)</f>
        <v/>
      </c>
      <c r="S400" s="30">
        <f>IF($A400="","",IF($R400=0,IF($L400=0,"請求額0","回収済"),IF($L400&lt;0,IF($R400&lt;0,"差し引き待ち","差し引きすぎ"),IF($R400&lt;0,"入金が多い",IF($P400+$Q400=0,"未入金","一部入金")))))</f>
        <v/>
      </c>
      <c r="T400" s="31">
        <f>IF(OR($A400="",N($R400)&lt;=0,NOT(ISNUMBER($O400))),"",IF($O400&lt;'設定'!$B$7,'設定'!$B$7-$O400,""))</f>
        <v/>
      </c>
      <c r="U400" s="30">
        <f>IF(OR($A400="",N($R400)&lt;=0),"",IF(NOT(ISNUMBER($O400)),'設定'!$B$22,IF($O400&gt;='設定'!$B$7,'設定'!$B$17,IF('設定'!$B$7-$O400&lt;='設定'!$B$12,'設定'!$B$18,IF('設定'!$B$7-$O400&lt;='設定'!$B$13,'設定'!$B$19,IF('設定'!$B$7-$O400&lt;='設定'!$B$14,'設定'!$B$20,'設定'!$B$21))))))</f>
        <v/>
      </c>
      <c r="V400" s="56" t="n"/>
      <c r="W400" s="32">
        <f>IF($C400="","",IFERROR(MATCH($C400,'得意先'!$B$5:$B$104,0),"なし"))</f>
        <v/>
      </c>
      <c r="X400" s="33">
        <f>IF($A400="","",IF(ISNUMBER($E400),$E400,IF(ISNUMBER($B400),$B400,"")))</f>
        <v/>
      </c>
      <c r="Y400" s="34">
        <f>IF($T400="","",$O400+ROW()/1000000)</f>
        <v/>
      </c>
      <c r="Z400" s="35">
        <f>IF(OR($A400="",$C400="",$C400&lt;&gt;'売掛帳'!$B$3,NOT(ISNUMBER($X400))),"",IF(AND($X400&gt;='売掛帳'!$Q$3,$X400&lt;='売掛帳'!$Q$4),$X400+ROW()/10000000,""))</f>
        <v/>
      </c>
    </row>
    <row r="401" ht="18" customHeight="1">
      <c r="A401" s="18" t="n"/>
      <c r="B401" s="26" t="n"/>
      <c r="C401" s="18" t="n"/>
      <c r="D401" s="20">
        <f>IF($W401="","",IF($W401="なし","※得意先にないコード",INDEX('得意先'!$C$5:$C$104,$W401)&amp;""))</f>
        <v/>
      </c>
      <c r="E401" s="26" t="n"/>
      <c r="F401" s="19" t="n"/>
      <c r="G401" s="27" t="n"/>
      <c r="H401" s="27" t="n"/>
      <c r="I401" s="27" t="n"/>
      <c r="J401" s="28">
        <f>IF($A401="","",IF('設定'!$B$10="四捨五入",ROUND(IF('設定'!$B$9="税込",N($G401)*10/110,N($G401)*10/100),0),IF('設定'!$B$10="切り上げ",ROUNDUP(IF('設定'!$B$9="税込",N($G401)*10/110,N($G401)*10/100),0),ROUNDDOWN(IF('設定'!$B$9="税込",N($G401)*10/110,N($G401)*10/100),0))))</f>
        <v/>
      </c>
      <c r="K401" s="28">
        <f>IF($A401="","",IF('設定'!$B$10="四捨五入",ROUND(IF('設定'!$B$9="税込",N($H401)*8/108,N($H401)*8/100),0),IF('設定'!$B$10="切り上げ",ROUNDUP(IF('設定'!$B$9="税込",N($H401)*8/108,N($H401)*8/100),0),ROUNDDOWN(IF('設定'!$B$9="税込",N($H401)*8/108,N($H401)*8/100),0))))</f>
        <v/>
      </c>
      <c r="L401" s="28">
        <f>IF($A401="","",N($G401)+N($H401)+N($I401)+IF('設定'!$B$9="税込",0,$J401+$K401))</f>
        <v/>
      </c>
      <c r="M401" s="29">
        <f>IF(OR($A401="",NOT(ISNUMBER($W401)),NOT(ISNUMBER($X401))),"",IF(OR(INDEX('得意先'!$D$5:$D$104,$W401)="",INDEX('得意先'!$E$5:$E$104,$W401)="",INDEX('得意先'!$F$5:$F$104,$W401)=""),"",IF(INDEX('得意先'!$F$5:$F$104,$W401)="末",DATE(YEAR($X401),(MONTH($X401)+IF(INDEX('得意先'!$D$5:$D$104,$W401)="末",0,IF(DAY($X401)&lt;=INDEX('得意先'!$D$5:$D$104,$W401),0,1))+N(INDEX('得意先'!$E$5:$E$104,$W401)))+1,0),DATE(YEAR($X401),(MONTH($X401)+IF(INDEX('得意先'!$D$5:$D$104,$W401)="末",0,IF(DAY($X401)&lt;=INDEX('得意先'!$D$5:$D$104,$W401),0,1))+N(INDEX('得意先'!$E$5:$E$104,$W401))),MIN(INDEX('得意先'!$F$5:$F$104,$W401),DAY(DATE(YEAR($X401),(MONTH($X401)+IF(INDEX('得意先'!$D$5:$D$104,$W401)="末",0,IF(DAY($X401)&lt;=INDEX('得意先'!$D$5:$D$104,$W401),0,1))+N(INDEX('得意先'!$E$5:$E$104,$W401)))+1,0)))))))</f>
        <v/>
      </c>
      <c r="N401" s="26" t="n"/>
      <c r="O401" s="29">
        <f>IF($A401="","",IF(ISNUMBER($N401),$N401,$M401))</f>
        <v/>
      </c>
      <c r="P401" s="28">
        <f>IF($A401="","",SUMIF('入金消込'!$F$5:$F$1004,$A401,'入金消込'!$G$5:$G$1004))</f>
        <v/>
      </c>
      <c r="Q401" s="28">
        <f>IF($A401="","",SUMIF('入金消込'!$F$5:$F$1004,$A401,'入金消込'!$H$5:$H$1004)+SUMIF('入金消込'!$F$5:$F$1004,$A401,'入金消込'!$I$5:$I$1004))</f>
        <v/>
      </c>
      <c r="R401" s="28">
        <f>IF($A401="","",$L401-$P401-$Q401)</f>
        <v/>
      </c>
      <c r="S401" s="30">
        <f>IF($A401="","",IF($R401=0,IF($L401=0,"請求額0","回収済"),IF($L401&lt;0,IF($R401&lt;0,"差し引き待ち","差し引きすぎ"),IF($R401&lt;0,"入金が多い",IF($P401+$Q401=0,"未入金","一部入金")))))</f>
        <v/>
      </c>
      <c r="T401" s="31">
        <f>IF(OR($A401="",N($R401)&lt;=0,NOT(ISNUMBER($O401))),"",IF($O401&lt;'設定'!$B$7,'設定'!$B$7-$O401,""))</f>
        <v/>
      </c>
      <c r="U401" s="30">
        <f>IF(OR($A401="",N($R401)&lt;=0),"",IF(NOT(ISNUMBER($O401)),'設定'!$B$22,IF($O401&gt;='設定'!$B$7,'設定'!$B$17,IF('設定'!$B$7-$O401&lt;='設定'!$B$12,'設定'!$B$18,IF('設定'!$B$7-$O401&lt;='設定'!$B$13,'設定'!$B$19,IF('設定'!$B$7-$O401&lt;='設定'!$B$14,'設定'!$B$20,'設定'!$B$21))))))</f>
        <v/>
      </c>
      <c r="V401" s="56" t="n"/>
      <c r="W401" s="32">
        <f>IF($C401="","",IFERROR(MATCH($C401,'得意先'!$B$5:$B$104,0),"なし"))</f>
        <v/>
      </c>
      <c r="X401" s="33">
        <f>IF($A401="","",IF(ISNUMBER($E401),$E401,IF(ISNUMBER($B401),$B401,"")))</f>
        <v/>
      </c>
      <c r="Y401" s="34">
        <f>IF($T401="","",$O401+ROW()/1000000)</f>
        <v/>
      </c>
      <c r="Z401" s="35">
        <f>IF(OR($A401="",$C401="",$C401&lt;&gt;'売掛帳'!$B$3,NOT(ISNUMBER($X401))),"",IF(AND($X401&gt;='売掛帳'!$Q$3,$X401&lt;='売掛帳'!$Q$4),$X401+ROW()/10000000,""))</f>
        <v/>
      </c>
    </row>
    <row r="402" ht="18" customHeight="1">
      <c r="A402" s="18" t="n"/>
      <c r="B402" s="26" t="n"/>
      <c r="C402" s="18" t="n"/>
      <c r="D402" s="20">
        <f>IF($W402="","",IF($W402="なし","※得意先にないコード",INDEX('得意先'!$C$5:$C$104,$W402)&amp;""))</f>
        <v/>
      </c>
      <c r="E402" s="26" t="n"/>
      <c r="F402" s="19" t="n"/>
      <c r="G402" s="27" t="n"/>
      <c r="H402" s="27" t="n"/>
      <c r="I402" s="27" t="n"/>
      <c r="J402" s="28">
        <f>IF($A402="","",IF('設定'!$B$10="四捨五入",ROUND(IF('設定'!$B$9="税込",N($G402)*10/110,N($G402)*10/100),0),IF('設定'!$B$10="切り上げ",ROUNDUP(IF('設定'!$B$9="税込",N($G402)*10/110,N($G402)*10/100),0),ROUNDDOWN(IF('設定'!$B$9="税込",N($G402)*10/110,N($G402)*10/100),0))))</f>
        <v/>
      </c>
      <c r="K402" s="28">
        <f>IF($A402="","",IF('設定'!$B$10="四捨五入",ROUND(IF('設定'!$B$9="税込",N($H402)*8/108,N($H402)*8/100),0),IF('設定'!$B$10="切り上げ",ROUNDUP(IF('設定'!$B$9="税込",N($H402)*8/108,N($H402)*8/100),0),ROUNDDOWN(IF('設定'!$B$9="税込",N($H402)*8/108,N($H402)*8/100),0))))</f>
        <v/>
      </c>
      <c r="L402" s="28">
        <f>IF($A402="","",N($G402)+N($H402)+N($I402)+IF('設定'!$B$9="税込",0,$J402+$K402))</f>
        <v/>
      </c>
      <c r="M402" s="29">
        <f>IF(OR($A402="",NOT(ISNUMBER($W402)),NOT(ISNUMBER($X402))),"",IF(OR(INDEX('得意先'!$D$5:$D$104,$W402)="",INDEX('得意先'!$E$5:$E$104,$W402)="",INDEX('得意先'!$F$5:$F$104,$W402)=""),"",IF(INDEX('得意先'!$F$5:$F$104,$W402)="末",DATE(YEAR($X402),(MONTH($X402)+IF(INDEX('得意先'!$D$5:$D$104,$W402)="末",0,IF(DAY($X402)&lt;=INDEX('得意先'!$D$5:$D$104,$W402),0,1))+N(INDEX('得意先'!$E$5:$E$104,$W402)))+1,0),DATE(YEAR($X402),(MONTH($X402)+IF(INDEX('得意先'!$D$5:$D$104,$W402)="末",0,IF(DAY($X402)&lt;=INDEX('得意先'!$D$5:$D$104,$W402),0,1))+N(INDEX('得意先'!$E$5:$E$104,$W402))),MIN(INDEX('得意先'!$F$5:$F$104,$W402),DAY(DATE(YEAR($X402),(MONTH($X402)+IF(INDEX('得意先'!$D$5:$D$104,$W402)="末",0,IF(DAY($X402)&lt;=INDEX('得意先'!$D$5:$D$104,$W402),0,1))+N(INDEX('得意先'!$E$5:$E$104,$W402)))+1,0)))))))</f>
        <v/>
      </c>
      <c r="N402" s="26" t="n"/>
      <c r="O402" s="29">
        <f>IF($A402="","",IF(ISNUMBER($N402),$N402,$M402))</f>
        <v/>
      </c>
      <c r="P402" s="28">
        <f>IF($A402="","",SUMIF('入金消込'!$F$5:$F$1004,$A402,'入金消込'!$G$5:$G$1004))</f>
        <v/>
      </c>
      <c r="Q402" s="28">
        <f>IF($A402="","",SUMIF('入金消込'!$F$5:$F$1004,$A402,'入金消込'!$H$5:$H$1004)+SUMIF('入金消込'!$F$5:$F$1004,$A402,'入金消込'!$I$5:$I$1004))</f>
        <v/>
      </c>
      <c r="R402" s="28">
        <f>IF($A402="","",$L402-$P402-$Q402)</f>
        <v/>
      </c>
      <c r="S402" s="30">
        <f>IF($A402="","",IF($R402=0,IF($L402=0,"請求額0","回収済"),IF($L402&lt;0,IF($R402&lt;0,"差し引き待ち","差し引きすぎ"),IF($R402&lt;0,"入金が多い",IF($P402+$Q402=0,"未入金","一部入金")))))</f>
        <v/>
      </c>
      <c r="T402" s="31">
        <f>IF(OR($A402="",N($R402)&lt;=0,NOT(ISNUMBER($O402))),"",IF($O402&lt;'設定'!$B$7,'設定'!$B$7-$O402,""))</f>
        <v/>
      </c>
      <c r="U402" s="30">
        <f>IF(OR($A402="",N($R402)&lt;=0),"",IF(NOT(ISNUMBER($O402)),'設定'!$B$22,IF($O402&gt;='設定'!$B$7,'設定'!$B$17,IF('設定'!$B$7-$O402&lt;='設定'!$B$12,'設定'!$B$18,IF('設定'!$B$7-$O402&lt;='設定'!$B$13,'設定'!$B$19,IF('設定'!$B$7-$O402&lt;='設定'!$B$14,'設定'!$B$20,'設定'!$B$21))))))</f>
        <v/>
      </c>
      <c r="V402" s="56" t="n"/>
      <c r="W402" s="32">
        <f>IF($C402="","",IFERROR(MATCH($C402,'得意先'!$B$5:$B$104,0),"なし"))</f>
        <v/>
      </c>
      <c r="X402" s="33">
        <f>IF($A402="","",IF(ISNUMBER($E402),$E402,IF(ISNUMBER($B402),$B402,"")))</f>
        <v/>
      </c>
      <c r="Y402" s="34">
        <f>IF($T402="","",$O402+ROW()/1000000)</f>
        <v/>
      </c>
      <c r="Z402" s="35">
        <f>IF(OR($A402="",$C402="",$C402&lt;&gt;'売掛帳'!$B$3,NOT(ISNUMBER($X402))),"",IF(AND($X402&gt;='売掛帳'!$Q$3,$X402&lt;='売掛帳'!$Q$4),$X402+ROW()/10000000,""))</f>
        <v/>
      </c>
    </row>
    <row r="403" ht="18" customHeight="1">
      <c r="A403" s="18" t="n"/>
      <c r="B403" s="26" t="n"/>
      <c r="C403" s="18" t="n"/>
      <c r="D403" s="20">
        <f>IF($W403="","",IF($W403="なし","※得意先にないコード",INDEX('得意先'!$C$5:$C$104,$W403)&amp;""))</f>
        <v/>
      </c>
      <c r="E403" s="26" t="n"/>
      <c r="F403" s="19" t="n"/>
      <c r="G403" s="27" t="n"/>
      <c r="H403" s="27" t="n"/>
      <c r="I403" s="27" t="n"/>
      <c r="J403" s="28">
        <f>IF($A403="","",IF('設定'!$B$10="四捨五入",ROUND(IF('設定'!$B$9="税込",N($G403)*10/110,N($G403)*10/100),0),IF('設定'!$B$10="切り上げ",ROUNDUP(IF('設定'!$B$9="税込",N($G403)*10/110,N($G403)*10/100),0),ROUNDDOWN(IF('設定'!$B$9="税込",N($G403)*10/110,N($G403)*10/100),0))))</f>
        <v/>
      </c>
      <c r="K403" s="28">
        <f>IF($A403="","",IF('設定'!$B$10="四捨五入",ROUND(IF('設定'!$B$9="税込",N($H403)*8/108,N($H403)*8/100),0),IF('設定'!$B$10="切り上げ",ROUNDUP(IF('設定'!$B$9="税込",N($H403)*8/108,N($H403)*8/100),0),ROUNDDOWN(IF('設定'!$B$9="税込",N($H403)*8/108,N($H403)*8/100),0))))</f>
        <v/>
      </c>
      <c r="L403" s="28">
        <f>IF($A403="","",N($G403)+N($H403)+N($I403)+IF('設定'!$B$9="税込",0,$J403+$K403))</f>
        <v/>
      </c>
      <c r="M403" s="29">
        <f>IF(OR($A403="",NOT(ISNUMBER($W403)),NOT(ISNUMBER($X403))),"",IF(OR(INDEX('得意先'!$D$5:$D$104,$W403)="",INDEX('得意先'!$E$5:$E$104,$W403)="",INDEX('得意先'!$F$5:$F$104,$W403)=""),"",IF(INDEX('得意先'!$F$5:$F$104,$W403)="末",DATE(YEAR($X403),(MONTH($X403)+IF(INDEX('得意先'!$D$5:$D$104,$W403)="末",0,IF(DAY($X403)&lt;=INDEX('得意先'!$D$5:$D$104,$W403),0,1))+N(INDEX('得意先'!$E$5:$E$104,$W403)))+1,0),DATE(YEAR($X403),(MONTH($X403)+IF(INDEX('得意先'!$D$5:$D$104,$W403)="末",0,IF(DAY($X403)&lt;=INDEX('得意先'!$D$5:$D$104,$W403),0,1))+N(INDEX('得意先'!$E$5:$E$104,$W403))),MIN(INDEX('得意先'!$F$5:$F$104,$W403),DAY(DATE(YEAR($X403),(MONTH($X403)+IF(INDEX('得意先'!$D$5:$D$104,$W403)="末",0,IF(DAY($X403)&lt;=INDEX('得意先'!$D$5:$D$104,$W403),0,1))+N(INDEX('得意先'!$E$5:$E$104,$W403)))+1,0)))))))</f>
        <v/>
      </c>
      <c r="N403" s="26" t="n"/>
      <c r="O403" s="29">
        <f>IF($A403="","",IF(ISNUMBER($N403),$N403,$M403))</f>
        <v/>
      </c>
      <c r="P403" s="28">
        <f>IF($A403="","",SUMIF('入金消込'!$F$5:$F$1004,$A403,'入金消込'!$G$5:$G$1004))</f>
        <v/>
      </c>
      <c r="Q403" s="28">
        <f>IF($A403="","",SUMIF('入金消込'!$F$5:$F$1004,$A403,'入金消込'!$H$5:$H$1004)+SUMIF('入金消込'!$F$5:$F$1004,$A403,'入金消込'!$I$5:$I$1004))</f>
        <v/>
      </c>
      <c r="R403" s="28">
        <f>IF($A403="","",$L403-$P403-$Q403)</f>
        <v/>
      </c>
      <c r="S403" s="30">
        <f>IF($A403="","",IF($R403=0,IF($L403=0,"請求額0","回収済"),IF($L403&lt;0,IF($R403&lt;0,"差し引き待ち","差し引きすぎ"),IF($R403&lt;0,"入金が多い",IF($P403+$Q403=0,"未入金","一部入金")))))</f>
        <v/>
      </c>
      <c r="T403" s="31">
        <f>IF(OR($A403="",N($R403)&lt;=0,NOT(ISNUMBER($O403))),"",IF($O403&lt;'設定'!$B$7,'設定'!$B$7-$O403,""))</f>
        <v/>
      </c>
      <c r="U403" s="30">
        <f>IF(OR($A403="",N($R403)&lt;=0),"",IF(NOT(ISNUMBER($O403)),'設定'!$B$22,IF($O403&gt;='設定'!$B$7,'設定'!$B$17,IF('設定'!$B$7-$O403&lt;='設定'!$B$12,'設定'!$B$18,IF('設定'!$B$7-$O403&lt;='設定'!$B$13,'設定'!$B$19,IF('設定'!$B$7-$O403&lt;='設定'!$B$14,'設定'!$B$20,'設定'!$B$21))))))</f>
        <v/>
      </c>
      <c r="V403" s="56" t="n"/>
      <c r="W403" s="32">
        <f>IF($C403="","",IFERROR(MATCH($C403,'得意先'!$B$5:$B$104,0),"なし"))</f>
        <v/>
      </c>
      <c r="X403" s="33">
        <f>IF($A403="","",IF(ISNUMBER($E403),$E403,IF(ISNUMBER($B403),$B403,"")))</f>
        <v/>
      </c>
      <c r="Y403" s="34">
        <f>IF($T403="","",$O403+ROW()/1000000)</f>
        <v/>
      </c>
      <c r="Z403" s="35">
        <f>IF(OR($A403="",$C403="",$C403&lt;&gt;'売掛帳'!$B$3,NOT(ISNUMBER($X403))),"",IF(AND($X403&gt;='売掛帳'!$Q$3,$X403&lt;='売掛帳'!$Q$4),$X403+ROW()/10000000,""))</f>
        <v/>
      </c>
    </row>
    <row r="404" ht="18" customHeight="1">
      <c r="A404" s="18" t="n"/>
      <c r="B404" s="26" t="n"/>
      <c r="C404" s="18" t="n"/>
      <c r="D404" s="20">
        <f>IF($W404="","",IF($W404="なし","※得意先にないコード",INDEX('得意先'!$C$5:$C$104,$W404)&amp;""))</f>
        <v/>
      </c>
      <c r="E404" s="26" t="n"/>
      <c r="F404" s="19" t="n"/>
      <c r="G404" s="27" t="n"/>
      <c r="H404" s="27" t="n"/>
      <c r="I404" s="27" t="n"/>
      <c r="J404" s="28">
        <f>IF($A404="","",IF('設定'!$B$10="四捨五入",ROUND(IF('設定'!$B$9="税込",N($G404)*10/110,N($G404)*10/100),0),IF('設定'!$B$10="切り上げ",ROUNDUP(IF('設定'!$B$9="税込",N($G404)*10/110,N($G404)*10/100),0),ROUNDDOWN(IF('設定'!$B$9="税込",N($G404)*10/110,N($G404)*10/100),0))))</f>
        <v/>
      </c>
      <c r="K404" s="28">
        <f>IF($A404="","",IF('設定'!$B$10="四捨五入",ROUND(IF('設定'!$B$9="税込",N($H404)*8/108,N($H404)*8/100),0),IF('設定'!$B$10="切り上げ",ROUNDUP(IF('設定'!$B$9="税込",N($H404)*8/108,N($H404)*8/100),0),ROUNDDOWN(IF('設定'!$B$9="税込",N($H404)*8/108,N($H404)*8/100),0))))</f>
        <v/>
      </c>
      <c r="L404" s="28">
        <f>IF($A404="","",N($G404)+N($H404)+N($I404)+IF('設定'!$B$9="税込",0,$J404+$K404))</f>
        <v/>
      </c>
      <c r="M404" s="29">
        <f>IF(OR($A404="",NOT(ISNUMBER($W404)),NOT(ISNUMBER($X404))),"",IF(OR(INDEX('得意先'!$D$5:$D$104,$W404)="",INDEX('得意先'!$E$5:$E$104,$W404)="",INDEX('得意先'!$F$5:$F$104,$W404)=""),"",IF(INDEX('得意先'!$F$5:$F$104,$W404)="末",DATE(YEAR($X404),(MONTH($X404)+IF(INDEX('得意先'!$D$5:$D$104,$W404)="末",0,IF(DAY($X404)&lt;=INDEX('得意先'!$D$5:$D$104,$W404),0,1))+N(INDEX('得意先'!$E$5:$E$104,$W404)))+1,0),DATE(YEAR($X404),(MONTH($X404)+IF(INDEX('得意先'!$D$5:$D$104,$W404)="末",0,IF(DAY($X404)&lt;=INDEX('得意先'!$D$5:$D$104,$W404),0,1))+N(INDEX('得意先'!$E$5:$E$104,$W404))),MIN(INDEX('得意先'!$F$5:$F$104,$W404),DAY(DATE(YEAR($X404),(MONTH($X404)+IF(INDEX('得意先'!$D$5:$D$104,$W404)="末",0,IF(DAY($X404)&lt;=INDEX('得意先'!$D$5:$D$104,$W404),0,1))+N(INDEX('得意先'!$E$5:$E$104,$W404)))+1,0)))))))</f>
        <v/>
      </c>
      <c r="N404" s="26" t="n"/>
      <c r="O404" s="29">
        <f>IF($A404="","",IF(ISNUMBER($N404),$N404,$M404))</f>
        <v/>
      </c>
      <c r="P404" s="28">
        <f>IF($A404="","",SUMIF('入金消込'!$F$5:$F$1004,$A404,'入金消込'!$G$5:$G$1004))</f>
        <v/>
      </c>
      <c r="Q404" s="28">
        <f>IF($A404="","",SUMIF('入金消込'!$F$5:$F$1004,$A404,'入金消込'!$H$5:$H$1004)+SUMIF('入金消込'!$F$5:$F$1004,$A404,'入金消込'!$I$5:$I$1004))</f>
        <v/>
      </c>
      <c r="R404" s="28">
        <f>IF($A404="","",$L404-$P404-$Q404)</f>
        <v/>
      </c>
      <c r="S404" s="30">
        <f>IF($A404="","",IF($R404=0,IF($L404=0,"請求額0","回収済"),IF($L404&lt;0,IF($R404&lt;0,"差し引き待ち","差し引きすぎ"),IF($R404&lt;0,"入金が多い",IF($P404+$Q404=0,"未入金","一部入金")))))</f>
        <v/>
      </c>
      <c r="T404" s="31">
        <f>IF(OR($A404="",N($R404)&lt;=0,NOT(ISNUMBER($O404))),"",IF($O404&lt;'設定'!$B$7,'設定'!$B$7-$O404,""))</f>
        <v/>
      </c>
      <c r="U404" s="30">
        <f>IF(OR($A404="",N($R404)&lt;=0),"",IF(NOT(ISNUMBER($O404)),'設定'!$B$22,IF($O404&gt;='設定'!$B$7,'設定'!$B$17,IF('設定'!$B$7-$O404&lt;='設定'!$B$12,'設定'!$B$18,IF('設定'!$B$7-$O404&lt;='設定'!$B$13,'設定'!$B$19,IF('設定'!$B$7-$O404&lt;='設定'!$B$14,'設定'!$B$20,'設定'!$B$21))))))</f>
        <v/>
      </c>
      <c r="V404" s="56" t="n"/>
      <c r="W404" s="32">
        <f>IF($C404="","",IFERROR(MATCH($C404,'得意先'!$B$5:$B$104,0),"なし"))</f>
        <v/>
      </c>
      <c r="X404" s="33">
        <f>IF($A404="","",IF(ISNUMBER($E404),$E404,IF(ISNUMBER($B404),$B404,"")))</f>
        <v/>
      </c>
      <c r="Y404" s="34">
        <f>IF($T404="","",$O404+ROW()/1000000)</f>
        <v/>
      </c>
      <c r="Z404" s="35">
        <f>IF(OR($A404="",$C404="",$C404&lt;&gt;'売掛帳'!$B$3,NOT(ISNUMBER($X404))),"",IF(AND($X404&gt;='売掛帳'!$Q$3,$X404&lt;='売掛帳'!$Q$4),$X404+ROW()/10000000,""))</f>
        <v/>
      </c>
    </row>
    <row r="405" ht="18" customHeight="1">
      <c r="A405" s="18" t="n"/>
      <c r="B405" s="26" t="n"/>
      <c r="C405" s="18" t="n"/>
      <c r="D405" s="20">
        <f>IF($W405="","",IF($W405="なし","※得意先にないコード",INDEX('得意先'!$C$5:$C$104,$W405)&amp;""))</f>
        <v/>
      </c>
      <c r="E405" s="26" t="n"/>
      <c r="F405" s="19" t="n"/>
      <c r="G405" s="27" t="n"/>
      <c r="H405" s="27" t="n"/>
      <c r="I405" s="27" t="n"/>
      <c r="J405" s="28">
        <f>IF($A405="","",IF('設定'!$B$10="四捨五入",ROUND(IF('設定'!$B$9="税込",N($G405)*10/110,N($G405)*10/100),0),IF('設定'!$B$10="切り上げ",ROUNDUP(IF('設定'!$B$9="税込",N($G405)*10/110,N($G405)*10/100),0),ROUNDDOWN(IF('設定'!$B$9="税込",N($G405)*10/110,N($G405)*10/100),0))))</f>
        <v/>
      </c>
      <c r="K405" s="28">
        <f>IF($A405="","",IF('設定'!$B$10="四捨五入",ROUND(IF('設定'!$B$9="税込",N($H405)*8/108,N($H405)*8/100),0),IF('設定'!$B$10="切り上げ",ROUNDUP(IF('設定'!$B$9="税込",N($H405)*8/108,N($H405)*8/100),0),ROUNDDOWN(IF('設定'!$B$9="税込",N($H405)*8/108,N($H405)*8/100),0))))</f>
        <v/>
      </c>
      <c r="L405" s="28">
        <f>IF($A405="","",N($G405)+N($H405)+N($I405)+IF('設定'!$B$9="税込",0,$J405+$K405))</f>
        <v/>
      </c>
      <c r="M405" s="29">
        <f>IF(OR($A405="",NOT(ISNUMBER($W405)),NOT(ISNUMBER($X405))),"",IF(OR(INDEX('得意先'!$D$5:$D$104,$W405)="",INDEX('得意先'!$E$5:$E$104,$W405)="",INDEX('得意先'!$F$5:$F$104,$W405)=""),"",IF(INDEX('得意先'!$F$5:$F$104,$W405)="末",DATE(YEAR($X405),(MONTH($X405)+IF(INDEX('得意先'!$D$5:$D$104,$W405)="末",0,IF(DAY($X405)&lt;=INDEX('得意先'!$D$5:$D$104,$W405),0,1))+N(INDEX('得意先'!$E$5:$E$104,$W405)))+1,0),DATE(YEAR($X405),(MONTH($X405)+IF(INDEX('得意先'!$D$5:$D$104,$W405)="末",0,IF(DAY($X405)&lt;=INDEX('得意先'!$D$5:$D$104,$W405),0,1))+N(INDEX('得意先'!$E$5:$E$104,$W405))),MIN(INDEX('得意先'!$F$5:$F$104,$W405),DAY(DATE(YEAR($X405),(MONTH($X405)+IF(INDEX('得意先'!$D$5:$D$104,$W405)="末",0,IF(DAY($X405)&lt;=INDEX('得意先'!$D$5:$D$104,$W405),0,1))+N(INDEX('得意先'!$E$5:$E$104,$W405)))+1,0)))))))</f>
        <v/>
      </c>
      <c r="N405" s="26" t="n"/>
      <c r="O405" s="29">
        <f>IF($A405="","",IF(ISNUMBER($N405),$N405,$M405))</f>
        <v/>
      </c>
      <c r="P405" s="28">
        <f>IF($A405="","",SUMIF('入金消込'!$F$5:$F$1004,$A405,'入金消込'!$G$5:$G$1004))</f>
        <v/>
      </c>
      <c r="Q405" s="28">
        <f>IF($A405="","",SUMIF('入金消込'!$F$5:$F$1004,$A405,'入金消込'!$H$5:$H$1004)+SUMIF('入金消込'!$F$5:$F$1004,$A405,'入金消込'!$I$5:$I$1004))</f>
        <v/>
      </c>
      <c r="R405" s="28">
        <f>IF($A405="","",$L405-$P405-$Q405)</f>
        <v/>
      </c>
      <c r="S405" s="30">
        <f>IF($A405="","",IF($R405=0,IF($L405=0,"請求額0","回収済"),IF($L405&lt;0,IF($R405&lt;0,"差し引き待ち","差し引きすぎ"),IF($R405&lt;0,"入金が多い",IF($P405+$Q405=0,"未入金","一部入金")))))</f>
        <v/>
      </c>
      <c r="T405" s="31">
        <f>IF(OR($A405="",N($R405)&lt;=0,NOT(ISNUMBER($O405))),"",IF($O405&lt;'設定'!$B$7,'設定'!$B$7-$O405,""))</f>
        <v/>
      </c>
      <c r="U405" s="30">
        <f>IF(OR($A405="",N($R405)&lt;=0),"",IF(NOT(ISNUMBER($O405)),'設定'!$B$22,IF($O405&gt;='設定'!$B$7,'設定'!$B$17,IF('設定'!$B$7-$O405&lt;='設定'!$B$12,'設定'!$B$18,IF('設定'!$B$7-$O405&lt;='設定'!$B$13,'設定'!$B$19,IF('設定'!$B$7-$O405&lt;='設定'!$B$14,'設定'!$B$20,'設定'!$B$21))))))</f>
        <v/>
      </c>
      <c r="V405" s="56" t="n"/>
      <c r="W405" s="32">
        <f>IF($C405="","",IFERROR(MATCH($C405,'得意先'!$B$5:$B$104,0),"なし"))</f>
        <v/>
      </c>
      <c r="X405" s="33">
        <f>IF($A405="","",IF(ISNUMBER($E405),$E405,IF(ISNUMBER($B405),$B405,"")))</f>
        <v/>
      </c>
      <c r="Y405" s="34">
        <f>IF($T405="","",$O405+ROW()/1000000)</f>
        <v/>
      </c>
      <c r="Z405" s="35">
        <f>IF(OR($A405="",$C405="",$C405&lt;&gt;'売掛帳'!$B$3,NOT(ISNUMBER($X405))),"",IF(AND($X405&gt;='売掛帳'!$Q$3,$X405&lt;='売掛帳'!$Q$4),$X405+ROW()/10000000,""))</f>
        <v/>
      </c>
    </row>
    <row r="406" ht="18" customHeight="1">
      <c r="A406" s="18" t="n"/>
      <c r="B406" s="26" t="n"/>
      <c r="C406" s="18" t="n"/>
      <c r="D406" s="20">
        <f>IF($W406="","",IF($W406="なし","※得意先にないコード",INDEX('得意先'!$C$5:$C$104,$W406)&amp;""))</f>
        <v/>
      </c>
      <c r="E406" s="26" t="n"/>
      <c r="F406" s="19" t="n"/>
      <c r="G406" s="27" t="n"/>
      <c r="H406" s="27" t="n"/>
      <c r="I406" s="27" t="n"/>
      <c r="J406" s="28">
        <f>IF($A406="","",IF('設定'!$B$10="四捨五入",ROUND(IF('設定'!$B$9="税込",N($G406)*10/110,N($G406)*10/100),0),IF('設定'!$B$10="切り上げ",ROUNDUP(IF('設定'!$B$9="税込",N($G406)*10/110,N($G406)*10/100),0),ROUNDDOWN(IF('設定'!$B$9="税込",N($G406)*10/110,N($G406)*10/100),0))))</f>
        <v/>
      </c>
      <c r="K406" s="28">
        <f>IF($A406="","",IF('設定'!$B$10="四捨五入",ROUND(IF('設定'!$B$9="税込",N($H406)*8/108,N($H406)*8/100),0),IF('設定'!$B$10="切り上げ",ROUNDUP(IF('設定'!$B$9="税込",N($H406)*8/108,N($H406)*8/100),0),ROUNDDOWN(IF('設定'!$B$9="税込",N($H406)*8/108,N($H406)*8/100),0))))</f>
        <v/>
      </c>
      <c r="L406" s="28">
        <f>IF($A406="","",N($G406)+N($H406)+N($I406)+IF('設定'!$B$9="税込",0,$J406+$K406))</f>
        <v/>
      </c>
      <c r="M406" s="29">
        <f>IF(OR($A406="",NOT(ISNUMBER($W406)),NOT(ISNUMBER($X406))),"",IF(OR(INDEX('得意先'!$D$5:$D$104,$W406)="",INDEX('得意先'!$E$5:$E$104,$W406)="",INDEX('得意先'!$F$5:$F$104,$W406)=""),"",IF(INDEX('得意先'!$F$5:$F$104,$W406)="末",DATE(YEAR($X406),(MONTH($X406)+IF(INDEX('得意先'!$D$5:$D$104,$W406)="末",0,IF(DAY($X406)&lt;=INDEX('得意先'!$D$5:$D$104,$W406),0,1))+N(INDEX('得意先'!$E$5:$E$104,$W406)))+1,0),DATE(YEAR($X406),(MONTH($X406)+IF(INDEX('得意先'!$D$5:$D$104,$W406)="末",0,IF(DAY($X406)&lt;=INDEX('得意先'!$D$5:$D$104,$W406),0,1))+N(INDEX('得意先'!$E$5:$E$104,$W406))),MIN(INDEX('得意先'!$F$5:$F$104,$W406),DAY(DATE(YEAR($X406),(MONTH($X406)+IF(INDEX('得意先'!$D$5:$D$104,$W406)="末",0,IF(DAY($X406)&lt;=INDEX('得意先'!$D$5:$D$104,$W406),0,1))+N(INDEX('得意先'!$E$5:$E$104,$W406)))+1,0)))))))</f>
        <v/>
      </c>
      <c r="N406" s="26" t="n"/>
      <c r="O406" s="29">
        <f>IF($A406="","",IF(ISNUMBER($N406),$N406,$M406))</f>
        <v/>
      </c>
      <c r="P406" s="28">
        <f>IF($A406="","",SUMIF('入金消込'!$F$5:$F$1004,$A406,'入金消込'!$G$5:$G$1004))</f>
        <v/>
      </c>
      <c r="Q406" s="28">
        <f>IF($A406="","",SUMIF('入金消込'!$F$5:$F$1004,$A406,'入金消込'!$H$5:$H$1004)+SUMIF('入金消込'!$F$5:$F$1004,$A406,'入金消込'!$I$5:$I$1004))</f>
        <v/>
      </c>
      <c r="R406" s="28">
        <f>IF($A406="","",$L406-$P406-$Q406)</f>
        <v/>
      </c>
      <c r="S406" s="30">
        <f>IF($A406="","",IF($R406=0,IF($L406=0,"請求額0","回収済"),IF($L406&lt;0,IF($R406&lt;0,"差し引き待ち","差し引きすぎ"),IF($R406&lt;0,"入金が多い",IF($P406+$Q406=0,"未入金","一部入金")))))</f>
        <v/>
      </c>
      <c r="T406" s="31">
        <f>IF(OR($A406="",N($R406)&lt;=0,NOT(ISNUMBER($O406))),"",IF($O406&lt;'設定'!$B$7,'設定'!$B$7-$O406,""))</f>
        <v/>
      </c>
      <c r="U406" s="30">
        <f>IF(OR($A406="",N($R406)&lt;=0),"",IF(NOT(ISNUMBER($O406)),'設定'!$B$22,IF($O406&gt;='設定'!$B$7,'設定'!$B$17,IF('設定'!$B$7-$O406&lt;='設定'!$B$12,'設定'!$B$18,IF('設定'!$B$7-$O406&lt;='設定'!$B$13,'設定'!$B$19,IF('設定'!$B$7-$O406&lt;='設定'!$B$14,'設定'!$B$20,'設定'!$B$21))))))</f>
        <v/>
      </c>
      <c r="V406" s="56" t="n"/>
      <c r="W406" s="32">
        <f>IF($C406="","",IFERROR(MATCH($C406,'得意先'!$B$5:$B$104,0),"なし"))</f>
        <v/>
      </c>
      <c r="X406" s="33">
        <f>IF($A406="","",IF(ISNUMBER($E406),$E406,IF(ISNUMBER($B406),$B406,"")))</f>
        <v/>
      </c>
      <c r="Y406" s="34">
        <f>IF($T406="","",$O406+ROW()/1000000)</f>
        <v/>
      </c>
      <c r="Z406" s="35">
        <f>IF(OR($A406="",$C406="",$C406&lt;&gt;'売掛帳'!$B$3,NOT(ISNUMBER($X406))),"",IF(AND($X406&gt;='売掛帳'!$Q$3,$X406&lt;='売掛帳'!$Q$4),$X406+ROW()/10000000,""))</f>
        <v/>
      </c>
    </row>
    <row r="407" ht="18" customHeight="1">
      <c r="A407" s="18" t="n"/>
      <c r="B407" s="26" t="n"/>
      <c r="C407" s="18" t="n"/>
      <c r="D407" s="20">
        <f>IF($W407="","",IF($W407="なし","※得意先にないコード",INDEX('得意先'!$C$5:$C$104,$W407)&amp;""))</f>
        <v/>
      </c>
      <c r="E407" s="26" t="n"/>
      <c r="F407" s="19" t="n"/>
      <c r="G407" s="27" t="n"/>
      <c r="H407" s="27" t="n"/>
      <c r="I407" s="27" t="n"/>
      <c r="J407" s="28">
        <f>IF($A407="","",IF('設定'!$B$10="四捨五入",ROUND(IF('設定'!$B$9="税込",N($G407)*10/110,N($G407)*10/100),0),IF('設定'!$B$10="切り上げ",ROUNDUP(IF('設定'!$B$9="税込",N($G407)*10/110,N($G407)*10/100),0),ROUNDDOWN(IF('設定'!$B$9="税込",N($G407)*10/110,N($G407)*10/100),0))))</f>
        <v/>
      </c>
      <c r="K407" s="28">
        <f>IF($A407="","",IF('設定'!$B$10="四捨五入",ROUND(IF('設定'!$B$9="税込",N($H407)*8/108,N($H407)*8/100),0),IF('設定'!$B$10="切り上げ",ROUNDUP(IF('設定'!$B$9="税込",N($H407)*8/108,N($H407)*8/100),0),ROUNDDOWN(IF('設定'!$B$9="税込",N($H407)*8/108,N($H407)*8/100),0))))</f>
        <v/>
      </c>
      <c r="L407" s="28">
        <f>IF($A407="","",N($G407)+N($H407)+N($I407)+IF('設定'!$B$9="税込",0,$J407+$K407))</f>
        <v/>
      </c>
      <c r="M407" s="29">
        <f>IF(OR($A407="",NOT(ISNUMBER($W407)),NOT(ISNUMBER($X407))),"",IF(OR(INDEX('得意先'!$D$5:$D$104,$W407)="",INDEX('得意先'!$E$5:$E$104,$W407)="",INDEX('得意先'!$F$5:$F$104,$W407)=""),"",IF(INDEX('得意先'!$F$5:$F$104,$W407)="末",DATE(YEAR($X407),(MONTH($X407)+IF(INDEX('得意先'!$D$5:$D$104,$W407)="末",0,IF(DAY($X407)&lt;=INDEX('得意先'!$D$5:$D$104,$W407),0,1))+N(INDEX('得意先'!$E$5:$E$104,$W407)))+1,0),DATE(YEAR($X407),(MONTH($X407)+IF(INDEX('得意先'!$D$5:$D$104,$W407)="末",0,IF(DAY($X407)&lt;=INDEX('得意先'!$D$5:$D$104,$W407),0,1))+N(INDEX('得意先'!$E$5:$E$104,$W407))),MIN(INDEX('得意先'!$F$5:$F$104,$W407),DAY(DATE(YEAR($X407),(MONTH($X407)+IF(INDEX('得意先'!$D$5:$D$104,$W407)="末",0,IF(DAY($X407)&lt;=INDEX('得意先'!$D$5:$D$104,$W407),0,1))+N(INDEX('得意先'!$E$5:$E$104,$W407)))+1,0)))))))</f>
        <v/>
      </c>
      <c r="N407" s="26" t="n"/>
      <c r="O407" s="29">
        <f>IF($A407="","",IF(ISNUMBER($N407),$N407,$M407))</f>
        <v/>
      </c>
      <c r="P407" s="28">
        <f>IF($A407="","",SUMIF('入金消込'!$F$5:$F$1004,$A407,'入金消込'!$G$5:$G$1004))</f>
        <v/>
      </c>
      <c r="Q407" s="28">
        <f>IF($A407="","",SUMIF('入金消込'!$F$5:$F$1004,$A407,'入金消込'!$H$5:$H$1004)+SUMIF('入金消込'!$F$5:$F$1004,$A407,'入金消込'!$I$5:$I$1004))</f>
        <v/>
      </c>
      <c r="R407" s="28">
        <f>IF($A407="","",$L407-$P407-$Q407)</f>
        <v/>
      </c>
      <c r="S407" s="30">
        <f>IF($A407="","",IF($R407=0,IF($L407=0,"請求額0","回収済"),IF($L407&lt;0,IF($R407&lt;0,"差し引き待ち","差し引きすぎ"),IF($R407&lt;0,"入金が多い",IF($P407+$Q407=0,"未入金","一部入金")))))</f>
        <v/>
      </c>
      <c r="T407" s="31">
        <f>IF(OR($A407="",N($R407)&lt;=0,NOT(ISNUMBER($O407))),"",IF($O407&lt;'設定'!$B$7,'設定'!$B$7-$O407,""))</f>
        <v/>
      </c>
      <c r="U407" s="30">
        <f>IF(OR($A407="",N($R407)&lt;=0),"",IF(NOT(ISNUMBER($O407)),'設定'!$B$22,IF($O407&gt;='設定'!$B$7,'設定'!$B$17,IF('設定'!$B$7-$O407&lt;='設定'!$B$12,'設定'!$B$18,IF('設定'!$B$7-$O407&lt;='設定'!$B$13,'設定'!$B$19,IF('設定'!$B$7-$O407&lt;='設定'!$B$14,'設定'!$B$20,'設定'!$B$21))))))</f>
        <v/>
      </c>
      <c r="V407" s="56" t="n"/>
      <c r="W407" s="32">
        <f>IF($C407="","",IFERROR(MATCH($C407,'得意先'!$B$5:$B$104,0),"なし"))</f>
        <v/>
      </c>
      <c r="X407" s="33">
        <f>IF($A407="","",IF(ISNUMBER($E407),$E407,IF(ISNUMBER($B407),$B407,"")))</f>
        <v/>
      </c>
      <c r="Y407" s="34">
        <f>IF($T407="","",$O407+ROW()/1000000)</f>
        <v/>
      </c>
      <c r="Z407" s="35">
        <f>IF(OR($A407="",$C407="",$C407&lt;&gt;'売掛帳'!$B$3,NOT(ISNUMBER($X407))),"",IF(AND($X407&gt;='売掛帳'!$Q$3,$X407&lt;='売掛帳'!$Q$4),$X407+ROW()/10000000,""))</f>
        <v/>
      </c>
    </row>
    <row r="408" ht="18" customHeight="1">
      <c r="A408" s="18" t="n"/>
      <c r="B408" s="26" t="n"/>
      <c r="C408" s="18" t="n"/>
      <c r="D408" s="20">
        <f>IF($W408="","",IF($W408="なし","※得意先にないコード",INDEX('得意先'!$C$5:$C$104,$W408)&amp;""))</f>
        <v/>
      </c>
      <c r="E408" s="26" t="n"/>
      <c r="F408" s="19" t="n"/>
      <c r="G408" s="27" t="n"/>
      <c r="H408" s="27" t="n"/>
      <c r="I408" s="27" t="n"/>
      <c r="J408" s="28">
        <f>IF($A408="","",IF('設定'!$B$10="四捨五入",ROUND(IF('設定'!$B$9="税込",N($G408)*10/110,N($G408)*10/100),0),IF('設定'!$B$10="切り上げ",ROUNDUP(IF('設定'!$B$9="税込",N($G408)*10/110,N($G408)*10/100),0),ROUNDDOWN(IF('設定'!$B$9="税込",N($G408)*10/110,N($G408)*10/100),0))))</f>
        <v/>
      </c>
      <c r="K408" s="28">
        <f>IF($A408="","",IF('設定'!$B$10="四捨五入",ROUND(IF('設定'!$B$9="税込",N($H408)*8/108,N($H408)*8/100),0),IF('設定'!$B$10="切り上げ",ROUNDUP(IF('設定'!$B$9="税込",N($H408)*8/108,N($H408)*8/100),0),ROUNDDOWN(IF('設定'!$B$9="税込",N($H408)*8/108,N($H408)*8/100),0))))</f>
        <v/>
      </c>
      <c r="L408" s="28">
        <f>IF($A408="","",N($G408)+N($H408)+N($I408)+IF('設定'!$B$9="税込",0,$J408+$K408))</f>
        <v/>
      </c>
      <c r="M408" s="29">
        <f>IF(OR($A408="",NOT(ISNUMBER($W408)),NOT(ISNUMBER($X408))),"",IF(OR(INDEX('得意先'!$D$5:$D$104,$W408)="",INDEX('得意先'!$E$5:$E$104,$W408)="",INDEX('得意先'!$F$5:$F$104,$W408)=""),"",IF(INDEX('得意先'!$F$5:$F$104,$W408)="末",DATE(YEAR($X408),(MONTH($X408)+IF(INDEX('得意先'!$D$5:$D$104,$W408)="末",0,IF(DAY($X408)&lt;=INDEX('得意先'!$D$5:$D$104,$W408),0,1))+N(INDEX('得意先'!$E$5:$E$104,$W408)))+1,0),DATE(YEAR($X408),(MONTH($X408)+IF(INDEX('得意先'!$D$5:$D$104,$W408)="末",0,IF(DAY($X408)&lt;=INDEX('得意先'!$D$5:$D$104,$W408),0,1))+N(INDEX('得意先'!$E$5:$E$104,$W408))),MIN(INDEX('得意先'!$F$5:$F$104,$W408),DAY(DATE(YEAR($X408),(MONTH($X408)+IF(INDEX('得意先'!$D$5:$D$104,$W408)="末",0,IF(DAY($X408)&lt;=INDEX('得意先'!$D$5:$D$104,$W408),0,1))+N(INDEX('得意先'!$E$5:$E$104,$W408)))+1,0)))))))</f>
        <v/>
      </c>
      <c r="N408" s="26" t="n"/>
      <c r="O408" s="29">
        <f>IF($A408="","",IF(ISNUMBER($N408),$N408,$M408))</f>
        <v/>
      </c>
      <c r="P408" s="28">
        <f>IF($A408="","",SUMIF('入金消込'!$F$5:$F$1004,$A408,'入金消込'!$G$5:$G$1004))</f>
        <v/>
      </c>
      <c r="Q408" s="28">
        <f>IF($A408="","",SUMIF('入金消込'!$F$5:$F$1004,$A408,'入金消込'!$H$5:$H$1004)+SUMIF('入金消込'!$F$5:$F$1004,$A408,'入金消込'!$I$5:$I$1004))</f>
        <v/>
      </c>
      <c r="R408" s="28">
        <f>IF($A408="","",$L408-$P408-$Q408)</f>
        <v/>
      </c>
      <c r="S408" s="30">
        <f>IF($A408="","",IF($R408=0,IF($L408=0,"請求額0","回収済"),IF($L408&lt;0,IF($R408&lt;0,"差し引き待ち","差し引きすぎ"),IF($R408&lt;0,"入金が多い",IF($P408+$Q408=0,"未入金","一部入金")))))</f>
        <v/>
      </c>
      <c r="T408" s="31">
        <f>IF(OR($A408="",N($R408)&lt;=0,NOT(ISNUMBER($O408))),"",IF($O408&lt;'設定'!$B$7,'設定'!$B$7-$O408,""))</f>
        <v/>
      </c>
      <c r="U408" s="30">
        <f>IF(OR($A408="",N($R408)&lt;=0),"",IF(NOT(ISNUMBER($O408)),'設定'!$B$22,IF($O408&gt;='設定'!$B$7,'設定'!$B$17,IF('設定'!$B$7-$O408&lt;='設定'!$B$12,'設定'!$B$18,IF('設定'!$B$7-$O408&lt;='設定'!$B$13,'設定'!$B$19,IF('設定'!$B$7-$O408&lt;='設定'!$B$14,'設定'!$B$20,'設定'!$B$21))))))</f>
        <v/>
      </c>
      <c r="V408" s="56" t="n"/>
      <c r="W408" s="32">
        <f>IF($C408="","",IFERROR(MATCH($C408,'得意先'!$B$5:$B$104,0),"なし"))</f>
        <v/>
      </c>
      <c r="X408" s="33">
        <f>IF($A408="","",IF(ISNUMBER($E408),$E408,IF(ISNUMBER($B408),$B408,"")))</f>
        <v/>
      </c>
      <c r="Y408" s="34">
        <f>IF($T408="","",$O408+ROW()/1000000)</f>
        <v/>
      </c>
      <c r="Z408" s="35">
        <f>IF(OR($A408="",$C408="",$C408&lt;&gt;'売掛帳'!$B$3,NOT(ISNUMBER($X408))),"",IF(AND($X408&gt;='売掛帳'!$Q$3,$X408&lt;='売掛帳'!$Q$4),$X408+ROW()/10000000,""))</f>
        <v/>
      </c>
    </row>
    <row r="409" ht="18" customHeight="1">
      <c r="A409" s="18" t="n"/>
      <c r="B409" s="26" t="n"/>
      <c r="C409" s="18" t="n"/>
      <c r="D409" s="20">
        <f>IF($W409="","",IF($W409="なし","※得意先にないコード",INDEX('得意先'!$C$5:$C$104,$W409)&amp;""))</f>
        <v/>
      </c>
      <c r="E409" s="26" t="n"/>
      <c r="F409" s="19" t="n"/>
      <c r="G409" s="27" t="n"/>
      <c r="H409" s="27" t="n"/>
      <c r="I409" s="27" t="n"/>
      <c r="J409" s="28">
        <f>IF($A409="","",IF('設定'!$B$10="四捨五入",ROUND(IF('設定'!$B$9="税込",N($G409)*10/110,N($G409)*10/100),0),IF('設定'!$B$10="切り上げ",ROUNDUP(IF('設定'!$B$9="税込",N($G409)*10/110,N($G409)*10/100),0),ROUNDDOWN(IF('設定'!$B$9="税込",N($G409)*10/110,N($G409)*10/100),0))))</f>
        <v/>
      </c>
      <c r="K409" s="28">
        <f>IF($A409="","",IF('設定'!$B$10="四捨五入",ROUND(IF('設定'!$B$9="税込",N($H409)*8/108,N($H409)*8/100),0),IF('設定'!$B$10="切り上げ",ROUNDUP(IF('設定'!$B$9="税込",N($H409)*8/108,N($H409)*8/100),0),ROUNDDOWN(IF('設定'!$B$9="税込",N($H409)*8/108,N($H409)*8/100),0))))</f>
        <v/>
      </c>
      <c r="L409" s="28">
        <f>IF($A409="","",N($G409)+N($H409)+N($I409)+IF('設定'!$B$9="税込",0,$J409+$K409))</f>
        <v/>
      </c>
      <c r="M409" s="29">
        <f>IF(OR($A409="",NOT(ISNUMBER($W409)),NOT(ISNUMBER($X409))),"",IF(OR(INDEX('得意先'!$D$5:$D$104,$W409)="",INDEX('得意先'!$E$5:$E$104,$W409)="",INDEX('得意先'!$F$5:$F$104,$W409)=""),"",IF(INDEX('得意先'!$F$5:$F$104,$W409)="末",DATE(YEAR($X409),(MONTH($X409)+IF(INDEX('得意先'!$D$5:$D$104,$W409)="末",0,IF(DAY($X409)&lt;=INDEX('得意先'!$D$5:$D$104,$W409),0,1))+N(INDEX('得意先'!$E$5:$E$104,$W409)))+1,0),DATE(YEAR($X409),(MONTH($X409)+IF(INDEX('得意先'!$D$5:$D$104,$W409)="末",0,IF(DAY($X409)&lt;=INDEX('得意先'!$D$5:$D$104,$W409),0,1))+N(INDEX('得意先'!$E$5:$E$104,$W409))),MIN(INDEX('得意先'!$F$5:$F$104,$W409),DAY(DATE(YEAR($X409),(MONTH($X409)+IF(INDEX('得意先'!$D$5:$D$104,$W409)="末",0,IF(DAY($X409)&lt;=INDEX('得意先'!$D$5:$D$104,$W409),0,1))+N(INDEX('得意先'!$E$5:$E$104,$W409)))+1,0)))))))</f>
        <v/>
      </c>
      <c r="N409" s="26" t="n"/>
      <c r="O409" s="29">
        <f>IF($A409="","",IF(ISNUMBER($N409),$N409,$M409))</f>
        <v/>
      </c>
      <c r="P409" s="28">
        <f>IF($A409="","",SUMIF('入金消込'!$F$5:$F$1004,$A409,'入金消込'!$G$5:$G$1004))</f>
        <v/>
      </c>
      <c r="Q409" s="28">
        <f>IF($A409="","",SUMIF('入金消込'!$F$5:$F$1004,$A409,'入金消込'!$H$5:$H$1004)+SUMIF('入金消込'!$F$5:$F$1004,$A409,'入金消込'!$I$5:$I$1004))</f>
        <v/>
      </c>
      <c r="R409" s="28">
        <f>IF($A409="","",$L409-$P409-$Q409)</f>
        <v/>
      </c>
      <c r="S409" s="30">
        <f>IF($A409="","",IF($R409=0,IF($L409=0,"請求額0","回収済"),IF($L409&lt;0,IF($R409&lt;0,"差し引き待ち","差し引きすぎ"),IF($R409&lt;0,"入金が多い",IF($P409+$Q409=0,"未入金","一部入金")))))</f>
        <v/>
      </c>
      <c r="T409" s="31">
        <f>IF(OR($A409="",N($R409)&lt;=0,NOT(ISNUMBER($O409))),"",IF($O409&lt;'設定'!$B$7,'設定'!$B$7-$O409,""))</f>
        <v/>
      </c>
      <c r="U409" s="30">
        <f>IF(OR($A409="",N($R409)&lt;=0),"",IF(NOT(ISNUMBER($O409)),'設定'!$B$22,IF($O409&gt;='設定'!$B$7,'設定'!$B$17,IF('設定'!$B$7-$O409&lt;='設定'!$B$12,'設定'!$B$18,IF('設定'!$B$7-$O409&lt;='設定'!$B$13,'設定'!$B$19,IF('設定'!$B$7-$O409&lt;='設定'!$B$14,'設定'!$B$20,'設定'!$B$21))))))</f>
        <v/>
      </c>
      <c r="V409" s="56" t="n"/>
      <c r="W409" s="32">
        <f>IF($C409="","",IFERROR(MATCH($C409,'得意先'!$B$5:$B$104,0),"なし"))</f>
        <v/>
      </c>
      <c r="X409" s="33">
        <f>IF($A409="","",IF(ISNUMBER($E409),$E409,IF(ISNUMBER($B409),$B409,"")))</f>
        <v/>
      </c>
      <c r="Y409" s="34">
        <f>IF($T409="","",$O409+ROW()/1000000)</f>
        <v/>
      </c>
      <c r="Z409" s="35">
        <f>IF(OR($A409="",$C409="",$C409&lt;&gt;'売掛帳'!$B$3,NOT(ISNUMBER($X409))),"",IF(AND($X409&gt;='売掛帳'!$Q$3,$X409&lt;='売掛帳'!$Q$4),$X409+ROW()/10000000,""))</f>
        <v/>
      </c>
    </row>
    <row r="410" ht="18" customHeight="1">
      <c r="A410" s="18" t="n"/>
      <c r="B410" s="26" t="n"/>
      <c r="C410" s="18" t="n"/>
      <c r="D410" s="20">
        <f>IF($W410="","",IF($W410="なし","※得意先にないコード",INDEX('得意先'!$C$5:$C$104,$W410)&amp;""))</f>
        <v/>
      </c>
      <c r="E410" s="26" t="n"/>
      <c r="F410" s="19" t="n"/>
      <c r="G410" s="27" t="n"/>
      <c r="H410" s="27" t="n"/>
      <c r="I410" s="27" t="n"/>
      <c r="J410" s="28">
        <f>IF($A410="","",IF('設定'!$B$10="四捨五入",ROUND(IF('設定'!$B$9="税込",N($G410)*10/110,N($G410)*10/100),0),IF('設定'!$B$10="切り上げ",ROUNDUP(IF('設定'!$B$9="税込",N($G410)*10/110,N($G410)*10/100),0),ROUNDDOWN(IF('設定'!$B$9="税込",N($G410)*10/110,N($G410)*10/100),0))))</f>
        <v/>
      </c>
      <c r="K410" s="28">
        <f>IF($A410="","",IF('設定'!$B$10="四捨五入",ROUND(IF('設定'!$B$9="税込",N($H410)*8/108,N($H410)*8/100),0),IF('設定'!$B$10="切り上げ",ROUNDUP(IF('設定'!$B$9="税込",N($H410)*8/108,N($H410)*8/100),0),ROUNDDOWN(IF('設定'!$B$9="税込",N($H410)*8/108,N($H410)*8/100),0))))</f>
        <v/>
      </c>
      <c r="L410" s="28">
        <f>IF($A410="","",N($G410)+N($H410)+N($I410)+IF('設定'!$B$9="税込",0,$J410+$K410))</f>
        <v/>
      </c>
      <c r="M410" s="29">
        <f>IF(OR($A410="",NOT(ISNUMBER($W410)),NOT(ISNUMBER($X410))),"",IF(OR(INDEX('得意先'!$D$5:$D$104,$W410)="",INDEX('得意先'!$E$5:$E$104,$W410)="",INDEX('得意先'!$F$5:$F$104,$W410)=""),"",IF(INDEX('得意先'!$F$5:$F$104,$W410)="末",DATE(YEAR($X410),(MONTH($X410)+IF(INDEX('得意先'!$D$5:$D$104,$W410)="末",0,IF(DAY($X410)&lt;=INDEX('得意先'!$D$5:$D$104,$W410),0,1))+N(INDEX('得意先'!$E$5:$E$104,$W410)))+1,0),DATE(YEAR($X410),(MONTH($X410)+IF(INDEX('得意先'!$D$5:$D$104,$W410)="末",0,IF(DAY($X410)&lt;=INDEX('得意先'!$D$5:$D$104,$W410),0,1))+N(INDEX('得意先'!$E$5:$E$104,$W410))),MIN(INDEX('得意先'!$F$5:$F$104,$W410),DAY(DATE(YEAR($X410),(MONTH($X410)+IF(INDEX('得意先'!$D$5:$D$104,$W410)="末",0,IF(DAY($X410)&lt;=INDEX('得意先'!$D$5:$D$104,$W410),0,1))+N(INDEX('得意先'!$E$5:$E$104,$W410)))+1,0)))))))</f>
        <v/>
      </c>
      <c r="N410" s="26" t="n"/>
      <c r="O410" s="29">
        <f>IF($A410="","",IF(ISNUMBER($N410),$N410,$M410))</f>
        <v/>
      </c>
      <c r="P410" s="28">
        <f>IF($A410="","",SUMIF('入金消込'!$F$5:$F$1004,$A410,'入金消込'!$G$5:$G$1004))</f>
        <v/>
      </c>
      <c r="Q410" s="28">
        <f>IF($A410="","",SUMIF('入金消込'!$F$5:$F$1004,$A410,'入金消込'!$H$5:$H$1004)+SUMIF('入金消込'!$F$5:$F$1004,$A410,'入金消込'!$I$5:$I$1004))</f>
        <v/>
      </c>
      <c r="R410" s="28">
        <f>IF($A410="","",$L410-$P410-$Q410)</f>
        <v/>
      </c>
      <c r="S410" s="30">
        <f>IF($A410="","",IF($R410=0,IF($L410=0,"請求額0","回収済"),IF($L410&lt;0,IF($R410&lt;0,"差し引き待ち","差し引きすぎ"),IF($R410&lt;0,"入金が多い",IF($P410+$Q410=0,"未入金","一部入金")))))</f>
        <v/>
      </c>
      <c r="T410" s="31">
        <f>IF(OR($A410="",N($R410)&lt;=0,NOT(ISNUMBER($O410))),"",IF($O410&lt;'設定'!$B$7,'設定'!$B$7-$O410,""))</f>
        <v/>
      </c>
      <c r="U410" s="30">
        <f>IF(OR($A410="",N($R410)&lt;=0),"",IF(NOT(ISNUMBER($O410)),'設定'!$B$22,IF($O410&gt;='設定'!$B$7,'設定'!$B$17,IF('設定'!$B$7-$O410&lt;='設定'!$B$12,'設定'!$B$18,IF('設定'!$B$7-$O410&lt;='設定'!$B$13,'設定'!$B$19,IF('設定'!$B$7-$O410&lt;='設定'!$B$14,'設定'!$B$20,'設定'!$B$21))))))</f>
        <v/>
      </c>
      <c r="V410" s="56" t="n"/>
      <c r="W410" s="32">
        <f>IF($C410="","",IFERROR(MATCH($C410,'得意先'!$B$5:$B$104,0),"なし"))</f>
        <v/>
      </c>
      <c r="X410" s="33">
        <f>IF($A410="","",IF(ISNUMBER($E410),$E410,IF(ISNUMBER($B410),$B410,"")))</f>
        <v/>
      </c>
      <c r="Y410" s="34">
        <f>IF($T410="","",$O410+ROW()/1000000)</f>
        <v/>
      </c>
      <c r="Z410" s="35">
        <f>IF(OR($A410="",$C410="",$C410&lt;&gt;'売掛帳'!$B$3,NOT(ISNUMBER($X410))),"",IF(AND($X410&gt;='売掛帳'!$Q$3,$X410&lt;='売掛帳'!$Q$4),$X410+ROW()/10000000,""))</f>
        <v/>
      </c>
    </row>
    <row r="411" ht="18" customHeight="1">
      <c r="A411" s="18" t="n"/>
      <c r="B411" s="26" t="n"/>
      <c r="C411" s="18" t="n"/>
      <c r="D411" s="20">
        <f>IF($W411="","",IF($W411="なし","※得意先にないコード",INDEX('得意先'!$C$5:$C$104,$W411)&amp;""))</f>
        <v/>
      </c>
      <c r="E411" s="26" t="n"/>
      <c r="F411" s="19" t="n"/>
      <c r="G411" s="27" t="n"/>
      <c r="H411" s="27" t="n"/>
      <c r="I411" s="27" t="n"/>
      <c r="J411" s="28">
        <f>IF($A411="","",IF('設定'!$B$10="四捨五入",ROUND(IF('設定'!$B$9="税込",N($G411)*10/110,N($G411)*10/100),0),IF('設定'!$B$10="切り上げ",ROUNDUP(IF('設定'!$B$9="税込",N($G411)*10/110,N($G411)*10/100),0),ROUNDDOWN(IF('設定'!$B$9="税込",N($G411)*10/110,N($G411)*10/100),0))))</f>
        <v/>
      </c>
      <c r="K411" s="28">
        <f>IF($A411="","",IF('設定'!$B$10="四捨五入",ROUND(IF('設定'!$B$9="税込",N($H411)*8/108,N($H411)*8/100),0),IF('設定'!$B$10="切り上げ",ROUNDUP(IF('設定'!$B$9="税込",N($H411)*8/108,N($H411)*8/100),0),ROUNDDOWN(IF('設定'!$B$9="税込",N($H411)*8/108,N($H411)*8/100),0))))</f>
        <v/>
      </c>
      <c r="L411" s="28">
        <f>IF($A411="","",N($G411)+N($H411)+N($I411)+IF('設定'!$B$9="税込",0,$J411+$K411))</f>
        <v/>
      </c>
      <c r="M411" s="29">
        <f>IF(OR($A411="",NOT(ISNUMBER($W411)),NOT(ISNUMBER($X411))),"",IF(OR(INDEX('得意先'!$D$5:$D$104,$W411)="",INDEX('得意先'!$E$5:$E$104,$W411)="",INDEX('得意先'!$F$5:$F$104,$W411)=""),"",IF(INDEX('得意先'!$F$5:$F$104,$W411)="末",DATE(YEAR($X411),(MONTH($X411)+IF(INDEX('得意先'!$D$5:$D$104,$W411)="末",0,IF(DAY($X411)&lt;=INDEX('得意先'!$D$5:$D$104,$W411),0,1))+N(INDEX('得意先'!$E$5:$E$104,$W411)))+1,0),DATE(YEAR($X411),(MONTH($X411)+IF(INDEX('得意先'!$D$5:$D$104,$W411)="末",0,IF(DAY($X411)&lt;=INDEX('得意先'!$D$5:$D$104,$W411),0,1))+N(INDEX('得意先'!$E$5:$E$104,$W411))),MIN(INDEX('得意先'!$F$5:$F$104,$W411),DAY(DATE(YEAR($X411),(MONTH($X411)+IF(INDEX('得意先'!$D$5:$D$104,$W411)="末",0,IF(DAY($X411)&lt;=INDEX('得意先'!$D$5:$D$104,$W411),0,1))+N(INDEX('得意先'!$E$5:$E$104,$W411)))+1,0)))))))</f>
        <v/>
      </c>
      <c r="N411" s="26" t="n"/>
      <c r="O411" s="29">
        <f>IF($A411="","",IF(ISNUMBER($N411),$N411,$M411))</f>
        <v/>
      </c>
      <c r="P411" s="28">
        <f>IF($A411="","",SUMIF('入金消込'!$F$5:$F$1004,$A411,'入金消込'!$G$5:$G$1004))</f>
        <v/>
      </c>
      <c r="Q411" s="28">
        <f>IF($A411="","",SUMIF('入金消込'!$F$5:$F$1004,$A411,'入金消込'!$H$5:$H$1004)+SUMIF('入金消込'!$F$5:$F$1004,$A411,'入金消込'!$I$5:$I$1004))</f>
        <v/>
      </c>
      <c r="R411" s="28">
        <f>IF($A411="","",$L411-$P411-$Q411)</f>
        <v/>
      </c>
      <c r="S411" s="30">
        <f>IF($A411="","",IF($R411=0,IF($L411=0,"請求額0","回収済"),IF($L411&lt;0,IF($R411&lt;0,"差し引き待ち","差し引きすぎ"),IF($R411&lt;0,"入金が多い",IF($P411+$Q411=0,"未入金","一部入金")))))</f>
        <v/>
      </c>
      <c r="T411" s="31">
        <f>IF(OR($A411="",N($R411)&lt;=0,NOT(ISNUMBER($O411))),"",IF($O411&lt;'設定'!$B$7,'設定'!$B$7-$O411,""))</f>
        <v/>
      </c>
      <c r="U411" s="30">
        <f>IF(OR($A411="",N($R411)&lt;=0),"",IF(NOT(ISNUMBER($O411)),'設定'!$B$22,IF($O411&gt;='設定'!$B$7,'設定'!$B$17,IF('設定'!$B$7-$O411&lt;='設定'!$B$12,'設定'!$B$18,IF('設定'!$B$7-$O411&lt;='設定'!$B$13,'設定'!$B$19,IF('設定'!$B$7-$O411&lt;='設定'!$B$14,'設定'!$B$20,'設定'!$B$21))))))</f>
        <v/>
      </c>
      <c r="V411" s="56" t="n"/>
      <c r="W411" s="32">
        <f>IF($C411="","",IFERROR(MATCH($C411,'得意先'!$B$5:$B$104,0),"なし"))</f>
        <v/>
      </c>
      <c r="X411" s="33">
        <f>IF($A411="","",IF(ISNUMBER($E411),$E411,IF(ISNUMBER($B411),$B411,"")))</f>
        <v/>
      </c>
      <c r="Y411" s="34">
        <f>IF($T411="","",$O411+ROW()/1000000)</f>
        <v/>
      </c>
      <c r="Z411" s="35">
        <f>IF(OR($A411="",$C411="",$C411&lt;&gt;'売掛帳'!$B$3,NOT(ISNUMBER($X411))),"",IF(AND($X411&gt;='売掛帳'!$Q$3,$X411&lt;='売掛帳'!$Q$4),$X411+ROW()/10000000,""))</f>
        <v/>
      </c>
    </row>
    <row r="412" ht="18" customHeight="1">
      <c r="A412" s="18" t="n"/>
      <c r="B412" s="26" t="n"/>
      <c r="C412" s="18" t="n"/>
      <c r="D412" s="20">
        <f>IF($W412="","",IF($W412="なし","※得意先にないコード",INDEX('得意先'!$C$5:$C$104,$W412)&amp;""))</f>
        <v/>
      </c>
      <c r="E412" s="26" t="n"/>
      <c r="F412" s="19" t="n"/>
      <c r="G412" s="27" t="n"/>
      <c r="H412" s="27" t="n"/>
      <c r="I412" s="27" t="n"/>
      <c r="J412" s="28">
        <f>IF($A412="","",IF('設定'!$B$10="四捨五入",ROUND(IF('設定'!$B$9="税込",N($G412)*10/110,N($G412)*10/100),0),IF('設定'!$B$10="切り上げ",ROUNDUP(IF('設定'!$B$9="税込",N($G412)*10/110,N($G412)*10/100),0),ROUNDDOWN(IF('設定'!$B$9="税込",N($G412)*10/110,N($G412)*10/100),0))))</f>
        <v/>
      </c>
      <c r="K412" s="28">
        <f>IF($A412="","",IF('設定'!$B$10="四捨五入",ROUND(IF('設定'!$B$9="税込",N($H412)*8/108,N($H412)*8/100),0),IF('設定'!$B$10="切り上げ",ROUNDUP(IF('設定'!$B$9="税込",N($H412)*8/108,N($H412)*8/100),0),ROUNDDOWN(IF('設定'!$B$9="税込",N($H412)*8/108,N($H412)*8/100),0))))</f>
        <v/>
      </c>
      <c r="L412" s="28">
        <f>IF($A412="","",N($G412)+N($H412)+N($I412)+IF('設定'!$B$9="税込",0,$J412+$K412))</f>
        <v/>
      </c>
      <c r="M412" s="29">
        <f>IF(OR($A412="",NOT(ISNUMBER($W412)),NOT(ISNUMBER($X412))),"",IF(OR(INDEX('得意先'!$D$5:$D$104,$W412)="",INDEX('得意先'!$E$5:$E$104,$W412)="",INDEX('得意先'!$F$5:$F$104,$W412)=""),"",IF(INDEX('得意先'!$F$5:$F$104,$W412)="末",DATE(YEAR($X412),(MONTH($X412)+IF(INDEX('得意先'!$D$5:$D$104,$W412)="末",0,IF(DAY($X412)&lt;=INDEX('得意先'!$D$5:$D$104,$W412),0,1))+N(INDEX('得意先'!$E$5:$E$104,$W412)))+1,0),DATE(YEAR($X412),(MONTH($X412)+IF(INDEX('得意先'!$D$5:$D$104,$W412)="末",0,IF(DAY($X412)&lt;=INDEX('得意先'!$D$5:$D$104,$W412),0,1))+N(INDEX('得意先'!$E$5:$E$104,$W412))),MIN(INDEX('得意先'!$F$5:$F$104,$W412),DAY(DATE(YEAR($X412),(MONTH($X412)+IF(INDEX('得意先'!$D$5:$D$104,$W412)="末",0,IF(DAY($X412)&lt;=INDEX('得意先'!$D$5:$D$104,$W412),0,1))+N(INDEX('得意先'!$E$5:$E$104,$W412)))+1,0)))))))</f>
        <v/>
      </c>
      <c r="N412" s="26" t="n"/>
      <c r="O412" s="29">
        <f>IF($A412="","",IF(ISNUMBER($N412),$N412,$M412))</f>
        <v/>
      </c>
      <c r="P412" s="28">
        <f>IF($A412="","",SUMIF('入金消込'!$F$5:$F$1004,$A412,'入金消込'!$G$5:$G$1004))</f>
        <v/>
      </c>
      <c r="Q412" s="28">
        <f>IF($A412="","",SUMIF('入金消込'!$F$5:$F$1004,$A412,'入金消込'!$H$5:$H$1004)+SUMIF('入金消込'!$F$5:$F$1004,$A412,'入金消込'!$I$5:$I$1004))</f>
        <v/>
      </c>
      <c r="R412" s="28">
        <f>IF($A412="","",$L412-$P412-$Q412)</f>
        <v/>
      </c>
      <c r="S412" s="30">
        <f>IF($A412="","",IF($R412=0,IF($L412=0,"請求額0","回収済"),IF($L412&lt;0,IF($R412&lt;0,"差し引き待ち","差し引きすぎ"),IF($R412&lt;0,"入金が多い",IF($P412+$Q412=0,"未入金","一部入金")))))</f>
        <v/>
      </c>
      <c r="T412" s="31">
        <f>IF(OR($A412="",N($R412)&lt;=0,NOT(ISNUMBER($O412))),"",IF($O412&lt;'設定'!$B$7,'設定'!$B$7-$O412,""))</f>
        <v/>
      </c>
      <c r="U412" s="30">
        <f>IF(OR($A412="",N($R412)&lt;=0),"",IF(NOT(ISNUMBER($O412)),'設定'!$B$22,IF($O412&gt;='設定'!$B$7,'設定'!$B$17,IF('設定'!$B$7-$O412&lt;='設定'!$B$12,'設定'!$B$18,IF('設定'!$B$7-$O412&lt;='設定'!$B$13,'設定'!$B$19,IF('設定'!$B$7-$O412&lt;='設定'!$B$14,'設定'!$B$20,'設定'!$B$21))))))</f>
        <v/>
      </c>
      <c r="V412" s="56" t="n"/>
      <c r="W412" s="32">
        <f>IF($C412="","",IFERROR(MATCH($C412,'得意先'!$B$5:$B$104,0),"なし"))</f>
        <v/>
      </c>
      <c r="X412" s="33">
        <f>IF($A412="","",IF(ISNUMBER($E412),$E412,IF(ISNUMBER($B412),$B412,"")))</f>
        <v/>
      </c>
      <c r="Y412" s="34">
        <f>IF($T412="","",$O412+ROW()/1000000)</f>
        <v/>
      </c>
      <c r="Z412" s="35">
        <f>IF(OR($A412="",$C412="",$C412&lt;&gt;'売掛帳'!$B$3,NOT(ISNUMBER($X412))),"",IF(AND($X412&gt;='売掛帳'!$Q$3,$X412&lt;='売掛帳'!$Q$4),$X412+ROW()/10000000,""))</f>
        <v/>
      </c>
    </row>
    <row r="413" ht="18" customHeight="1">
      <c r="A413" s="18" t="n"/>
      <c r="B413" s="26" t="n"/>
      <c r="C413" s="18" t="n"/>
      <c r="D413" s="20">
        <f>IF($W413="","",IF($W413="なし","※得意先にないコード",INDEX('得意先'!$C$5:$C$104,$W413)&amp;""))</f>
        <v/>
      </c>
      <c r="E413" s="26" t="n"/>
      <c r="F413" s="19" t="n"/>
      <c r="G413" s="27" t="n"/>
      <c r="H413" s="27" t="n"/>
      <c r="I413" s="27" t="n"/>
      <c r="J413" s="28">
        <f>IF($A413="","",IF('設定'!$B$10="四捨五入",ROUND(IF('設定'!$B$9="税込",N($G413)*10/110,N($G413)*10/100),0),IF('設定'!$B$10="切り上げ",ROUNDUP(IF('設定'!$B$9="税込",N($G413)*10/110,N($G413)*10/100),0),ROUNDDOWN(IF('設定'!$B$9="税込",N($G413)*10/110,N($G413)*10/100),0))))</f>
        <v/>
      </c>
      <c r="K413" s="28">
        <f>IF($A413="","",IF('設定'!$B$10="四捨五入",ROUND(IF('設定'!$B$9="税込",N($H413)*8/108,N($H413)*8/100),0),IF('設定'!$B$10="切り上げ",ROUNDUP(IF('設定'!$B$9="税込",N($H413)*8/108,N($H413)*8/100),0),ROUNDDOWN(IF('設定'!$B$9="税込",N($H413)*8/108,N($H413)*8/100),0))))</f>
        <v/>
      </c>
      <c r="L413" s="28">
        <f>IF($A413="","",N($G413)+N($H413)+N($I413)+IF('設定'!$B$9="税込",0,$J413+$K413))</f>
        <v/>
      </c>
      <c r="M413" s="29">
        <f>IF(OR($A413="",NOT(ISNUMBER($W413)),NOT(ISNUMBER($X413))),"",IF(OR(INDEX('得意先'!$D$5:$D$104,$W413)="",INDEX('得意先'!$E$5:$E$104,$W413)="",INDEX('得意先'!$F$5:$F$104,$W413)=""),"",IF(INDEX('得意先'!$F$5:$F$104,$W413)="末",DATE(YEAR($X413),(MONTH($X413)+IF(INDEX('得意先'!$D$5:$D$104,$W413)="末",0,IF(DAY($X413)&lt;=INDEX('得意先'!$D$5:$D$104,$W413),0,1))+N(INDEX('得意先'!$E$5:$E$104,$W413)))+1,0),DATE(YEAR($X413),(MONTH($X413)+IF(INDEX('得意先'!$D$5:$D$104,$W413)="末",0,IF(DAY($X413)&lt;=INDEX('得意先'!$D$5:$D$104,$W413),0,1))+N(INDEX('得意先'!$E$5:$E$104,$W413))),MIN(INDEX('得意先'!$F$5:$F$104,$W413),DAY(DATE(YEAR($X413),(MONTH($X413)+IF(INDEX('得意先'!$D$5:$D$104,$W413)="末",0,IF(DAY($X413)&lt;=INDEX('得意先'!$D$5:$D$104,$W413),0,1))+N(INDEX('得意先'!$E$5:$E$104,$W413)))+1,0)))))))</f>
        <v/>
      </c>
      <c r="N413" s="26" t="n"/>
      <c r="O413" s="29">
        <f>IF($A413="","",IF(ISNUMBER($N413),$N413,$M413))</f>
        <v/>
      </c>
      <c r="P413" s="28">
        <f>IF($A413="","",SUMIF('入金消込'!$F$5:$F$1004,$A413,'入金消込'!$G$5:$G$1004))</f>
        <v/>
      </c>
      <c r="Q413" s="28">
        <f>IF($A413="","",SUMIF('入金消込'!$F$5:$F$1004,$A413,'入金消込'!$H$5:$H$1004)+SUMIF('入金消込'!$F$5:$F$1004,$A413,'入金消込'!$I$5:$I$1004))</f>
        <v/>
      </c>
      <c r="R413" s="28">
        <f>IF($A413="","",$L413-$P413-$Q413)</f>
        <v/>
      </c>
      <c r="S413" s="30">
        <f>IF($A413="","",IF($R413=0,IF($L413=0,"請求額0","回収済"),IF($L413&lt;0,IF($R413&lt;0,"差し引き待ち","差し引きすぎ"),IF($R413&lt;0,"入金が多い",IF($P413+$Q413=0,"未入金","一部入金")))))</f>
        <v/>
      </c>
      <c r="T413" s="31">
        <f>IF(OR($A413="",N($R413)&lt;=0,NOT(ISNUMBER($O413))),"",IF($O413&lt;'設定'!$B$7,'設定'!$B$7-$O413,""))</f>
        <v/>
      </c>
      <c r="U413" s="30">
        <f>IF(OR($A413="",N($R413)&lt;=0),"",IF(NOT(ISNUMBER($O413)),'設定'!$B$22,IF($O413&gt;='設定'!$B$7,'設定'!$B$17,IF('設定'!$B$7-$O413&lt;='設定'!$B$12,'設定'!$B$18,IF('設定'!$B$7-$O413&lt;='設定'!$B$13,'設定'!$B$19,IF('設定'!$B$7-$O413&lt;='設定'!$B$14,'設定'!$B$20,'設定'!$B$21))))))</f>
        <v/>
      </c>
      <c r="V413" s="56" t="n"/>
      <c r="W413" s="32">
        <f>IF($C413="","",IFERROR(MATCH($C413,'得意先'!$B$5:$B$104,0),"なし"))</f>
        <v/>
      </c>
      <c r="X413" s="33">
        <f>IF($A413="","",IF(ISNUMBER($E413),$E413,IF(ISNUMBER($B413),$B413,"")))</f>
        <v/>
      </c>
      <c r="Y413" s="34">
        <f>IF($T413="","",$O413+ROW()/1000000)</f>
        <v/>
      </c>
      <c r="Z413" s="35">
        <f>IF(OR($A413="",$C413="",$C413&lt;&gt;'売掛帳'!$B$3,NOT(ISNUMBER($X413))),"",IF(AND($X413&gt;='売掛帳'!$Q$3,$X413&lt;='売掛帳'!$Q$4),$X413+ROW()/10000000,""))</f>
        <v/>
      </c>
    </row>
    <row r="414" ht="18" customHeight="1">
      <c r="A414" s="18" t="n"/>
      <c r="B414" s="26" t="n"/>
      <c r="C414" s="18" t="n"/>
      <c r="D414" s="20">
        <f>IF($W414="","",IF($W414="なし","※得意先にないコード",INDEX('得意先'!$C$5:$C$104,$W414)&amp;""))</f>
        <v/>
      </c>
      <c r="E414" s="26" t="n"/>
      <c r="F414" s="19" t="n"/>
      <c r="G414" s="27" t="n"/>
      <c r="H414" s="27" t="n"/>
      <c r="I414" s="27" t="n"/>
      <c r="J414" s="28">
        <f>IF($A414="","",IF('設定'!$B$10="四捨五入",ROUND(IF('設定'!$B$9="税込",N($G414)*10/110,N($G414)*10/100),0),IF('設定'!$B$10="切り上げ",ROUNDUP(IF('設定'!$B$9="税込",N($G414)*10/110,N($G414)*10/100),0),ROUNDDOWN(IF('設定'!$B$9="税込",N($G414)*10/110,N($G414)*10/100),0))))</f>
        <v/>
      </c>
      <c r="K414" s="28">
        <f>IF($A414="","",IF('設定'!$B$10="四捨五入",ROUND(IF('設定'!$B$9="税込",N($H414)*8/108,N($H414)*8/100),0),IF('設定'!$B$10="切り上げ",ROUNDUP(IF('設定'!$B$9="税込",N($H414)*8/108,N($H414)*8/100),0),ROUNDDOWN(IF('設定'!$B$9="税込",N($H414)*8/108,N($H414)*8/100),0))))</f>
        <v/>
      </c>
      <c r="L414" s="28">
        <f>IF($A414="","",N($G414)+N($H414)+N($I414)+IF('設定'!$B$9="税込",0,$J414+$K414))</f>
        <v/>
      </c>
      <c r="M414" s="29">
        <f>IF(OR($A414="",NOT(ISNUMBER($W414)),NOT(ISNUMBER($X414))),"",IF(OR(INDEX('得意先'!$D$5:$D$104,$W414)="",INDEX('得意先'!$E$5:$E$104,$W414)="",INDEX('得意先'!$F$5:$F$104,$W414)=""),"",IF(INDEX('得意先'!$F$5:$F$104,$W414)="末",DATE(YEAR($X414),(MONTH($X414)+IF(INDEX('得意先'!$D$5:$D$104,$W414)="末",0,IF(DAY($X414)&lt;=INDEX('得意先'!$D$5:$D$104,$W414),0,1))+N(INDEX('得意先'!$E$5:$E$104,$W414)))+1,0),DATE(YEAR($X414),(MONTH($X414)+IF(INDEX('得意先'!$D$5:$D$104,$W414)="末",0,IF(DAY($X414)&lt;=INDEX('得意先'!$D$5:$D$104,$W414),0,1))+N(INDEX('得意先'!$E$5:$E$104,$W414))),MIN(INDEX('得意先'!$F$5:$F$104,$W414),DAY(DATE(YEAR($X414),(MONTH($X414)+IF(INDEX('得意先'!$D$5:$D$104,$W414)="末",0,IF(DAY($X414)&lt;=INDEX('得意先'!$D$5:$D$104,$W414),0,1))+N(INDEX('得意先'!$E$5:$E$104,$W414)))+1,0)))))))</f>
        <v/>
      </c>
      <c r="N414" s="26" t="n"/>
      <c r="O414" s="29">
        <f>IF($A414="","",IF(ISNUMBER($N414),$N414,$M414))</f>
        <v/>
      </c>
      <c r="P414" s="28">
        <f>IF($A414="","",SUMIF('入金消込'!$F$5:$F$1004,$A414,'入金消込'!$G$5:$G$1004))</f>
        <v/>
      </c>
      <c r="Q414" s="28">
        <f>IF($A414="","",SUMIF('入金消込'!$F$5:$F$1004,$A414,'入金消込'!$H$5:$H$1004)+SUMIF('入金消込'!$F$5:$F$1004,$A414,'入金消込'!$I$5:$I$1004))</f>
        <v/>
      </c>
      <c r="R414" s="28">
        <f>IF($A414="","",$L414-$P414-$Q414)</f>
        <v/>
      </c>
      <c r="S414" s="30">
        <f>IF($A414="","",IF($R414=0,IF($L414=0,"請求額0","回収済"),IF($L414&lt;0,IF($R414&lt;0,"差し引き待ち","差し引きすぎ"),IF($R414&lt;0,"入金が多い",IF($P414+$Q414=0,"未入金","一部入金")))))</f>
        <v/>
      </c>
      <c r="T414" s="31">
        <f>IF(OR($A414="",N($R414)&lt;=0,NOT(ISNUMBER($O414))),"",IF($O414&lt;'設定'!$B$7,'設定'!$B$7-$O414,""))</f>
        <v/>
      </c>
      <c r="U414" s="30">
        <f>IF(OR($A414="",N($R414)&lt;=0),"",IF(NOT(ISNUMBER($O414)),'設定'!$B$22,IF($O414&gt;='設定'!$B$7,'設定'!$B$17,IF('設定'!$B$7-$O414&lt;='設定'!$B$12,'設定'!$B$18,IF('設定'!$B$7-$O414&lt;='設定'!$B$13,'設定'!$B$19,IF('設定'!$B$7-$O414&lt;='設定'!$B$14,'設定'!$B$20,'設定'!$B$21))))))</f>
        <v/>
      </c>
      <c r="V414" s="56" t="n"/>
      <c r="W414" s="32">
        <f>IF($C414="","",IFERROR(MATCH($C414,'得意先'!$B$5:$B$104,0),"なし"))</f>
        <v/>
      </c>
      <c r="X414" s="33">
        <f>IF($A414="","",IF(ISNUMBER($E414),$E414,IF(ISNUMBER($B414),$B414,"")))</f>
        <v/>
      </c>
      <c r="Y414" s="34">
        <f>IF($T414="","",$O414+ROW()/1000000)</f>
        <v/>
      </c>
      <c r="Z414" s="35">
        <f>IF(OR($A414="",$C414="",$C414&lt;&gt;'売掛帳'!$B$3,NOT(ISNUMBER($X414))),"",IF(AND($X414&gt;='売掛帳'!$Q$3,$X414&lt;='売掛帳'!$Q$4),$X414+ROW()/10000000,""))</f>
        <v/>
      </c>
    </row>
    <row r="415" ht="18" customHeight="1">
      <c r="A415" s="18" t="n"/>
      <c r="B415" s="26" t="n"/>
      <c r="C415" s="18" t="n"/>
      <c r="D415" s="20">
        <f>IF($W415="","",IF($W415="なし","※得意先にないコード",INDEX('得意先'!$C$5:$C$104,$W415)&amp;""))</f>
        <v/>
      </c>
      <c r="E415" s="26" t="n"/>
      <c r="F415" s="19" t="n"/>
      <c r="G415" s="27" t="n"/>
      <c r="H415" s="27" t="n"/>
      <c r="I415" s="27" t="n"/>
      <c r="J415" s="28">
        <f>IF($A415="","",IF('設定'!$B$10="四捨五入",ROUND(IF('設定'!$B$9="税込",N($G415)*10/110,N($G415)*10/100),0),IF('設定'!$B$10="切り上げ",ROUNDUP(IF('設定'!$B$9="税込",N($G415)*10/110,N($G415)*10/100),0),ROUNDDOWN(IF('設定'!$B$9="税込",N($G415)*10/110,N($G415)*10/100),0))))</f>
        <v/>
      </c>
      <c r="K415" s="28">
        <f>IF($A415="","",IF('設定'!$B$10="四捨五入",ROUND(IF('設定'!$B$9="税込",N($H415)*8/108,N($H415)*8/100),0),IF('設定'!$B$10="切り上げ",ROUNDUP(IF('設定'!$B$9="税込",N($H415)*8/108,N($H415)*8/100),0),ROUNDDOWN(IF('設定'!$B$9="税込",N($H415)*8/108,N($H415)*8/100),0))))</f>
        <v/>
      </c>
      <c r="L415" s="28">
        <f>IF($A415="","",N($G415)+N($H415)+N($I415)+IF('設定'!$B$9="税込",0,$J415+$K415))</f>
        <v/>
      </c>
      <c r="M415" s="29">
        <f>IF(OR($A415="",NOT(ISNUMBER($W415)),NOT(ISNUMBER($X415))),"",IF(OR(INDEX('得意先'!$D$5:$D$104,$W415)="",INDEX('得意先'!$E$5:$E$104,$W415)="",INDEX('得意先'!$F$5:$F$104,$W415)=""),"",IF(INDEX('得意先'!$F$5:$F$104,$W415)="末",DATE(YEAR($X415),(MONTH($X415)+IF(INDEX('得意先'!$D$5:$D$104,$W415)="末",0,IF(DAY($X415)&lt;=INDEX('得意先'!$D$5:$D$104,$W415),0,1))+N(INDEX('得意先'!$E$5:$E$104,$W415)))+1,0),DATE(YEAR($X415),(MONTH($X415)+IF(INDEX('得意先'!$D$5:$D$104,$W415)="末",0,IF(DAY($X415)&lt;=INDEX('得意先'!$D$5:$D$104,$W415),0,1))+N(INDEX('得意先'!$E$5:$E$104,$W415))),MIN(INDEX('得意先'!$F$5:$F$104,$W415),DAY(DATE(YEAR($X415),(MONTH($X415)+IF(INDEX('得意先'!$D$5:$D$104,$W415)="末",0,IF(DAY($X415)&lt;=INDEX('得意先'!$D$5:$D$104,$W415),0,1))+N(INDEX('得意先'!$E$5:$E$104,$W415)))+1,0)))))))</f>
        <v/>
      </c>
      <c r="N415" s="26" t="n"/>
      <c r="O415" s="29">
        <f>IF($A415="","",IF(ISNUMBER($N415),$N415,$M415))</f>
        <v/>
      </c>
      <c r="P415" s="28">
        <f>IF($A415="","",SUMIF('入金消込'!$F$5:$F$1004,$A415,'入金消込'!$G$5:$G$1004))</f>
        <v/>
      </c>
      <c r="Q415" s="28">
        <f>IF($A415="","",SUMIF('入金消込'!$F$5:$F$1004,$A415,'入金消込'!$H$5:$H$1004)+SUMIF('入金消込'!$F$5:$F$1004,$A415,'入金消込'!$I$5:$I$1004))</f>
        <v/>
      </c>
      <c r="R415" s="28">
        <f>IF($A415="","",$L415-$P415-$Q415)</f>
        <v/>
      </c>
      <c r="S415" s="30">
        <f>IF($A415="","",IF($R415=0,IF($L415=0,"請求額0","回収済"),IF($L415&lt;0,IF($R415&lt;0,"差し引き待ち","差し引きすぎ"),IF($R415&lt;0,"入金が多い",IF($P415+$Q415=0,"未入金","一部入金")))))</f>
        <v/>
      </c>
      <c r="T415" s="31">
        <f>IF(OR($A415="",N($R415)&lt;=0,NOT(ISNUMBER($O415))),"",IF($O415&lt;'設定'!$B$7,'設定'!$B$7-$O415,""))</f>
        <v/>
      </c>
      <c r="U415" s="30">
        <f>IF(OR($A415="",N($R415)&lt;=0),"",IF(NOT(ISNUMBER($O415)),'設定'!$B$22,IF($O415&gt;='設定'!$B$7,'設定'!$B$17,IF('設定'!$B$7-$O415&lt;='設定'!$B$12,'設定'!$B$18,IF('設定'!$B$7-$O415&lt;='設定'!$B$13,'設定'!$B$19,IF('設定'!$B$7-$O415&lt;='設定'!$B$14,'設定'!$B$20,'設定'!$B$21))))))</f>
        <v/>
      </c>
      <c r="V415" s="56" t="n"/>
      <c r="W415" s="32">
        <f>IF($C415="","",IFERROR(MATCH($C415,'得意先'!$B$5:$B$104,0),"なし"))</f>
        <v/>
      </c>
      <c r="X415" s="33">
        <f>IF($A415="","",IF(ISNUMBER($E415),$E415,IF(ISNUMBER($B415),$B415,"")))</f>
        <v/>
      </c>
      <c r="Y415" s="34">
        <f>IF($T415="","",$O415+ROW()/1000000)</f>
        <v/>
      </c>
      <c r="Z415" s="35">
        <f>IF(OR($A415="",$C415="",$C415&lt;&gt;'売掛帳'!$B$3,NOT(ISNUMBER($X415))),"",IF(AND($X415&gt;='売掛帳'!$Q$3,$X415&lt;='売掛帳'!$Q$4),$X415+ROW()/10000000,""))</f>
        <v/>
      </c>
    </row>
    <row r="416" ht="18" customHeight="1">
      <c r="A416" s="18" t="n"/>
      <c r="B416" s="26" t="n"/>
      <c r="C416" s="18" t="n"/>
      <c r="D416" s="20">
        <f>IF($W416="","",IF($W416="なし","※得意先にないコード",INDEX('得意先'!$C$5:$C$104,$W416)&amp;""))</f>
        <v/>
      </c>
      <c r="E416" s="26" t="n"/>
      <c r="F416" s="19" t="n"/>
      <c r="G416" s="27" t="n"/>
      <c r="H416" s="27" t="n"/>
      <c r="I416" s="27" t="n"/>
      <c r="J416" s="28">
        <f>IF($A416="","",IF('設定'!$B$10="四捨五入",ROUND(IF('設定'!$B$9="税込",N($G416)*10/110,N($G416)*10/100),0),IF('設定'!$B$10="切り上げ",ROUNDUP(IF('設定'!$B$9="税込",N($G416)*10/110,N($G416)*10/100),0),ROUNDDOWN(IF('設定'!$B$9="税込",N($G416)*10/110,N($G416)*10/100),0))))</f>
        <v/>
      </c>
      <c r="K416" s="28">
        <f>IF($A416="","",IF('設定'!$B$10="四捨五入",ROUND(IF('設定'!$B$9="税込",N($H416)*8/108,N($H416)*8/100),0),IF('設定'!$B$10="切り上げ",ROUNDUP(IF('設定'!$B$9="税込",N($H416)*8/108,N($H416)*8/100),0),ROUNDDOWN(IF('設定'!$B$9="税込",N($H416)*8/108,N($H416)*8/100),0))))</f>
        <v/>
      </c>
      <c r="L416" s="28">
        <f>IF($A416="","",N($G416)+N($H416)+N($I416)+IF('設定'!$B$9="税込",0,$J416+$K416))</f>
        <v/>
      </c>
      <c r="M416" s="29">
        <f>IF(OR($A416="",NOT(ISNUMBER($W416)),NOT(ISNUMBER($X416))),"",IF(OR(INDEX('得意先'!$D$5:$D$104,$W416)="",INDEX('得意先'!$E$5:$E$104,$W416)="",INDEX('得意先'!$F$5:$F$104,$W416)=""),"",IF(INDEX('得意先'!$F$5:$F$104,$W416)="末",DATE(YEAR($X416),(MONTH($X416)+IF(INDEX('得意先'!$D$5:$D$104,$W416)="末",0,IF(DAY($X416)&lt;=INDEX('得意先'!$D$5:$D$104,$W416),0,1))+N(INDEX('得意先'!$E$5:$E$104,$W416)))+1,0),DATE(YEAR($X416),(MONTH($X416)+IF(INDEX('得意先'!$D$5:$D$104,$W416)="末",0,IF(DAY($X416)&lt;=INDEX('得意先'!$D$5:$D$104,$W416),0,1))+N(INDEX('得意先'!$E$5:$E$104,$W416))),MIN(INDEX('得意先'!$F$5:$F$104,$W416),DAY(DATE(YEAR($X416),(MONTH($X416)+IF(INDEX('得意先'!$D$5:$D$104,$W416)="末",0,IF(DAY($X416)&lt;=INDEX('得意先'!$D$5:$D$104,$W416),0,1))+N(INDEX('得意先'!$E$5:$E$104,$W416)))+1,0)))))))</f>
        <v/>
      </c>
      <c r="N416" s="26" t="n"/>
      <c r="O416" s="29">
        <f>IF($A416="","",IF(ISNUMBER($N416),$N416,$M416))</f>
        <v/>
      </c>
      <c r="P416" s="28">
        <f>IF($A416="","",SUMIF('入金消込'!$F$5:$F$1004,$A416,'入金消込'!$G$5:$G$1004))</f>
        <v/>
      </c>
      <c r="Q416" s="28">
        <f>IF($A416="","",SUMIF('入金消込'!$F$5:$F$1004,$A416,'入金消込'!$H$5:$H$1004)+SUMIF('入金消込'!$F$5:$F$1004,$A416,'入金消込'!$I$5:$I$1004))</f>
        <v/>
      </c>
      <c r="R416" s="28">
        <f>IF($A416="","",$L416-$P416-$Q416)</f>
        <v/>
      </c>
      <c r="S416" s="30">
        <f>IF($A416="","",IF($R416=0,IF($L416=0,"請求額0","回収済"),IF($L416&lt;0,IF($R416&lt;0,"差し引き待ち","差し引きすぎ"),IF($R416&lt;0,"入金が多い",IF($P416+$Q416=0,"未入金","一部入金")))))</f>
        <v/>
      </c>
      <c r="T416" s="31">
        <f>IF(OR($A416="",N($R416)&lt;=0,NOT(ISNUMBER($O416))),"",IF($O416&lt;'設定'!$B$7,'設定'!$B$7-$O416,""))</f>
        <v/>
      </c>
      <c r="U416" s="30">
        <f>IF(OR($A416="",N($R416)&lt;=0),"",IF(NOT(ISNUMBER($O416)),'設定'!$B$22,IF($O416&gt;='設定'!$B$7,'設定'!$B$17,IF('設定'!$B$7-$O416&lt;='設定'!$B$12,'設定'!$B$18,IF('設定'!$B$7-$O416&lt;='設定'!$B$13,'設定'!$B$19,IF('設定'!$B$7-$O416&lt;='設定'!$B$14,'設定'!$B$20,'設定'!$B$21))))))</f>
        <v/>
      </c>
      <c r="V416" s="56" t="n"/>
      <c r="W416" s="32">
        <f>IF($C416="","",IFERROR(MATCH($C416,'得意先'!$B$5:$B$104,0),"なし"))</f>
        <v/>
      </c>
      <c r="X416" s="33">
        <f>IF($A416="","",IF(ISNUMBER($E416),$E416,IF(ISNUMBER($B416),$B416,"")))</f>
        <v/>
      </c>
      <c r="Y416" s="34">
        <f>IF($T416="","",$O416+ROW()/1000000)</f>
        <v/>
      </c>
      <c r="Z416" s="35">
        <f>IF(OR($A416="",$C416="",$C416&lt;&gt;'売掛帳'!$B$3,NOT(ISNUMBER($X416))),"",IF(AND($X416&gt;='売掛帳'!$Q$3,$X416&lt;='売掛帳'!$Q$4),$X416+ROW()/10000000,""))</f>
        <v/>
      </c>
    </row>
    <row r="417" ht="18" customHeight="1">
      <c r="A417" s="18" t="n"/>
      <c r="B417" s="26" t="n"/>
      <c r="C417" s="18" t="n"/>
      <c r="D417" s="20">
        <f>IF($W417="","",IF($W417="なし","※得意先にないコード",INDEX('得意先'!$C$5:$C$104,$W417)&amp;""))</f>
        <v/>
      </c>
      <c r="E417" s="26" t="n"/>
      <c r="F417" s="19" t="n"/>
      <c r="G417" s="27" t="n"/>
      <c r="H417" s="27" t="n"/>
      <c r="I417" s="27" t="n"/>
      <c r="J417" s="28">
        <f>IF($A417="","",IF('設定'!$B$10="四捨五入",ROUND(IF('設定'!$B$9="税込",N($G417)*10/110,N($G417)*10/100),0),IF('設定'!$B$10="切り上げ",ROUNDUP(IF('設定'!$B$9="税込",N($G417)*10/110,N($G417)*10/100),0),ROUNDDOWN(IF('設定'!$B$9="税込",N($G417)*10/110,N($G417)*10/100),0))))</f>
        <v/>
      </c>
      <c r="K417" s="28">
        <f>IF($A417="","",IF('設定'!$B$10="四捨五入",ROUND(IF('設定'!$B$9="税込",N($H417)*8/108,N($H417)*8/100),0),IF('設定'!$B$10="切り上げ",ROUNDUP(IF('設定'!$B$9="税込",N($H417)*8/108,N($H417)*8/100),0),ROUNDDOWN(IF('設定'!$B$9="税込",N($H417)*8/108,N($H417)*8/100),0))))</f>
        <v/>
      </c>
      <c r="L417" s="28">
        <f>IF($A417="","",N($G417)+N($H417)+N($I417)+IF('設定'!$B$9="税込",0,$J417+$K417))</f>
        <v/>
      </c>
      <c r="M417" s="29">
        <f>IF(OR($A417="",NOT(ISNUMBER($W417)),NOT(ISNUMBER($X417))),"",IF(OR(INDEX('得意先'!$D$5:$D$104,$W417)="",INDEX('得意先'!$E$5:$E$104,$W417)="",INDEX('得意先'!$F$5:$F$104,$W417)=""),"",IF(INDEX('得意先'!$F$5:$F$104,$W417)="末",DATE(YEAR($X417),(MONTH($X417)+IF(INDEX('得意先'!$D$5:$D$104,$W417)="末",0,IF(DAY($X417)&lt;=INDEX('得意先'!$D$5:$D$104,$W417),0,1))+N(INDEX('得意先'!$E$5:$E$104,$W417)))+1,0),DATE(YEAR($X417),(MONTH($X417)+IF(INDEX('得意先'!$D$5:$D$104,$W417)="末",0,IF(DAY($X417)&lt;=INDEX('得意先'!$D$5:$D$104,$W417),0,1))+N(INDEX('得意先'!$E$5:$E$104,$W417))),MIN(INDEX('得意先'!$F$5:$F$104,$W417),DAY(DATE(YEAR($X417),(MONTH($X417)+IF(INDEX('得意先'!$D$5:$D$104,$W417)="末",0,IF(DAY($X417)&lt;=INDEX('得意先'!$D$5:$D$104,$W417),0,1))+N(INDEX('得意先'!$E$5:$E$104,$W417)))+1,0)))))))</f>
        <v/>
      </c>
      <c r="N417" s="26" t="n"/>
      <c r="O417" s="29">
        <f>IF($A417="","",IF(ISNUMBER($N417),$N417,$M417))</f>
        <v/>
      </c>
      <c r="P417" s="28">
        <f>IF($A417="","",SUMIF('入金消込'!$F$5:$F$1004,$A417,'入金消込'!$G$5:$G$1004))</f>
        <v/>
      </c>
      <c r="Q417" s="28">
        <f>IF($A417="","",SUMIF('入金消込'!$F$5:$F$1004,$A417,'入金消込'!$H$5:$H$1004)+SUMIF('入金消込'!$F$5:$F$1004,$A417,'入金消込'!$I$5:$I$1004))</f>
        <v/>
      </c>
      <c r="R417" s="28">
        <f>IF($A417="","",$L417-$P417-$Q417)</f>
        <v/>
      </c>
      <c r="S417" s="30">
        <f>IF($A417="","",IF($R417=0,IF($L417=0,"請求額0","回収済"),IF($L417&lt;0,IF($R417&lt;0,"差し引き待ち","差し引きすぎ"),IF($R417&lt;0,"入金が多い",IF($P417+$Q417=0,"未入金","一部入金")))))</f>
        <v/>
      </c>
      <c r="T417" s="31">
        <f>IF(OR($A417="",N($R417)&lt;=0,NOT(ISNUMBER($O417))),"",IF($O417&lt;'設定'!$B$7,'設定'!$B$7-$O417,""))</f>
        <v/>
      </c>
      <c r="U417" s="30">
        <f>IF(OR($A417="",N($R417)&lt;=0),"",IF(NOT(ISNUMBER($O417)),'設定'!$B$22,IF($O417&gt;='設定'!$B$7,'設定'!$B$17,IF('設定'!$B$7-$O417&lt;='設定'!$B$12,'設定'!$B$18,IF('設定'!$B$7-$O417&lt;='設定'!$B$13,'設定'!$B$19,IF('設定'!$B$7-$O417&lt;='設定'!$B$14,'設定'!$B$20,'設定'!$B$21))))))</f>
        <v/>
      </c>
      <c r="V417" s="56" t="n"/>
      <c r="W417" s="32">
        <f>IF($C417="","",IFERROR(MATCH($C417,'得意先'!$B$5:$B$104,0),"なし"))</f>
        <v/>
      </c>
      <c r="X417" s="33">
        <f>IF($A417="","",IF(ISNUMBER($E417),$E417,IF(ISNUMBER($B417),$B417,"")))</f>
        <v/>
      </c>
      <c r="Y417" s="34">
        <f>IF($T417="","",$O417+ROW()/1000000)</f>
        <v/>
      </c>
      <c r="Z417" s="35">
        <f>IF(OR($A417="",$C417="",$C417&lt;&gt;'売掛帳'!$B$3,NOT(ISNUMBER($X417))),"",IF(AND($X417&gt;='売掛帳'!$Q$3,$X417&lt;='売掛帳'!$Q$4),$X417+ROW()/10000000,""))</f>
        <v/>
      </c>
    </row>
    <row r="418" ht="18" customHeight="1">
      <c r="A418" s="18" t="n"/>
      <c r="B418" s="26" t="n"/>
      <c r="C418" s="18" t="n"/>
      <c r="D418" s="20">
        <f>IF($W418="","",IF($W418="なし","※得意先にないコード",INDEX('得意先'!$C$5:$C$104,$W418)&amp;""))</f>
        <v/>
      </c>
      <c r="E418" s="26" t="n"/>
      <c r="F418" s="19" t="n"/>
      <c r="G418" s="27" t="n"/>
      <c r="H418" s="27" t="n"/>
      <c r="I418" s="27" t="n"/>
      <c r="J418" s="28">
        <f>IF($A418="","",IF('設定'!$B$10="四捨五入",ROUND(IF('設定'!$B$9="税込",N($G418)*10/110,N($G418)*10/100),0),IF('設定'!$B$10="切り上げ",ROUNDUP(IF('設定'!$B$9="税込",N($G418)*10/110,N($G418)*10/100),0),ROUNDDOWN(IF('設定'!$B$9="税込",N($G418)*10/110,N($G418)*10/100),0))))</f>
        <v/>
      </c>
      <c r="K418" s="28">
        <f>IF($A418="","",IF('設定'!$B$10="四捨五入",ROUND(IF('設定'!$B$9="税込",N($H418)*8/108,N($H418)*8/100),0),IF('設定'!$B$10="切り上げ",ROUNDUP(IF('設定'!$B$9="税込",N($H418)*8/108,N($H418)*8/100),0),ROUNDDOWN(IF('設定'!$B$9="税込",N($H418)*8/108,N($H418)*8/100),0))))</f>
        <v/>
      </c>
      <c r="L418" s="28">
        <f>IF($A418="","",N($G418)+N($H418)+N($I418)+IF('設定'!$B$9="税込",0,$J418+$K418))</f>
        <v/>
      </c>
      <c r="M418" s="29">
        <f>IF(OR($A418="",NOT(ISNUMBER($W418)),NOT(ISNUMBER($X418))),"",IF(OR(INDEX('得意先'!$D$5:$D$104,$W418)="",INDEX('得意先'!$E$5:$E$104,$W418)="",INDEX('得意先'!$F$5:$F$104,$W418)=""),"",IF(INDEX('得意先'!$F$5:$F$104,$W418)="末",DATE(YEAR($X418),(MONTH($X418)+IF(INDEX('得意先'!$D$5:$D$104,$W418)="末",0,IF(DAY($X418)&lt;=INDEX('得意先'!$D$5:$D$104,$W418),0,1))+N(INDEX('得意先'!$E$5:$E$104,$W418)))+1,0),DATE(YEAR($X418),(MONTH($X418)+IF(INDEX('得意先'!$D$5:$D$104,$W418)="末",0,IF(DAY($X418)&lt;=INDEX('得意先'!$D$5:$D$104,$W418),0,1))+N(INDEX('得意先'!$E$5:$E$104,$W418))),MIN(INDEX('得意先'!$F$5:$F$104,$W418),DAY(DATE(YEAR($X418),(MONTH($X418)+IF(INDEX('得意先'!$D$5:$D$104,$W418)="末",0,IF(DAY($X418)&lt;=INDEX('得意先'!$D$5:$D$104,$W418),0,1))+N(INDEX('得意先'!$E$5:$E$104,$W418)))+1,0)))))))</f>
        <v/>
      </c>
      <c r="N418" s="26" t="n"/>
      <c r="O418" s="29">
        <f>IF($A418="","",IF(ISNUMBER($N418),$N418,$M418))</f>
        <v/>
      </c>
      <c r="P418" s="28">
        <f>IF($A418="","",SUMIF('入金消込'!$F$5:$F$1004,$A418,'入金消込'!$G$5:$G$1004))</f>
        <v/>
      </c>
      <c r="Q418" s="28">
        <f>IF($A418="","",SUMIF('入金消込'!$F$5:$F$1004,$A418,'入金消込'!$H$5:$H$1004)+SUMIF('入金消込'!$F$5:$F$1004,$A418,'入金消込'!$I$5:$I$1004))</f>
        <v/>
      </c>
      <c r="R418" s="28">
        <f>IF($A418="","",$L418-$P418-$Q418)</f>
        <v/>
      </c>
      <c r="S418" s="30">
        <f>IF($A418="","",IF($R418=0,IF($L418=0,"請求額0","回収済"),IF($L418&lt;0,IF($R418&lt;0,"差し引き待ち","差し引きすぎ"),IF($R418&lt;0,"入金が多い",IF($P418+$Q418=0,"未入金","一部入金")))))</f>
        <v/>
      </c>
      <c r="T418" s="31">
        <f>IF(OR($A418="",N($R418)&lt;=0,NOT(ISNUMBER($O418))),"",IF($O418&lt;'設定'!$B$7,'設定'!$B$7-$O418,""))</f>
        <v/>
      </c>
      <c r="U418" s="30">
        <f>IF(OR($A418="",N($R418)&lt;=0),"",IF(NOT(ISNUMBER($O418)),'設定'!$B$22,IF($O418&gt;='設定'!$B$7,'設定'!$B$17,IF('設定'!$B$7-$O418&lt;='設定'!$B$12,'設定'!$B$18,IF('設定'!$B$7-$O418&lt;='設定'!$B$13,'設定'!$B$19,IF('設定'!$B$7-$O418&lt;='設定'!$B$14,'設定'!$B$20,'設定'!$B$21))))))</f>
        <v/>
      </c>
      <c r="V418" s="56" t="n"/>
      <c r="W418" s="32">
        <f>IF($C418="","",IFERROR(MATCH($C418,'得意先'!$B$5:$B$104,0),"なし"))</f>
        <v/>
      </c>
      <c r="X418" s="33">
        <f>IF($A418="","",IF(ISNUMBER($E418),$E418,IF(ISNUMBER($B418),$B418,"")))</f>
        <v/>
      </c>
      <c r="Y418" s="34">
        <f>IF($T418="","",$O418+ROW()/1000000)</f>
        <v/>
      </c>
      <c r="Z418" s="35">
        <f>IF(OR($A418="",$C418="",$C418&lt;&gt;'売掛帳'!$B$3,NOT(ISNUMBER($X418))),"",IF(AND($X418&gt;='売掛帳'!$Q$3,$X418&lt;='売掛帳'!$Q$4),$X418+ROW()/10000000,""))</f>
        <v/>
      </c>
    </row>
    <row r="419" ht="18" customHeight="1">
      <c r="A419" s="18" t="n"/>
      <c r="B419" s="26" t="n"/>
      <c r="C419" s="18" t="n"/>
      <c r="D419" s="20">
        <f>IF($W419="","",IF($W419="なし","※得意先にないコード",INDEX('得意先'!$C$5:$C$104,$W419)&amp;""))</f>
        <v/>
      </c>
      <c r="E419" s="26" t="n"/>
      <c r="F419" s="19" t="n"/>
      <c r="G419" s="27" t="n"/>
      <c r="H419" s="27" t="n"/>
      <c r="I419" s="27" t="n"/>
      <c r="J419" s="28">
        <f>IF($A419="","",IF('設定'!$B$10="四捨五入",ROUND(IF('設定'!$B$9="税込",N($G419)*10/110,N($G419)*10/100),0),IF('設定'!$B$10="切り上げ",ROUNDUP(IF('設定'!$B$9="税込",N($G419)*10/110,N($G419)*10/100),0),ROUNDDOWN(IF('設定'!$B$9="税込",N($G419)*10/110,N($G419)*10/100),0))))</f>
        <v/>
      </c>
      <c r="K419" s="28">
        <f>IF($A419="","",IF('設定'!$B$10="四捨五入",ROUND(IF('設定'!$B$9="税込",N($H419)*8/108,N($H419)*8/100),0),IF('設定'!$B$10="切り上げ",ROUNDUP(IF('設定'!$B$9="税込",N($H419)*8/108,N($H419)*8/100),0),ROUNDDOWN(IF('設定'!$B$9="税込",N($H419)*8/108,N($H419)*8/100),0))))</f>
        <v/>
      </c>
      <c r="L419" s="28">
        <f>IF($A419="","",N($G419)+N($H419)+N($I419)+IF('設定'!$B$9="税込",0,$J419+$K419))</f>
        <v/>
      </c>
      <c r="M419" s="29">
        <f>IF(OR($A419="",NOT(ISNUMBER($W419)),NOT(ISNUMBER($X419))),"",IF(OR(INDEX('得意先'!$D$5:$D$104,$W419)="",INDEX('得意先'!$E$5:$E$104,$W419)="",INDEX('得意先'!$F$5:$F$104,$W419)=""),"",IF(INDEX('得意先'!$F$5:$F$104,$W419)="末",DATE(YEAR($X419),(MONTH($X419)+IF(INDEX('得意先'!$D$5:$D$104,$W419)="末",0,IF(DAY($X419)&lt;=INDEX('得意先'!$D$5:$D$104,$W419),0,1))+N(INDEX('得意先'!$E$5:$E$104,$W419)))+1,0),DATE(YEAR($X419),(MONTH($X419)+IF(INDEX('得意先'!$D$5:$D$104,$W419)="末",0,IF(DAY($X419)&lt;=INDEX('得意先'!$D$5:$D$104,$W419),0,1))+N(INDEX('得意先'!$E$5:$E$104,$W419))),MIN(INDEX('得意先'!$F$5:$F$104,$W419),DAY(DATE(YEAR($X419),(MONTH($X419)+IF(INDEX('得意先'!$D$5:$D$104,$W419)="末",0,IF(DAY($X419)&lt;=INDEX('得意先'!$D$5:$D$104,$W419),0,1))+N(INDEX('得意先'!$E$5:$E$104,$W419)))+1,0)))))))</f>
        <v/>
      </c>
      <c r="N419" s="26" t="n"/>
      <c r="O419" s="29">
        <f>IF($A419="","",IF(ISNUMBER($N419),$N419,$M419))</f>
        <v/>
      </c>
      <c r="P419" s="28">
        <f>IF($A419="","",SUMIF('入金消込'!$F$5:$F$1004,$A419,'入金消込'!$G$5:$G$1004))</f>
        <v/>
      </c>
      <c r="Q419" s="28">
        <f>IF($A419="","",SUMIF('入金消込'!$F$5:$F$1004,$A419,'入金消込'!$H$5:$H$1004)+SUMIF('入金消込'!$F$5:$F$1004,$A419,'入金消込'!$I$5:$I$1004))</f>
        <v/>
      </c>
      <c r="R419" s="28">
        <f>IF($A419="","",$L419-$P419-$Q419)</f>
        <v/>
      </c>
      <c r="S419" s="30">
        <f>IF($A419="","",IF($R419=0,IF($L419=0,"請求額0","回収済"),IF($L419&lt;0,IF($R419&lt;0,"差し引き待ち","差し引きすぎ"),IF($R419&lt;0,"入金が多い",IF($P419+$Q419=0,"未入金","一部入金")))))</f>
        <v/>
      </c>
      <c r="T419" s="31">
        <f>IF(OR($A419="",N($R419)&lt;=0,NOT(ISNUMBER($O419))),"",IF($O419&lt;'設定'!$B$7,'設定'!$B$7-$O419,""))</f>
        <v/>
      </c>
      <c r="U419" s="30">
        <f>IF(OR($A419="",N($R419)&lt;=0),"",IF(NOT(ISNUMBER($O419)),'設定'!$B$22,IF($O419&gt;='設定'!$B$7,'設定'!$B$17,IF('設定'!$B$7-$O419&lt;='設定'!$B$12,'設定'!$B$18,IF('設定'!$B$7-$O419&lt;='設定'!$B$13,'設定'!$B$19,IF('設定'!$B$7-$O419&lt;='設定'!$B$14,'設定'!$B$20,'設定'!$B$21))))))</f>
        <v/>
      </c>
      <c r="V419" s="56" t="n"/>
      <c r="W419" s="32">
        <f>IF($C419="","",IFERROR(MATCH($C419,'得意先'!$B$5:$B$104,0),"なし"))</f>
        <v/>
      </c>
      <c r="X419" s="33">
        <f>IF($A419="","",IF(ISNUMBER($E419),$E419,IF(ISNUMBER($B419),$B419,"")))</f>
        <v/>
      </c>
      <c r="Y419" s="34">
        <f>IF($T419="","",$O419+ROW()/1000000)</f>
        <v/>
      </c>
      <c r="Z419" s="35">
        <f>IF(OR($A419="",$C419="",$C419&lt;&gt;'売掛帳'!$B$3,NOT(ISNUMBER($X419))),"",IF(AND($X419&gt;='売掛帳'!$Q$3,$X419&lt;='売掛帳'!$Q$4),$X419+ROW()/10000000,""))</f>
        <v/>
      </c>
    </row>
    <row r="420" ht="18" customHeight="1">
      <c r="A420" s="18" t="n"/>
      <c r="B420" s="26" t="n"/>
      <c r="C420" s="18" t="n"/>
      <c r="D420" s="20">
        <f>IF($W420="","",IF($W420="なし","※得意先にないコード",INDEX('得意先'!$C$5:$C$104,$W420)&amp;""))</f>
        <v/>
      </c>
      <c r="E420" s="26" t="n"/>
      <c r="F420" s="19" t="n"/>
      <c r="G420" s="27" t="n"/>
      <c r="H420" s="27" t="n"/>
      <c r="I420" s="27" t="n"/>
      <c r="J420" s="28">
        <f>IF($A420="","",IF('設定'!$B$10="四捨五入",ROUND(IF('設定'!$B$9="税込",N($G420)*10/110,N($G420)*10/100),0),IF('設定'!$B$10="切り上げ",ROUNDUP(IF('設定'!$B$9="税込",N($G420)*10/110,N($G420)*10/100),0),ROUNDDOWN(IF('設定'!$B$9="税込",N($G420)*10/110,N($G420)*10/100),0))))</f>
        <v/>
      </c>
      <c r="K420" s="28">
        <f>IF($A420="","",IF('設定'!$B$10="四捨五入",ROUND(IF('設定'!$B$9="税込",N($H420)*8/108,N($H420)*8/100),0),IF('設定'!$B$10="切り上げ",ROUNDUP(IF('設定'!$B$9="税込",N($H420)*8/108,N($H420)*8/100),0),ROUNDDOWN(IF('設定'!$B$9="税込",N($H420)*8/108,N($H420)*8/100),0))))</f>
        <v/>
      </c>
      <c r="L420" s="28">
        <f>IF($A420="","",N($G420)+N($H420)+N($I420)+IF('設定'!$B$9="税込",0,$J420+$K420))</f>
        <v/>
      </c>
      <c r="M420" s="29">
        <f>IF(OR($A420="",NOT(ISNUMBER($W420)),NOT(ISNUMBER($X420))),"",IF(OR(INDEX('得意先'!$D$5:$D$104,$W420)="",INDEX('得意先'!$E$5:$E$104,$W420)="",INDEX('得意先'!$F$5:$F$104,$W420)=""),"",IF(INDEX('得意先'!$F$5:$F$104,$W420)="末",DATE(YEAR($X420),(MONTH($X420)+IF(INDEX('得意先'!$D$5:$D$104,$W420)="末",0,IF(DAY($X420)&lt;=INDEX('得意先'!$D$5:$D$104,$W420),0,1))+N(INDEX('得意先'!$E$5:$E$104,$W420)))+1,0),DATE(YEAR($X420),(MONTH($X420)+IF(INDEX('得意先'!$D$5:$D$104,$W420)="末",0,IF(DAY($X420)&lt;=INDEX('得意先'!$D$5:$D$104,$W420),0,1))+N(INDEX('得意先'!$E$5:$E$104,$W420))),MIN(INDEX('得意先'!$F$5:$F$104,$W420),DAY(DATE(YEAR($X420),(MONTH($X420)+IF(INDEX('得意先'!$D$5:$D$104,$W420)="末",0,IF(DAY($X420)&lt;=INDEX('得意先'!$D$5:$D$104,$W420),0,1))+N(INDEX('得意先'!$E$5:$E$104,$W420)))+1,0)))))))</f>
        <v/>
      </c>
      <c r="N420" s="26" t="n"/>
      <c r="O420" s="29">
        <f>IF($A420="","",IF(ISNUMBER($N420),$N420,$M420))</f>
        <v/>
      </c>
      <c r="P420" s="28">
        <f>IF($A420="","",SUMIF('入金消込'!$F$5:$F$1004,$A420,'入金消込'!$G$5:$G$1004))</f>
        <v/>
      </c>
      <c r="Q420" s="28">
        <f>IF($A420="","",SUMIF('入金消込'!$F$5:$F$1004,$A420,'入金消込'!$H$5:$H$1004)+SUMIF('入金消込'!$F$5:$F$1004,$A420,'入金消込'!$I$5:$I$1004))</f>
        <v/>
      </c>
      <c r="R420" s="28">
        <f>IF($A420="","",$L420-$P420-$Q420)</f>
        <v/>
      </c>
      <c r="S420" s="30">
        <f>IF($A420="","",IF($R420=0,IF($L420=0,"請求額0","回収済"),IF($L420&lt;0,IF($R420&lt;0,"差し引き待ち","差し引きすぎ"),IF($R420&lt;0,"入金が多い",IF($P420+$Q420=0,"未入金","一部入金")))))</f>
        <v/>
      </c>
      <c r="T420" s="31">
        <f>IF(OR($A420="",N($R420)&lt;=0,NOT(ISNUMBER($O420))),"",IF($O420&lt;'設定'!$B$7,'設定'!$B$7-$O420,""))</f>
        <v/>
      </c>
      <c r="U420" s="30">
        <f>IF(OR($A420="",N($R420)&lt;=0),"",IF(NOT(ISNUMBER($O420)),'設定'!$B$22,IF($O420&gt;='設定'!$B$7,'設定'!$B$17,IF('設定'!$B$7-$O420&lt;='設定'!$B$12,'設定'!$B$18,IF('設定'!$B$7-$O420&lt;='設定'!$B$13,'設定'!$B$19,IF('設定'!$B$7-$O420&lt;='設定'!$B$14,'設定'!$B$20,'設定'!$B$21))))))</f>
        <v/>
      </c>
      <c r="V420" s="56" t="n"/>
      <c r="W420" s="32">
        <f>IF($C420="","",IFERROR(MATCH($C420,'得意先'!$B$5:$B$104,0),"なし"))</f>
        <v/>
      </c>
      <c r="X420" s="33">
        <f>IF($A420="","",IF(ISNUMBER($E420),$E420,IF(ISNUMBER($B420),$B420,"")))</f>
        <v/>
      </c>
      <c r="Y420" s="34">
        <f>IF($T420="","",$O420+ROW()/1000000)</f>
        <v/>
      </c>
      <c r="Z420" s="35">
        <f>IF(OR($A420="",$C420="",$C420&lt;&gt;'売掛帳'!$B$3,NOT(ISNUMBER($X420))),"",IF(AND($X420&gt;='売掛帳'!$Q$3,$X420&lt;='売掛帳'!$Q$4),$X420+ROW()/10000000,""))</f>
        <v/>
      </c>
    </row>
    <row r="421" ht="18" customHeight="1">
      <c r="A421" s="18" t="n"/>
      <c r="B421" s="26" t="n"/>
      <c r="C421" s="18" t="n"/>
      <c r="D421" s="20">
        <f>IF($W421="","",IF($W421="なし","※得意先にないコード",INDEX('得意先'!$C$5:$C$104,$W421)&amp;""))</f>
        <v/>
      </c>
      <c r="E421" s="26" t="n"/>
      <c r="F421" s="19" t="n"/>
      <c r="G421" s="27" t="n"/>
      <c r="H421" s="27" t="n"/>
      <c r="I421" s="27" t="n"/>
      <c r="J421" s="28">
        <f>IF($A421="","",IF('設定'!$B$10="四捨五入",ROUND(IF('設定'!$B$9="税込",N($G421)*10/110,N($G421)*10/100),0),IF('設定'!$B$10="切り上げ",ROUNDUP(IF('設定'!$B$9="税込",N($G421)*10/110,N($G421)*10/100),0),ROUNDDOWN(IF('設定'!$B$9="税込",N($G421)*10/110,N($G421)*10/100),0))))</f>
        <v/>
      </c>
      <c r="K421" s="28">
        <f>IF($A421="","",IF('設定'!$B$10="四捨五入",ROUND(IF('設定'!$B$9="税込",N($H421)*8/108,N($H421)*8/100),0),IF('設定'!$B$10="切り上げ",ROUNDUP(IF('設定'!$B$9="税込",N($H421)*8/108,N($H421)*8/100),0),ROUNDDOWN(IF('設定'!$B$9="税込",N($H421)*8/108,N($H421)*8/100),0))))</f>
        <v/>
      </c>
      <c r="L421" s="28">
        <f>IF($A421="","",N($G421)+N($H421)+N($I421)+IF('設定'!$B$9="税込",0,$J421+$K421))</f>
        <v/>
      </c>
      <c r="M421" s="29">
        <f>IF(OR($A421="",NOT(ISNUMBER($W421)),NOT(ISNUMBER($X421))),"",IF(OR(INDEX('得意先'!$D$5:$D$104,$W421)="",INDEX('得意先'!$E$5:$E$104,$W421)="",INDEX('得意先'!$F$5:$F$104,$W421)=""),"",IF(INDEX('得意先'!$F$5:$F$104,$W421)="末",DATE(YEAR($X421),(MONTH($X421)+IF(INDEX('得意先'!$D$5:$D$104,$W421)="末",0,IF(DAY($X421)&lt;=INDEX('得意先'!$D$5:$D$104,$W421),0,1))+N(INDEX('得意先'!$E$5:$E$104,$W421)))+1,0),DATE(YEAR($X421),(MONTH($X421)+IF(INDEX('得意先'!$D$5:$D$104,$W421)="末",0,IF(DAY($X421)&lt;=INDEX('得意先'!$D$5:$D$104,$W421),0,1))+N(INDEX('得意先'!$E$5:$E$104,$W421))),MIN(INDEX('得意先'!$F$5:$F$104,$W421),DAY(DATE(YEAR($X421),(MONTH($X421)+IF(INDEX('得意先'!$D$5:$D$104,$W421)="末",0,IF(DAY($X421)&lt;=INDEX('得意先'!$D$5:$D$104,$W421),0,1))+N(INDEX('得意先'!$E$5:$E$104,$W421)))+1,0)))))))</f>
        <v/>
      </c>
      <c r="N421" s="26" t="n"/>
      <c r="O421" s="29">
        <f>IF($A421="","",IF(ISNUMBER($N421),$N421,$M421))</f>
        <v/>
      </c>
      <c r="P421" s="28">
        <f>IF($A421="","",SUMIF('入金消込'!$F$5:$F$1004,$A421,'入金消込'!$G$5:$G$1004))</f>
        <v/>
      </c>
      <c r="Q421" s="28">
        <f>IF($A421="","",SUMIF('入金消込'!$F$5:$F$1004,$A421,'入金消込'!$H$5:$H$1004)+SUMIF('入金消込'!$F$5:$F$1004,$A421,'入金消込'!$I$5:$I$1004))</f>
        <v/>
      </c>
      <c r="R421" s="28">
        <f>IF($A421="","",$L421-$P421-$Q421)</f>
        <v/>
      </c>
      <c r="S421" s="30">
        <f>IF($A421="","",IF($R421=0,IF($L421=0,"請求額0","回収済"),IF($L421&lt;0,IF($R421&lt;0,"差し引き待ち","差し引きすぎ"),IF($R421&lt;0,"入金が多い",IF($P421+$Q421=0,"未入金","一部入金")))))</f>
        <v/>
      </c>
      <c r="T421" s="31">
        <f>IF(OR($A421="",N($R421)&lt;=0,NOT(ISNUMBER($O421))),"",IF($O421&lt;'設定'!$B$7,'設定'!$B$7-$O421,""))</f>
        <v/>
      </c>
      <c r="U421" s="30">
        <f>IF(OR($A421="",N($R421)&lt;=0),"",IF(NOT(ISNUMBER($O421)),'設定'!$B$22,IF($O421&gt;='設定'!$B$7,'設定'!$B$17,IF('設定'!$B$7-$O421&lt;='設定'!$B$12,'設定'!$B$18,IF('設定'!$B$7-$O421&lt;='設定'!$B$13,'設定'!$B$19,IF('設定'!$B$7-$O421&lt;='設定'!$B$14,'設定'!$B$20,'設定'!$B$21))))))</f>
        <v/>
      </c>
      <c r="V421" s="56" t="n"/>
      <c r="W421" s="32">
        <f>IF($C421="","",IFERROR(MATCH($C421,'得意先'!$B$5:$B$104,0),"なし"))</f>
        <v/>
      </c>
      <c r="X421" s="33">
        <f>IF($A421="","",IF(ISNUMBER($E421),$E421,IF(ISNUMBER($B421),$B421,"")))</f>
        <v/>
      </c>
      <c r="Y421" s="34">
        <f>IF($T421="","",$O421+ROW()/1000000)</f>
        <v/>
      </c>
      <c r="Z421" s="35">
        <f>IF(OR($A421="",$C421="",$C421&lt;&gt;'売掛帳'!$B$3,NOT(ISNUMBER($X421))),"",IF(AND($X421&gt;='売掛帳'!$Q$3,$X421&lt;='売掛帳'!$Q$4),$X421+ROW()/10000000,""))</f>
        <v/>
      </c>
    </row>
    <row r="422" ht="18" customHeight="1">
      <c r="A422" s="18" t="n"/>
      <c r="B422" s="26" t="n"/>
      <c r="C422" s="18" t="n"/>
      <c r="D422" s="20">
        <f>IF($W422="","",IF($W422="なし","※得意先にないコード",INDEX('得意先'!$C$5:$C$104,$W422)&amp;""))</f>
        <v/>
      </c>
      <c r="E422" s="26" t="n"/>
      <c r="F422" s="19" t="n"/>
      <c r="G422" s="27" t="n"/>
      <c r="H422" s="27" t="n"/>
      <c r="I422" s="27" t="n"/>
      <c r="J422" s="28">
        <f>IF($A422="","",IF('設定'!$B$10="四捨五入",ROUND(IF('設定'!$B$9="税込",N($G422)*10/110,N($G422)*10/100),0),IF('設定'!$B$10="切り上げ",ROUNDUP(IF('設定'!$B$9="税込",N($G422)*10/110,N($G422)*10/100),0),ROUNDDOWN(IF('設定'!$B$9="税込",N($G422)*10/110,N($G422)*10/100),0))))</f>
        <v/>
      </c>
      <c r="K422" s="28">
        <f>IF($A422="","",IF('設定'!$B$10="四捨五入",ROUND(IF('設定'!$B$9="税込",N($H422)*8/108,N($H422)*8/100),0),IF('設定'!$B$10="切り上げ",ROUNDUP(IF('設定'!$B$9="税込",N($H422)*8/108,N($H422)*8/100),0),ROUNDDOWN(IF('設定'!$B$9="税込",N($H422)*8/108,N($H422)*8/100),0))))</f>
        <v/>
      </c>
      <c r="L422" s="28">
        <f>IF($A422="","",N($G422)+N($H422)+N($I422)+IF('設定'!$B$9="税込",0,$J422+$K422))</f>
        <v/>
      </c>
      <c r="M422" s="29">
        <f>IF(OR($A422="",NOT(ISNUMBER($W422)),NOT(ISNUMBER($X422))),"",IF(OR(INDEX('得意先'!$D$5:$D$104,$W422)="",INDEX('得意先'!$E$5:$E$104,$W422)="",INDEX('得意先'!$F$5:$F$104,$W422)=""),"",IF(INDEX('得意先'!$F$5:$F$104,$W422)="末",DATE(YEAR($X422),(MONTH($X422)+IF(INDEX('得意先'!$D$5:$D$104,$W422)="末",0,IF(DAY($X422)&lt;=INDEX('得意先'!$D$5:$D$104,$W422),0,1))+N(INDEX('得意先'!$E$5:$E$104,$W422)))+1,0),DATE(YEAR($X422),(MONTH($X422)+IF(INDEX('得意先'!$D$5:$D$104,$W422)="末",0,IF(DAY($X422)&lt;=INDEX('得意先'!$D$5:$D$104,$W422),0,1))+N(INDEX('得意先'!$E$5:$E$104,$W422))),MIN(INDEX('得意先'!$F$5:$F$104,$W422),DAY(DATE(YEAR($X422),(MONTH($X422)+IF(INDEX('得意先'!$D$5:$D$104,$W422)="末",0,IF(DAY($X422)&lt;=INDEX('得意先'!$D$5:$D$104,$W422),0,1))+N(INDEX('得意先'!$E$5:$E$104,$W422)))+1,0)))))))</f>
        <v/>
      </c>
      <c r="N422" s="26" t="n"/>
      <c r="O422" s="29">
        <f>IF($A422="","",IF(ISNUMBER($N422),$N422,$M422))</f>
        <v/>
      </c>
      <c r="P422" s="28">
        <f>IF($A422="","",SUMIF('入金消込'!$F$5:$F$1004,$A422,'入金消込'!$G$5:$G$1004))</f>
        <v/>
      </c>
      <c r="Q422" s="28">
        <f>IF($A422="","",SUMIF('入金消込'!$F$5:$F$1004,$A422,'入金消込'!$H$5:$H$1004)+SUMIF('入金消込'!$F$5:$F$1004,$A422,'入金消込'!$I$5:$I$1004))</f>
        <v/>
      </c>
      <c r="R422" s="28">
        <f>IF($A422="","",$L422-$P422-$Q422)</f>
        <v/>
      </c>
      <c r="S422" s="30">
        <f>IF($A422="","",IF($R422=0,IF($L422=0,"請求額0","回収済"),IF($L422&lt;0,IF($R422&lt;0,"差し引き待ち","差し引きすぎ"),IF($R422&lt;0,"入金が多い",IF($P422+$Q422=0,"未入金","一部入金")))))</f>
        <v/>
      </c>
      <c r="T422" s="31">
        <f>IF(OR($A422="",N($R422)&lt;=0,NOT(ISNUMBER($O422))),"",IF($O422&lt;'設定'!$B$7,'設定'!$B$7-$O422,""))</f>
        <v/>
      </c>
      <c r="U422" s="30">
        <f>IF(OR($A422="",N($R422)&lt;=0),"",IF(NOT(ISNUMBER($O422)),'設定'!$B$22,IF($O422&gt;='設定'!$B$7,'設定'!$B$17,IF('設定'!$B$7-$O422&lt;='設定'!$B$12,'設定'!$B$18,IF('設定'!$B$7-$O422&lt;='設定'!$B$13,'設定'!$B$19,IF('設定'!$B$7-$O422&lt;='設定'!$B$14,'設定'!$B$20,'設定'!$B$21))))))</f>
        <v/>
      </c>
      <c r="V422" s="56" t="n"/>
      <c r="W422" s="32">
        <f>IF($C422="","",IFERROR(MATCH($C422,'得意先'!$B$5:$B$104,0),"なし"))</f>
        <v/>
      </c>
      <c r="X422" s="33">
        <f>IF($A422="","",IF(ISNUMBER($E422),$E422,IF(ISNUMBER($B422),$B422,"")))</f>
        <v/>
      </c>
      <c r="Y422" s="34">
        <f>IF($T422="","",$O422+ROW()/1000000)</f>
        <v/>
      </c>
      <c r="Z422" s="35">
        <f>IF(OR($A422="",$C422="",$C422&lt;&gt;'売掛帳'!$B$3,NOT(ISNUMBER($X422))),"",IF(AND($X422&gt;='売掛帳'!$Q$3,$X422&lt;='売掛帳'!$Q$4),$X422+ROW()/10000000,""))</f>
        <v/>
      </c>
    </row>
    <row r="423" ht="18" customHeight="1">
      <c r="A423" s="18" t="n"/>
      <c r="B423" s="26" t="n"/>
      <c r="C423" s="18" t="n"/>
      <c r="D423" s="20">
        <f>IF($W423="","",IF($W423="なし","※得意先にないコード",INDEX('得意先'!$C$5:$C$104,$W423)&amp;""))</f>
        <v/>
      </c>
      <c r="E423" s="26" t="n"/>
      <c r="F423" s="19" t="n"/>
      <c r="G423" s="27" t="n"/>
      <c r="H423" s="27" t="n"/>
      <c r="I423" s="27" t="n"/>
      <c r="J423" s="28">
        <f>IF($A423="","",IF('設定'!$B$10="四捨五入",ROUND(IF('設定'!$B$9="税込",N($G423)*10/110,N($G423)*10/100),0),IF('設定'!$B$10="切り上げ",ROUNDUP(IF('設定'!$B$9="税込",N($G423)*10/110,N($G423)*10/100),0),ROUNDDOWN(IF('設定'!$B$9="税込",N($G423)*10/110,N($G423)*10/100),0))))</f>
        <v/>
      </c>
      <c r="K423" s="28">
        <f>IF($A423="","",IF('設定'!$B$10="四捨五入",ROUND(IF('設定'!$B$9="税込",N($H423)*8/108,N($H423)*8/100),0),IF('設定'!$B$10="切り上げ",ROUNDUP(IF('設定'!$B$9="税込",N($H423)*8/108,N($H423)*8/100),0),ROUNDDOWN(IF('設定'!$B$9="税込",N($H423)*8/108,N($H423)*8/100),0))))</f>
        <v/>
      </c>
      <c r="L423" s="28">
        <f>IF($A423="","",N($G423)+N($H423)+N($I423)+IF('設定'!$B$9="税込",0,$J423+$K423))</f>
        <v/>
      </c>
      <c r="M423" s="29">
        <f>IF(OR($A423="",NOT(ISNUMBER($W423)),NOT(ISNUMBER($X423))),"",IF(OR(INDEX('得意先'!$D$5:$D$104,$W423)="",INDEX('得意先'!$E$5:$E$104,$W423)="",INDEX('得意先'!$F$5:$F$104,$W423)=""),"",IF(INDEX('得意先'!$F$5:$F$104,$W423)="末",DATE(YEAR($X423),(MONTH($X423)+IF(INDEX('得意先'!$D$5:$D$104,$W423)="末",0,IF(DAY($X423)&lt;=INDEX('得意先'!$D$5:$D$104,$W423),0,1))+N(INDEX('得意先'!$E$5:$E$104,$W423)))+1,0),DATE(YEAR($X423),(MONTH($X423)+IF(INDEX('得意先'!$D$5:$D$104,$W423)="末",0,IF(DAY($X423)&lt;=INDEX('得意先'!$D$5:$D$104,$W423),0,1))+N(INDEX('得意先'!$E$5:$E$104,$W423))),MIN(INDEX('得意先'!$F$5:$F$104,$W423),DAY(DATE(YEAR($X423),(MONTH($X423)+IF(INDEX('得意先'!$D$5:$D$104,$W423)="末",0,IF(DAY($X423)&lt;=INDEX('得意先'!$D$5:$D$104,$W423),0,1))+N(INDEX('得意先'!$E$5:$E$104,$W423)))+1,0)))))))</f>
        <v/>
      </c>
      <c r="N423" s="26" t="n"/>
      <c r="O423" s="29">
        <f>IF($A423="","",IF(ISNUMBER($N423),$N423,$M423))</f>
        <v/>
      </c>
      <c r="P423" s="28">
        <f>IF($A423="","",SUMIF('入金消込'!$F$5:$F$1004,$A423,'入金消込'!$G$5:$G$1004))</f>
        <v/>
      </c>
      <c r="Q423" s="28">
        <f>IF($A423="","",SUMIF('入金消込'!$F$5:$F$1004,$A423,'入金消込'!$H$5:$H$1004)+SUMIF('入金消込'!$F$5:$F$1004,$A423,'入金消込'!$I$5:$I$1004))</f>
        <v/>
      </c>
      <c r="R423" s="28">
        <f>IF($A423="","",$L423-$P423-$Q423)</f>
        <v/>
      </c>
      <c r="S423" s="30">
        <f>IF($A423="","",IF($R423=0,IF($L423=0,"請求額0","回収済"),IF($L423&lt;0,IF($R423&lt;0,"差し引き待ち","差し引きすぎ"),IF($R423&lt;0,"入金が多い",IF($P423+$Q423=0,"未入金","一部入金")))))</f>
        <v/>
      </c>
      <c r="T423" s="31">
        <f>IF(OR($A423="",N($R423)&lt;=0,NOT(ISNUMBER($O423))),"",IF($O423&lt;'設定'!$B$7,'設定'!$B$7-$O423,""))</f>
        <v/>
      </c>
      <c r="U423" s="30">
        <f>IF(OR($A423="",N($R423)&lt;=0),"",IF(NOT(ISNUMBER($O423)),'設定'!$B$22,IF($O423&gt;='設定'!$B$7,'設定'!$B$17,IF('設定'!$B$7-$O423&lt;='設定'!$B$12,'設定'!$B$18,IF('設定'!$B$7-$O423&lt;='設定'!$B$13,'設定'!$B$19,IF('設定'!$B$7-$O423&lt;='設定'!$B$14,'設定'!$B$20,'設定'!$B$21))))))</f>
        <v/>
      </c>
      <c r="V423" s="56" t="n"/>
      <c r="W423" s="32">
        <f>IF($C423="","",IFERROR(MATCH($C423,'得意先'!$B$5:$B$104,0),"なし"))</f>
        <v/>
      </c>
      <c r="X423" s="33">
        <f>IF($A423="","",IF(ISNUMBER($E423),$E423,IF(ISNUMBER($B423),$B423,"")))</f>
        <v/>
      </c>
      <c r="Y423" s="34">
        <f>IF($T423="","",$O423+ROW()/1000000)</f>
        <v/>
      </c>
      <c r="Z423" s="35">
        <f>IF(OR($A423="",$C423="",$C423&lt;&gt;'売掛帳'!$B$3,NOT(ISNUMBER($X423))),"",IF(AND($X423&gt;='売掛帳'!$Q$3,$X423&lt;='売掛帳'!$Q$4),$X423+ROW()/10000000,""))</f>
        <v/>
      </c>
    </row>
    <row r="424" ht="18" customHeight="1">
      <c r="A424" s="18" t="n"/>
      <c r="B424" s="26" t="n"/>
      <c r="C424" s="18" t="n"/>
      <c r="D424" s="20">
        <f>IF($W424="","",IF($W424="なし","※得意先にないコード",INDEX('得意先'!$C$5:$C$104,$W424)&amp;""))</f>
        <v/>
      </c>
      <c r="E424" s="26" t="n"/>
      <c r="F424" s="19" t="n"/>
      <c r="G424" s="27" t="n"/>
      <c r="H424" s="27" t="n"/>
      <c r="I424" s="27" t="n"/>
      <c r="J424" s="28">
        <f>IF($A424="","",IF('設定'!$B$10="四捨五入",ROUND(IF('設定'!$B$9="税込",N($G424)*10/110,N($G424)*10/100),0),IF('設定'!$B$10="切り上げ",ROUNDUP(IF('設定'!$B$9="税込",N($G424)*10/110,N($G424)*10/100),0),ROUNDDOWN(IF('設定'!$B$9="税込",N($G424)*10/110,N($G424)*10/100),0))))</f>
        <v/>
      </c>
      <c r="K424" s="28">
        <f>IF($A424="","",IF('設定'!$B$10="四捨五入",ROUND(IF('設定'!$B$9="税込",N($H424)*8/108,N($H424)*8/100),0),IF('設定'!$B$10="切り上げ",ROUNDUP(IF('設定'!$B$9="税込",N($H424)*8/108,N($H424)*8/100),0),ROUNDDOWN(IF('設定'!$B$9="税込",N($H424)*8/108,N($H424)*8/100),0))))</f>
        <v/>
      </c>
      <c r="L424" s="28">
        <f>IF($A424="","",N($G424)+N($H424)+N($I424)+IF('設定'!$B$9="税込",0,$J424+$K424))</f>
        <v/>
      </c>
      <c r="M424" s="29">
        <f>IF(OR($A424="",NOT(ISNUMBER($W424)),NOT(ISNUMBER($X424))),"",IF(OR(INDEX('得意先'!$D$5:$D$104,$W424)="",INDEX('得意先'!$E$5:$E$104,$W424)="",INDEX('得意先'!$F$5:$F$104,$W424)=""),"",IF(INDEX('得意先'!$F$5:$F$104,$W424)="末",DATE(YEAR($X424),(MONTH($X424)+IF(INDEX('得意先'!$D$5:$D$104,$W424)="末",0,IF(DAY($X424)&lt;=INDEX('得意先'!$D$5:$D$104,$W424),0,1))+N(INDEX('得意先'!$E$5:$E$104,$W424)))+1,0),DATE(YEAR($X424),(MONTH($X424)+IF(INDEX('得意先'!$D$5:$D$104,$W424)="末",0,IF(DAY($X424)&lt;=INDEX('得意先'!$D$5:$D$104,$W424),0,1))+N(INDEX('得意先'!$E$5:$E$104,$W424))),MIN(INDEX('得意先'!$F$5:$F$104,$W424),DAY(DATE(YEAR($X424),(MONTH($X424)+IF(INDEX('得意先'!$D$5:$D$104,$W424)="末",0,IF(DAY($X424)&lt;=INDEX('得意先'!$D$5:$D$104,$W424),0,1))+N(INDEX('得意先'!$E$5:$E$104,$W424)))+1,0)))))))</f>
        <v/>
      </c>
      <c r="N424" s="26" t="n"/>
      <c r="O424" s="29">
        <f>IF($A424="","",IF(ISNUMBER($N424),$N424,$M424))</f>
        <v/>
      </c>
      <c r="P424" s="28">
        <f>IF($A424="","",SUMIF('入金消込'!$F$5:$F$1004,$A424,'入金消込'!$G$5:$G$1004))</f>
        <v/>
      </c>
      <c r="Q424" s="28">
        <f>IF($A424="","",SUMIF('入金消込'!$F$5:$F$1004,$A424,'入金消込'!$H$5:$H$1004)+SUMIF('入金消込'!$F$5:$F$1004,$A424,'入金消込'!$I$5:$I$1004))</f>
        <v/>
      </c>
      <c r="R424" s="28">
        <f>IF($A424="","",$L424-$P424-$Q424)</f>
        <v/>
      </c>
      <c r="S424" s="30">
        <f>IF($A424="","",IF($R424=0,IF($L424=0,"請求額0","回収済"),IF($L424&lt;0,IF($R424&lt;0,"差し引き待ち","差し引きすぎ"),IF($R424&lt;0,"入金が多い",IF($P424+$Q424=0,"未入金","一部入金")))))</f>
        <v/>
      </c>
      <c r="T424" s="31">
        <f>IF(OR($A424="",N($R424)&lt;=0,NOT(ISNUMBER($O424))),"",IF($O424&lt;'設定'!$B$7,'設定'!$B$7-$O424,""))</f>
        <v/>
      </c>
      <c r="U424" s="30">
        <f>IF(OR($A424="",N($R424)&lt;=0),"",IF(NOT(ISNUMBER($O424)),'設定'!$B$22,IF($O424&gt;='設定'!$B$7,'設定'!$B$17,IF('設定'!$B$7-$O424&lt;='設定'!$B$12,'設定'!$B$18,IF('設定'!$B$7-$O424&lt;='設定'!$B$13,'設定'!$B$19,IF('設定'!$B$7-$O424&lt;='設定'!$B$14,'設定'!$B$20,'設定'!$B$21))))))</f>
        <v/>
      </c>
      <c r="V424" s="56" t="n"/>
      <c r="W424" s="32">
        <f>IF($C424="","",IFERROR(MATCH($C424,'得意先'!$B$5:$B$104,0),"なし"))</f>
        <v/>
      </c>
      <c r="X424" s="33">
        <f>IF($A424="","",IF(ISNUMBER($E424),$E424,IF(ISNUMBER($B424),$B424,"")))</f>
        <v/>
      </c>
      <c r="Y424" s="34">
        <f>IF($T424="","",$O424+ROW()/1000000)</f>
        <v/>
      </c>
      <c r="Z424" s="35">
        <f>IF(OR($A424="",$C424="",$C424&lt;&gt;'売掛帳'!$B$3,NOT(ISNUMBER($X424))),"",IF(AND($X424&gt;='売掛帳'!$Q$3,$X424&lt;='売掛帳'!$Q$4),$X424+ROW()/10000000,""))</f>
        <v/>
      </c>
    </row>
    <row r="425" ht="18" customHeight="1">
      <c r="A425" s="18" t="n"/>
      <c r="B425" s="26" t="n"/>
      <c r="C425" s="18" t="n"/>
      <c r="D425" s="20">
        <f>IF($W425="","",IF($W425="なし","※得意先にないコード",INDEX('得意先'!$C$5:$C$104,$W425)&amp;""))</f>
        <v/>
      </c>
      <c r="E425" s="26" t="n"/>
      <c r="F425" s="19" t="n"/>
      <c r="G425" s="27" t="n"/>
      <c r="H425" s="27" t="n"/>
      <c r="I425" s="27" t="n"/>
      <c r="J425" s="28">
        <f>IF($A425="","",IF('設定'!$B$10="四捨五入",ROUND(IF('設定'!$B$9="税込",N($G425)*10/110,N($G425)*10/100),0),IF('設定'!$B$10="切り上げ",ROUNDUP(IF('設定'!$B$9="税込",N($G425)*10/110,N($G425)*10/100),0),ROUNDDOWN(IF('設定'!$B$9="税込",N($G425)*10/110,N($G425)*10/100),0))))</f>
        <v/>
      </c>
      <c r="K425" s="28">
        <f>IF($A425="","",IF('設定'!$B$10="四捨五入",ROUND(IF('設定'!$B$9="税込",N($H425)*8/108,N($H425)*8/100),0),IF('設定'!$B$10="切り上げ",ROUNDUP(IF('設定'!$B$9="税込",N($H425)*8/108,N($H425)*8/100),0),ROUNDDOWN(IF('設定'!$B$9="税込",N($H425)*8/108,N($H425)*8/100),0))))</f>
        <v/>
      </c>
      <c r="L425" s="28">
        <f>IF($A425="","",N($G425)+N($H425)+N($I425)+IF('設定'!$B$9="税込",0,$J425+$K425))</f>
        <v/>
      </c>
      <c r="M425" s="29">
        <f>IF(OR($A425="",NOT(ISNUMBER($W425)),NOT(ISNUMBER($X425))),"",IF(OR(INDEX('得意先'!$D$5:$D$104,$W425)="",INDEX('得意先'!$E$5:$E$104,$W425)="",INDEX('得意先'!$F$5:$F$104,$W425)=""),"",IF(INDEX('得意先'!$F$5:$F$104,$W425)="末",DATE(YEAR($X425),(MONTH($X425)+IF(INDEX('得意先'!$D$5:$D$104,$W425)="末",0,IF(DAY($X425)&lt;=INDEX('得意先'!$D$5:$D$104,$W425),0,1))+N(INDEX('得意先'!$E$5:$E$104,$W425)))+1,0),DATE(YEAR($X425),(MONTH($X425)+IF(INDEX('得意先'!$D$5:$D$104,$W425)="末",0,IF(DAY($X425)&lt;=INDEX('得意先'!$D$5:$D$104,$W425),0,1))+N(INDEX('得意先'!$E$5:$E$104,$W425))),MIN(INDEX('得意先'!$F$5:$F$104,$W425),DAY(DATE(YEAR($X425),(MONTH($X425)+IF(INDEX('得意先'!$D$5:$D$104,$W425)="末",0,IF(DAY($X425)&lt;=INDEX('得意先'!$D$5:$D$104,$W425),0,1))+N(INDEX('得意先'!$E$5:$E$104,$W425)))+1,0)))))))</f>
        <v/>
      </c>
      <c r="N425" s="26" t="n"/>
      <c r="O425" s="29">
        <f>IF($A425="","",IF(ISNUMBER($N425),$N425,$M425))</f>
        <v/>
      </c>
      <c r="P425" s="28">
        <f>IF($A425="","",SUMIF('入金消込'!$F$5:$F$1004,$A425,'入金消込'!$G$5:$G$1004))</f>
        <v/>
      </c>
      <c r="Q425" s="28">
        <f>IF($A425="","",SUMIF('入金消込'!$F$5:$F$1004,$A425,'入金消込'!$H$5:$H$1004)+SUMIF('入金消込'!$F$5:$F$1004,$A425,'入金消込'!$I$5:$I$1004))</f>
        <v/>
      </c>
      <c r="R425" s="28">
        <f>IF($A425="","",$L425-$P425-$Q425)</f>
        <v/>
      </c>
      <c r="S425" s="30">
        <f>IF($A425="","",IF($R425=0,IF($L425=0,"請求額0","回収済"),IF($L425&lt;0,IF($R425&lt;0,"差し引き待ち","差し引きすぎ"),IF($R425&lt;0,"入金が多い",IF($P425+$Q425=0,"未入金","一部入金")))))</f>
        <v/>
      </c>
      <c r="T425" s="31">
        <f>IF(OR($A425="",N($R425)&lt;=0,NOT(ISNUMBER($O425))),"",IF($O425&lt;'設定'!$B$7,'設定'!$B$7-$O425,""))</f>
        <v/>
      </c>
      <c r="U425" s="30">
        <f>IF(OR($A425="",N($R425)&lt;=0),"",IF(NOT(ISNUMBER($O425)),'設定'!$B$22,IF($O425&gt;='設定'!$B$7,'設定'!$B$17,IF('設定'!$B$7-$O425&lt;='設定'!$B$12,'設定'!$B$18,IF('設定'!$B$7-$O425&lt;='設定'!$B$13,'設定'!$B$19,IF('設定'!$B$7-$O425&lt;='設定'!$B$14,'設定'!$B$20,'設定'!$B$21))))))</f>
        <v/>
      </c>
      <c r="V425" s="56" t="n"/>
      <c r="W425" s="32">
        <f>IF($C425="","",IFERROR(MATCH($C425,'得意先'!$B$5:$B$104,0),"なし"))</f>
        <v/>
      </c>
      <c r="X425" s="33">
        <f>IF($A425="","",IF(ISNUMBER($E425),$E425,IF(ISNUMBER($B425),$B425,"")))</f>
        <v/>
      </c>
      <c r="Y425" s="34">
        <f>IF($T425="","",$O425+ROW()/1000000)</f>
        <v/>
      </c>
      <c r="Z425" s="35">
        <f>IF(OR($A425="",$C425="",$C425&lt;&gt;'売掛帳'!$B$3,NOT(ISNUMBER($X425))),"",IF(AND($X425&gt;='売掛帳'!$Q$3,$X425&lt;='売掛帳'!$Q$4),$X425+ROW()/10000000,""))</f>
        <v/>
      </c>
    </row>
    <row r="426" ht="18" customHeight="1">
      <c r="A426" s="18" t="n"/>
      <c r="B426" s="26" t="n"/>
      <c r="C426" s="18" t="n"/>
      <c r="D426" s="20">
        <f>IF($W426="","",IF($W426="なし","※得意先にないコード",INDEX('得意先'!$C$5:$C$104,$W426)&amp;""))</f>
        <v/>
      </c>
      <c r="E426" s="26" t="n"/>
      <c r="F426" s="19" t="n"/>
      <c r="G426" s="27" t="n"/>
      <c r="H426" s="27" t="n"/>
      <c r="I426" s="27" t="n"/>
      <c r="J426" s="28">
        <f>IF($A426="","",IF('設定'!$B$10="四捨五入",ROUND(IF('設定'!$B$9="税込",N($G426)*10/110,N($G426)*10/100),0),IF('設定'!$B$10="切り上げ",ROUNDUP(IF('設定'!$B$9="税込",N($G426)*10/110,N($G426)*10/100),0),ROUNDDOWN(IF('設定'!$B$9="税込",N($G426)*10/110,N($G426)*10/100),0))))</f>
        <v/>
      </c>
      <c r="K426" s="28">
        <f>IF($A426="","",IF('設定'!$B$10="四捨五入",ROUND(IF('設定'!$B$9="税込",N($H426)*8/108,N($H426)*8/100),0),IF('設定'!$B$10="切り上げ",ROUNDUP(IF('設定'!$B$9="税込",N($H426)*8/108,N($H426)*8/100),0),ROUNDDOWN(IF('設定'!$B$9="税込",N($H426)*8/108,N($H426)*8/100),0))))</f>
        <v/>
      </c>
      <c r="L426" s="28">
        <f>IF($A426="","",N($G426)+N($H426)+N($I426)+IF('設定'!$B$9="税込",0,$J426+$K426))</f>
        <v/>
      </c>
      <c r="M426" s="29">
        <f>IF(OR($A426="",NOT(ISNUMBER($W426)),NOT(ISNUMBER($X426))),"",IF(OR(INDEX('得意先'!$D$5:$D$104,$W426)="",INDEX('得意先'!$E$5:$E$104,$W426)="",INDEX('得意先'!$F$5:$F$104,$W426)=""),"",IF(INDEX('得意先'!$F$5:$F$104,$W426)="末",DATE(YEAR($X426),(MONTH($X426)+IF(INDEX('得意先'!$D$5:$D$104,$W426)="末",0,IF(DAY($X426)&lt;=INDEX('得意先'!$D$5:$D$104,$W426),0,1))+N(INDEX('得意先'!$E$5:$E$104,$W426)))+1,0),DATE(YEAR($X426),(MONTH($X426)+IF(INDEX('得意先'!$D$5:$D$104,$W426)="末",0,IF(DAY($X426)&lt;=INDEX('得意先'!$D$5:$D$104,$W426),0,1))+N(INDEX('得意先'!$E$5:$E$104,$W426))),MIN(INDEX('得意先'!$F$5:$F$104,$W426),DAY(DATE(YEAR($X426),(MONTH($X426)+IF(INDEX('得意先'!$D$5:$D$104,$W426)="末",0,IF(DAY($X426)&lt;=INDEX('得意先'!$D$5:$D$104,$W426),0,1))+N(INDEX('得意先'!$E$5:$E$104,$W426)))+1,0)))))))</f>
        <v/>
      </c>
      <c r="N426" s="26" t="n"/>
      <c r="O426" s="29">
        <f>IF($A426="","",IF(ISNUMBER($N426),$N426,$M426))</f>
        <v/>
      </c>
      <c r="P426" s="28">
        <f>IF($A426="","",SUMIF('入金消込'!$F$5:$F$1004,$A426,'入金消込'!$G$5:$G$1004))</f>
        <v/>
      </c>
      <c r="Q426" s="28">
        <f>IF($A426="","",SUMIF('入金消込'!$F$5:$F$1004,$A426,'入金消込'!$H$5:$H$1004)+SUMIF('入金消込'!$F$5:$F$1004,$A426,'入金消込'!$I$5:$I$1004))</f>
        <v/>
      </c>
      <c r="R426" s="28">
        <f>IF($A426="","",$L426-$P426-$Q426)</f>
        <v/>
      </c>
      <c r="S426" s="30">
        <f>IF($A426="","",IF($R426=0,IF($L426=0,"請求額0","回収済"),IF($L426&lt;0,IF($R426&lt;0,"差し引き待ち","差し引きすぎ"),IF($R426&lt;0,"入金が多い",IF($P426+$Q426=0,"未入金","一部入金")))))</f>
        <v/>
      </c>
      <c r="T426" s="31">
        <f>IF(OR($A426="",N($R426)&lt;=0,NOT(ISNUMBER($O426))),"",IF($O426&lt;'設定'!$B$7,'設定'!$B$7-$O426,""))</f>
        <v/>
      </c>
      <c r="U426" s="30">
        <f>IF(OR($A426="",N($R426)&lt;=0),"",IF(NOT(ISNUMBER($O426)),'設定'!$B$22,IF($O426&gt;='設定'!$B$7,'設定'!$B$17,IF('設定'!$B$7-$O426&lt;='設定'!$B$12,'設定'!$B$18,IF('設定'!$B$7-$O426&lt;='設定'!$B$13,'設定'!$B$19,IF('設定'!$B$7-$O426&lt;='設定'!$B$14,'設定'!$B$20,'設定'!$B$21))))))</f>
        <v/>
      </c>
      <c r="V426" s="56" t="n"/>
      <c r="W426" s="32">
        <f>IF($C426="","",IFERROR(MATCH($C426,'得意先'!$B$5:$B$104,0),"なし"))</f>
        <v/>
      </c>
      <c r="X426" s="33">
        <f>IF($A426="","",IF(ISNUMBER($E426),$E426,IF(ISNUMBER($B426),$B426,"")))</f>
        <v/>
      </c>
      <c r="Y426" s="34">
        <f>IF($T426="","",$O426+ROW()/1000000)</f>
        <v/>
      </c>
      <c r="Z426" s="35">
        <f>IF(OR($A426="",$C426="",$C426&lt;&gt;'売掛帳'!$B$3,NOT(ISNUMBER($X426))),"",IF(AND($X426&gt;='売掛帳'!$Q$3,$X426&lt;='売掛帳'!$Q$4),$X426+ROW()/10000000,""))</f>
        <v/>
      </c>
    </row>
    <row r="427" ht="18" customHeight="1">
      <c r="A427" s="18" t="n"/>
      <c r="B427" s="26" t="n"/>
      <c r="C427" s="18" t="n"/>
      <c r="D427" s="20">
        <f>IF($W427="","",IF($W427="なし","※得意先にないコード",INDEX('得意先'!$C$5:$C$104,$W427)&amp;""))</f>
        <v/>
      </c>
      <c r="E427" s="26" t="n"/>
      <c r="F427" s="19" t="n"/>
      <c r="G427" s="27" t="n"/>
      <c r="H427" s="27" t="n"/>
      <c r="I427" s="27" t="n"/>
      <c r="J427" s="28">
        <f>IF($A427="","",IF('設定'!$B$10="四捨五入",ROUND(IF('設定'!$B$9="税込",N($G427)*10/110,N($G427)*10/100),0),IF('設定'!$B$10="切り上げ",ROUNDUP(IF('設定'!$B$9="税込",N($G427)*10/110,N($G427)*10/100),0),ROUNDDOWN(IF('設定'!$B$9="税込",N($G427)*10/110,N($G427)*10/100),0))))</f>
        <v/>
      </c>
      <c r="K427" s="28">
        <f>IF($A427="","",IF('設定'!$B$10="四捨五入",ROUND(IF('設定'!$B$9="税込",N($H427)*8/108,N($H427)*8/100),0),IF('設定'!$B$10="切り上げ",ROUNDUP(IF('設定'!$B$9="税込",N($H427)*8/108,N($H427)*8/100),0),ROUNDDOWN(IF('設定'!$B$9="税込",N($H427)*8/108,N($H427)*8/100),0))))</f>
        <v/>
      </c>
      <c r="L427" s="28">
        <f>IF($A427="","",N($G427)+N($H427)+N($I427)+IF('設定'!$B$9="税込",0,$J427+$K427))</f>
        <v/>
      </c>
      <c r="M427" s="29">
        <f>IF(OR($A427="",NOT(ISNUMBER($W427)),NOT(ISNUMBER($X427))),"",IF(OR(INDEX('得意先'!$D$5:$D$104,$W427)="",INDEX('得意先'!$E$5:$E$104,$W427)="",INDEX('得意先'!$F$5:$F$104,$W427)=""),"",IF(INDEX('得意先'!$F$5:$F$104,$W427)="末",DATE(YEAR($X427),(MONTH($X427)+IF(INDEX('得意先'!$D$5:$D$104,$W427)="末",0,IF(DAY($X427)&lt;=INDEX('得意先'!$D$5:$D$104,$W427),0,1))+N(INDEX('得意先'!$E$5:$E$104,$W427)))+1,0),DATE(YEAR($X427),(MONTH($X427)+IF(INDEX('得意先'!$D$5:$D$104,$W427)="末",0,IF(DAY($X427)&lt;=INDEX('得意先'!$D$5:$D$104,$W427),0,1))+N(INDEX('得意先'!$E$5:$E$104,$W427))),MIN(INDEX('得意先'!$F$5:$F$104,$W427),DAY(DATE(YEAR($X427),(MONTH($X427)+IF(INDEX('得意先'!$D$5:$D$104,$W427)="末",0,IF(DAY($X427)&lt;=INDEX('得意先'!$D$5:$D$104,$W427),0,1))+N(INDEX('得意先'!$E$5:$E$104,$W427)))+1,0)))))))</f>
        <v/>
      </c>
      <c r="N427" s="26" t="n"/>
      <c r="O427" s="29">
        <f>IF($A427="","",IF(ISNUMBER($N427),$N427,$M427))</f>
        <v/>
      </c>
      <c r="P427" s="28">
        <f>IF($A427="","",SUMIF('入金消込'!$F$5:$F$1004,$A427,'入金消込'!$G$5:$G$1004))</f>
        <v/>
      </c>
      <c r="Q427" s="28">
        <f>IF($A427="","",SUMIF('入金消込'!$F$5:$F$1004,$A427,'入金消込'!$H$5:$H$1004)+SUMIF('入金消込'!$F$5:$F$1004,$A427,'入金消込'!$I$5:$I$1004))</f>
        <v/>
      </c>
      <c r="R427" s="28">
        <f>IF($A427="","",$L427-$P427-$Q427)</f>
        <v/>
      </c>
      <c r="S427" s="30">
        <f>IF($A427="","",IF($R427=0,IF($L427=0,"請求額0","回収済"),IF($L427&lt;0,IF($R427&lt;0,"差し引き待ち","差し引きすぎ"),IF($R427&lt;0,"入金が多い",IF($P427+$Q427=0,"未入金","一部入金")))))</f>
        <v/>
      </c>
      <c r="T427" s="31">
        <f>IF(OR($A427="",N($R427)&lt;=0,NOT(ISNUMBER($O427))),"",IF($O427&lt;'設定'!$B$7,'設定'!$B$7-$O427,""))</f>
        <v/>
      </c>
      <c r="U427" s="30">
        <f>IF(OR($A427="",N($R427)&lt;=0),"",IF(NOT(ISNUMBER($O427)),'設定'!$B$22,IF($O427&gt;='設定'!$B$7,'設定'!$B$17,IF('設定'!$B$7-$O427&lt;='設定'!$B$12,'設定'!$B$18,IF('設定'!$B$7-$O427&lt;='設定'!$B$13,'設定'!$B$19,IF('設定'!$B$7-$O427&lt;='設定'!$B$14,'設定'!$B$20,'設定'!$B$21))))))</f>
        <v/>
      </c>
      <c r="V427" s="56" t="n"/>
      <c r="W427" s="32">
        <f>IF($C427="","",IFERROR(MATCH($C427,'得意先'!$B$5:$B$104,0),"なし"))</f>
        <v/>
      </c>
      <c r="X427" s="33">
        <f>IF($A427="","",IF(ISNUMBER($E427),$E427,IF(ISNUMBER($B427),$B427,"")))</f>
        <v/>
      </c>
      <c r="Y427" s="34">
        <f>IF($T427="","",$O427+ROW()/1000000)</f>
        <v/>
      </c>
      <c r="Z427" s="35">
        <f>IF(OR($A427="",$C427="",$C427&lt;&gt;'売掛帳'!$B$3,NOT(ISNUMBER($X427))),"",IF(AND($X427&gt;='売掛帳'!$Q$3,$X427&lt;='売掛帳'!$Q$4),$X427+ROW()/10000000,""))</f>
        <v/>
      </c>
    </row>
    <row r="428" ht="18" customHeight="1">
      <c r="A428" s="18" t="n"/>
      <c r="B428" s="26" t="n"/>
      <c r="C428" s="18" t="n"/>
      <c r="D428" s="20">
        <f>IF($W428="","",IF($W428="なし","※得意先にないコード",INDEX('得意先'!$C$5:$C$104,$W428)&amp;""))</f>
        <v/>
      </c>
      <c r="E428" s="26" t="n"/>
      <c r="F428" s="19" t="n"/>
      <c r="G428" s="27" t="n"/>
      <c r="H428" s="27" t="n"/>
      <c r="I428" s="27" t="n"/>
      <c r="J428" s="28">
        <f>IF($A428="","",IF('設定'!$B$10="四捨五入",ROUND(IF('設定'!$B$9="税込",N($G428)*10/110,N($G428)*10/100),0),IF('設定'!$B$10="切り上げ",ROUNDUP(IF('設定'!$B$9="税込",N($G428)*10/110,N($G428)*10/100),0),ROUNDDOWN(IF('設定'!$B$9="税込",N($G428)*10/110,N($G428)*10/100),0))))</f>
        <v/>
      </c>
      <c r="K428" s="28">
        <f>IF($A428="","",IF('設定'!$B$10="四捨五入",ROUND(IF('設定'!$B$9="税込",N($H428)*8/108,N($H428)*8/100),0),IF('設定'!$B$10="切り上げ",ROUNDUP(IF('設定'!$B$9="税込",N($H428)*8/108,N($H428)*8/100),0),ROUNDDOWN(IF('設定'!$B$9="税込",N($H428)*8/108,N($H428)*8/100),0))))</f>
        <v/>
      </c>
      <c r="L428" s="28">
        <f>IF($A428="","",N($G428)+N($H428)+N($I428)+IF('設定'!$B$9="税込",0,$J428+$K428))</f>
        <v/>
      </c>
      <c r="M428" s="29">
        <f>IF(OR($A428="",NOT(ISNUMBER($W428)),NOT(ISNUMBER($X428))),"",IF(OR(INDEX('得意先'!$D$5:$D$104,$W428)="",INDEX('得意先'!$E$5:$E$104,$W428)="",INDEX('得意先'!$F$5:$F$104,$W428)=""),"",IF(INDEX('得意先'!$F$5:$F$104,$W428)="末",DATE(YEAR($X428),(MONTH($X428)+IF(INDEX('得意先'!$D$5:$D$104,$W428)="末",0,IF(DAY($X428)&lt;=INDEX('得意先'!$D$5:$D$104,$W428),0,1))+N(INDEX('得意先'!$E$5:$E$104,$W428)))+1,0),DATE(YEAR($X428),(MONTH($X428)+IF(INDEX('得意先'!$D$5:$D$104,$W428)="末",0,IF(DAY($X428)&lt;=INDEX('得意先'!$D$5:$D$104,$W428),0,1))+N(INDEX('得意先'!$E$5:$E$104,$W428))),MIN(INDEX('得意先'!$F$5:$F$104,$W428),DAY(DATE(YEAR($X428),(MONTH($X428)+IF(INDEX('得意先'!$D$5:$D$104,$W428)="末",0,IF(DAY($X428)&lt;=INDEX('得意先'!$D$5:$D$104,$W428),0,1))+N(INDEX('得意先'!$E$5:$E$104,$W428)))+1,0)))))))</f>
        <v/>
      </c>
      <c r="N428" s="26" t="n"/>
      <c r="O428" s="29">
        <f>IF($A428="","",IF(ISNUMBER($N428),$N428,$M428))</f>
        <v/>
      </c>
      <c r="P428" s="28">
        <f>IF($A428="","",SUMIF('入金消込'!$F$5:$F$1004,$A428,'入金消込'!$G$5:$G$1004))</f>
        <v/>
      </c>
      <c r="Q428" s="28">
        <f>IF($A428="","",SUMIF('入金消込'!$F$5:$F$1004,$A428,'入金消込'!$H$5:$H$1004)+SUMIF('入金消込'!$F$5:$F$1004,$A428,'入金消込'!$I$5:$I$1004))</f>
        <v/>
      </c>
      <c r="R428" s="28">
        <f>IF($A428="","",$L428-$P428-$Q428)</f>
        <v/>
      </c>
      <c r="S428" s="30">
        <f>IF($A428="","",IF($R428=0,IF($L428=0,"請求額0","回収済"),IF($L428&lt;0,IF($R428&lt;0,"差し引き待ち","差し引きすぎ"),IF($R428&lt;0,"入金が多い",IF($P428+$Q428=0,"未入金","一部入金")))))</f>
        <v/>
      </c>
      <c r="T428" s="31">
        <f>IF(OR($A428="",N($R428)&lt;=0,NOT(ISNUMBER($O428))),"",IF($O428&lt;'設定'!$B$7,'設定'!$B$7-$O428,""))</f>
        <v/>
      </c>
      <c r="U428" s="30">
        <f>IF(OR($A428="",N($R428)&lt;=0),"",IF(NOT(ISNUMBER($O428)),'設定'!$B$22,IF($O428&gt;='設定'!$B$7,'設定'!$B$17,IF('設定'!$B$7-$O428&lt;='設定'!$B$12,'設定'!$B$18,IF('設定'!$B$7-$O428&lt;='設定'!$B$13,'設定'!$B$19,IF('設定'!$B$7-$O428&lt;='設定'!$B$14,'設定'!$B$20,'設定'!$B$21))))))</f>
        <v/>
      </c>
      <c r="V428" s="56" t="n"/>
      <c r="W428" s="32">
        <f>IF($C428="","",IFERROR(MATCH($C428,'得意先'!$B$5:$B$104,0),"なし"))</f>
        <v/>
      </c>
      <c r="X428" s="33">
        <f>IF($A428="","",IF(ISNUMBER($E428),$E428,IF(ISNUMBER($B428),$B428,"")))</f>
        <v/>
      </c>
      <c r="Y428" s="34">
        <f>IF($T428="","",$O428+ROW()/1000000)</f>
        <v/>
      </c>
      <c r="Z428" s="35">
        <f>IF(OR($A428="",$C428="",$C428&lt;&gt;'売掛帳'!$B$3,NOT(ISNUMBER($X428))),"",IF(AND($X428&gt;='売掛帳'!$Q$3,$X428&lt;='売掛帳'!$Q$4),$X428+ROW()/10000000,""))</f>
        <v/>
      </c>
    </row>
    <row r="429" ht="18" customHeight="1">
      <c r="A429" s="18" t="n"/>
      <c r="B429" s="26" t="n"/>
      <c r="C429" s="18" t="n"/>
      <c r="D429" s="20">
        <f>IF($W429="","",IF($W429="なし","※得意先にないコード",INDEX('得意先'!$C$5:$C$104,$W429)&amp;""))</f>
        <v/>
      </c>
      <c r="E429" s="26" t="n"/>
      <c r="F429" s="19" t="n"/>
      <c r="G429" s="27" t="n"/>
      <c r="H429" s="27" t="n"/>
      <c r="I429" s="27" t="n"/>
      <c r="J429" s="28">
        <f>IF($A429="","",IF('設定'!$B$10="四捨五入",ROUND(IF('設定'!$B$9="税込",N($G429)*10/110,N($G429)*10/100),0),IF('設定'!$B$10="切り上げ",ROUNDUP(IF('設定'!$B$9="税込",N($G429)*10/110,N($G429)*10/100),0),ROUNDDOWN(IF('設定'!$B$9="税込",N($G429)*10/110,N($G429)*10/100),0))))</f>
        <v/>
      </c>
      <c r="K429" s="28">
        <f>IF($A429="","",IF('設定'!$B$10="四捨五入",ROUND(IF('設定'!$B$9="税込",N($H429)*8/108,N($H429)*8/100),0),IF('設定'!$B$10="切り上げ",ROUNDUP(IF('設定'!$B$9="税込",N($H429)*8/108,N($H429)*8/100),0),ROUNDDOWN(IF('設定'!$B$9="税込",N($H429)*8/108,N($H429)*8/100),0))))</f>
        <v/>
      </c>
      <c r="L429" s="28">
        <f>IF($A429="","",N($G429)+N($H429)+N($I429)+IF('設定'!$B$9="税込",0,$J429+$K429))</f>
        <v/>
      </c>
      <c r="M429" s="29">
        <f>IF(OR($A429="",NOT(ISNUMBER($W429)),NOT(ISNUMBER($X429))),"",IF(OR(INDEX('得意先'!$D$5:$D$104,$W429)="",INDEX('得意先'!$E$5:$E$104,$W429)="",INDEX('得意先'!$F$5:$F$104,$W429)=""),"",IF(INDEX('得意先'!$F$5:$F$104,$W429)="末",DATE(YEAR($X429),(MONTH($X429)+IF(INDEX('得意先'!$D$5:$D$104,$W429)="末",0,IF(DAY($X429)&lt;=INDEX('得意先'!$D$5:$D$104,$W429),0,1))+N(INDEX('得意先'!$E$5:$E$104,$W429)))+1,0),DATE(YEAR($X429),(MONTH($X429)+IF(INDEX('得意先'!$D$5:$D$104,$W429)="末",0,IF(DAY($X429)&lt;=INDEX('得意先'!$D$5:$D$104,$W429),0,1))+N(INDEX('得意先'!$E$5:$E$104,$W429))),MIN(INDEX('得意先'!$F$5:$F$104,$W429),DAY(DATE(YEAR($X429),(MONTH($X429)+IF(INDEX('得意先'!$D$5:$D$104,$W429)="末",0,IF(DAY($X429)&lt;=INDEX('得意先'!$D$5:$D$104,$W429),0,1))+N(INDEX('得意先'!$E$5:$E$104,$W429)))+1,0)))))))</f>
        <v/>
      </c>
      <c r="N429" s="26" t="n"/>
      <c r="O429" s="29">
        <f>IF($A429="","",IF(ISNUMBER($N429),$N429,$M429))</f>
        <v/>
      </c>
      <c r="P429" s="28">
        <f>IF($A429="","",SUMIF('入金消込'!$F$5:$F$1004,$A429,'入金消込'!$G$5:$G$1004))</f>
        <v/>
      </c>
      <c r="Q429" s="28">
        <f>IF($A429="","",SUMIF('入金消込'!$F$5:$F$1004,$A429,'入金消込'!$H$5:$H$1004)+SUMIF('入金消込'!$F$5:$F$1004,$A429,'入金消込'!$I$5:$I$1004))</f>
        <v/>
      </c>
      <c r="R429" s="28">
        <f>IF($A429="","",$L429-$P429-$Q429)</f>
        <v/>
      </c>
      <c r="S429" s="30">
        <f>IF($A429="","",IF($R429=0,IF($L429=0,"請求額0","回収済"),IF($L429&lt;0,IF($R429&lt;0,"差し引き待ち","差し引きすぎ"),IF($R429&lt;0,"入金が多い",IF($P429+$Q429=0,"未入金","一部入金")))))</f>
        <v/>
      </c>
      <c r="T429" s="31">
        <f>IF(OR($A429="",N($R429)&lt;=0,NOT(ISNUMBER($O429))),"",IF($O429&lt;'設定'!$B$7,'設定'!$B$7-$O429,""))</f>
        <v/>
      </c>
      <c r="U429" s="30">
        <f>IF(OR($A429="",N($R429)&lt;=0),"",IF(NOT(ISNUMBER($O429)),'設定'!$B$22,IF($O429&gt;='設定'!$B$7,'設定'!$B$17,IF('設定'!$B$7-$O429&lt;='設定'!$B$12,'設定'!$B$18,IF('設定'!$B$7-$O429&lt;='設定'!$B$13,'設定'!$B$19,IF('設定'!$B$7-$O429&lt;='設定'!$B$14,'設定'!$B$20,'設定'!$B$21))))))</f>
        <v/>
      </c>
      <c r="V429" s="56" t="n"/>
      <c r="W429" s="32">
        <f>IF($C429="","",IFERROR(MATCH($C429,'得意先'!$B$5:$B$104,0),"なし"))</f>
        <v/>
      </c>
      <c r="X429" s="33">
        <f>IF($A429="","",IF(ISNUMBER($E429),$E429,IF(ISNUMBER($B429),$B429,"")))</f>
        <v/>
      </c>
      <c r="Y429" s="34">
        <f>IF($T429="","",$O429+ROW()/1000000)</f>
        <v/>
      </c>
      <c r="Z429" s="35">
        <f>IF(OR($A429="",$C429="",$C429&lt;&gt;'売掛帳'!$B$3,NOT(ISNUMBER($X429))),"",IF(AND($X429&gt;='売掛帳'!$Q$3,$X429&lt;='売掛帳'!$Q$4),$X429+ROW()/10000000,""))</f>
        <v/>
      </c>
    </row>
    <row r="430" ht="18" customHeight="1">
      <c r="A430" s="18" t="n"/>
      <c r="B430" s="26" t="n"/>
      <c r="C430" s="18" t="n"/>
      <c r="D430" s="20">
        <f>IF($W430="","",IF($W430="なし","※得意先にないコード",INDEX('得意先'!$C$5:$C$104,$W430)&amp;""))</f>
        <v/>
      </c>
      <c r="E430" s="26" t="n"/>
      <c r="F430" s="19" t="n"/>
      <c r="G430" s="27" t="n"/>
      <c r="H430" s="27" t="n"/>
      <c r="I430" s="27" t="n"/>
      <c r="J430" s="28">
        <f>IF($A430="","",IF('設定'!$B$10="四捨五入",ROUND(IF('設定'!$B$9="税込",N($G430)*10/110,N($G430)*10/100),0),IF('設定'!$B$10="切り上げ",ROUNDUP(IF('設定'!$B$9="税込",N($G430)*10/110,N($G430)*10/100),0),ROUNDDOWN(IF('設定'!$B$9="税込",N($G430)*10/110,N($G430)*10/100),0))))</f>
        <v/>
      </c>
      <c r="K430" s="28">
        <f>IF($A430="","",IF('設定'!$B$10="四捨五入",ROUND(IF('設定'!$B$9="税込",N($H430)*8/108,N($H430)*8/100),0),IF('設定'!$B$10="切り上げ",ROUNDUP(IF('設定'!$B$9="税込",N($H430)*8/108,N($H430)*8/100),0),ROUNDDOWN(IF('設定'!$B$9="税込",N($H430)*8/108,N($H430)*8/100),0))))</f>
        <v/>
      </c>
      <c r="L430" s="28">
        <f>IF($A430="","",N($G430)+N($H430)+N($I430)+IF('設定'!$B$9="税込",0,$J430+$K430))</f>
        <v/>
      </c>
      <c r="M430" s="29">
        <f>IF(OR($A430="",NOT(ISNUMBER($W430)),NOT(ISNUMBER($X430))),"",IF(OR(INDEX('得意先'!$D$5:$D$104,$W430)="",INDEX('得意先'!$E$5:$E$104,$W430)="",INDEX('得意先'!$F$5:$F$104,$W430)=""),"",IF(INDEX('得意先'!$F$5:$F$104,$W430)="末",DATE(YEAR($X430),(MONTH($X430)+IF(INDEX('得意先'!$D$5:$D$104,$W430)="末",0,IF(DAY($X430)&lt;=INDEX('得意先'!$D$5:$D$104,$W430),0,1))+N(INDEX('得意先'!$E$5:$E$104,$W430)))+1,0),DATE(YEAR($X430),(MONTH($X430)+IF(INDEX('得意先'!$D$5:$D$104,$W430)="末",0,IF(DAY($X430)&lt;=INDEX('得意先'!$D$5:$D$104,$W430),0,1))+N(INDEX('得意先'!$E$5:$E$104,$W430))),MIN(INDEX('得意先'!$F$5:$F$104,$W430),DAY(DATE(YEAR($X430),(MONTH($X430)+IF(INDEX('得意先'!$D$5:$D$104,$W430)="末",0,IF(DAY($X430)&lt;=INDEX('得意先'!$D$5:$D$104,$W430),0,1))+N(INDEX('得意先'!$E$5:$E$104,$W430)))+1,0)))))))</f>
        <v/>
      </c>
      <c r="N430" s="26" t="n"/>
      <c r="O430" s="29">
        <f>IF($A430="","",IF(ISNUMBER($N430),$N430,$M430))</f>
        <v/>
      </c>
      <c r="P430" s="28">
        <f>IF($A430="","",SUMIF('入金消込'!$F$5:$F$1004,$A430,'入金消込'!$G$5:$G$1004))</f>
        <v/>
      </c>
      <c r="Q430" s="28">
        <f>IF($A430="","",SUMIF('入金消込'!$F$5:$F$1004,$A430,'入金消込'!$H$5:$H$1004)+SUMIF('入金消込'!$F$5:$F$1004,$A430,'入金消込'!$I$5:$I$1004))</f>
        <v/>
      </c>
      <c r="R430" s="28">
        <f>IF($A430="","",$L430-$P430-$Q430)</f>
        <v/>
      </c>
      <c r="S430" s="30">
        <f>IF($A430="","",IF($R430=0,IF($L430=0,"請求額0","回収済"),IF($L430&lt;0,IF($R430&lt;0,"差し引き待ち","差し引きすぎ"),IF($R430&lt;0,"入金が多い",IF($P430+$Q430=0,"未入金","一部入金")))))</f>
        <v/>
      </c>
      <c r="T430" s="31">
        <f>IF(OR($A430="",N($R430)&lt;=0,NOT(ISNUMBER($O430))),"",IF($O430&lt;'設定'!$B$7,'設定'!$B$7-$O430,""))</f>
        <v/>
      </c>
      <c r="U430" s="30">
        <f>IF(OR($A430="",N($R430)&lt;=0),"",IF(NOT(ISNUMBER($O430)),'設定'!$B$22,IF($O430&gt;='設定'!$B$7,'設定'!$B$17,IF('設定'!$B$7-$O430&lt;='設定'!$B$12,'設定'!$B$18,IF('設定'!$B$7-$O430&lt;='設定'!$B$13,'設定'!$B$19,IF('設定'!$B$7-$O430&lt;='設定'!$B$14,'設定'!$B$20,'設定'!$B$21))))))</f>
        <v/>
      </c>
      <c r="V430" s="56" t="n"/>
      <c r="W430" s="32">
        <f>IF($C430="","",IFERROR(MATCH($C430,'得意先'!$B$5:$B$104,0),"なし"))</f>
        <v/>
      </c>
      <c r="X430" s="33">
        <f>IF($A430="","",IF(ISNUMBER($E430),$E430,IF(ISNUMBER($B430),$B430,"")))</f>
        <v/>
      </c>
      <c r="Y430" s="34">
        <f>IF($T430="","",$O430+ROW()/1000000)</f>
        <v/>
      </c>
      <c r="Z430" s="35">
        <f>IF(OR($A430="",$C430="",$C430&lt;&gt;'売掛帳'!$B$3,NOT(ISNUMBER($X430))),"",IF(AND($X430&gt;='売掛帳'!$Q$3,$X430&lt;='売掛帳'!$Q$4),$X430+ROW()/10000000,""))</f>
        <v/>
      </c>
    </row>
    <row r="431" ht="18" customHeight="1">
      <c r="A431" s="18" t="n"/>
      <c r="B431" s="26" t="n"/>
      <c r="C431" s="18" t="n"/>
      <c r="D431" s="20">
        <f>IF($W431="","",IF($W431="なし","※得意先にないコード",INDEX('得意先'!$C$5:$C$104,$W431)&amp;""))</f>
        <v/>
      </c>
      <c r="E431" s="26" t="n"/>
      <c r="F431" s="19" t="n"/>
      <c r="G431" s="27" t="n"/>
      <c r="H431" s="27" t="n"/>
      <c r="I431" s="27" t="n"/>
      <c r="J431" s="28">
        <f>IF($A431="","",IF('設定'!$B$10="四捨五入",ROUND(IF('設定'!$B$9="税込",N($G431)*10/110,N($G431)*10/100),0),IF('設定'!$B$10="切り上げ",ROUNDUP(IF('設定'!$B$9="税込",N($G431)*10/110,N($G431)*10/100),0),ROUNDDOWN(IF('設定'!$B$9="税込",N($G431)*10/110,N($G431)*10/100),0))))</f>
        <v/>
      </c>
      <c r="K431" s="28">
        <f>IF($A431="","",IF('設定'!$B$10="四捨五入",ROUND(IF('設定'!$B$9="税込",N($H431)*8/108,N($H431)*8/100),0),IF('設定'!$B$10="切り上げ",ROUNDUP(IF('設定'!$B$9="税込",N($H431)*8/108,N($H431)*8/100),0),ROUNDDOWN(IF('設定'!$B$9="税込",N($H431)*8/108,N($H431)*8/100),0))))</f>
        <v/>
      </c>
      <c r="L431" s="28">
        <f>IF($A431="","",N($G431)+N($H431)+N($I431)+IF('設定'!$B$9="税込",0,$J431+$K431))</f>
        <v/>
      </c>
      <c r="M431" s="29">
        <f>IF(OR($A431="",NOT(ISNUMBER($W431)),NOT(ISNUMBER($X431))),"",IF(OR(INDEX('得意先'!$D$5:$D$104,$W431)="",INDEX('得意先'!$E$5:$E$104,$W431)="",INDEX('得意先'!$F$5:$F$104,$W431)=""),"",IF(INDEX('得意先'!$F$5:$F$104,$W431)="末",DATE(YEAR($X431),(MONTH($X431)+IF(INDEX('得意先'!$D$5:$D$104,$W431)="末",0,IF(DAY($X431)&lt;=INDEX('得意先'!$D$5:$D$104,$W431),0,1))+N(INDEX('得意先'!$E$5:$E$104,$W431)))+1,0),DATE(YEAR($X431),(MONTH($X431)+IF(INDEX('得意先'!$D$5:$D$104,$W431)="末",0,IF(DAY($X431)&lt;=INDEX('得意先'!$D$5:$D$104,$W431),0,1))+N(INDEX('得意先'!$E$5:$E$104,$W431))),MIN(INDEX('得意先'!$F$5:$F$104,$W431),DAY(DATE(YEAR($X431),(MONTH($X431)+IF(INDEX('得意先'!$D$5:$D$104,$W431)="末",0,IF(DAY($X431)&lt;=INDEX('得意先'!$D$5:$D$104,$W431),0,1))+N(INDEX('得意先'!$E$5:$E$104,$W431)))+1,0)))))))</f>
        <v/>
      </c>
      <c r="N431" s="26" t="n"/>
      <c r="O431" s="29">
        <f>IF($A431="","",IF(ISNUMBER($N431),$N431,$M431))</f>
        <v/>
      </c>
      <c r="P431" s="28">
        <f>IF($A431="","",SUMIF('入金消込'!$F$5:$F$1004,$A431,'入金消込'!$G$5:$G$1004))</f>
        <v/>
      </c>
      <c r="Q431" s="28">
        <f>IF($A431="","",SUMIF('入金消込'!$F$5:$F$1004,$A431,'入金消込'!$H$5:$H$1004)+SUMIF('入金消込'!$F$5:$F$1004,$A431,'入金消込'!$I$5:$I$1004))</f>
        <v/>
      </c>
      <c r="R431" s="28">
        <f>IF($A431="","",$L431-$P431-$Q431)</f>
        <v/>
      </c>
      <c r="S431" s="30">
        <f>IF($A431="","",IF($R431=0,IF($L431=0,"請求額0","回収済"),IF($L431&lt;0,IF($R431&lt;0,"差し引き待ち","差し引きすぎ"),IF($R431&lt;0,"入金が多い",IF($P431+$Q431=0,"未入金","一部入金")))))</f>
        <v/>
      </c>
      <c r="T431" s="31">
        <f>IF(OR($A431="",N($R431)&lt;=0,NOT(ISNUMBER($O431))),"",IF($O431&lt;'設定'!$B$7,'設定'!$B$7-$O431,""))</f>
        <v/>
      </c>
      <c r="U431" s="30">
        <f>IF(OR($A431="",N($R431)&lt;=0),"",IF(NOT(ISNUMBER($O431)),'設定'!$B$22,IF($O431&gt;='設定'!$B$7,'設定'!$B$17,IF('設定'!$B$7-$O431&lt;='設定'!$B$12,'設定'!$B$18,IF('設定'!$B$7-$O431&lt;='設定'!$B$13,'設定'!$B$19,IF('設定'!$B$7-$O431&lt;='設定'!$B$14,'設定'!$B$20,'設定'!$B$21))))))</f>
        <v/>
      </c>
      <c r="V431" s="56" t="n"/>
      <c r="W431" s="32">
        <f>IF($C431="","",IFERROR(MATCH($C431,'得意先'!$B$5:$B$104,0),"なし"))</f>
        <v/>
      </c>
      <c r="X431" s="33">
        <f>IF($A431="","",IF(ISNUMBER($E431),$E431,IF(ISNUMBER($B431),$B431,"")))</f>
        <v/>
      </c>
      <c r="Y431" s="34">
        <f>IF($T431="","",$O431+ROW()/1000000)</f>
        <v/>
      </c>
      <c r="Z431" s="35">
        <f>IF(OR($A431="",$C431="",$C431&lt;&gt;'売掛帳'!$B$3,NOT(ISNUMBER($X431))),"",IF(AND($X431&gt;='売掛帳'!$Q$3,$X431&lt;='売掛帳'!$Q$4),$X431+ROW()/10000000,""))</f>
        <v/>
      </c>
    </row>
    <row r="432" ht="18" customHeight="1">
      <c r="A432" s="18" t="n"/>
      <c r="B432" s="26" t="n"/>
      <c r="C432" s="18" t="n"/>
      <c r="D432" s="20">
        <f>IF($W432="","",IF($W432="なし","※得意先にないコード",INDEX('得意先'!$C$5:$C$104,$W432)&amp;""))</f>
        <v/>
      </c>
      <c r="E432" s="26" t="n"/>
      <c r="F432" s="19" t="n"/>
      <c r="G432" s="27" t="n"/>
      <c r="H432" s="27" t="n"/>
      <c r="I432" s="27" t="n"/>
      <c r="J432" s="28">
        <f>IF($A432="","",IF('設定'!$B$10="四捨五入",ROUND(IF('設定'!$B$9="税込",N($G432)*10/110,N($G432)*10/100),0),IF('設定'!$B$10="切り上げ",ROUNDUP(IF('設定'!$B$9="税込",N($G432)*10/110,N($G432)*10/100),0),ROUNDDOWN(IF('設定'!$B$9="税込",N($G432)*10/110,N($G432)*10/100),0))))</f>
        <v/>
      </c>
      <c r="K432" s="28">
        <f>IF($A432="","",IF('設定'!$B$10="四捨五入",ROUND(IF('設定'!$B$9="税込",N($H432)*8/108,N($H432)*8/100),0),IF('設定'!$B$10="切り上げ",ROUNDUP(IF('設定'!$B$9="税込",N($H432)*8/108,N($H432)*8/100),0),ROUNDDOWN(IF('設定'!$B$9="税込",N($H432)*8/108,N($H432)*8/100),0))))</f>
        <v/>
      </c>
      <c r="L432" s="28">
        <f>IF($A432="","",N($G432)+N($H432)+N($I432)+IF('設定'!$B$9="税込",0,$J432+$K432))</f>
        <v/>
      </c>
      <c r="M432" s="29">
        <f>IF(OR($A432="",NOT(ISNUMBER($W432)),NOT(ISNUMBER($X432))),"",IF(OR(INDEX('得意先'!$D$5:$D$104,$W432)="",INDEX('得意先'!$E$5:$E$104,$W432)="",INDEX('得意先'!$F$5:$F$104,$W432)=""),"",IF(INDEX('得意先'!$F$5:$F$104,$W432)="末",DATE(YEAR($X432),(MONTH($X432)+IF(INDEX('得意先'!$D$5:$D$104,$W432)="末",0,IF(DAY($X432)&lt;=INDEX('得意先'!$D$5:$D$104,$W432),0,1))+N(INDEX('得意先'!$E$5:$E$104,$W432)))+1,0),DATE(YEAR($X432),(MONTH($X432)+IF(INDEX('得意先'!$D$5:$D$104,$W432)="末",0,IF(DAY($X432)&lt;=INDEX('得意先'!$D$5:$D$104,$W432),0,1))+N(INDEX('得意先'!$E$5:$E$104,$W432))),MIN(INDEX('得意先'!$F$5:$F$104,$W432),DAY(DATE(YEAR($X432),(MONTH($X432)+IF(INDEX('得意先'!$D$5:$D$104,$W432)="末",0,IF(DAY($X432)&lt;=INDEX('得意先'!$D$5:$D$104,$W432),0,1))+N(INDEX('得意先'!$E$5:$E$104,$W432)))+1,0)))))))</f>
        <v/>
      </c>
      <c r="N432" s="26" t="n"/>
      <c r="O432" s="29">
        <f>IF($A432="","",IF(ISNUMBER($N432),$N432,$M432))</f>
        <v/>
      </c>
      <c r="P432" s="28">
        <f>IF($A432="","",SUMIF('入金消込'!$F$5:$F$1004,$A432,'入金消込'!$G$5:$G$1004))</f>
        <v/>
      </c>
      <c r="Q432" s="28">
        <f>IF($A432="","",SUMIF('入金消込'!$F$5:$F$1004,$A432,'入金消込'!$H$5:$H$1004)+SUMIF('入金消込'!$F$5:$F$1004,$A432,'入金消込'!$I$5:$I$1004))</f>
        <v/>
      </c>
      <c r="R432" s="28">
        <f>IF($A432="","",$L432-$P432-$Q432)</f>
        <v/>
      </c>
      <c r="S432" s="30">
        <f>IF($A432="","",IF($R432=0,IF($L432=0,"請求額0","回収済"),IF($L432&lt;0,IF($R432&lt;0,"差し引き待ち","差し引きすぎ"),IF($R432&lt;0,"入金が多い",IF($P432+$Q432=0,"未入金","一部入金")))))</f>
        <v/>
      </c>
      <c r="T432" s="31">
        <f>IF(OR($A432="",N($R432)&lt;=0,NOT(ISNUMBER($O432))),"",IF($O432&lt;'設定'!$B$7,'設定'!$B$7-$O432,""))</f>
        <v/>
      </c>
      <c r="U432" s="30">
        <f>IF(OR($A432="",N($R432)&lt;=0),"",IF(NOT(ISNUMBER($O432)),'設定'!$B$22,IF($O432&gt;='設定'!$B$7,'設定'!$B$17,IF('設定'!$B$7-$O432&lt;='設定'!$B$12,'設定'!$B$18,IF('設定'!$B$7-$O432&lt;='設定'!$B$13,'設定'!$B$19,IF('設定'!$B$7-$O432&lt;='設定'!$B$14,'設定'!$B$20,'設定'!$B$21))))))</f>
        <v/>
      </c>
      <c r="V432" s="56" t="n"/>
      <c r="W432" s="32">
        <f>IF($C432="","",IFERROR(MATCH($C432,'得意先'!$B$5:$B$104,0),"なし"))</f>
        <v/>
      </c>
      <c r="X432" s="33">
        <f>IF($A432="","",IF(ISNUMBER($E432),$E432,IF(ISNUMBER($B432),$B432,"")))</f>
        <v/>
      </c>
      <c r="Y432" s="34">
        <f>IF($T432="","",$O432+ROW()/1000000)</f>
        <v/>
      </c>
      <c r="Z432" s="35">
        <f>IF(OR($A432="",$C432="",$C432&lt;&gt;'売掛帳'!$B$3,NOT(ISNUMBER($X432))),"",IF(AND($X432&gt;='売掛帳'!$Q$3,$X432&lt;='売掛帳'!$Q$4),$X432+ROW()/10000000,""))</f>
        <v/>
      </c>
    </row>
    <row r="433" ht="18" customHeight="1">
      <c r="A433" s="18" t="n"/>
      <c r="B433" s="26" t="n"/>
      <c r="C433" s="18" t="n"/>
      <c r="D433" s="20">
        <f>IF($W433="","",IF($W433="なし","※得意先にないコード",INDEX('得意先'!$C$5:$C$104,$W433)&amp;""))</f>
        <v/>
      </c>
      <c r="E433" s="26" t="n"/>
      <c r="F433" s="19" t="n"/>
      <c r="G433" s="27" t="n"/>
      <c r="H433" s="27" t="n"/>
      <c r="I433" s="27" t="n"/>
      <c r="J433" s="28">
        <f>IF($A433="","",IF('設定'!$B$10="四捨五入",ROUND(IF('設定'!$B$9="税込",N($G433)*10/110,N($G433)*10/100),0),IF('設定'!$B$10="切り上げ",ROUNDUP(IF('設定'!$B$9="税込",N($G433)*10/110,N($G433)*10/100),0),ROUNDDOWN(IF('設定'!$B$9="税込",N($G433)*10/110,N($G433)*10/100),0))))</f>
        <v/>
      </c>
      <c r="K433" s="28">
        <f>IF($A433="","",IF('設定'!$B$10="四捨五入",ROUND(IF('設定'!$B$9="税込",N($H433)*8/108,N($H433)*8/100),0),IF('設定'!$B$10="切り上げ",ROUNDUP(IF('設定'!$B$9="税込",N($H433)*8/108,N($H433)*8/100),0),ROUNDDOWN(IF('設定'!$B$9="税込",N($H433)*8/108,N($H433)*8/100),0))))</f>
        <v/>
      </c>
      <c r="L433" s="28">
        <f>IF($A433="","",N($G433)+N($H433)+N($I433)+IF('設定'!$B$9="税込",0,$J433+$K433))</f>
        <v/>
      </c>
      <c r="M433" s="29">
        <f>IF(OR($A433="",NOT(ISNUMBER($W433)),NOT(ISNUMBER($X433))),"",IF(OR(INDEX('得意先'!$D$5:$D$104,$W433)="",INDEX('得意先'!$E$5:$E$104,$W433)="",INDEX('得意先'!$F$5:$F$104,$W433)=""),"",IF(INDEX('得意先'!$F$5:$F$104,$W433)="末",DATE(YEAR($X433),(MONTH($X433)+IF(INDEX('得意先'!$D$5:$D$104,$W433)="末",0,IF(DAY($X433)&lt;=INDEX('得意先'!$D$5:$D$104,$W433),0,1))+N(INDEX('得意先'!$E$5:$E$104,$W433)))+1,0),DATE(YEAR($X433),(MONTH($X433)+IF(INDEX('得意先'!$D$5:$D$104,$W433)="末",0,IF(DAY($X433)&lt;=INDEX('得意先'!$D$5:$D$104,$W433),0,1))+N(INDEX('得意先'!$E$5:$E$104,$W433))),MIN(INDEX('得意先'!$F$5:$F$104,$W433),DAY(DATE(YEAR($X433),(MONTH($X433)+IF(INDEX('得意先'!$D$5:$D$104,$W433)="末",0,IF(DAY($X433)&lt;=INDEX('得意先'!$D$5:$D$104,$W433),0,1))+N(INDEX('得意先'!$E$5:$E$104,$W433)))+1,0)))))))</f>
        <v/>
      </c>
      <c r="N433" s="26" t="n"/>
      <c r="O433" s="29">
        <f>IF($A433="","",IF(ISNUMBER($N433),$N433,$M433))</f>
        <v/>
      </c>
      <c r="P433" s="28">
        <f>IF($A433="","",SUMIF('入金消込'!$F$5:$F$1004,$A433,'入金消込'!$G$5:$G$1004))</f>
        <v/>
      </c>
      <c r="Q433" s="28">
        <f>IF($A433="","",SUMIF('入金消込'!$F$5:$F$1004,$A433,'入金消込'!$H$5:$H$1004)+SUMIF('入金消込'!$F$5:$F$1004,$A433,'入金消込'!$I$5:$I$1004))</f>
        <v/>
      </c>
      <c r="R433" s="28">
        <f>IF($A433="","",$L433-$P433-$Q433)</f>
        <v/>
      </c>
      <c r="S433" s="30">
        <f>IF($A433="","",IF($R433=0,IF($L433=0,"請求額0","回収済"),IF($L433&lt;0,IF($R433&lt;0,"差し引き待ち","差し引きすぎ"),IF($R433&lt;0,"入金が多い",IF($P433+$Q433=0,"未入金","一部入金")))))</f>
        <v/>
      </c>
      <c r="T433" s="31">
        <f>IF(OR($A433="",N($R433)&lt;=0,NOT(ISNUMBER($O433))),"",IF($O433&lt;'設定'!$B$7,'設定'!$B$7-$O433,""))</f>
        <v/>
      </c>
      <c r="U433" s="30">
        <f>IF(OR($A433="",N($R433)&lt;=0),"",IF(NOT(ISNUMBER($O433)),'設定'!$B$22,IF($O433&gt;='設定'!$B$7,'設定'!$B$17,IF('設定'!$B$7-$O433&lt;='設定'!$B$12,'設定'!$B$18,IF('設定'!$B$7-$O433&lt;='設定'!$B$13,'設定'!$B$19,IF('設定'!$B$7-$O433&lt;='設定'!$B$14,'設定'!$B$20,'設定'!$B$21))))))</f>
        <v/>
      </c>
      <c r="V433" s="56" t="n"/>
      <c r="W433" s="32">
        <f>IF($C433="","",IFERROR(MATCH($C433,'得意先'!$B$5:$B$104,0),"なし"))</f>
        <v/>
      </c>
      <c r="X433" s="33">
        <f>IF($A433="","",IF(ISNUMBER($E433),$E433,IF(ISNUMBER($B433),$B433,"")))</f>
        <v/>
      </c>
      <c r="Y433" s="34">
        <f>IF($T433="","",$O433+ROW()/1000000)</f>
        <v/>
      </c>
      <c r="Z433" s="35">
        <f>IF(OR($A433="",$C433="",$C433&lt;&gt;'売掛帳'!$B$3,NOT(ISNUMBER($X433))),"",IF(AND($X433&gt;='売掛帳'!$Q$3,$X433&lt;='売掛帳'!$Q$4),$X433+ROW()/10000000,""))</f>
        <v/>
      </c>
    </row>
    <row r="434" ht="18" customHeight="1">
      <c r="A434" s="18" t="n"/>
      <c r="B434" s="26" t="n"/>
      <c r="C434" s="18" t="n"/>
      <c r="D434" s="20">
        <f>IF($W434="","",IF($W434="なし","※得意先にないコード",INDEX('得意先'!$C$5:$C$104,$W434)&amp;""))</f>
        <v/>
      </c>
      <c r="E434" s="26" t="n"/>
      <c r="F434" s="19" t="n"/>
      <c r="G434" s="27" t="n"/>
      <c r="H434" s="27" t="n"/>
      <c r="I434" s="27" t="n"/>
      <c r="J434" s="28">
        <f>IF($A434="","",IF('設定'!$B$10="四捨五入",ROUND(IF('設定'!$B$9="税込",N($G434)*10/110,N($G434)*10/100),0),IF('設定'!$B$10="切り上げ",ROUNDUP(IF('設定'!$B$9="税込",N($G434)*10/110,N($G434)*10/100),0),ROUNDDOWN(IF('設定'!$B$9="税込",N($G434)*10/110,N($G434)*10/100),0))))</f>
        <v/>
      </c>
      <c r="K434" s="28">
        <f>IF($A434="","",IF('設定'!$B$10="四捨五入",ROUND(IF('設定'!$B$9="税込",N($H434)*8/108,N($H434)*8/100),0),IF('設定'!$B$10="切り上げ",ROUNDUP(IF('設定'!$B$9="税込",N($H434)*8/108,N($H434)*8/100),0),ROUNDDOWN(IF('設定'!$B$9="税込",N($H434)*8/108,N($H434)*8/100),0))))</f>
        <v/>
      </c>
      <c r="L434" s="28">
        <f>IF($A434="","",N($G434)+N($H434)+N($I434)+IF('設定'!$B$9="税込",0,$J434+$K434))</f>
        <v/>
      </c>
      <c r="M434" s="29">
        <f>IF(OR($A434="",NOT(ISNUMBER($W434)),NOT(ISNUMBER($X434))),"",IF(OR(INDEX('得意先'!$D$5:$D$104,$W434)="",INDEX('得意先'!$E$5:$E$104,$W434)="",INDEX('得意先'!$F$5:$F$104,$W434)=""),"",IF(INDEX('得意先'!$F$5:$F$104,$W434)="末",DATE(YEAR($X434),(MONTH($X434)+IF(INDEX('得意先'!$D$5:$D$104,$W434)="末",0,IF(DAY($X434)&lt;=INDEX('得意先'!$D$5:$D$104,$W434),0,1))+N(INDEX('得意先'!$E$5:$E$104,$W434)))+1,0),DATE(YEAR($X434),(MONTH($X434)+IF(INDEX('得意先'!$D$5:$D$104,$W434)="末",0,IF(DAY($X434)&lt;=INDEX('得意先'!$D$5:$D$104,$W434),0,1))+N(INDEX('得意先'!$E$5:$E$104,$W434))),MIN(INDEX('得意先'!$F$5:$F$104,$W434),DAY(DATE(YEAR($X434),(MONTH($X434)+IF(INDEX('得意先'!$D$5:$D$104,$W434)="末",0,IF(DAY($X434)&lt;=INDEX('得意先'!$D$5:$D$104,$W434),0,1))+N(INDEX('得意先'!$E$5:$E$104,$W434)))+1,0)))))))</f>
        <v/>
      </c>
      <c r="N434" s="26" t="n"/>
      <c r="O434" s="29">
        <f>IF($A434="","",IF(ISNUMBER($N434),$N434,$M434))</f>
        <v/>
      </c>
      <c r="P434" s="28">
        <f>IF($A434="","",SUMIF('入金消込'!$F$5:$F$1004,$A434,'入金消込'!$G$5:$G$1004))</f>
        <v/>
      </c>
      <c r="Q434" s="28">
        <f>IF($A434="","",SUMIF('入金消込'!$F$5:$F$1004,$A434,'入金消込'!$H$5:$H$1004)+SUMIF('入金消込'!$F$5:$F$1004,$A434,'入金消込'!$I$5:$I$1004))</f>
        <v/>
      </c>
      <c r="R434" s="28">
        <f>IF($A434="","",$L434-$P434-$Q434)</f>
        <v/>
      </c>
      <c r="S434" s="30">
        <f>IF($A434="","",IF($R434=0,IF($L434=0,"請求額0","回収済"),IF($L434&lt;0,IF($R434&lt;0,"差し引き待ち","差し引きすぎ"),IF($R434&lt;0,"入金が多い",IF($P434+$Q434=0,"未入金","一部入金")))))</f>
        <v/>
      </c>
      <c r="T434" s="31">
        <f>IF(OR($A434="",N($R434)&lt;=0,NOT(ISNUMBER($O434))),"",IF($O434&lt;'設定'!$B$7,'設定'!$B$7-$O434,""))</f>
        <v/>
      </c>
      <c r="U434" s="30">
        <f>IF(OR($A434="",N($R434)&lt;=0),"",IF(NOT(ISNUMBER($O434)),'設定'!$B$22,IF($O434&gt;='設定'!$B$7,'設定'!$B$17,IF('設定'!$B$7-$O434&lt;='設定'!$B$12,'設定'!$B$18,IF('設定'!$B$7-$O434&lt;='設定'!$B$13,'設定'!$B$19,IF('設定'!$B$7-$O434&lt;='設定'!$B$14,'設定'!$B$20,'設定'!$B$21))))))</f>
        <v/>
      </c>
      <c r="V434" s="56" t="n"/>
      <c r="W434" s="32">
        <f>IF($C434="","",IFERROR(MATCH($C434,'得意先'!$B$5:$B$104,0),"なし"))</f>
        <v/>
      </c>
      <c r="X434" s="33">
        <f>IF($A434="","",IF(ISNUMBER($E434),$E434,IF(ISNUMBER($B434),$B434,"")))</f>
        <v/>
      </c>
      <c r="Y434" s="34">
        <f>IF($T434="","",$O434+ROW()/1000000)</f>
        <v/>
      </c>
      <c r="Z434" s="35">
        <f>IF(OR($A434="",$C434="",$C434&lt;&gt;'売掛帳'!$B$3,NOT(ISNUMBER($X434))),"",IF(AND($X434&gt;='売掛帳'!$Q$3,$X434&lt;='売掛帳'!$Q$4),$X434+ROW()/10000000,""))</f>
        <v/>
      </c>
    </row>
    <row r="435" ht="18" customHeight="1">
      <c r="A435" s="18" t="n"/>
      <c r="B435" s="26" t="n"/>
      <c r="C435" s="18" t="n"/>
      <c r="D435" s="20">
        <f>IF($W435="","",IF($W435="なし","※得意先にないコード",INDEX('得意先'!$C$5:$C$104,$W435)&amp;""))</f>
        <v/>
      </c>
      <c r="E435" s="26" t="n"/>
      <c r="F435" s="19" t="n"/>
      <c r="G435" s="27" t="n"/>
      <c r="H435" s="27" t="n"/>
      <c r="I435" s="27" t="n"/>
      <c r="J435" s="28">
        <f>IF($A435="","",IF('設定'!$B$10="四捨五入",ROUND(IF('設定'!$B$9="税込",N($G435)*10/110,N($G435)*10/100),0),IF('設定'!$B$10="切り上げ",ROUNDUP(IF('設定'!$B$9="税込",N($G435)*10/110,N($G435)*10/100),0),ROUNDDOWN(IF('設定'!$B$9="税込",N($G435)*10/110,N($G435)*10/100),0))))</f>
        <v/>
      </c>
      <c r="K435" s="28">
        <f>IF($A435="","",IF('設定'!$B$10="四捨五入",ROUND(IF('設定'!$B$9="税込",N($H435)*8/108,N($H435)*8/100),0),IF('設定'!$B$10="切り上げ",ROUNDUP(IF('設定'!$B$9="税込",N($H435)*8/108,N($H435)*8/100),0),ROUNDDOWN(IF('設定'!$B$9="税込",N($H435)*8/108,N($H435)*8/100),0))))</f>
        <v/>
      </c>
      <c r="L435" s="28">
        <f>IF($A435="","",N($G435)+N($H435)+N($I435)+IF('設定'!$B$9="税込",0,$J435+$K435))</f>
        <v/>
      </c>
      <c r="M435" s="29">
        <f>IF(OR($A435="",NOT(ISNUMBER($W435)),NOT(ISNUMBER($X435))),"",IF(OR(INDEX('得意先'!$D$5:$D$104,$W435)="",INDEX('得意先'!$E$5:$E$104,$W435)="",INDEX('得意先'!$F$5:$F$104,$W435)=""),"",IF(INDEX('得意先'!$F$5:$F$104,$W435)="末",DATE(YEAR($X435),(MONTH($X435)+IF(INDEX('得意先'!$D$5:$D$104,$W435)="末",0,IF(DAY($X435)&lt;=INDEX('得意先'!$D$5:$D$104,$W435),0,1))+N(INDEX('得意先'!$E$5:$E$104,$W435)))+1,0),DATE(YEAR($X435),(MONTH($X435)+IF(INDEX('得意先'!$D$5:$D$104,$W435)="末",0,IF(DAY($X435)&lt;=INDEX('得意先'!$D$5:$D$104,$W435),0,1))+N(INDEX('得意先'!$E$5:$E$104,$W435))),MIN(INDEX('得意先'!$F$5:$F$104,$W435),DAY(DATE(YEAR($X435),(MONTH($X435)+IF(INDEX('得意先'!$D$5:$D$104,$W435)="末",0,IF(DAY($X435)&lt;=INDEX('得意先'!$D$5:$D$104,$W435),0,1))+N(INDEX('得意先'!$E$5:$E$104,$W435)))+1,0)))))))</f>
        <v/>
      </c>
      <c r="N435" s="26" t="n"/>
      <c r="O435" s="29">
        <f>IF($A435="","",IF(ISNUMBER($N435),$N435,$M435))</f>
        <v/>
      </c>
      <c r="P435" s="28">
        <f>IF($A435="","",SUMIF('入金消込'!$F$5:$F$1004,$A435,'入金消込'!$G$5:$G$1004))</f>
        <v/>
      </c>
      <c r="Q435" s="28">
        <f>IF($A435="","",SUMIF('入金消込'!$F$5:$F$1004,$A435,'入金消込'!$H$5:$H$1004)+SUMIF('入金消込'!$F$5:$F$1004,$A435,'入金消込'!$I$5:$I$1004))</f>
        <v/>
      </c>
      <c r="R435" s="28">
        <f>IF($A435="","",$L435-$P435-$Q435)</f>
        <v/>
      </c>
      <c r="S435" s="30">
        <f>IF($A435="","",IF($R435=0,IF($L435=0,"請求額0","回収済"),IF($L435&lt;0,IF($R435&lt;0,"差し引き待ち","差し引きすぎ"),IF($R435&lt;0,"入金が多い",IF($P435+$Q435=0,"未入金","一部入金")))))</f>
        <v/>
      </c>
      <c r="T435" s="31">
        <f>IF(OR($A435="",N($R435)&lt;=0,NOT(ISNUMBER($O435))),"",IF($O435&lt;'設定'!$B$7,'設定'!$B$7-$O435,""))</f>
        <v/>
      </c>
      <c r="U435" s="30">
        <f>IF(OR($A435="",N($R435)&lt;=0),"",IF(NOT(ISNUMBER($O435)),'設定'!$B$22,IF($O435&gt;='設定'!$B$7,'設定'!$B$17,IF('設定'!$B$7-$O435&lt;='設定'!$B$12,'設定'!$B$18,IF('設定'!$B$7-$O435&lt;='設定'!$B$13,'設定'!$B$19,IF('設定'!$B$7-$O435&lt;='設定'!$B$14,'設定'!$B$20,'設定'!$B$21))))))</f>
        <v/>
      </c>
      <c r="V435" s="56" t="n"/>
      <c r="W435" s="32">
        <f>IF($C435="","",IFERROR(MATCH($C435,'得意先'!$B$5:$B$104,0),"なし"))</f>
        <v/>
      </c>
      <c r="X435" s="33">
        <f>IF($A435="","",IF(ISNUMBER($E435),$E435,IF(ISNUMBER($B435),$B435,"")))</f>
        <v/>
      </c>
      <c r="Y435" s="34">
        <f>IF($T435="","",$O435+ROW()/1000000)</f>
        <v/>
      </c>
      <c r="Z435" s="35">
        <f>IF(OR($A435="",$C435="",$C435&lt;&gt;'売掛帳'!$B$3,NOT(ISNUMBER($X435))),"",IF(AND($X435&gt;='売掛帳'!$Q$3,$X435&lt;='売掛帳'!$Q$4),$X435+ROW()/10000000,""))</f>
        <v/>
      </c>
    </row>
    <row r="436" ht="18" customHeight="1">
      <c r="A436" s="18" t="n"/>
      <c r="B436" s="26" t="n"/>
      <c r="C436" s="18" t="n"/>
      <c r="D436" s="20">
        <f>IF($W436="","",IF($W436="なし","※得意先にないコード",INDEX('得意先'!$C$5:$C$104,$W436)&amp;""))</f>
        <v/>
      </c>
      <c r="E436" s="26" t="n"/>
      <c r="F436" s="19" t="n"/>
      <c r="G436" s="27" t="n"/>
      <c r="H436" s="27" t="n"/>
      <c r="I436" s="27" t="n"/>
      <c r="J436" s="28">
        <f>IF($A436="","",IF('設定'!$B$10="四捨五入",ROUND(IF('設定'!$B$9="税込",N($G436)*10/110,N($G436)*10/100),0),IF('設定'!$B$10="切り上げ",ROUNDUP(IF('設定'!$B$9="税込",N($G436)*10/110,N($G436)*10/100),0),ROUNDDOWN(IF('設定'!$B$9="税込",N($G436)*10/110,N($G436)*10/100),0))))</f>
        <v/>
      </c>
      <c r="K436" s="28">
        <f>IF($A436="","",IF('設定'!$B$10="四捨五入",ROUND(IF('設定'!$B$9="税込",N($H436)*8/108,N($H436)*8/100),0),IF('設定'!$B$10="切り上げ",ROUNDUP(IF('設定'!$B$9="税込",N($H436)*8/108,N($H436)*8/100),0),ROUNDDOWN(IF('設定'!$B$9="税込",N($H436)*8/108,N($H436)*8/100),0))))</f>
        <v/>
      </c>
      <c r="L436" s="28">
        <f>IF($A436="","",N($G436)+N($H436)+N($I436)+IF('設定'!$B$9="税込",0,$J436+$K436))</f>
        <v/>
      </c>
      <c r="M436" s="29">
        <f>IF(OR($A436="",NOT(ISNUMBER($W436)),NOT(ISNUMBER($X436))),"",IF(OR(INDEX('得意先'!$D$5:$D$104,$W436)="",INDEX('得意先'!$E$5:$E$104,$W436)="",INDEX('得意先'!$F$5:$F$104,$W436)=""),"",IF(INDEX('得意先'!$F$5:$F$104,$W436)="末",DATE(YEAR($X436),(MONTH($X436)+IF(INDEX('得意先'!$D$5:$D$104,$W436)="末",0,IF(DAY($X436)&lt;=INDEX('得意先'!$D$5:$D$104,$W436),0,1))+N(INDEX('得意先'!$E$5:$E$104,$W436)))+1,0),DATE(YEAR($X436),(MONTH($X436)+IF(INDEX('得意先'!$D$5:$D$104,$W436)="末",0,IF(DAY($X436)&lt;=INDEX('得意先'!$D$5:$D$104,$W436),0,1))+N(INDEX('得意先'!$E$5:$E$104,$W436))),MIN(INDEX('得意先'!$F$5:$F$104,$W436),DAY(DATE(YEAR($X436),(MONTH($X436)+IF(INDEX('得意先'!$D$5:$D$104,$W436)="末",0,IF(DAY($X436)&lt;=INDEX('得意先'!$D$5:$D$104,$W436),0,1))+N(INDEX('得意先'!$E$5:$E$104,$W436)))+1,0)))))))</f>
        <v/>
      </c>
      <c r="N436" s="26" t="n"/>
      <c r="O436" s="29">
        <f>IF($A436="","",IF(ISNUMBER($N436),$N436,$M436))</f>
        <v/>
      </c>
      <c r="P436" s="28">
        <f>IF($A436="","",SUMIF('入金消込'!$F$5:$F$1004,$A436,'入金消込'!$G$5:$G$1004))</f>
        <v/>
      </c>
      <c r="Q436" s="28">
        <f>IF($A436="","",SUMIF('入金消込'!$F$5:$F$1004,$A436,'入金消込'!$H$5:$H$1004)+SUMIF('入金消込'!$F$5:$F$1004,$A436,'入金消込'!$I$5:$I$1004))</f>
        <v/>
      </c>
      <c r="R436" s="28">
        <f>IF($A436="","",$L436-$P436-$Q436)</f>
        <v/>
      </c>
      <c r="S436" s="30">
        <f>IF($A436="","",IF($R436=0,IF($L436=0,"請求額0","回収済"),IF($L436&lt;0,IF($R436&lt;0,"差し引き待ち","差し引きすぎ"),IF($R436&lt;0,"入金が多い",IF($P436+$Q436=0,"未入金","一部入金")))))</f>
        <v/>
      </c>
      <c r="T436" s="31">
        <f>IF(OR($A436="",N($R436)&lt;=0,NOT(ISNUMBER($O436))),"",IF($O436&lt;'設定'!$B$7,'設定'!$B$7-$O436,""))</f>
        <v/>
      </c>
      <c r="U436" s="30">
        <f>IF(OR($A436="",N($R436)&lt;=0),"",IF(NOT(ISNUMBER($O436)),'設定'!$B$22,IF($O436&gt;='設定'!$B$7,'設定'!$B$17,IF('設定'!$B$7-$O436&lt;='設定'!$B$12,'設定'!$B$18,IF('設定'!$B$7-$O436&lt;='設定'!$B$13,'設定'!$B$19,IF('設定'!$B$7-$O436&lt;='設定'!$B$14,'設定'!$B$20,'設定'!$B$21))))))</f>
        <v/>
      </c>
      <c r="V436" s="56" t="n"/>
      <c r="W436" s="32">
        <f>IF($C436="","",IFERROR(MATCH($C436,'得意先'!$B$5:$B$104,0),"なし"))</f>
        <v/>
      </c>
      <c r="X436" s="33">
        <f>IF($A436="","",IF(ISNUMBER($E436),$E436,IF(ISNUMBER($B436),$B436,"")))</f>
        <v/>
      </c>
      <c r="Y436" s="34">
        <f>IF($T436="","",$O436+ROW()/1000000)</f>
        <v/>
      </c>
      <c r="Z436" s="35">
        <f>IF(OR($A436="",$C436="",$C436&lt;&gt;'売掛帳'!$B$3,NOT(ISNUMBER($X436))),"",IF(AND($X436&gt;='売掛帳'!$Q$3,$X436&lt;='売掛帳'!$Q$4),$X436+ROW()/10000000,""))</f>
        <v/>
      </c>
    </row>
    <row r="437" ht="18" customHeight="1">
      <c r="A437" s="18" t="n"/>
      <c r="B437" s="26" t="n"/>
      <c r="C437" s="18" t="n"/>
      <c r="D437" s="20">
        <f>IF($W437="","",IF($W437="なし","※得意先にないコード",INDEX('得意先'!$C$5:$C$104,$W437)&amp;""))</f>
        <v/>
      </c>
      <c r="E437" s="26" t="n"/>
      <c r="F437" s="19" t="n"/>
      <c r="G437" s="27" t="n"/>
      <c r="H437" s="27" t="n"/>
      <c r="I437" s="27" t="n"/>
      <c r="J437" s="28">
        <f>IF($A437="","",IF('設定'!$B$10="四捨五入",ROUND(IF('設定'!$B$9="税込",N($G437)*10/110,N($G437)*10/100),0),IF('設定'!$B$10="切り上げ",ROUNDUP(IF('設定'!$B$9="税込",N($G437)*10/110,N($G437)*10/100),0),ROUNDDOWN(IF('設定'!$B$9="税込",N($G437)*10/110,N($G437)*10/100),0))))</f>
        <v/>
      </c>
      <c r="K437" s="28">
        <f>IF($A437="","",IF('設定'!$B$10="四捨五入",ROUND(IF('設定'!$B$9="税込",N($H437)*8/108,N($H437)*8/100),0),IF('設定'!$B$10="切り上げ",ROUNDUP(IF('設定'!$B$9="税込",N($H437)*8/108,N($H437)*8/100),0),ROUNDDOWN(IF('設定'!$B$9="税込",N($H437)*8/108,N($H437)*8/100),0))))</f>
        <v/>
      </c>
      <c r="L437" s="28">
        <f>IF($A437="","",N($G437)+N($H437)+N($I437)+IF('設定'!$B$9="税込",0,$J437+$K437))</f>
        <v/>
      </c>
      <c r="M437" s="29">
        <f>IF(OR($A437="",NOT(ISNUMBER($W437)),NOT(ISNUMBER($X437))),"",IF(OR(INDEX('得意先'!$D$5:$D$104,$W437)="",INDEX('得意先'!$E$5:$E$104,$W437)="",INDEX('得意先'!$F$5:$F$104,$W437)=""),"",IF(INDEX('得意先'!$F$5:$F$104,$W437)="末",DATE(YEAR($X437),(MONTH($X437)+IF(INDEX('得意先'!$D$5:$D$104,$W437)="末",0,IF(DAY($X437)&lt;=INDEX('得意先'!$D$5:$D$104,$W437),0,1))+N(INDEX('得意先'!$E$5:$E$104,$W437)))+1,0),DATE(YEAR($X437),(MONTH($X437)+IF(INDEX('得意先'!$D$5:$D$104,$W437)="末",0,IF(DAY($X437)&lt;=INDEX('得意先'!$D$5:$D$104,$W437),0,1))+N(INDEX('得意先'!$E$5:$E$104,$W437))),MIN(INDEX('得意先'!$F$5:$F$104,$W437),DAY(DATE(YEAR($X437),(MONTH($X437)+IF(INDEX('得意先'!$D$5:$D$104,$W437)="末",0,IF(DAY($X437)&lt;=INDEX('得意先'!$D$5:$D$104,$W437),0,1))+N(INDEX('得意先'!$E$5:$E$104,$W437)))+1,0)))))))</f>
        <v/>
      </c>
      <c r="N437" s="26" t="n"/>
      <c r="O437" s="29">
        <f>IF($A437="","",IF(ISNUMBER($N437),$N437,$M437))</f>
        <v/>
      </c>
      <c r="P437" s="28">
        <f>IF($A437="","",SUMIF('入金消込'!$F$5:$F$1004,$A437,'入金消込'!$G$5:$G$1004))</f>
        <v/>
      </c>
      <c r="Q437" s="28">
        <f>IF($A437="","",SUMIF('入金消込'!$F$5:$F$1004,$A437,'入金消込'!$H$5:$H$1004)+SUMIF('入金消込'!$F$5:$F$1004,$A437,'入金消込'!$I$5:$I$1004))</f>
        <v/>
      </c>
      <c r="R437" s="28">
        <f>IF($A437="","",$L437-$P437-$Q437)</f>
        <v/>
      </c>
      <c r="S437" s="30">
        <f>IF($A437="","",IF($R437=0,IF($L437=0,"請求額0","回収済"),IF($L437&lt;0,IF($R437&lt;0,"差し引き待ち","差し引きすぎ"),IF($R437&lt;0,"入金が多い",IF($P437+$Q437=0,"未入金","一部入金")))))</f>
        <v/>
      </c>
      <c r="T437" s="31">
        <f>IF(OR($A437="",N($R437)&lt;=0,NOT(ISNUMBER($O437))),"",IF($O437&lt;'設定'!$B$7,'設定'!$B$7-$O437,""))</f>
        <v/>
      </c>
      <c r="U437" s="30">
        <f>IF(OR($A437="",N($R437)&lt;=0),"",IF(NOT(ISNUMBER($O437)),'設定'!$B$22,IF($O437&gt;='設定'!$B$7,'設定'!$B$17,IF('設定'!$B$7-$O437&lt;='設定'!$B$12,'設定'!$B$18,IF('設定'!$B$7-$O437&lt;='設定'!$B$13,'設定'!$B$19,IF('設定'!$B$7-$O437&lt;='設定'!$B$14,'設定'!$B$20,'設定'!$B$21))))))</f>
        <v/>
      </c>
      <c r="V437" s="56" t="n"/>
      <c r="W437" s="32">
        <f>IF($C437="","",IFERROR(MATCH($C437,'得意先'!$B$5:$B$104,0),"なし"))</f>
        <v/>
      </c>
      <c r="X437" s="33">
        <f>IF($A437="","",IF(ISNUMBER($E437),$E437,IF(ISNUMBER($B437),$B437,"")))</f>
        <v/>
      </c>
      <c r="Y437" s="34">
        <f>IF($T437="","",$O437+ROW()/1000000)</f>
        <v/>
      </c>
      <c r="Z437" s="35">
        <f>IF(OR($A437="",$C437="",$C437&lt;&gt;'売掛帳'!$B$3,NOT(ISNUMBER($X437))),"",IF(AND($X437&gt;='売掛帳'!$Q$3,$X437&lt;='売掛帳'!$Q$4),$X437+ROW()/10000000,""))</f>
        <v/>
      </c>
    </row>
    <row r="438" ht="18" customHeight="1">
      <c r="A438" s="18" t="n"/>
      <c r="B438" s="26" t="n"/>
      <c r="C438" s="18" t="n"/>
      <c r="D438" s="20">
        <f>IF($W438="","",IF($W438="なし","※得意先にないコード",INDEX('得意先'!$C$5:$C$104,$W438)&amp;""))</f>
        <v/>
      </c>
      <c r="E438" s="26" t="n"/>
      <c r="F438" s="19" t="n"/>
      <c r="G438" s="27" t="n"/>
      <c r="H438" s="27" t="n"/>
      <c r="I438" s="27" t="n"/>
      <c r="J438" s="28">
        <f>IF($A438="","",IF('設定'!$B$10="四捨五入",ROUND(IF('設定'!$B$9="税込",N($G438)*10/110,N($G438)*10/100),0),IF('設定'!$B$10="切り上げ",ROUNDUP(IF('設定'!$B$9="税込",N($G438)*10/110,N($G438)*10/100),0),ROUNDDOWN(IF('設定'!$B$9="税込",N($G438)*10/110,N($G438)*10/100),0))))</f>
        <v/>
      </c>
      <c r="K438" s="28">
        <f>IF($A438="","",IF('設定'!$B$10="四捨五入",ROUND(IF('設定'!$B$9="税込",N($H438)*8/108,N($H438)*8/100),0),IF('設定'!$B$10="切り上げ",ROUNDUP(IF('設定'!$B$9="税込",N($H438)*8/108,N($H438)*8/100),0),ROUNDDOWN(IF('設定'!$B$9="税込",N($H438)*8/108,N($H438)*8/100),0))))</f>
        <v/>
      </c>
      <c r="L438" s="28">
        <f>IF($A438="","",N($G438)+N($H438)+N($I438)+IF('設定'!$B$9="税込",0,$J438+$K438))</f>
        <v/>
      </c>
      <c r="M438" s="29">
        <f>IF(OR($A438="",NOT(ISNUMBER($W438)),NOT(ISNUMBER($X438))),"",IF(OR(INDEX('得意先'!$D$5:$D$104,$W438)="",INDEX('得意先'!$E$5:$E$104,$W438)="",INDEX('得意先'!$F$5:$F$104,$W438)=""),"",IF(INDEX('得意先'!$F$5:$F$104,$W438)="末",DATE(YEAR($X438),(MONTH($X438)+IF(INDEX('得意先'!$D$5:$D$104,$W438)="末",0,IF(DAY($X438)&lt;=INDEX('得意先'!$D$5:$D$104,$W438),0,1))+N(INDEX('得意先'!$E$5:$E$104,$W438)))+1,0),DATE(YEAR($X438),(MONTH($X438)+IF(INDEX('得意先'!$D$5:$D$104,$W438)="末",0,IF(DAY($X438)&lt;=INDEX('得意先'!$D$5:$D$104,$W438),0,1))+N(INDEX('得意先'!$E$5:$E$104,$W438))),MIN(INDEX('得意先'!$F$5:$F$104,$W438),DAY(DATE(YEAR($X438),(MONTH($X438)+IF(INDEX('得意先'!$D$5:$D$104,$W438)="末",0,IF(DAY($X438)&lt;=INDEX('得意先'!$D$5:$D$104,$W438),0,1))+N(INDEX('得意先'!$E$5:$E$104,$W438)))+1,0)))))))</f>
        <v/>
      </c>
      <c r="N438" s="26" t="n"/>
      <c r="O438" s="29">
        <f>IF($A438="","",IF(ISNUMBER($N438),$N438,$M438))</f>
        <v/>
      </c>
      <c r="P438" s="28">
        <f>IF($A438="","",SUMIF('入金消込'!$F$5:$F$1004,$A438,'入金消込'!$G$5:$G$1004))</f>
        <v/>
      </c>
      <c r="Q438" s="28">
        <f>IF($A438="","",SUMIF('入金消込'!$F$5:$F$1004,$A438,'入金消込'!$H$5:$H$1004)+SUMIF('入金消込'!$F$5:$F$1004,$A438,'入金消込'!$I$5:$I$1004))</f>
        <v/>
      </c>
      <c r="R438" s="28">
        <f>IF($A438="","",$L438-$P438-$Q438)</f>
        <v/>
      </c>
      <c r="S438" s="30">
        <f>IF($A438="","",IF($R438=0,IF($L438=0,"請求額0","回収済"),IF($L438&lt;0,IF($R438&lt;0,"差し引き待ち","差し引きすぎ"),IF($R438&lt;0,"入金が多い",IF($P438+$Q438=0,"未入金","一部入金")))))</f>
        <v/>
      </c>
      <c r="T438" s="31">
        <f>IF(OR($A438="",N($R438)&lt;=0,NOT(ISNUMBER($O438))),"",IF($O438&lt;'設定'!$B$7,'設定'!$B$7-$O438,""))</f>
        <v/>
      </c>
      <c r="U438" s="30">
        <f>IF(OR($A438="",N($R438)&lt;=0),"",IF(NOT(ISNUMBER($O438)),'設定'!$B$22,IF($O438&gt;='設定'!$B$7,'設定'!$B$17,IF('設定'!$B$7-$O438&lt;='設定'!$B$12,'設定'!$B$18,IF('設定'!$B$7-$O438&lt;='設定'!$B$13,'設定'!$B$19,IF('設定'!$B$7-$O438&lt;='設定'!$B$14,'設定'!$B$20,'設定'!$B$21))))))</f>
        <v/>
      </c>
      <c r="V438" s="56" t="n"/>
      <c r="W438" s="32">
        <f>IF($C438="","",IFERROR(MATCH($C438,'得意先'!$B$5:$B$104,0),"なし"))</f>
        <v/>
      </c>
      <c r="X438" s="33">
        <f>IF($A438="","",IF(ISNUMBER($E438),$E438,IF(ISNUMBER($B438),$B438,"")))</f>
        <v/>
      </c>
      <c r="Y438" s="34">
        <f>IF($T438="","",$O438+ROW()/1000000)</f>
        <v/>
      </c>
      <c r="Z438" s="35">
        <f>IF(OR($A438="",$C438="",$C438&lt;&gt;'売掛帳'!$B$3,NOT(ISNUMBER($X438))),"",IF(AND($X438&gt;='売掛帳'!$Q$3,$X438&lt;='売掛帳'!$Q$4),$X438+ROW()/10000000,""))</f>
        <v/>
      </c>
    </row>
    <row r="439" ht="18" customHeight="1">
      <c r="A439" s="18" t="n"/>
      <c r="B439" s="26" t="n"/>
      <c r="C439" s="18" t="n"/>
      <c r="D439" s="20">
        <f>IF($W439="","",IF($W439="なし","※得意先にないコード",INDEX('得意先'!$C$5:$C$104,$W439)&amp;""))</f>
        <v/>
      </c>
      <c r="E439" s="26" t="n"/>
      <c r="F439" s="19" t="n"/>
      <c r="G439" s="27" t="n"/>
      <c r="H439" s="27" t="n"/>
      <c r="I439" s="27" t="n"/>
      <c r="J439" s="28">
        <f>IF($A439="","",IF('設定'!$B$10="四捨五入",ROUND(IF('設定'!$B$9="税込",N($G439)*10/110,N($G439)*10/100),0),IF('設定'!$B$10="切り上げ",ROUNDUP(IF('設定'!$B$9="税込",N($G439)*10/110,N($G439)*10/100),0),ROUNDDOWN(IF('設定'!$B$9="税込",N($G439)*10/110,N($G439)*10/100),0))))</f>
        <v/>
      </c>
      <c r="K439" s="28">
        <f>IF($A439="","",IF('設定'!$B$10="四捨五入",ROUND(IF('設定'!$B$9="税込",N($H439)*8/108,N($H439)*8/100),0),IF('設定'!$B$10="切り上げ",ROUNDUP(IF('設定'!$B$9="税込",N($H439)*8/108,N($H439)*8/100),0),ROUNDDOWN(IF('設定'!$B$9="税込",N($H439)*8/108,N($H439)*8/100),0))))</f>
        <v/>
      </c>
      <c r="L439" s="28">
        <f>IF($A439="","",N($G439)+N($H439)+N($I439)+IF('設定'!$B$9="税込",0,$J439+$K439))</f>
        <v/>
      </c>
      <c r="M439" s="29">
        <f>IF(OR($A439="",NOT(ISNUMBER($W439)),NOT(ISNUMBER($X439))),"",IF(OR(INDEX('得意先'!$D$5:$D$104,$W439)="",INDEX('得意先'!$E$5:$E$104,$W439)="",INDEX('得意先'!$F$5:$F$104,$W439)=""),"",IF(INDEX('得意先'!$F$5:$F$104,$W439)="末",DATE(YEAR($X439),(MONTH($X439)+IF(INDEX('得意先'!$D$5:$D$104,$W439)="末",0,IF(DAY($X439)&lt;=INDEX('得意先'!$D$5:$D$104,$W439),0,1))+N(INDEX('得意先'!$E$5:$E$104,$W439)))+1,0),DATE(YEAR($X439),(MONTH($X439)+IF(INDEX('得意先'!$D$5:$D$104,$W439)="末",0,IF(DAY($X439)&lt;=INDEX('得意先'!$D$5:$D$104,$W439),0,1))+N(INDEX('得意先'!$E$5:$E$104,$W439))),MIN(INDEX('得意先'!$F$5:$F$104,$W439),DAY(DATE(YEAR($X439),(MONTH($X439)+IF(INDEX('得意先'!$D$5:$D$104,$W439)="末",0,IF(DAY($X439)&lt;=INDEX('得意先'!$D$5:$D$104,$W439),0,1))+N(INDEX('得意先'!$E$5:$E$104,$W439)))+1,0)))))))</f>
        <v/>
      </c>
      <c r="N439" s="26" t="n"/>
      <c r="O439" s="29">
        <f>IF($A439="","",IF(ISNUMBER($N439),$N439,$M439))</f>
        <v/>
      </c>
      <c r="P439" s="28">
        <f>IF($A439="","",SUMIF('入金消込'!$F$5:$F$1004,$A439,'入金消込'!$G$5:$G$1004))</f>
        <v/>
      </c>
      <c r="Q439" s="28">
        <f>IF($A439="","",SUMIF('入金消込'!$F$5:$F$1004,$A439,'入金消込'!$H$5:$H$1004)+SUMIF('入金消込'!$F$5:$F$1004,$A439,'入金消込'!$I$5:$I$1004))</f>
        <v/>
      </c>
      <c r="R439" s="28">
        <f>IF($A439="","",$L439-$P439-$Q439)</f>
        <v/>
      </c>
      <c r="S439" s="30">
        <f>IF($A439="","",IF($R439=0,IF($L439=0,"請求額0","回収済"),IF($L439&lt;0,IF($R439&lt;0,"差し引き待ち","差し引きすぎ"),IF($R439&lt;0,"入金が多い",IF($P439+$Q439=0,"未入金","一部入金")))))</f>
        <v/>
      </c>
      <c r="T439" s="31">
        <f>IF(OR($A439="",N($R439)&lt;=0,NOT(ISNUMBER($O439))),"",IF($O439&lt;'設定'!$B$7,'設定'!$B$7-$O439,""))</f>
        <v/>
      </c>
      <c r="U439" s="30">
        <f>IF(OR($A439="",N($R439)&lt;=0),"",IF(NOT(ISNUMBER($O439)),'設定'!$B$22,IF($O439&gt;='設定'!$B$7,'設定'!$B$17,IF('設定'!$B$7-$O439&lt;='設定'!$B$12,'設定'!$B$18,IF('設定'!$B$7-$O439&lt;='設定'!$B$13,'設定'!$B$19,IF('設定'!$B$7-$O439&lt;='設定'!$B$14,'設定'!$B$20,'設定'!$B$21))))))</f>
        <v/>
      </c>
      <c r="V439" s="56" t="n"/>
      <c r="W439" s="32">
        <f>IF($C439="","",IFERROR(MATCH($C439,'得意先'!$B$5:$B$104,0),"なし"))</f>
        <v/>
      </c>
      <c r="X439" s="33">
        <f>IF($A439="","",IF(ISNUMBER($E439),$E439,IF(ISNUMBER($B439),$B439,"")))</f>
        <v/>
      </c>
      <c r="Y439" s="34">
        <f>IF($T439="","",$O439+ROW()/1000000)</f>
        <v/>
      </c>
      <c r="Z439" s="35">
        <f>IF(OR($A439="",$C439="",$C439&lt;&gt;'売掛帳'!$B$3,NOT(ISNUMBER($X439))),"",IF(AND($X439&gt;='売掛帳'!$Q$3,$X439&lt;='売掛帳'!$Q$4),$X439+ROW()/10000000,""))</f>
        <v/>
      </c>
    </row>
    <row r="440" ht="18" customHeight="1">
      <c r="A440" s="18" t="n"/>
      <c r="B440" s="26" t="n"/>
      <c r="C440" s="18" t="n"/>
      <c r="D440" s="20">
        <f>IF($W440="","",IF($W440="なし","※得意先にないコード",INDEX('得意先'!$C$5:$C$104,$W440)&amp;""))</f>
        <v/>
      </c>
      <c r="E440" s="26" t="n"/>
      <c r="F440" s="19" t="n"/>
      <c r="G440" s="27" t="n"/>
      <c r="H440" s="27" t="n"/>
      <c r="I440" s="27" t="n"/>
      <c r="J440" s="28">
        <f>IF($A440="","",IF('設定'!$B$10="四捨五入",ROUND(IF('設定'!$B$9="税込",N($G440)*10/110,N($G440)*10/100),0),IF('設定'!$B$10="切り上げ",ROUNDUP(IF('設定'!$B$9="税込",N($G440)*10/110,N($G440)*10/100),0),ROUNDDOWN(IF('設定'!$B$9="税込",N($G440)*10/110,N($G440)*10/100),0))))</f>
        <v/>
      </c>
      <c r="K440" s="28">
        <f>IF($A440="","",IF('設定'!$B$10="四捨五入",ROUND(IF('設定'!$B$9="税込",N($H440)*8/108,N($H440)*8/100),0),IF('設定'!$B$10="切り上げ",ROUNDUP(IF('設定'!$B$9="税込",N($H440)*8/108,N($H440)*8/100),0),ROUNDDOWN(IF('設定'!$B$9="税込",N($H440)*8/108,N($H440)*8/100),0))))</f>
        <v/>
      </c>
      <c r="L440" s="28">
        <f>IF($A440="","",N($G440)+N($H440)+N($I440)+IF('設定'!$B$9="税込",0,$J440+$K440))</f>
        <v/>
      </c>
      <c r="M440" s="29">
        <f>IF(OR($A440="",NOT(ISNUMBER($W440)),NOT(ISNUMBER($X440))),"",IF(OR(INDEX('得意先'!$D$5:$D$104,$W440)="",INDEX('得意先'!$E$5:$E$104,$W440)="",INDEX('得意先'!$F$5:$F$104,$W440)=""),"",IF(INDEX('得意先'!$F$5:$F$104,$W440)="末",DATE(YEAR($X440),(MONTH($X440)+IF(INDEX('得意先'!$D$5:$D$104,$W440)="末",0,IF(DAY($X440)&lt;=INDEX('得意先'!$D$5:$D$104,$W440),0,1))+N(INDEX('得意先'!$E$5:$E$104,$W440)))+1,0),DATE(YEAR($X440),(MONTH($X440)+IF(INDEX('得意先'!$D$5:$D$104,$W440)="末",0,IF(DAY($X440)&lt;=INDEX('得意先'!$D$5:$D$104,$W440),0,1))+N(INDEX('得意先'!$E$5:$E$104,$W440))),MIN(INDEX('得意先'!$F$5:$F$104,$W440),DAY(DATE(YEAR($X440),(MONTH($X440)+IF(INDEX('得意先'!$D$5:$D$104,$W440)="末",0,IF(DAY($X440)&lt;=INDEX('得意先'!$D$5:$D$104,$W440),0,1))+N(INDEX('得意先'!$E$5:$E$104,$W440)))+1,0)))))))</f>
        <v/>
      </c>
      <c r="N440" s="26" t="n"/>
      <c r="O440" s="29">
        <f>IF($A440="","",IF(ISNUMBER($N440),$N440,$M440))</f>
        <v/>
      </c>
      <c r="P440" s="28">
        <f>IF($A440="","",SUMIF('入金消込'!$F$5:$F$1004,$A440,'入金消込'!$G$5:$G$1004))</f>
        <v/>
      </c>
      <c r="Q440" s="28">
        <f>IF($A440="","",SUMIF('入金消込'!$F$5:$F$1004,$A440,'入金消込'!$H$5:$H$1004)+SUMIF('入金消込'!$F$5:$F$1004,$A440,'入金消込'!$I$5:$I$1004))</f>
        <v/>
      </c>
      <c r="R440" s="28">
        <f>IF($A440="","",$L440-$P440-$Q440)</f>
        <v/>
      </c>
      <c r="S440" s="30">
        <f>IF($A440="","",IF($R440=0,IF($L440=0,"請求額0","回収済"),IF($L440&lt;0,IF($R440&lt;0,"差し引き待ち","差し引きすぎ"),IF($R440&lt;0,"入金が多い",IF($P440+$Q440=0,"未入金","一部入金")))))</f>
        <v/>
      </c>
      <c r="T440" s="31">
        <f>IF(OR($A440="",N($R440)&lt;=0,NOT(ISNUMBER($O440))),"",IF($O440&lt;'設定'!$B$7,'設定'!$B$7-$O440,""))</f>
        <v/>
      </c>
      <c r="U440" s="30">
        <f>IF(OR($A440="",N($R440)&lt;=0),"",IF(NOT(ISNUMBER($O440)),'設定'!$B$22,IF($O440&gt;='設定'!$B$7,'設定'!$B$17,IF('設定'!$B$7-$O440&lt;='設定'!$B$12,'設定'!$B$18,IF('設定'!$B$7-$O440&lt;='設定'!$B$13,'設定'!$B$19,IF('設定'!$B$7-$O440&lt;='設定'!$B$14,'設定'!$B$20,'設定'!$B$21))))))</f>
        <v/>
      </c>
      <c r="V440" s="56" t="n"/>
      <c r="W440" s="32">
        <f>IF($C440="","",IFERROR(MATCH($C440,'得意先'!$B$5:$B$104,0),"なし"))</f>
        <v/>
      </c>
      <c r="X440" s="33">
        <f>IF($A440="","",IF(ISNUMBER($E440),$E440,IF(ISNUMBER($B440),$B440,"")))</f>
        <v/>
      </c>
      <c r="Y440" s="34">
        <f>IF($T440="","",$O440+ROW()/1000000)</f>
        <v/>
      </c>
      <c r="Z440" s="35">
        <f>IF(OR($A440="",$C440="",$C440&lt;&gt;'売掛帳'!$B$3,NOT(ISNUMBER($X440))),"",IF(AND($X440&gt;='売掛帳'!$Q$3,$X440&lt;='売掛帳'!$Q$4),$X440+ROW()/10000000,""))</f>
        <v/>
      </c>
    </row>
    <row r="441" ht="18" customHeight="1">
      <c r="A441" s="18" t="n"/>
      <c r="B441" s="26" t="n"/>
      <c r="C441" s="18" t="n"/>
      <c r="D441" s="20">
        <f>IF($W441="","",IF($W441="なし","※得意先にないコード",INDEX('得意先'!$C$5:$C$104,$W441)&amp;""))</f>
        <v/>
      </c>
      <c r="E441" s="26" t="n"/>
      <c r="F441" s="19" t="n"/>
      <c r="G441" s="27" t="n"/>
      <c r="H441" s="27" t="n"/>
      <c r="I441" s="27" t="n"/>
      <c r="J441" s="28">
        <f>IF($A441="","",IF('設定'!$B$10="四捨五入",ROUND(IF('設定'!$B$9="税込",N($G441)*10/110,N($G441)*10/100),0),IF('設定'!$B$10="切り上げ",ROUNDUP(IF('設定'!$B$9="税込",N($G441)*10/110,N($G441)*10/100),0),ROUNDDOWN(IF('設定'!$B$9="税込",N($G441)*10/110,N($G441)*10/100),0))))</f>
        <v/>
      </c>
      <c r="K441" s="28">
        <f>IF($A441="","",IF('設定'!$B$10="四捨五入",ROUND(IF('設定'!$B$9="税込",N($H441)*8/108,N($H441)*8/100),0),IF('設定'!$B$10="切り上げ",ROUNDUP(IF('設定'!$B$9="税込",N($H441)*8/108,N($H441)*8/100),0),ROUNDDOWN(IF('設定'!$B$9="税込",N($H441)*8/108,N($H441)*8/100),0))))</f>
        <v/>
      </c>
      <c r="L441" s="28">
        <f>IF($A441="","",N($G441)+N($H441)+N($I441)+IF('設定'!$B$9="税込",0,$J441+$K441))</f>
        <v/>
      </c>
      <c r="M441" s="29">
        <f>IF(OR($A441="",NOT(ISNUMBER($W441)),NOT(ISNUMBER($X441))),"",IF(OR(INDEX('得意先'!$D$5:$D$104,$W441)="",INDEX('得意先'!$E$5:$E$104,$W441)="",INDEX('得意先'!$F$5:$F$104,$W441)=""),"",IF(INDEX('得意先'!$F$5:$F$104,$W441)="末",DATE(YEAR($X441),(MONTH($X441)+IF(INDEX('得意先'!$D$5:$D$104,$W441)="末",0,IF(DAY($X441)&lt;=INDEX('得意先'!$D$5:$D$104,$W441),0,1))+N(INDEX('得意先'!$E$5:$E$104,$W441)))+1,0),DATE(YEAR($X441),(MONTH($X441)+IF(INDEX('得意先'!$D$5:$D$104,$W441)="末",0,IF(DAY($X441)&lt;=INDEX('得意先'!$D$5:$D$104,$W441),0,1))+N(INDEX('得意先'!$E$5:$E$104,$W441))),MIN(INDEX('得意先'!$F$5:$F$104,$W441),DAY(DATE(YEAR($X441),(MONTH($X441)+IF(INDEX('得意先'!$D$5:$D$104,$W441)="末",0,IF(DAY($X441)&lt;=INDEX('得意先'!$D$5:$D$104,$W441),0,1))+N(INDEX('得意先'!$E$5:$E$104,$W441)))+1,0)))))))</f>
        <v/>
      </c>
      <c r="N441" s="26" t="n"/>
      <c r="O441" s="29">
        <f>IF($A441="","",IF(ISNUMBER($N441),$N441,$M441))</f>
        <v/>
      </c>
      <c r="P441" s="28">
        <f>IF($A441="","",SUMIF('入金消込'!$F$5:$F$1004,$A441,'入金消込'!$G$5:$G$1004))</f>
        <v/>
      </c>
      <c r="Q441" s="28">
        <f>IF($A441="","",SUMIF('入金消込'!$F$5:$F$1004,$A441,'入金消込'!$H$5:$H$1004)+SUMIF('入金消込'!$F$5:$F$1004,$A441,'入金消込'!$I$5:$I$1004))</f>
        <v/>
      </c>
      <c r="R441" s="28">
        <f>IF($A441="","",$L441-$P441-$Q441)</f>
        <v/>
      </c>
      <c r="S441" s="30">
        <f>IF($A441="","",IF($R441=0,IF($L441=0,"請求額0","回収済"),IF($L441&lt;0,IF($R441&lt;0,"差し引き待ち","差し引きすぎ"),IF($R441&lt;0,"入金が多い",IF($P441+$Q441=0,"未入金","一部入金")))))</f>
        <v/>
      </c>
      <c r="T441" s="31">
        <f>IF(OR($A441="",N($R441)&lt;=0,NOT(ISNUMBER($O441))),"",IF($O441&lt;'設定'!$B$7,'設定'!$B$7-$O441,""))</f>
        <v/>
      </c>
      <c r="U441" s="30">
        <f>IF(OR($A441="",N($R441)&lt;=0),"",IF(NOT(ISNUMBER($O441)),'設定'!$B$22,IF($O441&gt;='設定'!$B$7,'設定'!$B$17,IF('設定'!$B$7-$O441&lt;='設定'!$B$12,'設定'!$B$18,IF('設定'!$B$7-$O441&lt;='設定'!$B$13,'設定'!$B$19,IF('設定'!$B$7-$O441&lt;='設定'!$B$14,'設定'!$B$20,'設定'!$B$21))))))</f>
        <v/>
      </c>
      <c r="V441" s="56" t="n"/>
      <c r="W441" s="32">
        <f>IF($C441="","",IFERROR(MATCH($C441,'得意先'!$B$5:$B$104,0),"なし"))</f>
        <v/>
      </c>
      <c r="X441" s="33">
        <f>IF($A441="","",IF(ISNUMBER($E441),$E441,IF(ISNUMBER($B441),$B441,"")))</f>
        <v/>
      </c>
      <c r="Y441" s="34">
        <f>IF($T441="","",$O441+ROW()/1000000)</f>
        <v/>
      </c>
      <c r="Z441" s="35">
        <f>IF(OR($A441="",$C441="",$C441&lt;&gt;'売掛帳'!$B$3,NOT(ISNUMBER($X441))),"",IF(AND($X441&gt;='売掛帳'!$Q$3,$X441&lt;='売掛帳'!$Q$4),$X441+ROW()/10000000,""))</f>
        <v/>
      </c>
    </row>
    <row r="442" ht="18" customHeight="1">
      <c r="A442" s="18" t="n"/>
      <c r="B442" s="26" t="n"/>
      <c r="C442" s="18" t="n"/>
      <c r="D442" s="20">
        <f>IF($W442="","",IF($W442="なし","※得意先にないコード",INDEX('得意先'!$C$5:$C$104,$W442)&amp;""))</f>
        <v/>
      </c>
      <c r="E442" s="26" t="n"/>
      <c r="F442" s="19" t="n"/>
      <c r="G442" s="27" t="n"/>
      <c r="H442" s="27" t="n"/>
      <c r="I442" s="27" t="n"/>
      <c r="J442" s="28">
        <f>IF($A442="","",IF('設定'!$B$10="四捨五入",ROUND(IF('設定'!$B$9="税込",N($G442)*10/110,N($G442)*10/100),0),IF('設定'!$B$10="切り上げ",ROUNDUP(IF('設定'!$B$9="税込",N($G442)*10/110,N($G442)*10/100),0),ROUNDDOWN(IF('設定'!$B$9="税込",N($G442)*10/110,N($G442)*10/100),0))))</f>
        <v/>
      </c>
      <c r="K442" s="28">
        <f>IF($A442="","",IF('設定'!$B$10="四捨五入",ROUND(IF('設定'!$B$9="税込",N($H442)*8/108,N($H442)*8/100),0),IF('設定'!$B$10="切り上げ",ROUNDUP(IF('設定'!$B$9="税込",N($H442)*8/108,N($H442)*8/100),0),ROUNDDOWN(IF('設定'!$B$9="税込",N($H442)*8/108,N($H442)*8/100),0))))</f>
        <v/>
      </c>
      <c r="L442" s="28">
        <f>IF($A442="","",N($G442)+N($H442)+N($I442)+IF('設定'!$B$9="税込",0,$J442+$K442))</f>
        <v/>
      </c>
      <c r="M442" s="29">
        <f>IF(OR($A442="",NOT(ISNUMBER($W442)),NOT(ISNUMBER($X442))),"",IF(OR(INDEX('得意先'!$D$5:$D$104,$W442)="",INDEX('得意先'!$E$5:$E$104,$W442)="",INDEX('得意先'!$F$5:$F$104,$W442)=""),"",IF(INDEX('得意先'!$F$5:$F$104,$W442)="末",DATE(YEAR($X442),(MONTH($X442)+IF(INDEX('得意先'!$D$5:$D$104,$W442)="末",0,IF(DAY($X442)&lt;=INDEX('得意先'!$D$5:$D$104,$W442),0,1))+N(INDEX('得意先'!$E$5:$E$104,$W442)))+1,0),DATE(YEAR($X442),(MONTH($X442)+IF(INDEX('得意先'!$D$5:$D$104,$W442)="末",0,IF(DAY($X442)&lt;=INDEX('得意先'!$D$5:$D$104,$W442),0,1))+N(INDEX('得意先'!$E$5:$E$104,$W442))),MIN(INDEX('得意先'!$F$5:$F$104,$W442),DAY(DATE(YEAR($X442),(MONTH($X442)+IF(INDEX('得意先'!$D$5:$D$104,$W442)="末",0,IF(DAY($X442)&lt;=INDEX('得意先'!$D$5:$D$104,$W442),0,1))+N(INDEX('得意先'!$E$5:$E$104,$W442)))+1,0)))))))</f>
        <v/>
      </c>
      <c r="N442" s="26" t="n"/>
      <c r="O442" s="29">
        <f>IF($A442="","",IF(ISNUMBER($N442),$N442,$M442))</f>
        <v/>
      </c>
      <c r="P442" s="28">
        <f>IF($A442="","",SUMIF('入金消込'!$F$5:$F$1004,$A442,'入金消込'!$G$5:$G$1004))</f>
        <v/>
      </c>
      <c r="Q442" s="28">
        <f>IF($A442="","",SUMIF('入金消込'!$F$5:$F$1004,$A442,'入金消込'!$H$5:$H$1004)+SUMIF('入金消込'!$F$5:$F$1004,$A442,'入金消込'!$I$5:$I$1004))</f>
        <v/>
      </c>
      <c r="R442" s="28">
        <f>IF($A442="","",$L442-$P442-$Q442)</f>
        <v/>
      </c>
      <c r="S442" s="30">
        <f>IF($A442="","",IF($R442=0,IF($L442=0,"請求額0","回収済"),IF($L442&lt;0,IF($R442&lt;0,"差し引き待ち","差し引きすぎ"),IF($R442&lt;0,"入金が多い",IF($P442+$Q442=0,"未入金","一部入金")))))</f>
        <v/>
      </c>
      <c r="T442" s="31">
        <f>IF(OR($A442="",N($R442)&lt;=0,NOT(ISNUMBER($O442))),"",IF($O442&lt;'設定'!$B$7,'設定'!$B$7-$O442,""))</f>
        <v/>
      </c>
      <c r="U442" s="30">
        <f>IF(OR($A442="",N($R442)&lt;=0),"",IF(NOT(ISNUMBER($O442)),'設定'!$B$22,IF($O442&gt;='設定'!$B$7,'設定'!$B$17,IF('設定'!$B$7-$O442&lt;='設定'!$B$12,'設定'!$B$18,IF('設定'!$B$7-$O442&lt;='設定'!$B$13,'設定'!$B$19,IF('設定'!$B$7-$O442&lt;='設定'!$B$14,'設定'!$B$20,'設定'!$B$21))))))</f>
        <v/>
      </c>
      <c r="V442" s="56" t="n"/>
      <c r="W442" s="32">
        <f>IF($C442="","",IFERROR(MATCH($C442,'得意先'!$B$5:$B$104,0),"なし"))</f>
        <v/>
      </c>
      <c r="X442" s="33">
        <f>IF($A442="","",IF(ISNUMBER($E442),$E442,IF(ISNUMBER($B442),$B442,"")))</f>
        <v/>
      </c>
      <c r="Y442" s="34">
        <f>IF($T442="","",$O442+ROW()/1000000)</f>
        <v/>
      </c>
      <c r="Z442" s="35">
        <f>IF(OR($A442="",$C442="",$C442&lt;&gt;'売掛帳'!$B$3,NOT(ISNUMBER($X442))),"",IF(AND($X442&gt;='売掛帳'!$Q$3,$X442&lt;='売掛帳'!$Q$4),$X442+ROW()/10000000,""))</f>
        <v/>
      </c>
    </row>
    <row r="443" ht="18" customHeight="1">
      <c r="A443" s="18" t="n"/>
      <c r="B443" s="26" t="n"/>
      <c r="C443" s="18" t="n"/>
      <c r="D443" s="20">
        <f>IF($W443="","",IF($W443="なし","※得意先にないコード",INDEX('得意先'!$C$5:$C$104,$W443)&amp;""))</f>
        <v/>
      </c>
      <c r="E443" s="26" t="n"/>
      <c r="F443" s="19" t="n"/>
      <c r="G443" s="27" t="n"/>
      <c r="H443" s="27" t="n"/>
      <c r="I443" s="27" t="n"/>
      <c r="J443" s="28">
        <f>IF($A443="","",IF('設定'!$B$10="四捨五入",ROUND(IF('設定'!$B$9="税込",N($G443)*10/110,N($G443)*10/100),0),IF('設定'!$B$10="切り上げ",ROUNDUP(IF('設定'!$B$9="税込",N($G443)*10/110,N($G443)*10/100),0),ROUNDDOWN(IF('設定'!$B$9="税込",N($G443)*10/110,N($G443)*10/100),0))))</f>
        <v/>
      </c>
      <c r="K443" s="28">
        <f>IF($A443="","",IF('設定'!$B$10="四捨五入",ROUND(IF('設定'!$B$9="税込",N($H443)*8/108,N($H443)*8/100),0),IF('設定'!$B$10="切り上げ",ROUNDUP(IF('設定'!$B$9="税込",N($H443)*8/108,N($H443)*8/100),0),ROUNDDOWN(IF('設定'!$B$9="税込",N($H443)*8/108,N($H443)*8/100),0))))</f>
        <v/>
      </c>
      <c r="L443" s="28">
        <f>IF($A443="","",N($G443)+N($H443)+N($I443)+IF('設定'!$B$9="税込",0,$J443+$K443))</f>
        <v/>
      </c>
      <c r="M443" s="29">
        <f>IF(OR($A443="",NOT(ISNUMBER($W443)),NOT(ISNUMBER($X443))),"",IF(OR(INDEX('得意先'!$D$5:$D$104,$W443)="",INDEX('得意先'!$E$5:$E$104,$W443)="",INDEX('得意先'!$F$5:$F$104,$W443)=""),"",IF(INDEX('得意先'!$F$5:$F$104,$W443)="末",DATE(YEAR($X443),(MONTH($X443)+IF(INDEX('得意先'!$D$5:$D$104,$W443)="末",0,IF(DAY($X443)&lt;=INDEX('得意先'!$D$5:$D$104,$W443),0,1))+N(INDEX('得意先'!$E$5:$E$104,$W443)))+1,0),DATE(YEAR($X443),(MONTH($X443)+IF(INDEX('得意先'!$D$5:$D$104,$W443)="末",0,IF(DAY($X443)&lt;=INDEX('得意先'!$D$5:$D$104,$W443),0,1))+N(INDEX('得意先'!$E$5:$E$104,$W443))),MIN(INDEX('得意先'!$F$5:$F$104,$W443),DAY(DATE(YEAR($X443),(MONTH($X443)+IF(INDEX('得意先'!$D$5:$D$104,$W443)="末",0,IF(DAY($X443)&lt;=INDEX('得意先'!$D$5:$D$104,$W443),0,1))+N(INDEX('得意先'!$E$5:$E$104,$W443)))+1,0)))))))</f>
        <v/>
      </c>
      <c r="N443" s="26" t="n"/>
      <c r="O443" s="29">
        <f>IF($A443="","",IF(ISNUMBER($N443),$N443,$M443))</f>
        <v/>
      </c>
      <c r="P443" s="28">
        <f>IF($A443="","",SUMIF('入金消込'!$F$5:$F$1004,$A443,'入金消込'!$G$5:$G$1004))</f>
        <v/>
      </c>
      <c r="Q443" s="28">
        <f>IF($A443="","",SUMIF('入金消込'!$F$5:$F$1004,$A443,'入金消込'!$H$5:$H$1004)+SUMIF('入金消込'!$F$5:$F$1004,$A443,'入金消込'!$I$5:$I$1004))</f>
        <v/>
      </c>
      <c r="R443" s="28">
        <f>IF($A443="","",$L443-$P443-$Q443)</f>
        <v/>
      </c>
      <c r="S443" s="30">
        <f>IF($A443="","",IF($R443=0,IF($L443=0,"請求額0","回収済"),IF($L443&lt;0,IF($R443&lt;0,"差し引き待ち","差し引きすぎ"),IF($R443&lt;0,"入金が多い",IF($P443+$Q443=0,"未入金","一部入金")))))</f>
        <v/>
      </c>
      <c r="T443" s="31">
        <f>IF(OR($A443="",N($R443)&lt;=0,NOT(ISNUMBER($O443))),"",IF($O443&lt;'設定'!$B$7,'設定'!$B$7-$O443,""))</f>
        <v/>
      </c>
      <c r="U443" s="30">
        <f>IF(OR($A443="",N($R443)&lt;=0),"",IF(NOT(ISNUMBER($O443)),'設定'!$B$22,IF($O443&gt;='設定'!$B$7,'設定'!$B$17,IF('設定'!$B$7-$O443&lt;='設定'!$B$12,'設定'!$B$18,IF('設定'!$B$7-$O443&lt;='設定'!$B$13,'設定'!$B$19,IF('設定'!$B$7-$O443&lt;='設定'!$B$14,'設定'!$B$20,'設定'!$B$21))))))</f>
        <v/>
      </c>
      <c r="V443" s="56" t="n"/>
      <c r="W443" s="32">
        <f>IF($C443="","",IFERROR(MATCH($C443,'得意先'!$B$5:$B$104,0),"なし"))</f>
        <v/>
      </c>
      <c r="X443" s="33">
        <f>IF($A443="","",IF(ISNUMBER($E443),$E443,IF(ISNUMBER($B443),$B443,"")))</f>
        <v/>
      </c>
      <c r="Y443" s="34">
        <f>IF($T443="","",$O443+ROW()/1000000)</f>
        <v/>
      </c>
      <c r="Z443" s="35">
        <f>IF(OR($A443="",$C443="",$C443&lt;&gt;'売掛帳'!$B$3,NOT(ISNUMBER($X443))),"",IF(AND($X443&gt;='売掛帳'!$Q$3,$X443&lt;='売掛帳'!$Q$4),$X443+ROW()/10000000,""))</f>
        <v/>
      </c>
    </row>
    <row r="444" ht="18" customHeight="1">
      <c r="A444" s="18" t="n"/>
      <c r="B444" s="26" t="n"/>
      <c r="C444" s="18" t="n"/>
      <c r="D444" s="20">
        <f>IF($W444="","",IF($W444="なし","※得意先にないコード",INDEX('得意先'!$C$5:$C$104,$W444)&amp;""))</f>
        <v/>
      </c>
      <c r="E444" s="26" t="n"/>
      <c r="F444" s="19" t="n"/>
      <c r="G444" s="27" t="n"/>
      <c r="H444" s="27" t="n"/>
      <c r="I444" s="27" t="n"/>
      <c r="J444" s="28">
        <f>IF($A444="","",IF('設定'!$B$10="四捨五入",ROUND(IF('設定'!$B$9="税込",N($G444)*10/110,N($G444)*10/100),0),IF('設定'!$B$10="切り上げ",ROUNDUP(IF('設定'!$B$9="税込",N($G444)*10/110,N($G444)*10/100),0),ROUNDDOWN(IF('設定'!$B$9="税込",N($G444)*10/110,N($G444)*10/100),0))))</f>
        <v/>
      </c>
      <c r="K444" s="28">
        <f>IF($A444="","",IF('設定'!$B$10="四捨五入",ROUND(IF('設定'!$B$9="税込",N($H444)*8/108,N($H444)*8/100),0),IF('設定'!$B$10="切り上げ",ROUNDUP(IF('設定'!$B$9="税込",N($H444)*8/108,N($H444)*8/100),0),ROUNDDOWN(IF('設定'!$B$9="税込",N($H444)*8/108,N($H444)*8/100),0))))</f>
        <v/>
      </c>
      <c r="L444" s="28">
        <f>IF($A444="","",N($G444)+N($H444)+N($I444)+IF('設定'!$B$9="税込",0,$J444+$K444))</f>
        <v/>
      </c>
      <c r="M444" s="29">
        <f>IF(OR($A444="",NOT(ISNUMBER($W444)),NOT(ISNUMBER($X444))),"",IF(OR(INDEX('得意先'!$D$5:$D$104,$W444)="",INDEX('得意先'!$E$5:$E$104,$W444)="",INDEX('得意先'!$F$5:$F$104,$W444)=""),"",IF(INDEX('得意先'!$F$5:$F$104,$W444)="末",DATE(YEAR($X444),(MONTH($X444)+IF(INDEX('得意先'!$D$5:$D$104,$W444)="末",0,IF(DAY($X444)&lt;=INDEX('得意先'!$D$5:$D$104,$W444),0,1))+N(INDEX('得意先'!$E$5:$E$104,$W444)))+1,0),DATE(YEAR($X444),(MONTH($X444)+IF(INDEX('得意先'!$D$5:$D$104,$W444)="末",0,IF(DAY($X444)&lt;=INDEX('得意先'!$D$5:$D$104,$W444),0,1))+N(INDEX('得意先'!$E$5:$E$104,$W444))),MIN(INDEX('得意先'!$F$5:$F$104,$W444),DAY(DATE(YEAR($X444),(MONTH($X444)+IF(INDEX('得意先'!$D$5:$D$104,$W444)="末",0,IF(DAY($X444)&lt;=INDEX('得意先'!$D$5:$D$104,$W444),0,1))+N(INDEX('得意先'!$E$5:$E$104,$W444)))+1,0)))))))</f>
        <v/>
      </c>
      <c r="N444" s="26" t="n"/>
      <c r="O444" s="29">
        <f>IF($A444="","",IF(ISNUMBER($N444),$N444,$M444))</f>
        <v/>
      </c>
      <c r="P444" s="28">
        <f>IF($A444="","",SUMIF('入金消込'!$F$5:$F$1004,$A444,'入金消込'!$G$5:$G$1004))</f>
        <v/>
      </c>
      <c r="Q444" s="28">
        <f>IF($A444="","",SUMIF('入金消込'!$F$5:$F$1004,$A444,'入金消込'!$H$5:$H$1004)+SUMIF('入金消込'!$F$5:$F$1004,$A444,'入金消込'!$I$5:$I$1004))</f>
        <v/>
      </c>
      <c r="R444" s="28">
        <f>IF($A444="","",$L444-$P444-$Q444)</f>
        <v/>
      </c>
      <c r="S444" s="30">
        <f>IF($A444="","",IF($R444=0,IF($L444=0,"請求額0","回収済"),IF($L444&lt;0,IF($R444&lt;0,"差し引き待ち","差し引きすぎ"),IF($R444&lt;0,"入金が多い",IF($P444+$Q444=0,"未入金","一部入金")))))</f>
        <v/>
      </c>
      <c r="T444" s="31">
        <f>IF(OR($A444="",N($R444)&lt;=0,NOT(ISNUMBER($O444))),"",IF($O444&lt;'設定'!$B$7,'設定'!$B$7-$O444,""))</f>
        <v/>
      </c>
      <c r="U444" s="30">
        <f>IF(OR($A444="",N($R444)&lt;=0),"",IF(NOT(ISNUMBER($O444)),'設定'!$B$22,IF($O444&gt;='設定'!$B$7,'設定'!$B$17,IF('設定'!$B$7-$O444&lt;='設定'!$B$12,'設定'!$B$18,IF('設定'!$B$7-$O444&lt;='設定'!$B$13,'設定'!$B$19,IF('設定'!$B$7-$O444&lt;='設定'!$B$14,'設定'!$B$20,'設定'!$B$21))))))</f>
        <v/>
      </c>
      <c r="V444" s="56" t="n"/>
      <c r="W444" s="32">
        <f>IF($C444="","",IFERROR(MATCH($C444,'得意先'!$B$5:$B$104,0),"なし"))</f>
        <v/>
      </c>
      <c r="X444" s="33">
        <f>IF($A444="","",IF(ISNUMBER($E444),$E444,IF(ISNUMBER($B444),$B444,"")))</f>
        <v/>
      </c>
      <c r="Y444" s="34">
        <f>IF($T444="","",$O444+ROW()/1000000)</f>
        <v/>
      </c>
      <c r="Z444" s="35">
        <f>IF(OR($A444="",$C444="",$C444&lt;&gt;'売掛帳'!$B$3,NOT(ISNUMBER($X444))),"",IF(AND($X444&gt;='売掛帳'!$Q$3,$X444&lt;='売掛帳'!$Q$4),$X444+ROW()/10000000,""))</f>
        <v/>
      </c>
    </row>
    <row r="445" ht="18" customHeight="1">
      <c r="A445" s="18" t="n"/>
      <c r="B445" s="26" t="n"/>
      <c r="C445" s="18" t="n"/>
      <c r="D445" s="20">
        <f>IF($W445="","",IF($W445="なし","※得意先にないコード",INDEX('得意先'!$C$5:$C$104,$W445)&amp;""))</f>
        <v/>
      </c>
      <c r="E445" s="26" t="n"/>
      <c r="F445" s="19" t="n"/>
      <c r="G445" s="27" t="n"/>
      <c r="H445" s="27" t="n"/>
      <c r="I445" s="27" t="n"/>
      <c r="J445" s="28">
        <f>IF($A445="","",IF('設定'!$B$10="四捨五入",ROUND(IF('設定'!$B$9="税込",N($G445)*10/110,N($G445)*10/100),0),IF('設定'!$B$10="切り上げ",ROUNDUP(IF('設定'!$B$9="税込",N($G445)*10/110,N($G445)*10/100),0),ROUNDDOWN(IF('設定'!$B$9="税込",N($G445)*10/110,N($G445)*10/100),0))))</f>
        <v/>
      </c>
      <c r="K445" s="28">
        <f>IF($A445="","",IF('設定'!$B$10="四捨五入",ROUND(IF('設定'!$B$9="税込",N($H445)*8/108,N($H445)*8/100),0),IF('設定'!$B$10="切り上げ",ROUNDUP(IF('設定'!$B$9="税込",N($H445)*8/108,N($H445)*8/100),0),ROUNDDOWN(IF('設定'!$B$9="税込",N($H445)*8/108,N($H445)*8/100),0))))</f>
        <v/>
      </c>
      <c r="L445" s="28">
        <f>IF($A445="","",N($G445)+N($H445)+N($I445)+IF('設定'!$B$9="税込",0,$J445+$K445))</f>
        <v/>
      </c>
      <c r="M445" s="29">
        <f>IF(OR($A445="",NOT(ISNUMBER($W445)),NOT(ISNUMBER($X445))),"",IF(OR(INDEX('得意先'!$D$5:$D$104,$W445)="",INDEX('得意先'!$E$5:$E$104,$W445)="",INDEX('得意先'!$F$5:$F$104,$W445)=""),"",IF(INDEX('得意先'!$F$5:$F$104,$W445)="末",DATE(YEAR($X445),(MONTH($X445)+IF(INDEX('得意先'!$D$5:$D$104,$W445)="末",0,IF(DAY($X445)&lt;=INDEX('得意先'!$D$5:$D$104,$W445),0,1))+N(INDEX('得意先'!$E$5:$E$104,$W445)))+1,0),DATE(YEAR($X445),(MONTH($X445)+IF(INDEX('得意先'!$D$5:$D$104,$W445)="末",0,IF(DAY($X445)&lt;=INDEX('得意先'!$D$5:$D$104,$W445),0,1))+N(INDEX('得意先'!$E$5:$E$104,$W445))),MIN(INDEX('得意先'!$F$5:$F$104,$W445),DAY(DATE(YEAR($X445),(MONTH($X445)+IF(INDEX('得意先'!$D$5:$D$104,$W445)="末",0,IF(DAY($X445)&lt;=INDEX('得意先'!$D$5:$D$104,$W445),0,1))+N(INDEX('得意先'!$E$5:$E$104,$W445)))+1,0)))))))</f>
        <v/>
      </c>
      <c r="N445" s="26" t="n"/>
      <c r="O445" s="29">
        <f>IF($A445="","",IF(ISNUMBER($N445),$N445,$M445))</f>
        <v/>
      </c>
      <c r="P445" s="28">
        <f>IF($A445="","",SUMIF('入金消込'!$F$5:$F$1004,$A445,'入金消込'!$G$5:$G$1004))</f>
        <v/>
      </c>
      <c r="Q445" s="28">
        <f>IF($A445="","",SUMIF('入金消込'!$F$5:$F$1004,$A445,'入金消込'!$H$5:$H$1004)+SUMIF('入金消込'!$F$5:$F$1004,$A445,'入金消込'!$I$5:$I$1004))</f>
        <v/>
      </c>
      <c r="R445" s="28">
        <f>IF($A445="","",$L445-$P445-$Q445)</f>
        <v/>
      </c>
      <c r="S445" s="30">
        <f>IF($A445="","",IF($R445=0,IF($L445=0,"請求額0","回収済"),IF($L445&lt;0,IF($R445&lt;0,"差し引き待ち","差し引きすぎ"),IF($R445&lt;0,"入金が多い",IF($P445+$Q445=0,"未入金","一部入金")))))</f>
        <v/>
      </c>
      <c r="T445" s="31">
        <f>IF(OR($A445="",N($R445)&lt;=0,NOT(ISNUMBER($O445))),"",IF($O445&lt;'設定'!$B$7,'設定'!$B$7-$O445,""))</f>
        <v/>
      </c>
      <c r="U445" s="30">
        <f>IF(OR($A445="",N($R445)&lt;=0),"",IF(NOT(ISNUMBER($O445)),'設定'!$B$22,IF($O445&gt;='設定'!$B$7,'設定'!$B$17,IF('設定'!$B$7-$O445&lt;='設定'!$B$12,'設定'!$B$18,IF('設定'!$B$7-$O445&lt;='設定'!$B$13,'設定'!$B$19,IF('設定'!$B$7-$O445&lt;='設定'!$B$14,'設定'!$B$20,'設定'!$B$21))))))</f>
        <v/>
      </c>
      <c r="V445" s="56" t="n"/>
      <c r="W445" s="32">
        <f>IF($C445="","",IFERROR(MATCH($C445,'得意先'!$B$5:$B$104,0),"なし"))</f>
        <v/>
      </c>
      <c r="X445" s="33">
        <f>IF($A445="","",IF(ISNUMBER($E445),$E445,IF(ISNUMBER($B445),$B445,"")))</f>
        <v/>
      </c>
      <c r="Y445" s="34">
        <f>IF($T445="","",$O445+ROW()/1000000)</f>
        <v/>
      </c>
      <c r="Z445" s="35">
        <f>IF(OR($A445="",$C445="",$C445&lt;&gt;'売掛帳'!$B$3,NOT(ISNUMBER($X445))),"",IF(AND($X445&gt;='売掛帳'!$Q$3,$X445&lt;='売掛帳'!$Q$4),$X445+ROW()/10000000,""))</f>
        <v/>
      </c>
    </row>
    <row r="446" ht="18" customHeight="1">
      <c r="A446" s="18" t="n"/>
      <c r="B446" s="26" t="n"/>
      <c r="C446" s="18" t="n"/>
      <c r="D446" s="20">
        <f>IF($W446="","",IF($W446="なし","※得意先にないコード",INDEX('得意先'!$C$5:$C$104,$W446)&amp;""))</f>
        <v/>
      </c>
      <c r="E446" s="26" t="n"/>
      <c r="F446" s="19" t="n"/>
      <c r="G446" s="27" t="n"/>
      <c r="H446" s="27" t="n"/>
      <c r="I446" s="27" t="n"/>
      <c r="J446" s="28">
        <f>IF($A446="","",IF('設定'!$B$10="四捨五入",ROUND(IF('設定'!$B$9="税込",N($G446)*10/110,N($G446)*10/100),0),IF('設定'!$B$10="切り上げ",ROUNDUP(IF('設定'!$B$9="税込",N($G446)*10/110,N($G446)*10/100),0),ROUNDDOWN(IF('設定'!$B$9="税込",N($G446)*10/110,N($G446)*10/100),0))))</f>
        <v/>
      </c>
      <c r="K446" s="28">
        <f>IF($A446="","",IF('設定'!$B$10="四捨五入",ROUND(IF('設定'!$B$9="税込",N($H446)*8/108,N($H446)*8/100),0),IF('設定'!$B$10="切り上げ",ROUNDUP(IF('設定'!$B$9="税込",N($H446)*8/108,N($H446)*8/100),0),ROUNDDOWN(IF('設定'!$B$9="税込",N($H446)*8/108,N($H446)*8/100),0))))</f>
        <v/>
      </c>
      <c r="L446" s="28">
        <f>IF($A446="","",N($G446)+N($H446)+N($I446)+IF('設定'!$B$9="税込",0,$J446+$K446))</f>
        <v/>
      </c>
      <c r="M446" s="29">
        <f>IF(OR($A446="",NOT(ISNUMBER($W446)),NOT(ISNUMBER($X446))),"",IF(OR(INDEX('得意先'!$D$5:$D$104,$W446)="",INDEX('得意先'!$E$5:$E$104,$W446)="",INDEX('得意先'!$F$5:$F$104,$W446)=""),"",IF(INDEX('得意先'!$F$5:$F$104,$W446)="末",DATE(YEAR($X446),(MONTH($X446)+IF(INDEX('得意先'!$D$5:$D$104,$W446)="末",0,IF(DAY($X446)&lt;=INDEX('得意先'!$D$5:$D$104,$W446),0,1))+N(INDEX('得意先'!$E$5:$E$104,$W446)))+1,0),DATE(YEAR($X446),(MONTH($X446)+IF(INDEX('得意先'!$D$5:$D$104,$W446)="末",0,IF(DAY($X446)&lt;=INDEX('得意先'!$D$5:$D$104,$W446),0,1))+N(INDEX('得意先'!$E$5:$E$104,$W446))),MIN(INDEX('得意先'!$F$5:$F$104,$W446),DAY(DATE(YEAR($X446),(MONTH($X446)+IF(INDEX('得意先'!$D$5:$D$104,$W446)="末",0,IF(DAY($X446)&lt;=INDEX('得意先'!$D$5:$D$104,$W446),0,1))+N(INDEX('得意先'!$E$5:$E$104,$W446)))+1,0)))))))</f>
        <v/>
      </c>
      <c r="N446" s="26" t="n"/>
      <c r="O446" s="29">
        <f>IF($A446="","",IF(ISNUMBER($N446),$N446,$M446))</f>
        <v/>
      </c>
      <c r="P446" s="28">
        <f>IF($A446="","",SUMIF('入金消込'!$F$5:$F$1004,$A446,'入金消込'!$G$5:$G$1004))</f>
        <v/>
      </c>
      <c r="Q446" s="28">
        <f>IF($A446="","",SUMIF('入金消込'!$F$5:$F$1004,$A446,'入金消込'!$H$5:$H$1004)+SUMIF('入金消込'!$F$5:$F$1004,$A446,'入金消込'!$I$5:$I$1004))</f>
        <v/>
      </c>
      <c r="R446" s="28">
        <f>IF($A446="","",$L446-$P446-$Q446)</f>
        <v/>
      </c>
      <c r="S446" s="30">
        <f>IF($A446="","",IF($R446=0,IF($L446=0,"請求額0","回収済"),IF($L446&lt;0,IF($R446&lt;0,"差し引き待ち","差し引きすぎ"),IF($R446&lt;0,"入金が多い",IF($P446+$Q446=0,"未入金","一部入金")))))</f>
        <v/>
      </c>
      <c r="T446" s="31">
        <f>IF(OR($A446="",N($R446)&lt;=0,NOT(ISNUMBER($O446))),"",IF($O446&lt;'設定'!$B$7,'設定'!$B$7-$O446,""))</f>
        <v/>
      </c>
      <c r="U446" s="30">
        <f>IF(OR($A446="",N($R446)&lt;=0),"",IF(NOT(ISNUMBER($O446)),'設定'!$B$22,IF($O446&gt;='設定'!$B$7,'設定'!$B$17,IF('設定'!$B$7-$O446&lt;='設定'!$B$12,'設定'!$B$18,IF('設定'!$B$7-$O446&lt;='設定'!$B$13,'設定'!$B$19,IF('設定'!$B$7-$O446&lt;='設定'!$B$14,'設定'!$B$20,'設定'!$B$21))))))</f>
        <v/>
      </c>
      <c r="V446" s="56" t="n"/>
      <c r="W446" s="32">
        <f>IF($C446="","",IFERROR(MATCH($C446,'得意先'!$B$5:$B$104,0),"なし"))</f>
        <v/>
      </c>
      <c r="X446" s="33">
        <f>IF($A446="","",IF(ISNUMBER($E446),$E446,IF(ISNUMBER($B446),$B446,"")))</f>
        <v/>
      </c>
      <c r="Y446" s="34">
        <f>IF($T446="","",$O446+ROW()/1000000)</f>
        <v/>
      </c>
      <c r="Z446" s="35">
        <f>IF(OR($A446="",$C446="",$C446&lt;&gt;'売掛帳'!$B$3,NOT(ISNUMBER($X446))),"",IF(AND($X446&gt;='売掛帳'!$Q$3,$X446&lt;='売掛帳'!$Q$4),$X446+ROW()/10000000,""))</f>
        <v/>
      </c>
    </row>
    <row r="447" ht="18" customHeight="1">
      <c r="A447" s="18" t="n"/>
      <c r="B447" s="26" t="n"/>
      <c r="C447" s="18" t="n"/>
      <c r="D447" s="20">
        <f>IF($W447="","",IF($W447="なし","※得意先にないコード",INDEX('得意先'!$C$5:$C$104,$W447)&amp;""))</f>
        <v/>
      </c>
      <c r="E447" s="26" t="n"/>
      <c r="F447" s="19" t="n"/>
      <c r="G447" s="27" t="n"/>
      <c r="H447" s="27" t="n"/>
      <c r="I447" s="27" t="n"/>
      <c r="J447" s="28">
        <f>IF($A447="","",IF('設定'!$B$10="四捨五入",ROUND(IF('設定'!$B$9="税込",N($G447)*10/110,N($G447)*10/100),0),IF('設定'!$B$10="切り上げ",ROUNDUP(IF('設定'!$B$9="税込",N($G447)*10/110,N($G447)*10/100),0),ROUNDDOWN(IF('設定'!$B$9="税込",N($G447)*10/110,N($G447)*10/100),0))))</f>
        <v/>
      </c>
      <c r="K447" s="28">
        <f>IF($A447="","",IF('設定'!$B$10="四捨五入",ROUND(IF('設定'!$B$9="税込",N($H447)*8/108,N($H447)*8/100),0),IF('設定'!$B$10="切り上げ",ROUNDUP(IF('設定'!$B$9="税込",N($H447)*8/108,N($H447)*8/100),0),ROUNDDOWN(IF('設定'!$B$9="税込",N($H447)*8/108,N($H447)*8/100),0))))</f>
        <v/>
      </c>
      <c r="L447" s="28">
        <f>IF($A447="","",N($G447)+N($H447)+N($I447)+IF('設定'!$B$9="税込",0,$J447+$K447))</f>
        <v/>
      </c>
      <c r="M447" s="29">
        <f>IF(OR($A447="",NOT(ISNUMBER($W447)),NOT(ISNUMBER($X447))),"",IF(OR(INDEX('得意先'!$D$5:$D$104,$W447)="",INDEX('得意先'!$E$5:$E$104,$W447)="",INDEX('得意先'!$F$5:$F$104,$W447)=""),"",IF(INDEX('得意先'!$F$5:$F$104,$W447)="末",DATE(YEAR($X447),(MONTH($X447)+IF(INDEX('得意先'!$D$5:$D$104,$W447)="末",0,IF(DAY($X447)&lt;=INDEX('得意先'!$D$5:$D$104,$W447),0,1))+N(INDEX('得意先'!$E$5:$E$104,$W447)))+1,0),DATE(YEAR($X447),(MONTH($X447)+IF(INDEX('得意先'!$D$5:$D$104,$W447)="末",0,IF(DAY($X447)&lt;=INDEX('得意先'!$D$5:$D$104,$W447),0,1))+N(INDEX('得意先'!$E$5:$E$104,$W447))),MIN(INDEX('得意先'!$F$5:$F$104,$W447),DAY(DATE(YEAR($X447),(MONTH($X447)+IF(INDEX('得意先'!$D$5:$D$104,$W447)="末",0,IF(DAY($X447)&lt;=INDEX('得意先'!$D$5:$D$104,$W447),0,1))+N(INDEX('得意先'!$E$5:$E$104,$W447)))+1,0)))))))</f>
        <v/>
      </c>
      <c r="N447" s="26" t="n"/>
      <c r="O447" s="29">
        <f>IF($A447="","",IF(ISNUMBER($N447),$N447,$M447))</f>
        <v/>
      </c>
      <c r="P447" s="28">
        <f>IF($A447="","",SUMIF('入金消込'!$F$5:$F$1004,$A447,'入金消込'!$G$5:$G$1004))</f>
        <v/>
      </c>
      <c r="Q447" s="28">
        <f>IF($A447="","",SUMIF('入金消込'!$F$5:$F$1004,$A447,'入金消込'!$H$5:$H$1004)+SUMIF('入金消込'!$F$5:$F$1004,$A447,'入金消込'!$I$5:$I$1004))</f>
        <v/>
      </c>
      <c r="R447" s="28">
        <f>IF($A447="","",$L447-$P447-$Q447)</f>
        <v/>
      </c>
      <c r="S447" s="30">
        <f>IF($A447="","",IF($R447=0,IF($L447=0,"請求額0","回収済"),IF($L447&lt;0,IF($R447&lt;0,"差し引き待ち","差し引きすぎ"),IF($R447&lt;0,"入金が多い",IF($P447+$Q447=0,"未入金","一部入金")))))</f>
        <v/>
      </c>
      <c r="T447" s="31">
        <f>IF(OR($A447="",N($R447)&lt;=0,NOT(ISNUMBER($O447))),"",IF($O447&lt;'設定'!$B$7,'設定'!$B$7-$O447,""))</f>
        <v/>
      </c>
      <c r="U447" s="30">
        <f>IF(OR($A447="",N($R447)&lt;=0),"",IF(NOT(ISNUMBER($O447)),'設定'!$B$22,IF($O447&gt;='設定'!$B$7,'設定'!$B$17,IF('設定'!$B$7-$O447&lt;='設定'!$B$12,'設定'!$B$18,IF('設定'!$B$7-$O447&lt;='設定'!$B$13,'設定'!$B$19,IF('設定'!$B$7-$O447&lt;='設定'!$B$14,'設定'!$B$20,'設定'!$B$21))))))</f>
        <v/>
      </c>
      <c r="V447" s="56" t="n"/>
      <c r="W447" s="32">
        <f>IF($C447="","",IFERROR(MATCH($C447,'得意先'!$B$5:$B$104,0),"なし"))</f>
        <v/>
      </c>
      <c r="X447" s="33">
        <f>IF($A447="","",IF(ISNUMBER($E447),$E447,IF(ISNUMBER($B447),$B447,"")))</f>
        <v/>
      </c>
      <c r="Y447" s="34">
        <f>IF($T447="","",$O447+ROW()/1000000)</f>
        <v/>
      </c>
      <c r="Z447" s="35">
        <f>IF(OR($A447="",$C447="",$C447&lt;&gt;'売掛帳'!$B$3,NOT(ISNUMBER($X447))),"",IF(AND($X447&gt;='売掛帳'!$Q$3,$X447&lt;='売掛帳'!$Q$4),$X447+ROW()/10000000,""))</f>
        <v/>
      </c>
    </row>
    <row r="448" ht="18" customHeight="1">
      <c r="A448" s="18" t="n"/>
      <c r="B448" s="26" t="n"/>
      <c r="C448" s="18" t="n"/>
      <c r="D448" s="20">
        <f>IF($W448="","",IF($W448="なし","※得意先にないコード",INDEX('得意先'!$C$5:$C$104,$W448)&amp;""))</f>
        <v/>
      </c>
      <c r="E448" s="26" t="n"/>
      <c r="F448" s="19" t="n"/>
      <c r="G448" s="27" t="n"/>
      <c r="H448" s="27" t="n"/>
      <c r="I448" s="27" t="n"/>
      <c r="J448" s="28">
        <f>IF($A448="","",IF('設定'!$B$10="四捨五入",ROUND(IF('設定'!$B$9="税込",N($G448)*10/110,N($G448)*10/100),0),IF('設定'!$B$10="切り上げ",ROUNDUP(IF('設定'!$B$9="税込",N($G448)*10/110,N($G448)*10/100),0),ROUNDDOWN(IF('設定'!$B$9="税込",N($G448)*10/110,N($G448)*10/100),0))))</f>
        <v/>
      </c>
      <c r="K448" s="28">
        <f>IF($A448="","",IF('設定'!$B$10="四捨五入",ROUND(IF('設定'!$B$9="税込",N($H448)*8/108,N($H448)*8/100),0),IF('設定'!$B$10="切り上げ",ROUNDUP(IF('設定'!$B$9="税込",N($H448)*8/108,N($H448)*8/100),0),ROUNDDOWN(IF('設定'!$B$9="税込",N($H448)*8/108,N($H448)*8/100),0))))</f>
        <v/>
      </c>
      <c r="L448" s="28">
        <f>IF($A448="","",N($G448)+N($H448)+N($I448)+IF('設定'!$B$9="税込",0,$J448+$K448))</f>
        <v/>
      </c>
      <c r="M448" s="29">
        <f>IF(OR($A448="",NOT(ISNUMBER($W448)),NOT(ISNUMBER($X448))),"",IF(OR(INDEX('得意先'!$D$5:$D$104,$W448)="",INDEX('得意先'!$E$5:$E$104,$W448)="",INDEX('得意先'!$F$5:$F$104,$W448)=""),"",IF(INDEX('得意先'!$F$5:$F$104,$W448)="末",DATE(YEAR($X448),(MONTH($X448)+IF(INDEX('得意先'!$D$5:$D$104,$W448)="末",0,IF(DAY($X448)&lt;=INDEX('得意先'!$D$5:$D$104,$W448),0,1))+N(INDEX('得意先'!$E$5:$E$104,$W448)))+1,0),DATE(YEAR($X448),(MONTH($X448)+IF(INDEX('得意先'!$D$5:$D$104,$W448)="末",0,IF(DAY($X448)&lt;=INDEX('得意先'!$D$5:$D$104,$W448),0,1))+N(INDEX('得意先'!$E$5:$E$104,$W448))),MIN(INDEX('得意先'!$F$5:$F$104,$W448),DAY(DATE(YEAR($X448),(MONTH($X448)+IF(INDEX('得意先'!$D$5:$D$104,$W448)="末",0,IF(DAY($X448)&lt;=INDEX('得意先'!$D$5:$D$104,$W448),0,1))+N(INDEX('得意先'!$E$5:$E$104,$W448)))+1,0)))))))</f>
        <v/>
      </c>
      <c r="N448" s="26" t="n"/>
      <c r="O448" s="29">
        <f>IF($A448="","",IF(ISNUMBER($N448),$N448,$M448))</f>
        <v/>
      </c>
      <c r="P448" s="28">
        <f>IF($A448="","",SUMIF('入金消込'!$F$5:$F$1004,$A448,'入金消込'!$G$5:$G$1004))</f>
        <v/>
      </c>
      <c r="Q448" s="28">
        <f>IF($A448="","",SUMIF('入金消込'!$F$5:$F$1004,$A448,'入金消込'!$H$5:$H$1004)+SUMIF('入金消込'!$F$5:$F$1004,$A448,'入金消込'!$I$5:$I$1004))</f>
        <v/>
      </c>
      <c r="R448" s="28">
        <f>IF($A448="","",$L448-$P448-$Q448)</f>
        <v/>
      </c>
      <c r="S448" s="30">
        <f>IF($A448="","",IF($R448=0,IF($L448=0,"請求額0","回収済"),IF($L448&lt;0,IF($R448&lt;0,"差し引き待ち","差し引きすぎ"),IF($R448&lt;0,"入金が多い",IF($P448+$Q448=0,"未入金","一部入金")))))</f>
        <v/>
      </c>
      <c r="T448" s="31">
        <f>IF(OR($A448="",N($R448)&lt;=0,NOT(ISNUMBER($O448))),"",IF($O448&lt;'設定'!$B$7,'設定'!$B$7-$O448,""))</f>
        <v/>
      </c>
      <c r="U448" s="30">
        <f>IF(OR($A448="",N($R448)&lt;=0),"",IF(NOT(ISNUMBER($O448)),'設定'!$B$22,IF($O448&gt;='設定'!$B$7,'設定'!$B$17,IF('設定'!$B$7-$O448&lt;='設定'!$B$12,'設定'!$B$18,IF('設定'!$B$7-$O448&lt;='設定'!$B$13,'設定'!$B$19,IF('設定'!$B$7-$O448&lt;='設定'!$B$14,'設定'!$B$20,'設定'!$B$21))))))</f>
        <v/>
      </c>
      <c r="V448" s="56" t="n"/>
      <c r="W448" s="32">
        <f>IF($C448="","",IFERROR(MATCH($C448,'得意先'!$B$5:$B$104,0),"なし"))</f>
        <v/>
      </c>
      <c r="X448" s="33">
        <f>IF($A448="","",IF(ISNUMBER($E448),$E448,IF(ISNUMBER($B448),$B448,"")))</f>
        <v/>
      </c>
      <c r="Y448" s="34">
        <f>IF($T448="","",$O448+ROW()/1000000)</f>
        <v/>
      </c>
      <c r="Z448" s="35">
        <f>IF(OR($A448="",$C448="",$C448&lt;&gt;'売掛帳'!$B$3,NOT(ISNUMBER($X448))),"",IF(AND($X448&gt;='売掛帳'!$Q$3,$X448&lt;='売掛帳'!$Q$4),$X448+ROW()/10000000,""))</f>
        <v/>
      </c>
    </row>
    <row r="449" ht="18" customHeight="1">
      <c r="A449" s="18" t="n"/>
      <c r="B449" s="26" t="n"/>
      <c r="C449" s="18" t="n"/>
      <c r="D449" s="20">
        <f>IF($W449="","",IF($W449="なし","※得意先にないコード",INDEX('得意先'!$C$5:$C$104,$W449)&amp;""))</f>
        <v/>
      </c>
      <c r="E449" s="26" t="n"/>
      <c r="F449" s="19" t="n"/>
      <c r="G449" s="27" t="n"/>
      <c r="H449" s="27" t="n"/>
      <c r="I449" s="27" t="n"/>
      <c r="J449" s="28">
        <f>IF($A449="","",IF('設定'!$B$10="四捨五入",ROUND(IF('設定'!$B$9="税込",N($G449)*10/110,N($G449)*10/100),0),IF('設定'!$B$10="切り上げ",ROUNDUP(IF('設定'!$B$9="税込",N($G449)*10/110,N($G449)*10/100),0),ROUNDDOWN(IF('設定'!$B$9="税込",N($G449)*10/110,N($G449)*10/100),0))))</f>
        <v/>
      </c>
      <c r="K449" s="28">
        <f>IF($A449="","",IF('設定'!$B$10="四捨五入",ROUND(IF('設定'!$B$9="税込",N($H449)*8/108,N($H449)*8/100),0),IF('設定'!$B$10="切り上げ",ROUNDUP(IF('設定'!$B$9="税込",N($H449)*8/108,N($H449)*8/100),0),ROUNDDOWN(IF('設定'!$B$9="税込",N($H449)*8/108,N($H449)*8/100),0))))</f>
        <v/>
      </c>
      <c r="L449" s="28">
        <f>IF($A449="","",N($G449)+N($H449)+N($I449)+IF('設定'!$B$9="税込",0,$J449+$K449))</f>
        <v/>
      </c>
      <c r="M449" s="29">
        <f>IF(OR($A449="",NOT(ISNUMBER($W449)),NOT(ISNUMBER($X449))),"",IF(OR(INDEX('得意先'!$D$5:$D$104,$W449)="",INDEX('得意先'!$E$5:$E$104,$W449)="",INDEX('得意先'!$F$5:$F$104,$W449)=""),"",IF(INDEX('得意先'!$F$5:$F$104,$W449)="末",DATE(YEAR($X449),(MONTH($X449)+IF(INDEX('得意先'!$D$5:$D$104,$W449)="末",0,IF(DAY($X449)&lt;=INDEX('得意先'!$D$5:$D$104,$W449),0,1))+N(INDEX('得意先'!$E$5:$E$104,$W449)))+1,0),DATE(YEAR($X449),(MONTH($X449)+IF(INDEX('得意先'!$D$5:$D$104,$W449)="末",0,IF(DAY($X449)&lt;=INDEX('得意先'!$D$5:$D$104,$W449),0,1))+N(INDEX('得意先'!$E$5:$E$104,$W449))),MIN(INDEX('得意先'!$F$5:$F$104,$W449),DAY(DATE(YEAR($X449),(MONTH($X449)+IF(INDEX('得意先'!$D$5:$D$104,$W449)="末",0,IF(DAY($X449)&lt;=INDEX('得意先'!$D$5:$D$104,$W449),0,1))+N(INDEX('得意先'!$E$5:$E$104,$W449)))+1,0)))))))</f>
        <v/>
      </c>
      <c r="N449" s="26" t="n"/>
      <c r="O449" s="29">
        <f>IF($A449="","",IF(ISNUMBER($N449),$N449,$M449))</f>
        <v/>
      </c>
      <c r="P449" s="28">
        <f>IF($A449="","",SUMIF('入金消込'!$F$5:$F$1004,$A449,'入金消込'!$G$5:$G$1004))</f>
        <v/>
      </c>
      <c r="Q449" s="28">
        <f>IF($A449="","",SUMIF('入金消込'!$F$5:$F$1004,$A449,'入金消込'!$H$5:$H$1004)+SUMIF('入金消込'!$F$5:$F$1004,$A449,'入金消込'!$I$5:$I$1004))</f>
        <v/>
      </c>
      <c r="R449" s="28">
        <f>IF($A449="","",$L449-$P449-$Q449)</f>
        <v/>
      </c>
      <c r="S449" s="30">
        <f>IF($A449="","",IF($R449=0,IF($L449=0,"請求額0","回収済"),IF($L449&lt;0,IF($R449&lt;0,"差し引き待ち","差し引きすぎ"),IF($R449&lt;0,"入金が多い",IF($P449+$Q449=0,"未入金","一部入金")))))</f>
        <v/>
      </c>
      <c r="T449" s="31">
        <f>IF(OR($A449="",N($R449)&lt;=0,NOT(ISNUMBER($O449))),"",IF($O449&lt;'設定'!$B$7,'設定'!$B$7-$O449,""))</f>
        <v/>
      </c>
      <c r="U449" s="30">
        <f>IF(OR($A449="",N($R449)&lt;=0),"",IF(NOT(ISNUMBER($O449)),'設定'!$B$22,IF($O449&gt;='設定'!$B$7,'設定'!$B$17,IF('設定'!$B$7-$O449&lt;='設定'!$B$12,'設定'!$B$18,IF('設定'!$B$7-$O449&lt;='設定'!$B$13,'設定'!$B$19,IF('設定'!$B$7-$O449&lt;='設定'!$B$14,'設定'!$B$20,'設定'!$B$21))))))</f>
        <v/>
      </c>
      <c r="V449" s="56" t="n"/>
      <c r="W449" s="32">
        <f>IF($C449="","",IFERROR(MATCH($C449,'得意先'!$B$5:$B$104,0),"なし"))</f>
        <v/>
      </c>
      <c r="X449" s="33">
        <f>IF($A449="","",IF(ISNUMBER($E449),$E449,IF(ISNUMBER($B449),$B449,"")))</f>
        <v/>
      </c>
      <c r="Y449" s="34">
        <f>IF($T449="","",$O449+ROW()/1000000)</f>
        <v/>
      </c>
      <c r="Z449" s="35">
        <f>IF(OR($A449="",$C449="",$C449&lt;&gt;'売掛帳'!$B$3,NOT(ISNUMBER($X449))),"",IF(AND($X449&gt;='売掛帳'!$Q$3,$X449&lt;='売掛帳'!$Q$4),$X449+ROW()/10000000,""))</f>
        <v/>
      </c>
    </row>
    <row r="450" ht="18" customHeight="1">
      <c r="A450" s="18" t="n"/>
      <c r="B450" s="26" t="n"/>
      <c r="C450" s="18" t="n"/>
      <c r="D450" s="20">
        <f>IF($W450="","",IF($W450="なし","※得意先にないコード",INDEX('得意先'!$C$5:$C$104,$W450)&amp;""))</f>
        <v/>
      </c>
      <c r="E450" s="26" t="n"/>
      <c r="F450" s="19" t="n"/>
      <c r="G450" s="27" t="n"/>
      <c r="H450" s="27" t="n"/>
      <c r="I450" s="27" t="n"/>
      <c r="J450" s="28">
        <f>IF($A450="","",IF('設定'!$B$10="四捨五入",ROUND(IF('設定'!$B$9="税込",N($G450)*10/110,N($G450)*10/100),0),IF('設定'!$B$10="切り上げ",ROUNDUP(IF('設定'!$B$9="税込",N($G450)*10/110,N($G450)*10/100),0),ROUNDDOWN(IF('設定'!$B$9="税込",N($G450)*10/110,N($G450)*10/100),0))))</f>
        <v/>
      </c>
      <c r="K450" s="28">
        <f>IF($A450="","",IF('設定'!$B$10="四捨五入",ROUND(IF('設定'!$B$9="税込",N($H450)*8/108,N($H450)*8/100),0),IF('設定'!$B$10="切り上げ",ROUNDUP(IF('設定'!$B$9="税込",N($H450)*8/108,N($H450)*8/100),0),ROUNDDOWN(IF('設定'!$B$9="税込",N($H450)*8/108,N($H450)*8/100),0))))</f>
        <v/>
      </c>
      <c r="L450" s="28">
        <f>IF($A450="","",N($G450)+N($H450)+N($I450)+IF('設定'!$B$9="税込",0,$J450+$K450))</f>
        <v/>
      </c>
      <c r="M450" s="29">
        <f>IF(OR($A450="",NOT(ISNUMBER($W450)),NOT(ISNUMBER($X450))),"",IF(OR(INDEX('得意先'!$D$5:$D$104,$W450)="",INDEX('得意先'!$E$5:$E$104,$W450)="",INDEX('得意先'!$F$5:$F$104,$W450)=""),"",IF(INDEX('得意先'!$F$5:$F$104,$W450)="末",DATE(YEAR($X450),(MONTH($X450)+IF(INDEX('得意先'!$D$5:$D$104,$W450)="末",0,IF(DAY($X450)&lt;=INDEX('得意先'!$D$5:$D$104,$W450),0,1))+N(INDEX('得意先'!$E$5:$E$104,$W450)))+1,0),DATE(YEAR($X450),(MONTH($X450)+IF(INDEX('得意先'!$D$5:$D$104,$W450)="末",0,IF(DAY($X450)&lt;=INDEX('得意先'!$D$5:$D$104,$W450),0,1))+N(INDEX('得意先'!$E$5:$E$104,$W450))),MIN(INDEX('得意先'!$F$5:$F$104,$W450),DAY(DATE(YEAR($X450),(MONTH($X450)+IF(INDEX('得意先'!$D$5:$D$104,$W450)="末",0,IF(DAY($X450)&lt;=INDEX('得意先'!$D$5:$D$104,$W450),0,1))+N(INDEX('得意先'!$E$5:$E$104,$W450)))+1,0)))))))</f>
        <v/>
      </c>
      <c r="N450" s="26" t="n"/>
      <c r="O450" s="29">
        <f>IF($A450="","",IF(ISNUMBER($N450),$N450,$M450))</f>
        <v/>
      </c>
      <c r="P450" s="28">
        <f>IF($A450="","",SUMIF('入金消込'!$F$5:$F$1004,$A450,'入金消込'!$G$5:$G$1004))</f>
        <v/>
      </c>
      <c r="Q450" s="28">
        <f>IF($A450="","",SUMIF('入金消込'!$F$5:$F$1004,$A450,'入金消込'!$H$5:$H$1004)+SUMIF('入金消込'!$F$5:$F$1004,$A450,'入金消込'!$I$5:$I$1004))</f>
        <v/>
      </c>
      <c r="R450" s="28">
        <f>IF($A450="","",$L450-$P450-$Q450)</f>
        <v/>
      </c>
      <c r="S450" s="30">
        <f>IF($A450="","",IF($R450=0,IF($L450=0,"請求額0","回収済"),IF($L450&lt;0,IF($R450&lt;0,"差し引き待ち","差し引きすぎ"),IF($R450&lt;0,"入金が多い",IF($P450+$Q450=0,"未入金","一部入金")))))</f>
        <v/>
      </c>
      <c r="T450" s="31">
        <f>IF(OR($A450="",N($R450)&lt;=0,NOT(ISNUMBER($O450))),"",IF($O450&lt;'設定'!$B$7,'設定'!$B$7-$O450,""))</f>
        <v/>
      </c>
      <c r="U450" s="30">
        <f>IF(OR($A450="",N($R450)&lt;=0),"",IF(NOT(ISNUMBER($O450)),'設定'!$B$22,IF($O450&gt;='設定'!$B$7,'設定'!$B$17,IF('設定'!$B$7-$O450&lt;='設定'!$B$12,'設定'!$B$18,IF('設定'!$B$7-$O450&lt;='設定'!$B$13,'設定'!$B$19,IF('設定'!$B$7-$O450&lt;='設定'!$B$14,'設定'!$B$20,'設定'!$B$21))))))</f>
        <v/>
      </c>
      <c r="V450" s="56" t="n"/>
      <c r="W450" s="32">
        <f>IF($C450="","",IFERROR(MATCH($C450,'得意先'!$B$5:$B$104,0),"なし"))</f>
        <v/>
      </c>
      <c r="X450" s="33">
        <f>IF($A450="","",IF(ISNUMBER($E450),$E450,IF(ISNUMBER($B450),$B450,"")))</f>
        <v/>
      </c>
      <c r="Y450" s="34">
        <f>IF($T450="","",$O450+ROW()/1000000)</f>
        <v/>
      </c>
      <c r="Z450" s="35">
        <f>IF(OR($A450="",$C450="",$C450&lt;&gt;'売掛帳'!$B$3,NOT(ISNUMBER($X450))),"",IF(AND($X450&gt;='売掛帳'!$Q$3,$X450&lt;='売掛帳'!$Q$4),$X450+ROW()/10000000,""))</f>
        <v/>
      </c>
    </row>
    <row r="451" ht="18" customHeight="1">
      <c r="A451" s="18" t="n"/>
      <c r="B451" s="26" t="n"/>
      <c r="C451" s="18" t="n"/>
      <c r="D451" s="20">
        <f>IF($W451="","",IF($W451="なし","※得意先にないコード",INDEX('得意先'!$C$5:$C$104,$W451)&amp;""))</f>
        <v/>
      </c>
      <c r="E451" s="26" t="n"/>
      <c r="F451" s="19" t="n"/>
      <c r="G451" s="27" t="n"/>
      <c r="H451" s="27" t="n"/>
      <c r="I451" s="27" t="n"/>
      <c r="J451" s="28">
        <f>IF($A451="","",IF('設定'!$B$10="四捨五入",ROUND(IF('設定'!$B$9="税込",N($G451)*10/110,N($G451)*10/100),0),IF('設定'!$B$10="切り上げ",ROUNDUP(IF('設定'!$B$9="税込",N($G451)*10/110,N($G451)*10/100),0),ROUNDDOWN(IF('設定'!$B$9="税込",N($G451)*10/110,N($G451)*10/100),0))))</f>
        <v/>
      </c>
      <c r="K451" s="28">
        <f>IF($A451="","",IF('設定'!$B$10="四捨五入",ROUND(IF('設定'!$B$9="税込",N($H451)*8/108,N($H451)*8/100),0),IF('設定'!$B$10="切り上げ",ROUNDUP(IF('設定'!$B$9="税込",N($H451)*8/108,N($H451)*8/100),0),ROUNDDOWN(IF('設定'!$B$9="税込",N($H451)*8/108,N($H451)*8/100),0))))</f>
        <v/>
      </c>
      <c r="L451" s="28">
        <f>IF($A451="","",N($G451)+N($H451)+N($I451)+IF('設定'!$B$9="税込",0,$J451+$K451))</f>
        <v/>
      </c>
      <c r="M451" s="29">
        <f>IF(OR($A451="",NOT(ISNUMBER($W451)),NOT(ISNUMBER($X451))),"",IF(OR(INDEX('得意先'!$D$5:$D$104,$W451)="",INDEX('得意先'!$E$5:$E$104,$W451)="",INDEX('得意先'!$F$5:$F$104,$W451)=""),"",IF(INDEX('得意先'!$F$5:$F$104,$W451)="末",DATE(YEAR($X451),(MONTH($X451)+IF(INDEX('得意先'!$D$5:$D$104,$W451)="末",0,IF(DAY($X451)&lt;=INDEX('得意先'!$D$5:$D$104,$W451),0,1))+N(INDEX('得意先'!$E$5:$E$104,$W451)))+1,0),DATE(YEAR($X451),(MONTH($X451)+IF(INDEX('得意先'!$D$5:$D$104,$W451)="末",0,IF(DAY($X451)&lt;=INDEX('得意先'!$D$5:$D$104,$W451),0,1))+N(INDEX('得意先'!$E$5:$E$104,$W451))),MIN(INDEX('得意先'!$F$5:$F$104,$W451),DAY(DATE(YEAR($X451),(MONTH($X451)+IF(INDEX('得意先'!$D$5:$D$104,$W451)="末",0,IF(DAY($X451)&lt;=INDEX('得意先'!$D$5:$D$104,$W451),0,1))+N(INDEX('得意先'!$E$5:$E$104,$W451)))+1,0)))))))</f>
        <v/>
      </c>
      <c r="N451" s="26" t="n"/>
      <c r="O451" s="29">
        <f>IF($A451="","",IF(ISNUMBER($N451),$N451,$M451))</f>
        <v/>
      </c>
      <c r="P451" s="28">
        <f>IF($A451="","",SUMIF('入金消込'!$F$5:$F$1004,$A451,'入金消込'!$G$5:$G$1004))</f>
        <v/>
      </c>
      <c r="Q451" s="28">
        <f>IF($A451="","",SUMIF('入金消込'!$F$5:$F$1004,$A451,'入金消込'!$H$5:$H$1004)+SUMIF('入金消込'!$F$5:$F$1004,$A451,'入金消込'!$I$5:$I$1004))</f>
        <v/>
      </c>
      <c r="R451" s="28">
        <f>IF($A451="","",$L451-$P451-$Q451)</f>
        <v/>
      </c>
      <c r="S451" s="30">
        <f>IF($A451="","",IF($R451=0,IF($L451=0,"請求額0","回収済"),IF($L451&lt;0,IF($R451&lt;0,"差し引き待ち","差し引きすぎ"),IF($R451&lt;0,"入金が多い",IF($P451+$Q451=0,"未入金","一部入金")))))</f>
        <v/>
      </c>
      <c r="T451" s="31">
        <f>IF(OR($A451="",N($R451)&lt;=0,NOT(ISNUMBER($O451))),"",IF($O451&lt;'設定'!$B$7,'設定'!$B$7-$O451,""))</f>
        <v/>
      </c>
      <c r="U451" s="30">
        <f>IF(OR($A451="",N($R451)&lt;=0),"",IF(NOT(ISNUMBER($O451)),'設定'!$B$22,IF($O451&gt;='設定'!$B$7,'設定'!$B$17,IF('設定'!$B$7-$O451&lt;='設定'!$B$12,'設定'!$B$18,IF('設定'!$B$7-$O451&lt;='設定'!$B$13,'設定'!$B$19,IF('設定'!$B$7-$O451&lt;='設定'!$B$14,'設定'!$B$20,'設定'!$B$21))))))</f>
        <v/>
      </c>
      <c r="V451" s="56" t="n"/>
      <c r="W451" s="32">
        <f>IF($C451="","",IFERROR(MATCH($C451,'得意先'!$B$5:$B$104,0),"なし"))</f>
        <v/>
      </c>
      <c r="X451" s="33">
        <f>IF($A451="","",IF(ISNUMBER($E451),$E451,IF(ISNUMBER($B451),$B451,"")))</f>
        <v/>
      </c>
      <c r="Y451" s="34">
        <f>IF($T451="","",$O451+ROW()/1000000)</f>
        <v/>
      </c>
      <c r="Z451" s="35">
        <f>IF(OR($A451="",$C451="",$C451&lt;&gt;'売掛帳'!$B$3,NOT(ISNUMBER($X451))),"",IF(AND($X451&gt;='売掛帳'!$Q$3,$X451&lt;='売掛帳'!$Q$4),$X451+ROW()/10000000,""))</f>
        <v/>
      </c>
    </row>
    <row r="452" ht="18" customHeight="1">
      <c r="A452" s="18" t="n"/>
      <c r="B452" s="26" t="n"/>
      <c r="C452" s="18" t="n"/>
      <c r="D452" s="20">
        <f>IF($W452="","",IF($W452="なし","※得意先にないコード",INDEX('得意先'!$C$5:$C$104,$W452)&amp;""))</f>
        <v/>
      </c>
      <c r="E452" s="26" t="n"/>
      <c r="F452" s="19" t="n"/>
      <c r="G452" s="27" t="n"/>
      <c r="H452" s="27" t="n"/>
      <c r="I452" s="27" t="n"/>
      <c r="J452" s="28">
        <f>IF($A452="","",IF('設定'!$B$10="四捨五入",ROUND(IF('設定'!$B$9="税込",N($G452)*10/110,N($G452)*10/100),0),IF('設定'!$B$10="切り上げ",ROUNDUP(IF('設定'!$B$9="税込",N($G452)*10/110,N($G452)*10/100),0),ROUNDDOWN(IF('設定'!$B$9="税込",N($G452)*10/110,N($G452)*10/100),0))))</f>
        <v/>
      </c>
      <c r="K452" s="28">
        <f>IF($A452="","",IF('設定'!$B$10="四捨五入",ROUND(IF('設定'!$B$9="税込",N($H452)*8/108,N($H452)*8/100),0),IF('設定'!$B$10="切り上げ",ROUNDUP(IF('設定'!$B$9="税込",N($H452)*8/108,N($H452)*8/100),0),ROUNDDOWN(IF('設定'!$B$9="税込",N($H452)*8/108,N($H452)*8/100),0))))</f>
        <v/>
      </c>
      <c r="L452" s="28">
        <f>IF($A452="","",N($G452)+N($H452)+N($I452)+IF('設定'!$B$9="税込",0,$J452+$K452))</f>
        <v/>
      </c>
      <c r="M452" s="29">
        <f>IF(OR($A452="",NOT(ISNUMBER($W452)),NOT(ISNUMBER($X452))),"",IF(OR(INDEX('得意先'!$D$5:$D$104,$W452)="",INDEX('得意先'!$E$5:$E$104,$W452)="",INDEX('得意先'!$F$5:$F$104,$W452)=""),"",IF(INDEX('得意先'!$F$5:$F$104,$W452)="末",DATE(YEAR($X452),(MONTH($X452)+IF(INDEX('得意先'!$D$5:$D$104,$W452)="末",0,IF(DAY($X452)&lt;=INDEX('得意先'!$D$5:$D$104,$W452),0,1))+N(INDEX('得意先'!$E$5:$E$104,$W452)))+1,0),DATE(YEAR($X452),(MONTH($X452)+IF(INDEX('得意先'!$D$5:$D$104,$W452)="末",0,IF(DAY($X452)&lt;=INDEX('得意先'!$D$5:$D$104,$W452),0,1))+N(INDEX('得意先'!$E$5:$E$104,$W452))),MIN(INDEX('得意先'!$F$5:$F$104,$W452),DAY(DATE(YEAR($X452),(MONTH($X452)+IF(INDEX('得意先'!$D$5:$D$104,$W452)="末",0,IF(DAY($X452)&lt;=INDEX('得意先'!$D$5:$D$104,$W452),0,1))+N(INDEX('得意先'!$E$5:$E$104,$W452)))+1,0)))))))</f>
        <v/>
      </c>
      <c r="N452" s="26" t="n"/>
      <c r="O452" s="29">
        <f>IF($A452="","",IF(ISNUMBER($N452),$N452,$M452))</f>
        <v/>
      </c>
      <c r="P452" s="28">
        <f>IF($A452="","",SUMIF('入金消込'!$F$5:$F$1004,$A452,'入金消込'!$G$5:$G$1004))</f>
        <v/>
      </c>
      <c r="Q452" s="28">
        <f>IF($A452="","",SUMIF('入金消込'!$F$5:$F$1004,$A452,'入金消込'!$H$5:$H$1004)+SUMIF('入金消込'!$F$5:$F$1004,$A452,'入金消込'!$I$5:$I$1004))</f>
        <v/>
      </c>
      <c r="R452" s="28">
        <f>IF($A452="","",$L452-$P452-$Q452)</f>
        <v/>
      </c>
      <c r="S452" s="30">
        <f>IF($A452="","",IF($R452=0,IF($L452=0,"請求額0","回収済"),IF($L452&lt;0,IF($R452&lt;0,"差し引き待ち","差し引きすぎ"),IF($R452&lt;0,"入金が多い",IF($P452+$Q452=0,"未入金","一部入金")))))</f>
        <v/>
      </c>
      <c r="T452" s="31">
        <f>IF(OR($A452="",N($R452)&lt;=0,NOT(ISNUMBER($O452))),"",IF($O452&lt;'設定'!$B$7,'設定'!$B$7-$O452,""))</f>
        <v/>
      </c>
      <c r="U452" s="30">
        <f>IF(OR($A452="",N($R452)&lt;=0),"",IF(NOT(ISNUMBER($O452)),'設定'!$B$22,IF($O452&gt;='設定'!$B$7,'設定'!$B$17,IF('設定'!$B$7-$O452&lt;='設定'!$B$12,'設定'!$B$18,IF('設定'!$B$7-$O452&lt;='設定'!$B$13,'設定'!$B$19,IF('設定'!$B$7-$O452&lt;='設定'!$B$14,'設定'!$B$20,'設定'!$B$21))))))</f>
        <v/>
      </c>
      <c r="V452" s="56" t="n"/>
      <c r="W452" s="32">
        <f>IF($C452="","",IFERROR(MATCH($C452,'得意先'!$B$5:$B$104,0),"なし"))</f>
        <v/>
      </c>
      <c r="X452" s="33">
        <f>IF($A452="","",IF(ISNUMBER($E452),$E452,IF(ISNUMBER($B452),$B452,"")))</f>
        <v/>
      </c>
      <c r="Y452" s="34">
        <f>IF($T452="","",$O452+ROW()/1000000)</f>
        <v/>
      </c>
      <c r="Z452" s="35">
        <f>IF(OR($A452="",$C452="",$C452&lt;&gt;'売掛帳'!$B$3,NOT(ISNUMBER($X452))),"",IF(AND($X452&gt;='売掛帳'!$Q$3,$X452&lt;='売掛帳'!$Q$4),$X452+ROW()/10000000,""))</f>
        <v/>
      </c>
    </row>
    <row r="453" ht="18" customHeight="1">
      <c r="A453" s="18" t="n"/>
      <c r="B453" s="26" t="n"/>
      <c r="C453" s="18" t="n"/>
      <c r="D453" s="20">
        <f>IF($W453="","",IF($W453="なし","※得意先にないコード",INDEX('得意先'!$C$5:$C$104,$W453)&amp;""))</f>
        <v/>
      </c>
      <c r="E453" s="26" t="n"/>
      <c r="F453" s="19" t="n"/>
      <c r="G453" s="27" t="n"/>
      <c r="H453" s="27" t="n"/>
      <c r="I453" s="27" t="n"/>
      <c r="J453" s="28">
        <f>IF($A453="","",IF('設定'!$B$10="四捨五入",ROUND(IF('設定'!$B$9="税込",N($G453)*10/110,N($G453)*10/100),0),IF('設定'!$B$10="切り上げ",ROUNDUP(IF('設定'!$B$9="税込",N($G453)*10/110,N($G453)*10/100),0),ROUNDDOWN(IF('設定'!$B$9="税込",N($G453)*10/110,N($G453)*10/100),0))))</f>
        <v/>
      </c>
      <c r="K453" s="28">
        <f>IF($A453="","",IF('設定'!$B$10="四捨五入",ROUND(IF('設定'!$B$9="税込",N($H453)*8/108,N($H453)*8/100),0),IF('設定'!$B$10="切り上げ",ROUNDUP(IF('設定'!$B$9="税込",N($H453)*8/108,N($H453)*8/100),0),ROUNDDOWN(IF('設定'!$B$9="税込",N($H453)*8/108,N($H453)*8/100),0))))</f>
        <v/>
      </c>
      <c r="L453" s="28">
        <f>IF($A453="","",N($G453)+N($H453)+N($I453)+IF('設定'!$B$9="税込",0,$J453+$K453))</f>
        <v/>
      </c>
      <c r="M453" s="29">
        <f>IF(OR($A453="",NOT(ISNUMBER($W453)),NOT(ISNUMBER($X453))),"",IF(OR(INDEX('得意先'!$D$5:$D$104,$W453)="",INDEX('得意先'!$E$5:$E$104,$W453)="",INDEX('得意先'!$F$5:$F$104,$W453)=""),"",IF(INDEX('得意先'!$F$5:$F$104,$W453)="末",DATE(YEAR($X453),(MONTH($X453)+IF(INDEX('得意先'!$D$5:$D$104,$W453)="末",0,IF(DAY($X453)&lt;=INDEX('得意先'!$D$5:$D$104,$W453),0,1))+N(INDEX('得意先'!$E$5:$E$104,$W453)))+1,0),DATE(YEAR($X453),(MONTH($X453)+IF(INDEX('得意先'!$D$5:$D$104,$W453)="末",0,IF(DAY($X453)&lt;=INDEX('得意先'!$D$5:$D$104,$W453),0,1))+N(INDEX('得意先'!$E$5:$E$104,$W453))),MIN(INDEX('得意先'!$F$5:$F$104,$W453),DAY(DATE(YEAR($X453),(MONTH($X453)+IF(INDEX('得意先'!$D$5:$D$104,$W453)="末",0,IF(DAY($X453)&lt;=INDEX('得意先'!$D$5:$D$104,$W453),0,1))+N(INDEX('得意先'!$E$5:$E$104,$W453)))+1,0)))))))</f>
        <v/>
      </c>
      <c r="N453" s="26" t="n"/>
      <c r="O453" s="29">
        <f>IF($A453="","",IF(ISNUMBER($N453),$N453,$M453))</f>
        <v/>
      </c>
      <c r="P453" s="28">
        <f>IF($A453="","",SUMIF('入金消込'!$F$5:$F$1004,$A453,'入金消込'!$G$5:$G$1004))</f>
        <v/>
      </c>
      <c r="Q453" s="28">
        <f>IF($A453="","",SUMIF('入金消込'!$F$5:$F$1004,$A453,'入金消込'!$H$5:$H$1004)+SUMIF('入金消込'!$F$5:$F$1004,$A453,'入金消込'!$I$5:$I$1004))</f>
        <v/>
      </c>
      <c r="R453" s="28">
        <f>IF($A453="","",$L453-$P453-$Q453)</f>
        <v/>
      </c>
      <c r="S453" s="30">
        <f>IF($A453="","",IF($R453=0,IF($L453=0,"請求額0","回収済"),IF($L453&lt;0,IF($R453&lt;0,"差し引き待ち","差し引きすぎ"),IF($R453&lt;0,"入金が多い",IF($P453+$Q453=0,"未入金","一部入金")))))</f>
        <v/>
      </c>
      <c r="T453" s="31">
        <f>IF(OR($A453="",N($R453)&lt;=0,NOT(ISNUMBER($O453))),"",IF($O453&lt;'設定'!$B$7,'設定'!$B$7-$O453,""))</f>
        <v/>
      </c>
      <c r="U453" s="30">
        <f>IF(OR($A453="",N($R453)&lt;=0),"",IF(NOT(ISNUMBER($O453)),'設定'!$B$22,IF($O453&gt;='設定'!$B$7,'設定'!$B$17,IF('設定'!$B$7-$O453&lt;='設定'!$B$12,'設定'!$B$18,IF('設定'!$B$7-$O453&lt;='設定'!$B$13,'設定'!$B$19,IF('設定'!$B$7-$O453&lt;='設定'!$B$14,'設定'!$B$20,'設定'!$B$21))))))</f>
        <v/>
      </c>
      <c r="V453" s="56" t="n"/>
      <c r="W453" s="32">
        <f>IF($C453="","",IFERROR(MATCH($C453,'得意先'!$B$5:$B$104,0),"なし"))</f>
        <v/>
      </c>
      <c r="X453" s="33">
        <f>IF($A453="","",IF(ISNUMBER($E453),$E453,IF(ISNUMBER($B453),$B453,"")))</f>
        <v/>
      </c>
      <c r="Y453" s="34">
        <f>IF($T453="","",$O453+ROW()/1000000)</f>
        <v/>
      </c>
      <c r="Z453" s="35">
        <f>IF(OR($A453="",$C453="",$C453&lt;&gt;'売掛帳'!$B$3,NOT(ISNUMBER($X453))),"",IF(AND($X453&gt;='売掛帳'!$Q$3,$X453&lt;='売掛帳'!$Q$4),$X453+ROW()/10000000,""))</f>
        <v/>
      </c>
    </row>
    <row r="454" ht="18" customHeight="1">
      <c r="A454" s="18" t="n"/>
      <c r="B454" s="26" t="n"/>
      <c r="C454" s="18" t="n"/>
      <c r="D454" s="20">
        <f>IF($W454="","",IF($W454="なし","※得意先にないコード",INDEX('得意先'!$C$5:$C$104,$W454)&amp;""))</f>
        <v/>
      </c>
      <c r="E454" s="26" t="n"/>
      <c r="F454" s="19" t="n"/>
      <c r="G454" s="27" t="n"/>
      <c r="H454" s="27" t="n"/>
      <c r="I454" s="27" t="n"/>
      <c r="J454" s="28">
        <f>IF($A454="","",IF('設定'!$B$10="四捨五入",ROUND(IF('設定'!$B$9="税込",N($G454)*10/110,N($G454)*10/100),0),IF('設定'!$B$10="切り上げ",ROUNDUP(IF('設定'!$B$9="税込",N($G454)*10/110,N($G454)*10/100),0),ROUNDDOWN(IF('設定'!$B$9="税込",N($G454)*10/110,N($G454)*10/100),0))))</f>
        <v/>
      </c>
      <c r="K454" s="28">
        <f>IF($A454="","",IF('設定'!$B$10="四捨五入",ROUND(IF('設定'!$B$9="税込",N($H454)*8/108,N($H454)*8/100),0),IF('設定'!$B$10="切り上げ",ROUNDUP(IF('設定'!$B$9="税込",N($H454)*8/108,N($H454)*8/100),0),ROUNDDOWN(IF('設定'!$B$9="税込",N($H454)*8/108,N($H454)*8/100),0))))</f>
        <v/>
      </c>
      <c r="L454" s="28">
        <f>IF($A454="","",N($G454)+N($H454)+N($I454)+IF('設定'!$B$9="税込",0,$J454+$K454))</f>
        <v/>
      </c>
      <c r="M454" s="29">
        <f>IF(OR($A454="",NOT(ISNUMBER($W454)),NOT(ISNUMBER($X454))),"",IF(OR(INDEX('得意先'!$D$5:$D$104,$W454)="",INDEX('得意先'!$E$5:$E$104,$W454)="",INDEX('得意先'!$F$5:$F$104,$W454)=""),"",IF(INDEX('得意先'!$F$5:$F$104,$W454)="末",DATE(YEAR($X454),(MONTH($X454)+IF(INDEX('得意先'!$D$5:$D$104,$W454)="末",0,IF(DAY($X454)&lt;=INDEX('得意先'!$D$5:$D$104,$W454),0,1))+N(INDEX('得意先'!$E$5:$E$104,$W454)))+1,0),DATE(YEAR($X454),(MONTH($X454)+IF(INDEX('得意先'!$D$5:$D$104,$W454)="末",0,IF(DAY($X454)&lt;=INDEX('得意先'!$D$5:$D$104,$W454),0,1))+N(INDEX('得意先'!$E$5:$E$104,$W454))),MIN(INDEX('得意先'!$F$5:$F$104,$W454),DAY(DATE(YEAR($X454),(MONTH($X454)+IF(INDEX('得意先'!$D$5:$D$104,$W454)="末",0,IF(DAY($X454)&lt;=INDEX('得意先'!$D$5:$D$104,$W454),0,1))+N(INDEX('得意先'!$E$5:$E$104,$W454)))+1,0)))))))</f>
        <v/>
      </c>
      <c r="N454" s="26" t="n"/>
      <c r="O454" s="29">
        <f>IF($A454="","",IF(ISNUMBER($N454),$N454,$M454))</f>
        <v/>
      </c>
      <c r="P454" s="28">
        <f>IF($A454="","",SUMIF('入金消込'!$F$5:$F$1004,$A454,'入金消込'!$G$5:$G$1004))</f>
        <v/>
      </c>
      <c r="Q454" s="28">
        <f>IF($A454="","",SUMIF('入金消込'!$F$5:$F$1004,$A454,'入金消込'!$H$5:$H$1004)+SUMIF('入金消込'!$F$5:$F$1004,$A454,'入金消込'!$I$5:$I$1004))</f>
        <v/>
      </c>
      <c r="R454" s="28">
        <f>IF($A454="","",$L454-$P454-$Q454)</f>
        <v/>
      </c>
      <c r="S454" s="30">
        <f>IF($A454="","",IF($R454=0,IF($L454=0,"請求額0","回収済"),IF($L454&lt;0,IF($R454&lt;0,"差し引き待ち","差し引きすぎ"),IF($R454&lt;0,"入金が多い",IF($P454+$Q454=0,"未入金","一部入金")))))</f>
        <v/>
      </c>
      <c r="T454" s="31">
        <f>IF(OR($A454="",N($R454)&lt;=0,NOT(ISNUMBER($O454))),"",IF($O454&lt;'設定'!$B$7,'設定'!$B$7-$O454,""))</f>
        <v/>
      </c>
      <c r="U454" s="30">
        <f>IF(OR($A454="",N($R454)&lt;=0),"",IF(NOT(ISNUMBER($O454)),'設定'!$B$22,IF($O454&gt;='設定'!$B$7,'設定'!$B$17,IF('設定'!$B$7-$O454&lt;='設定'!$B$12,'設定'!$B$18,IF('設定'!$B$7-$O454&lt;='設定'!$B$13,'設定'!$B$19,IF('設定'!$B$7-$O454&lt;='設定'!$B$14,'設定'!$B$20,'設定'!$B$21))))))</f>
        <v/>
      </c>
      <c r="V454" s="56" t="n"/>
      <c r="W454" s="32">
        <f>IF($C454="","",IFERROR(MATCH($C454,'得意先'!$B$5:$B$104,0),"なし"))</f>
        <v/>
      </c>
      <c r="X454" s="33">
        <f>IF($A454="","",IF(ISNUMBER($E454),$E454,IF(ISNUMBER($B454),$B454,"")))</f>
        <v/>
      </c>
      <c r="Y454" s="34">
        <f>IF($T454="","",$O454+ROW()/1000000)</f>
        <v/>
      </c>
      <c r="Z454" s="35">
        <f>IF(OR($A454="",$C454="",$C454&lt;&gt;'売掛帳'!$B$3,NOT(ISNUMBER($X454))),"",IF(AND($X454&gt;='売掛帳'!$Q$3,$X454&lt;='売掛帳'!$Q$4),$X454+ROW()/10000000,""))</f>
        <v/>
      </c>
    </row>
    <row r="455" ht="18" customHeight="1">
      <c r="A455" s="18" t="n"/>
      <c r="B455" s="26" t="n"/>
      <c r="C455" s="18" t="n"/>
      <c r="D455" s="20">
        <f>IF($W455="","",IF($W455="なし","※得意先にないコード",INDEX('得意先'!$C$5:$C$104,$W455)&amp;""))</f>
        <v/>
      </c>
      <c r="E455" s="26" t="n"/>
      <c r="F455" s="19" t="n"/>
      <c r="G455" s="27" t="n"/>
      <c r="H455" s="27" t="n"/>
      <c r="I455" s="27" t="n"/>
      <c r="J455" s="28">
        <f>IF($A455="","",IF('設定'!$B$10="四捨五入",ROUND(IF('設定'!$B$9="税込",N($G455)*10/110,N($G455)*10/100),0),IF('設定'!$B$10="切り上げ",ROUNDUP(IF('設定'!$B$9="税込",N($G455)*10/110,N($G455)*10/100),0),ROUNDDOWN(IF('設定'!$B$9="税込",N($G455)*10/110,N($G455)*10/100),0))))</f>
        <v/>
      </c>
      <c r="K455" s="28">
        <f>IF($A455="","",IF('設定'!$B$10="四捨五入",ROUND(IF('設定'!$B$9="税込",N($H455)*8/108,N($H455)*8/100),0),IF('設定'!$B$10="切り上げ",ROUNDUP(IF('設定'!$B$9="税込",N($H455)*8/108,N($H455)*8/100),0),ROUNDDOWN(IF('設定'!$B$9="税込",N($H455)*8/108,N($H455)*8/100),0))))</f>
        <v/>
      </c>
      <c r="L455" s="28">
        <f>IF($A455="","",N($G455)+N($H455)+N($I455)+IF('設定'!$B$9="税込",0,$J455+$K455))</f>
        <v/>
      </c>
      <c r="M455" s="29">
        <f>IF(OR($A455="",NOT(ISNUMBER($W455)),NOT(ISNUMBER($X455))),"",IF(OR(INDEX('得意先'!$D$5:$D$104,$W455)="",INDEX('得意先'!$E$5:$E$104,$W455)="",INDEX('得意先'!$F$5:$F$104,$W455)=""),"",IF(INDEX('得意先'!$F$5:$F$104,$W455)="末",DATE(YEAR($X455),(MONTH($X455)+IF(INDEX('得意先'!$D$5:$D$104,$W455)="末",0,IF(DAY($X455)&lt;=INDEX('得意先'!$D$5:$D$104,$W455),0,1))+N(INDEX('得意先'!$E$5:$E$104,$W455)))+1,0),DATE(YEAR($X455),(MONTH($X455)+IF(INDEX('得意先'!$D$5:$D$104,$W455)="末",0,IF(DAY($X455)&lt;=INDEX('得意先'!$D$5:$D$104,$W455),0,1))+N(INDEX('得意先'!$E$5:$E$104,$W455))),MIN(INDEX('得意先'!$F$5:$F$104,$W455),DAY(DATE(YEAR($X455),(MONTH($X455)+IF(INDEX('得意先'!$D$5:$D$104,$W455)="末",0,IF(DAY($X455)&lt;=INDEX('得意先'!$D$5:$D$104,$W455),0,1))+N(INDEX('得意先'!$E$5:$E$104,$W455)))+1,0)))))))</f>
        <v/>
      </c>
      <c r="N455" s="26" t="n"/>
      <c r="O455" s="29">
        <f>IF($A455="","",IF(ISNUMBER($N455),$N455,$M455))</f>
        <v/>
      </c>
      <c r="P455" s="28">
        <f>IF($A455="","",SUMIF('入金消込'!$F$5:$F$1004,$A455,'入金消込'!$G$5:$G$1004))</f>
        <v/>
      </c>
      <c r="Q455" s="28">
        <f>IF($A455="","",SUMIF('入金消込'!$F$5:$F$1004,$A455,'入金消込'!$H$5:$H$1004)+SUMIF('入金消込'!$F$5:$F$1004,$A455,'入金消込'!$I$5:$I$1004))</f>
        <v/>
      </c>
      <c r="R455" s="28">
        <f>IF($A455="","",$L455-$P455-$Q455)</f>
        <v/>
      </c>
      <c r="S455" s="30">
        <f>IF($A455="","",IF($R455=0,IF($L455=0,"請求額0","回収済"),IF($L455&lt;0,IF($R455&lt;0,"差し引き待ち","差し引きすぎ"),IF($R455&lt;0,"入金が多い",IF($P455+$Q455=0,"未入金","一部入金")))))</f>
        <v/>
      </c>
      <c r="T455" s="31">
        <f>IF(OR($A455="",N($R455)&lt;=0,NOT(ISNUMBER($O455))),"",IF($O455&lt;'設定'!$B$7,'設定'!$B$7-$O455,""))</f>
        <v/>
      </c>
      <c r="U455" s="30">
        <f>IF(OR($A455="",N($R455)&lt;=0),"",IF(NOT(ISNUMBER($O455)),'設定'!$B$22,IF($O455&gt;='設定'!$B$7,'設定'!$B$17,IF('設定'!$B$7-$O455&lt;='設定'!$B$12,'設定'!$B$18,IF('設定'!$B$7-$O455&lt;='設定'!$B$13,'設定'!$B$19,IF('設定'!$B$7-$O455&lt;='設定'!$B$14,'設定'!$B$20,'設定'!$B$21))))))</f>
        <v/>
      </c>
      <c r="V455" s="56" t="n"/>
      <c r="W455" s="32">
        <f>IF($C455="","",IFERROR(MATCH($C455,'得意先'!$B$5:$B$104,0),"なし"))</f>
        <v/>
      </c>
      <c r="X455" s="33">
        <f>IF($A455="","",IF(ISNUMBER($E455),$E455,IF(ISNUMBER($B455),$B455,"")))</f>
        <v/>
      </c>
      <c r="Y455" s="34">
        <f>IF($T455="","",$O455+ROW()/1000000)</f>
        <v/>
      </c>
      <c r="Z455" s="35">
        <f>IF(OR($A455="",$C455="",$C455&lt;&gt;'売掛帳'!$B$3,NOT(ISNUMBER($X455))),"",IF(AND($X455&gt;='売掛帳'!$Q$3,$X455&lt;='売掛帳'!$Q$4),$X455+ROW()/10000000,""))</f>
        <v/>
      </c>
    </row>
    <row r="456" ht="18" customHeight="1">
      <c r="A456" s="18" t="n"/>
      <c r="B456" s="26" t="n"/>
      <c r="C456" s="18" t="n"/>
      <c r="D456" s="20">
        <f>IF($W456="","",IF($W456="なし","※得意先にないコード",INDEX('得意先'!$C$5:$C$104,$W456)&amp;""))</f>
        <v/>
      </c>
      <c r="E456" s="26" t="n"/>
      <c r="F456" s="19" t="n"/>
      <c r="G456" s="27" t="n"/>
      <c r="H456" s="27" t="n"/>
      <c r="I456" s="27" t="n"/>
      <c r="J456" s="28">
        <f>IF($A456="","",IF('設定'!$B$10="四捨五入",ROUND(IF('設定'!$B$9="税込",N($G456)*10/110,N($G456)*10/100),0),IF('設定'!$B$10="切り上げ",ROUNDUP(IF('設定'!$B$9="税込",N($G456)*10/110,N($G456)*10/100),0),ROUNDDOWN(IF('設定'!$B$9="税込",N($G456)*10/110,N($G456)*10/100),0))))</f>
        <v/>
      </c>
      <c r="K456" s="28">
        <f>IF($A456="","",IF('設定'!$B$10="四捨五入",ROUND(IF('設定'!$B$9="税込",N($H456)*8/108,N($H456)*8/100),0),IF('設定'!$B$10="切り上げ",ROUNDUP(IF('設定'!$B$9="税込",N($H456)*8/108,N($H456)*8/100),0),ROUNDDOWN(IF('設定'!$B$9="税込",N($H456)*8/108,N($H456)*8/100),0))))</f>
        <v/>
      </c>
      <c r="L456" s="28">
        <f>IF($A456="","",N($G456)+N($H456)+N($I456)+IF('設定'!$B$9="税込",0,$J456+$K456))</f>
        <v/>
      </c>
      <c r="M456" s="29">
        <f>IF(OR($A456="",NOT(ISNUMBER($W456)),NOT(ISNUMBER($X456))),"",IF(OR(INDEX('得意先'!$D$5:$D$104,$W456)="",INDEX('得意先'!$E$5:$E$104,$W456)="",INDEX('得意先'!$F$5:$F$104,$W456)=""),"",IF(INDEX('得意先'!$F$5:$F$104,$W456)="末",DATE(YEAR($X456),(MONTH($X456)+IF(INDEX('得意先'!$D$5:$D$104,$W456)="末",0,IF(DAY($X456)&lt;=INDEX('得意先'!$D$5:$D$104,$W456),0,1))+N(INDEX('得意先'!$E$5:$E$104,$W456)))+1,0),DATE(YEAR($X456),(MONTH($X456)+IF(INDEX('得意先'!$D$5:$D$104,$W456)="末",0,IF(DAY($X456)&lt;=INDEX('得意先'!$D$5:$D$104,$W456),0,1))+N(INDEX('得意先'!$E$5:$E$104,$W456))),MIN(INDEX('得意先'!$F$5:$F$104,$W456),DAY(DATE(YEAR($X456),(MONTH($X456)+IF(INDEX('得意先'!$D$5:$D$104,$W456)="末",0,IF(DAY($X456)&lt;=INDEX('得意先'!$D$5:$D$104,$W456),0,1))+N(INDEX('得意先'!$E$5:$E$104,$W456)))+1,0)))))))</f>
        <v/>
      </c>
      <c r="N456" s="26" t="n"/>
      <c r="O456" s="29">
        <f>IF($A456="","",IF(ISNUMBER($N456),$N456,$M456))</f>
        <v/>
      </c>
      <c r="P456" s="28">
        <f>IF($A456="","",SUMIF('入金消込'!$F$5:$F$1004,$A456,'入金消込'!$G$5:$G$1004))</f>
        <v/>
      </c>
      <c r="Q456" s="28">
        <f>IF($A456="","",SUMIF('入金消込'!$F$5:$F$1004,$A456,'入金消込'!$H$5:$H$1004)+SUMIF('入金消込'!$F$5:$F$1004,$A456,'入金消込'!$I$5:$I$1004))</f>
        <v/>
      </c>
      <c r="R456" s="28">
        <f>IF($A456="","",$L456-$P456-$Q456)</f>
        <v/>
      </c>
      <c r="S456" s="30">
        <f>IF($A456="","",IF($R456=0,IF($L456=0,"請求額0","回収済"),IF($L456&lt;0,IF($R456&lt;0,"差し引き待ち","差し引きすぎ"),IF($R456&lt;0,"入金が多い",IF($P456+$Q456=0,"未入金","一部入金")))))</f>
        <v/>
      </c>
      <c r="T456" s="31">
        <f>IF(OR($A456="",N($R456)&lt;=0,NOT(ISNUMBER($O456))),"",IF($O456&lt;'設定'!$B$7,'設定'!$B$7-$O456,""))</f>
        <v/>
      </c>
      <c r="U456" s="30">
        <f>IF(OR($A456="",N($R456)&lt;=0),"",IF(NOT(ISNUMBER($O456)),'設定'!$B$22,IF($O456&gt;='設定'!$B$7,'設定'!$B$17,IF('設定'!$B$7-$O456&lt;='設定'!$B$12,'設定'!$B$18,IF('設定'!$B$7-$O456&lt;='設定'!$B$13,'設定'!$B$19,IF('設定'!$B$7-$O456&lt;='設定'!$B$14,'設定'!$B$20,'設定'!$B$21))))))</f>
        <v/>
      </c>
      <c r="V456" s="56" t="n"/>
      <c r="W456" s="32">
        <f>IF($C456="","",IFERROR(MATCH($C456,'得意先'!$B$5:$B$104,0),"なし"))</f>
        <v/>
      </c>
      <c r="X456" s="33">
        <f>IF($A456="","",IF(ISNUMBER($E456),$E456,IF(ISNUMBER($B456),$B456,"")))</f>
        <v/>
      </c>
      <c r="Y456" s="34">
        <f>IF($T456="","",$O456+ROW()/1000000)</f>
        <v/>
      </c>
      <c r="Z456" s="35">
        <f>IF(OR($A456="",$C456="",$C456&lt;&gt;'売掛帳'!$B$3,NOT(ISNUMBER($X456))),"",IF(AND($X456&gt;='売掛帳'!$Q$3,$X456&lt;='売掛帳'!$Q$4),$X456+ROW()/10000000,""))</f>
        <v/>
      </c>
    </row>
    <row r="457" ht="18" customHeight="1">
      <c r="A457" s="18" t="n"/>
      <c r="B457" s="26" t="n"/>
      <c r="C457" s="18" t="n"/>
      <c r="D457" s="20">
        <f>IF($W457="","",IF($W457="なし","※得意先にないコード",INDEX('得意先'!$C$5:$C$104,$W457)&amp;""))</f>
        <v/>
      </c>
      <c r="E457" s="26" t="n"/>
      <c r="F457" s="19" t="n"/>
      <c r="G457" s="27" t="n"/>
      <c r="H457" s="27" t="n"/>
      <c r="I457" s="27" t="n"/>
      <c r="J457" s="28">
        <f>IF($A457="","",IF('設定'!$B$10="四捨五入",ROUND(IF('設定'!$B$9="税込",N($G457)*10/110,N($G457)*10/100),0),IF('設定'!$B$10="切り上げ",ROUNDUP(IF('設定'!$B$9="税込",N($G457)*10/110,N($G457)*10/100),0),ROUNDDOWN(IF('設定'!$B$9="税込",N($G457)*10/110,N($G457)*10/100),0))))</f>
        <v/>
      </c>
      <c r="K457" s="28">
        <f>IF($A457="","",IF('設定'!$B$10="四捨五入",ROUND(IF('設定'!$B$9="税込",N($H457)*8/108,N($H457)*8/100),0),IF('設定'!$B$10="切り上げ",ROUNDUP(IF('設定'!$B$9="税込",N($H457)*8/108,N($H457)*8/100),0),ROUNDDOWN(IF('設定'!$B$9="税込",N($H457)*8/108,N($H457)*8/100),0))))</f>
        <v/>
      </c>
      <c r="L457" s="28">
        <f>IF($A457="","",N($G457)+N($H457)+N($I457)+IF('設定'!$B$9="税込",0,$J457+$K457))</f>
        <v/>
      </c>
      <c r="M457" s="29">
        <f>IF(OR($A457="",NOT(ISNUMBER($W457)),NOT(ISNUMBER($X457))),"",IF(OR(INDEX('得意先'!$D$5:$D$104,$W457)="",INDEX('得意先'!$E$5:$E$104,$W457)="",INDEX('得意先'!$F$5:$F$104,$W457)=""),"",IF(INDEX('得意先'!$F$5:$F$104,$W457)="末",DATE(YEAR($X457),(MONTH($X457)+IF(INDEX('得意先'!$D$5:$D$104,$W457)="末",0,IF(DAY($X457)&lt;=INDEX('得意先'!$D$5:$D$104,$W457),0,1))+N(INDEX('得意先'!$E$5:$E$104,$W457)))+1,0),DATE(YEAR($X457),(MONTH($X457)+IF(INDEX('得意先'!$D$5:$D$104,$W457)="末",0,IF(DAY($X457)&lt;=INDEX('得意先'!$D$5:$D$104,$W457),0,1))+N(INDEX('得意先'!$E$5:$E$104,$W457))),MIN(INDEX('得意先'!$F$5:$F$104,$W457),DAY(DATE(YEAR($X457),(MONTH($X457)+IF(INDEX('得意先'!$D$5:$D$104,$W457)="末",0,IF(DAY($X457)&lt;=INDEX('得意先'!$D$5:$D$104,$W457),0,1))+N(INDEX('得意先'!$E$5:$E$104,$W457)))+1,0)))))))</f>
        <v/>
      </c>
      <c r="N457" s="26" t="n"/>
      <c r="O457" s="29">
        <f>IF($A457="","",IF(ISNUMBER($N457),$N457,$M457))</f>
        <v/>
      </c>
      <c r="P457" s="28">
        <f>IF($A457="","",SUMIF('入金消込'!$F$5:$F$1004,$A457,'入金消込'!$G$5:$G$1004))</f>
        <v/>
      </c>
      <c r="Q457" s="28">
        <f>IF($A457="","",SUMIF('入金消込'!$F$5:$F$1004,$A457,'入金消込'!$H$5:$H$1004)+SUMIF('入金消込'!$F$5:$F$1004,$A457,'入金消込'!$I$5:$I$1004))</f>
        <v/>
      </c>
      <c r="R457" s="28">
        <f>IF($A457="","",$L457-$P457-$Q457)</f>
        <v/>
      </c>
      <c r="S457" s="30">
        <f>IF($A457="","",IF($R457=0,IF($L457=0,"請求額0","回収済"),IF($L457&lt;0,IF($R457&lt;0,"差し引き待ち","差し引きすぎ"),IF($R457&lt;0,"入金が多い",IF($P457+$Q457=0,"未入金","一部入金")))))</f>
        <v/>
      </c>
      <c r="T457" s="31">
        <f>IF(OR($A457="",N($R457)&lt;=0,NOT(ISNUMBER($O457))),"",IF($O457&lt;'設定'!$B$7,'設定'!$B$7-$O457,""))</f>
        <v/>
      </c>
      <c r="U457" s="30">
        <f>IF(OR($A457="",N($R457)&lt;=0),"",IF(NOT(ISNUMBER($O457)),'設定'!$B$22,IF($O457&gt;='設定'!$B$7,'設定'!$B$17,IF('設定'!$B$7-$O457&lt;='設定'!$B$12,'設定'!$B$18,IF('設定'!$B$7-$O457&lt;='設定'!$B$13,'設定'!$B$19,IF('設定'!$B$7-$O457&lt;='設定'!$B$14,'設定'!$B$20,'設定'!$B$21))))))</f>
        <v/>
      </c>
      <c r="V457" s="56" t="n"/>
      <c r="W457" s="32">
        <f>IF($C457="","",IFERROR(MATCH($C457,'得意先'!$B$5:$B$104,0),"なし"))</f>
        <v/>
      </c>
      <c r="X457" s="33">
        <f>IF($A457="","",IF(ISNUMBER($E457),$E457,IF(ISNUMBER($B457),$B457,"")))</f>
        <v/>
      </c>
      <c r="Y457" s="34">
        <f>IF($T457="","",$O457+ROW()/1000000)</f>
        <v/>
      </c>
      <c r="Z457" s="35">
        <f>IF(OR($A457="",$C457="",$C457&lt;&gt;'売掛帳'!$B$3,NOT(ISNUMBER($X457))),"",IF(AND($X457&gt;='売掛帳'!$Q$3,$X457&lt;='売掛帳'!$Q$4),$X457+ROW()/10000000,""))</f>
        <v/>
      </c>
    </row>
    <row r="458" ht="18" customHeight="1">
      <c r="A458" s="18" t="n"/>
      <c r="B458" s="26" t="n"/>
      <c r="C458" s="18" t="n"/>
      <c r="D458" s="20">
        <f>IF($W458="","",IF($W458="なし","※得意先にないコード",INDEX('得意先'!$C$5:$C$104,$W458)&amp;""))</f>
        <v/>
      </c>
      <c r="E458" s="26" t="n"/>
      <c r="F458" s="19" t="n"/>
      <c r="G458" s="27" t="n"/>
      <c r="H458" s="27" t="n"/>
      <c r="I458" s="27" t="n"/>
      <c r="J458" s="28">
        <f>IF($A458="","",IF('設定'!$B$10="四捨五入",ROUND(IF('設定'!$B$9="税込",N($G458)*10/110,N($G458)*10/100),0),IF('設定'!$B$10="切り上げ",ROUNDUP(IF('設定'!$B$9="税込",N($G458)*10/110,N($G458)*10/100),0),ROUNDDOWN(IF('設定'!$B$9="税込",N($G458)*10/110,N($G458)*10/100),0))))</f>
        <v/>
      </c>
      <c r="K458" s="28">
        <f>IF($A458="","",IF('設定'!$B$10="四捨五入",ROUND(IF('設定'!$B$9="税込",N($H458)*8/108,N($H458)*8/100),0),IF('設定'!$B$10="切り上げ",ROUNDUP(IF('設定'!$B$9="税込",N($H458)*8/108,N($H458)*8/100),0),ROUNDDOWN(IF('設定'!$B$9="税込",N($H458)*8/108,N($H458)*8/100),0))))</f>
        <v/>
      </c>
      <c r="L458" s="28">
        <f>IF($A458="","",N($G458)+N($H458)+N($I458)+IF('設定'!$B$9="税込",0,$J458+$K458))</f>
        <v/>
      </c>
      <c r="M458" s="29">
        <f>IF(OR($A458="",NOT(ISNUMBER($W458)),NOT(ISNUMBER($X458))),"",IF(OR(INDEX('得意先'!$D$5:$D$104,$W458)="",INDEX('得意先'!$E$5:$E$104,$W458)="",INDEX('得意先'!$F$5:$F$104,$W458)=""),"",IF(INDEX('得意先'!$F$5:$F$104,$W458)="末",DATE(YEAR($X458),(MONTH($X458)+IF(INDEX('得意先'!$D$5:$D$104,$W458)="末",0,IF(DAY($X458)&lt;=INDEX('得意先'!$D$5:$D$104,$W458),0,1))+N(INDEX('得意先'!$E$5:$E$104,$W458)))+1,0),DATE(YEAR($X458),(MONTH($X458)+IF(INDEX('得意先'!$D$5:$D$104,$W458)="末",0,IF(DAY($X458)&lt;=INDEX('得意先'!$D$5:$D$104,$W458),0,1))+N(INDEX('得意先'!$E$5:$E$104,$W458))),MIN(INDEX('得意先'!$F$5:$F$104,$W458),DAY(DATE(YEAR($X458),(MONTH($X458)+IF(INDEX('得意先'!$D$5:$D$104,$W458)="末",0,IF(DAY($X458)&lt;=INDEX('得意先'!$D$5:$D$104,$W458),0,1))+N(INDEX('得意先'!$E$5:$E$104,$W458)))+1,0)))))))</f>
        <v/>
      </c>
      <c r="N458" s="26" t="n"/>
      <c r="O458" s="29">
        <f>IF($A458="","",IF(ISNUMBER($N458),$N458,$M458))</f>
        <v/>
      </c>
      <c r="P458" s="28">
        <f>IF($A458="","",SUMIF('入金消込'!$F$5:$F$1004,$A458,'入金消込'!$G$5:$G$1004))</f>
        <v/>
      </c>
      <c r="Q458" s="28">
        <f>IF($A458="","",SUMIF('入金消込'!$F$5:$F$1004,$A458,'入金消込'!$H$5:$H$1004)+SUMIF('入金消込'!$F$5:$F$1004,$A458,'入金消込'!$I$5:$I$1004))</f>
        <v/>
      </c>
      <c r="R458" s="28">
        <f>IF($A458="","",$L458-$P458-$Q458)</f>
        <v/>
      </c>
      <c r="S458" s="30">
        <f>IF($A458="","",IF($R458=0,IF($L458=0,"請求額0","回収済"),IF($L458&lt;0,IF($R458&lt;0,"差し引き待ち","差し引きすぎ"),IF($R458&lt;0,"入金が多い",IF($P458+$Q458=0,"未入金","一部入金")))))</f>
        <v/>
      </c>
      <c r="T458" s="31">
        <f>IF(OR($A458="",N($R458)&lt;=0,NOT(ISNUMBER($O458))),"",IF($O458&lt;'設定'!$B$7,'設定'!$B$7-$O458,""))</f>
        <v/>
      </c>
      <c r="U458" s="30">
        <f>IF(OR($A458="",N($R458)&lt;=0),"",IF(NOT(ISNUMBER($O458)),'設定'!$B$22,IF($O458&gt;='設定'!$B$7,'設定'!$B$17,IF('設定'!$B$7-$O458&lt;='設定'!$B$12,'設定'!$B$18,IF('設定'!$B$7-$O458&lt;='設定'!$B$13,'設定'!$B$19,IF('設定'!$B$7-$O458&lt;='設定'!$B$14,'設定'!$B$20,'設定'!$B$21))))))</f>
        <v/>
      </c>
      <c r="V458" s="56" t="n"/>
      <c r="W458" s="32">
        <f>IF($C458="","",IFERROR(MATCH($C458,'得意先'!$B$5:$B$104,0),"なし"))</f>
        <v/>
      </c>
      <c r="X458" s="33">
        <f>IF($A458="","",IF(ISNUMBER($E458),$E458,IF(ISNUMBER($B458),$B458,"")))</f>
        <v/>
      </c>
      <c r="Y458" s="34">
        <f>IF($T458="","",$O458+ROW()/1000000)</f>
        <v/>
      </c>
      <c r="Z458" s="35">
        <f>IF(OR($A458="",$C458="",$C458&lt;&gt;'売掛帳'!$B$3,NOT(ISNUMBER($X458))),"",IF(AND($X458&gt;='売掛帳'!$Q$3,$X458&lt;='売掛帳'!$Q$4),$X458+ROW()/10000000,""))</f>
        <v/>
      </c>
    </row>
    <row r="459" ht="18" customHeight="1">
      <c r="A459" s="18" t="n"/>
      <c r="B459" s="26" t="n"/>
      <c r="C459" s="18" t="n"/>
      <c r="D459" s="20">
        <f>IF($W459="","",IF($W459="なし","※得意先にないコード",INDEX('得意先'!$C$5:$C$104,$W459)&amp;""))</f>
        <v/>
      </c>
      <c r="E459" s="26" t="n"/>
      <c r="F459" s="19" t="n"/>
      <c r="G459" s="27" t="n"/>
      <c r="H459" s="27" t="n"/>
      <c r="I459" s="27" t="n"/>
      <c r="J459" s="28">
        <f>IF($A459="","",IF('設定'!$B$10="四捨五入",ROUND(IF('設定'!$B$9="税込",N($G459)*10/110,N($G459)*10/100),0),IF('設定'!$B$10="切り上げ",ROUNDUP(IF('設定'!$B$9="税込",N($G459)*10/110,N($G459)*10/100),0),ROUNDDOWN(IF('設定'!$B$9="税込",N($G459)*10/110,N($G459)*10/100),0))))</f>
        <v/>
      </c>
      <c r="K459" s="28">
        <f>IF($A459="","",IF('設定'!$B$10="四捨五入",ROUND(IF('設定'!$B$9="税込",N($H459)*8/108,N($H459)*8/100),0),IF('設定'!$B$10="切り上げ",ROUNDUP(IF('設定'!$B$9="税込",N($H459)*8/108,N($H459)*8/100),0),ROUNDDOWN(IF('設定'!$B$9="税込",N($H459)*8/108,N($H459)*8/100),0))))</f>
        <v/>
      </c>
      <c r="L459" s="28">
        <f>IF($A459="","",N($G459)+N($H459)+N($I459)+IF('設定'!$B$9="税込",0,$J459+$K459))</f>
        <v/>
      </c>
      <c r="M459" s="29">
        <f>IF(OR($A459="",NOT(ISNUMBER($W459)),NOT(ISNUMBER($X459))),"",IF(OR(INDEX('得意先'!$D$5:$D$104,$W459)="",INDEX('得意先'!$E$5:$E$104,$W459)="",INDEX('得意先'!$F$5:$F$104,$W459)=""),"",IF(INDEX('得意先'!$F$5:$F$104,$W459)="末",DATE(YEAR($X459),(MONTH($X459)+IF(INDEX('得意先'!$D$5:$D$104,$W459)="末",0,IF(DAY($X459)&lt;=INDEX('得意先'!$D$5:$D$104,$W459),0,1))+N(INDEX('得意先'!$E$5:$E$104,$W459)))+1,0),DATE(YEAR($X459),(MONTH($X459)+IF(INDEX('得意先'!$D$5:$D$104,$W459)="末",0,IF(DAY($X459)&lt;=INDEX('得意先'!$D$5:$D$104,$W459),0,1))+N(INDEX('得意先'!$E$5:$E$104,$W459))),MIN(INDEX('得意先'!$F$5:$F$104,$W459),DAY(DATE(YEAR($X459),(MONTH($X459)+IF(INDEX('得意先'!$D$5:$D$104,$W459)="末",0,IF(DAY($X459)&lt;=INDEX('得意先'!$D$5:$D$104,$W459),0,1))+N(INDEX('得意先'!$E$5:$E$104,$W459)))+1,0)))))))</f>
        <v/>
      </c>
      <c r="N459" s="26" t="n"/>
      <c r="O459" s="29">
        <f>IF($A459="","",IF(ISNUMBER($N459),$N459,$M459))</f>
        <v/>
      </c>
      <c r="P459" s="28">
        <f>IF($A459="","",SUMIF('入金消込'!$F$5:$F$1004,$A459,'入金消込'!$G$5:$G$1004))</f>
        <v/>
      </c>
      <c r="Q459" s="28">
        <f>IF($A459="","",SUMIF('入金消込'!$F$5:$F$1004,$A459,'入金消込'!$H$5:$H$1004)+SUMIF('入金消込'!$F$5:$F$1004,$A459,'入金消込'!$I$5:$I$1004))</f>
        <v/>
      </c>
      <c r="R459" s="28">
        <f>IF($A459="","",$L459-$P459-$Q459)</f>
        <v/>
      </c>
      <c r="S459" s="30">
        <f>IF($A459="","",IF($R459=0,IF($L459=0,"請求額0","回収済"),IF($L459&lt;0,IF($R459&lt;0,"差し引き待ち","差し引きすぎ"),IF($R459&lt;0,"入金が多い",IF($P459+$Q459=0,"未入金","一部入金")))))</f>
        <v/>
      </c>
      <c r="T459" s="31">
        <f>IF(OR($A459="",N($R459)&lt;=0,NOT(ISNUMBER($O459))),"",IF($O459&lt;'設定'!$B$7,'設定'!$B$7-$O459,""))</f>
        <v/>
      </c>
      <c r="U459" s="30">
        <f>IF(OR($A459="",N($R459)&lt;=0),"",IF(NOT(ISNUMBER($O459)),'設定'!$B$22,IF($O459&gt;='設定'!$B$7,'設定'!$B$17,IF('設定'!$B$7-$O459&lt;='設定'!$B$12,'設定'!$B$18,IF('設定'!$B$7-$O459&lt;='設定'!$B$13,'設定'!$B$19,IF('設定'!$B$7-$O459&lt;='設定'!$B$14,'設定'!$B$20,'設定'!$B$21))))))</f>
        <v/>
      </c>
      <c r="V459" s="56" t="n"/>
      <c r="W459" s="32">
        <f>IF($C459="","",IFERROR(MATCH($C459,'得意先'!$B$5:$B$104,0),"なし"))</f>
        <v/>
      </c>
      <c r="X459" s="33">
        <f>IF($A459="","",IF(ISNUMBER($E459),$E459,IF(ISNUMBER($B459),$B459,"")))</f>
        <v/>
      </c>
      <c r="Y459" s="34">
        <f>IF($T459="","",$O459+ROW()/1000000)</f>
        <v/>
      </c>
      <c r="Z459" s="35">
        <f>IF(OR($A459="",$C459="",$C459&lt;&gt;'売掛帳'!$B$3,NOT(ISNUMBER($X459))),"",IF(AND($X459&gt;='売掛帳'!$Q$3,$X459&lt;='売掛帳'!$Q$4),$X459+ROW()/10000000,""))</f>
        <v/>
      </c>
    </row>
    <row r="460" ht="18" customHeight="1">
      <c r="A460" s="18" t="n"/>
      <c r="B460" s="26" t="n"/>
      <c r="C460" s="18" t="n"/>
      <c r="D460" s="20">
        <f>IF($W460="","",IF($W460="なし","※得意先にないコード",INDEX('得意先'!$C$5:$C$104,$W460)&amp;""))</f>
        <v/>
      </c>
      <c r="E460" s="26" t="n"/>
      <c r="F460" s="19" t="n"/>
      <c r="G460" s="27" t="n"/>
      <c r="H460" s="27" t="n"/>
      <c r="I460" s="27" t="n"/>
      <c r="J460" s="28">
        <f>IF($A460="","",IF('設定'!$B$10="四捨五入",ROUND(IF('設定'!$B$9="税込",N($G460)*10/110,N($G460)*10/100),0),IF('設定'!$B$10="切り上げ",ROUNDUP(IF('設定'!$B$9="税込",N($G460)*10/110,N($G460)*10/100),0),ROUNDDOWN(IF('設定'!$B$9="税込",N($G460)*10/110,N($G460)*10/100),0))))</f>
        <v/>
      </c>
      <c r="K460" s="28">
        <f>IF($A460="","",IF('設定'!$B$10="四捨五入",ROUND(IF('設定'!$B$9="税込",N($H460)*8/108,N($H460)*8/100),0),IF('設定'!$B$10="切り上げ",ROUNDUP(IF('設定'!$B$9="税込",N($H460)*8/108,N($H460)*8/100),0),ROUNDDOWN(IF('設定'!$B$9="税込",N($H460)*8/108,N($H460)*8/100),0))))</f>
        <v/>
      </c>
      <c r="L460" s="28">
        <f>IF($A460="","",N($G460)+N($H460)+N($I460)+IF('設定'!$B$9="税込",0,$J460+$K460))</f>
        <v/>
      </c>
      <c r="M460" s="29">
        <f>IF(OR($A460="",NOT(ISNUMBER($W460)),NOT(ISNUMBER($X460))),"",IF(OR(INDEX('得意先'!$D$5:$D$104,$W460)="",INDEX('得意先'!$E$5:$E$104,$W460)="",INDEX('得意先'!$F$5:$F$104,$W460)=""),"",IF(INDEX('得意先'!$F$5:$F$104,$W460)="末",DATE(YEAR($X460),(MONTH($X460)+IF(INDEX('得意先'!$D$5:$D$104,$W460)="末",0,IF(DAY($X460)&lt;=INDEX('得意先'!$D$5:$D$104,$W460),0,1))+N(INDEX('得意先'!$E$5:$E$104,$W460)))+1,0),DATE(YEAR($X460),(MONTH($X460)+IF(INDEX('得意先'!$D$5:$D$104,$W460)="末",0,IF(DAY($X460)&lt;=INDEX('得意先'!$D$5:$D$104,$W460),0,1))+N(INDEX('得意先'!$E$5:$E$104,$W460))),MIN(INDEX('得意先'!$F$5:$F$104,$W460),DAY(DATE(YEAR($X460),(MONTH($X460)+IF(INDEX('得意先'!$D$5:$D$104,$W460)="末",0,IF(DAY($X460)&lt;=INDEX('得意先'!$D$5:$D$104,$W460),0,1))+N(INDEX('得意先'!$E$5:$E$104,$W460)))+1,0)))))))</f>
        <v/>
      </c>
      <c r="N460" s="26" t="n"/>
      <c r="O460" s="29">
        <f>IF($A460="","",IF(ISNUMBER($N460),$N460,$M460))</f>
        <v/>
      </c>
      <c r="P460" s="28">
        <f>IF($A460="","",SUMIF('入金消込'!$F$5:$F$1004,$A460,'入金消込'!$G$5:$G$1004))</f>
        <v/>
      </c>
      <c r="Q460" s="28">
        <f>IF($A460="","",SUMIF('入金消込'!$F$5:$F$1004,$A460,'入金消込'!$H$5:$H$1004)+SUMIF('入金消込'!$F$5:$F$1004,$A460,'入金消込'!$I$5:$I$1004))</f>
        <v/>
      </c>
      <c r="R460" s="28">
        <f>IF($A460="","",$L460-$P460-$Q460)</f>
        <v/>
      </c>
      <c r="S460" s="30">
        <f>IF($A460="","",IF($R460=0,IF($L460=0,"請求額0","回収済"),IF($L460&lt;0,IF($R460&lt;0,"差し引き待ち","差し引きすぎ"),IF($R460&lt;0,"入金が多い",IF($P460+$Q460=0,"未入金","一部入金")))))</f>
        <v/>
      </c>
      <c r="T460" s="31">
        <f>IF(OR($A460="",N($R460)&lt;=0,NOT(ISNUMBER($O460))),"",IF($O460&lt;'設定'!$B$7,'設定'!$B$7-$O460,""))</f>
        <v/>
      </c>
      <c r="U460" s="30">
        <f>IF(OR($A460="",N($R460)&lt;=0),"",IF(NOT(ISNUMBER($O460)),'設定'!$B$22,IF($O460&gt;='設定'!$B$7,'設定'!$B$17,IF('設定'!$B$7-$O460&lt;='設定'!$B$12,'設定'!$B$18,IF('設定'!$B$7-$O460&lt;='設定'!$B$13,'設定'!$B$19,IF('設定'!$B$7-$O460&lt;='設定'!$B$14,'設定'!$B$20,'設定'!$B$21))))))</f>
        <v/>
      </c>
      <c r="V460" s="56" t="n"/>
      <c r="W460" s="32">
        <f>IF($C460="","",IFERROR(MATCH($C460,'得意先'!$B$5:$B$104,0),"なし"))</f>
        <v/>
      </c>
      <c r="X460" s="33">
        <f>IF($A460="","",IF(ISNUMBER($E460),$E460,IF(ISNUMBER($B460),$B460,"")))</f>
        <v/>
      </c>
      <c r="Y460" s="34">
        <f>IF($T460="","",$O460+ROW()/1000000)</f>
        <v/>
      </c>
      <c r="Z460" s="35">
        <f>IF(OR($A460="",$C460="",$C460&lt;&gt;'売掛帳'!$B$3,NOT(ISNUMBER($X460))),"",IF(AND($X460&gt;='売掛帳'!$Q$3,$X460&lt;='売掛帳'!$Q$4),$X460+ROW()/10000000,""))</f>
        <v/>
      </c>
    </row>
    <row r="461" ht="18" customHeight="1">
      <c r="A461" s="18" t="n"/>
      <c r="B461" s="26" t="n"/>
      <c r="C461" s="18" t="n"/>
      <c r="D461" s="20">
        <f>IF($W461="","",IF($W461="なし","※得意先にないコード",INDEX('得意先'!$C$5:$C$104,$W461)&amp;""))</f>
        <v/>
      </c>
      <c r="E461" s="26" t="n"/>
      <c r="F461" s="19" t="n"/>
      <c r="G461" s="27" t="n"/>
      <c r="H461" s="27" t="n"/>
      <c r="I461" s="27" t="n"/>
      <c r="J461" s="28">
        <f>IF($A461="","",IF('設定'!$B$10="四捨五入",ROUND(IF('設定'!$B$9="税込",N($G461)*10/110,N($G461)*10/100),0),IF('設定'!$B$10="切り上げ",ROUNDUP(IF('設定'!$B$9="税込",N($G461)*10/110,N($G461)*10/100),0),ROUNDDOWN(IF('設定'!$B$9="税込",N($G461)*10/110,N($G461)*10/100),0))))</f>
        <v/>
      </c>
      <c r="K461" s="28">
        <f>IF($A461="","",IF('設定'!$B$10="四捨五入",ROUND(IF('設定'!$B$9="税込",N($H461)*8/108,N($H461)*8/100),0),IF('設定'!$B$10="切り上げ",ROUNDUP(IF('設定'!$B$9="税込",N($H461)*8/108,N($H461)*8/100),0),ROUNDDOWN(IF('設定'!$B$9="税込",N($H461)*8/108,N($H461)*8/100),0))))</f>
        <v/>
      </c>
      <c r="L461" s="28">
        <f>IF($A461="","",N($G461)+N($H461)+N($I461)+IF('設定'!$B$9="税込",0,$J461+$K461))</f>
        <v/>
      </c>
      <c r="M461" s="29">
        <f>IF(OR($A461="",NOT(ISNUMBER($W461)),NOT(ISNUMBER($X461))),"",IF(OR(INDEX('得意先'!$D$5:$D$104,$W461)="",INDEX('得意先'!$E$5:$E$104,$W461)="",INDEX('得意先'!$F$5:$F$104,$W461)=""),"",IF(INDEX('得意先'!$F$5:$F$104,$W461)="末",DATE(YEAR($X461),(MONTH($X461)+IF(INDEX('得意先'!$D$5:$D$104,$W461)="末",0,IF(DAY($X461)&lt;=INDEX('得意先'!$D$5:$D$104,$W461),0,1))+N(INDEX('得意先'!$E$5:$E$104,$W461)))+1,0),DATE(YEAR($X461),(MONTH($X461)+IF(INDEX('得意先'!$D$5:$D$104,$W461)="末",0,IF(DAY($X461)&lt;=INDEX('得意先'!$D$5:$D$104,$W461),0,1))+N(INDEX('得意先'!$E$5:$E$104,$W461))),MIN(INDEX('得意先'!$F$5:$F$104,$W461),DAY(DATE(YEAR($X461),(MONTH($X461)+IF(INDEX('得意先'!$D$5:$D$104,$W461)="末",0,IF(DAY($X461)&lt;=INDEX('得意先'!$D$5:$D$104,$W461),0,1))+N(INDEX('得意先'!$E$5:$E$104,$W461)))+1,0)))))))</f>
        <v/>
      </c>
      <c r="N461" s="26" t="n"/>
      <c r="O461" s="29">
        <f>IF($A461="","",IF(ISNUMBER($N461),$N461,$M461))</f>
        <v/>
      </c>
      <c r="P461" s="28">
        <f>IF($A461="","",SUMIF('入金消込'!$F$5:$F$1004,$A461,'入金消込'!$G$5:$G$1004))</f>
        <v/>
      </c>
      <c r="Q461" s="28">
        <f>IF($A461="","",SUMIF('入金消込'!$F$5:$F$1004,$A461,'入金消込'!$H$5:$H$1004)+SUMIF('入金消込'!$F$5:$F$1004,$A461,'入金消込'!$I$5:$I$1004))</f>
        <v/>
      </c>
      <c r="R461" s="28">
        <f>IF($A461="","",$L461-$P461-$Q461)</f>
        <v/>
      </c>
      <c r="S461" s="30">
        <f>IF($A461="","",IF($R461=0,IF($L461=0,"請求額0","回収済"),IF($L461&lt;0,IF($R461&lt;0,"差し引き待ち","差し引きすぎ"),IF($R461&lt;0,"入金が多い",IF($P461+$Q461=0,"未入金","一部入金")))))</f>
        <v/>
      </c>
      <c r="T461" s="31">
        <f>IF(OR($A461="",N($R461)&lt;=0,NOT(ISNUMBER($O461))),"",IF($O461&lt;'設定'!$B$7,'設定'!$B$7-$O461,""))</f>
        <v/>
      </c>
      <c r="U461" s="30">
        <f>IF(OR($A461="",N($R461)&lt;=0),"",IF(NOT(ISNUMBER($O461)),'設定'!$B$22,IF($O461&gt;='設定'!$B$7,'設定'!$B$17,IF('設定'!$B$7-$O461&lt;='設定'!$B$12,'設定'!$B$18,IF('設定'!$B$7-$O461&lt;='設定'!$B$13,'設定'!$B$19,IF('設定'!$B$7-$O461&lt;='設定'!$B$14,'設定'!$B$20,'設定'!$B$21))))))</f>
        <v/>
      </c>
      <c r="V461" s="56" t="n"/>
      <c r="W461" s="32">
        <f>IF($C461="","",IFERROR(MATCH($C461,'得意先'!$B$5:$B$104,0),"なし"))</f>
        <v/>
      </c>
      <c r="X461" s="33">
        <f>IF($A461="","",IF(ISNUMBER($E461),$E461,IF(ISNUMBER($B461),$B461,"")))</f>
        <v/>
      </c>
      <c r="Y461" s="34">
        <f>IF($T461="","",$O461+ROW()/1000000)</f>
        <v/>
      </c>
      <c r="Z461" s="35">
        <f>IF(OR($A461="",$C461="",$C461&lt;&gt;'売掛帳'!$B$3,NOT(ISNUMBER($X461))),"",IF(AND($X461&gt;='売掛帳'!$Q$3,$X461&lt;='売掛帳'!$Q$4),$X461+ROW()/10000000,""))</f>
        <v/>
      </c>
    </row>
    <row r="462" ht="18" customHeight="1">
      <c r="A462" s="18" t="n"/>
      <c r="B462" s="26" t="n"/>
      <c r="C462" s="18" t="n"/>
      <c r="D462" s="20">
        <f>IF($W462="","",IF($W462="なし","※得意先にないコード",INDEX('得意先'!$C$5:$C$104,$W462)&amp;""))</f>
        <v/>
      </c>
      <c r="E462" s="26" t="n"/>
      <c r="F462" s="19" t="n"/>
      <c r="G462" s="27" t="n"/>
      <c r="H462" s="27" t="n"/>
      <c r="I462" s="27" t="n"/>
      <c r="J462" s="28">
        <f>IF($A462="","",IF('設定'!$B$10="四捨五入",ROUND(IF('設定'!$B$9="税込",N($G462)*10/110,N($G462)*10/100),0),IF('設定'!$B$10="切り上げ",ROUNDUP(IF('設定'!$B$9="税込",N($G462)*10/110,N($G462)*10/100),0),ROUNDDOWN(IF('設定'!$B$9="税込",N($G462)*10/110,N($G462)*10/100),0))))</f>
        <v/>
      </c>
      <c r="K462" s="28">
        <f>IF($A462="","",IF('設定'!$B$10="四捨五入",ROUND(IF('設定'!$B$9="税込",N($H462)*8/108,N($H462)*8/100),0),IF('設定'!$B$10="切り上げ",ROUNDUP(IF('設定'!$B$9="税込",N($H462)*8/108,N($H462)*8/100),0),ROUNDDOWN(IF('設定'!$B$9="税込",N($H462)*8/108,N($H462)*8/100),0))))</f>
        <v/>
      </c>
      <c r="L462" s="28">
        <f>IF($A462="","",N($G462)+N($H462)+N($I462)+IF('設定'!$B$9="税込",0,$J462+$K462))</f>
        <v/>
      </c>
      <c r="M462" s="29">
        <f>IF(OR($A462="",NOT(ISNUMBER($W462)),NOT(ISNUMBER($X462))),"",IF(OR(INDEX('得意先'!$D$5:$D$104,$W462)="",INDEX('得意先'!$E$5:$E$104,$W462)="",INDEX('得意先'!$F$5:$F$104,$W462)=""),"",IF(INDEX('得意先'!$F$5:$F$104,$W462)="末",DATE(YEAR($X462),(MONTH($X462)+IF(INDEX('得意先'!$D$5:$D$104,$W462)="末",0,IF(DAY($X462)&lt;=INDEX('得意先'!$D$5:$D$104,$W462),0,1))+N(INDEX('得意先'!$E$5:$E$104,$W462)))+1,0),DATE(YEAR($X462),(MONTH($X462)+IF(INDEX('得意先'!$D$5:$D$104,$W462)="末",0,IF(DAY($X462)&lt;=INDEX('得意先'!$D$5:$D$104,$W462),0,1))+N(INDEX('得意先'!$E$5:$E$104,$W462))),MIN(INDEX('得意先'!$F$5:$F$104,$W462),DAY(DATE(YEAR($X462),(MONTH($X462)+IF(INDEX('得意先'!$D$5:$D$104,$W462)="末",0,IF(DAY($X462)&lt;=INDEX('得意先'!$D$5:$D$104,$W462),0,1))+N(INDEX('得意先'!$E$5:$E$104,$W462)))+1,0)))))))</f>
        <v/>
      </c>
      <c r="N462" s="26" t="n"/>
      <c r="O462" s="29">
        <f>IF($A462="","",IF(ISNUMBER($N462),$N462,$M462))</f>
        <v/>
      </c>
      <c r="P462" s="28">
        <f>IF($A462="","",SUMIF('入金消込'!$F$5:$F$1004,$A462,'入金消込'!$G$5:$G$1004))</f>
        <v/>
      </c>
      <c r="Q462" s="28">
        <f>IF($A462="","",SUMIF('入金消込'!$F$5:$F$1004,$A462,'入金消込'!$H$5:$H$1004)+SUMIF('入金消込'!$F$5:$F$1004,$A462,'入金消込'!$I$5:$I$1004))</f>
        <v/>
      </c>
      <c r="R462" s="28">
        <f>IF($A462="","",$L462-$P462-$Q462)</f>
        <v/>
      </c>
      <c r="S462" s="30">
        <f>IF($A462="","",IF($R462=0,IF($L462=0,"請求額0","回収済"),IF($L462&lt;0,IF($R462&lt;0,"差し引き待ち","差し引きすぎ"),IF($R462&lt;0,"入金が多い",IF($P462+$Q462=0,"未入金","一部入金")))))</f>
        <v/>
      </c>
      <c r="T462" s="31">
        <f>IF(OR($A462="",N($R462)&lt;=0,NOT(ISNUMBER($O462))),"",IF($O462&lt;'設定'!$B$7,'設定'!$B$7-$O462,""))</f>
        <v/>
      </c>
      <c r="U462" s="30">
        <f>IF(OR($A462="",N($R462)&lt;=0),"",IF(NOT(ISNUMBER($O462)),'設定'!$B$22,IF($O462&gt;='設定'!$B$7,'設定'!$B$17,IF('設定'!$B$7-$O462&lt;='設定'!$B$12,'設定'!$B$18,IF('設定'!$B$7-$O462&lt;='設定'!$B$13,'設定'!$B$19,IF('設定'!$B$7-$O462&lt;='設定'!$B$14,'設定'!$B$20,'設定'!$B$21))))))</f>
        <v/>
      </c>
      <c r="V462" s="56" t="n"/>
      <c r="W462" s="32">
        <f>IF($C462="","",IFERROR(MATCH($C462,'得意先'!$B$5:$B$104,0),"なし"))</f>
        <v/>
      </c>
      <c r="X462" s="33">
        <f>IF($A462="","",IF(ISNUMBER($E462),$E462,IF(ISNUMBER($B462),$B462,"")))</f>
        <v/>
      </c>
      <c r="Y462" s="34">
        <f>IF($T462="","",$O462+ROW()/1000000)</f>
        <v/>
      </c>
      <c r="Z462" s="35">
        <f>IF(OR($A462="",$C462="",$C462&lt;&gt;'売掛帳'!$B$3,NOT(ISNUMBER($X462))),"",IF(AND($X462&gt;='売掛帳'!$Q$3,$X462&lt;='売掛帳'!$Q$4),$X462+ROW()/10000000,""))</f>
        <v/>
      </c>
    </row>
    <row r="463" ht="18" customHeight="1">
      <c r="A463" s="18" t="n"/>
      <c r="B463" s="26" t="n"/>
      <c r="C463" s="18" t="n"/>
      <c r="D463" s="20">
        <f>IF($W463="","",IF($W463="なし","※得意先にないコード",INDEX('得意先'!$C$5:$C$104,$W463)&amp;""))</f>
        <v/>
      </c>
      <c r="E463" s="26" t="n"/>
      <c r="F463" s="19" t="n"/>
      <c r="G463" s="27" t="n"/>
      <c r="H463" s="27" t="n"/>
      <c r="I463" s="27" t="n"/>
      <c r="J463" s="28">
        <f>IF($A463="","",IF('設定'!$B$10="四捨五入",ROUND(IF('設定'!$B$9="税込",N($G463)*10/110,N($G463)*10/100),0),IF('設定'!$B$10="切り上げ",ROUNDUP(IF('設定'!$B$9="税込",N($G463)*10/110,N($G463)*10/100),0),ROUNDDOWN(IF('設定'!$B$9="税込",N($G463)*10/110,N($G463)*10/100),0))))</f>
        <v/>
      </c>
      <c r="K463" s="28">
        <f>IF($A463="","",IF('設定'!$B$10="四捨五入",ROUND(IF('設定'!$B$9="税込",N($H463)*8/108,N($H463)*8/100),0),IF('設定'!$B$10="切り上げ",ROUNDUP(IF('設定'!$B$9="税込",N($H463)*8/108,N($H463)*8/100),0),ROUNDDOWN(IF('設定'!$B$9="税込",N($H463)*8/108,N($H463)*8/100),0))))</f>
        <v/>
      </c>
      <c r="L463" s="28">
        <f>IF($A463="","",N($G463)+N($H463)+N($I463)+IF('設定'!$B$9="税込",0,$J463+$K463))</f>
        <v/>
      </c>
      <c r="M463" s="29">
        <f>IF(OR($A463="",NOT(ISNUMBER($W463)),NOT(ISNUMBER($X463))),"",IF(OR(INDEX('得意先'!$D$5:$D$104,$W463)="",INDEX('得意先'!$E$5:$E$104,$W463)="",INDEX('得意先'!$F$5:$F$104,$W463)=""),"",IF(INDEX('得意先'!$F$5:$F$104,$W463)="末",DATE(YEAR($X463),(MONTH($X463)+IF(INDEX('得意先'!$D$5:$D$104,$W463)="末",0,IF(DAY($X463)&lt;=INDEX('得意先'!$D$5:$D$104,$W463),0,1))+N(INDEX('得意先'!$E$5:$E$104,$W463)))+1,0),DATE(YEAR($X463),(MONTH($X463)+IF(INDEX('得意先'!$D$5:$D$104,$W463)="末",0,IF(DAY($X463)&lt;=INDEX('得意先'!$D$5:$D$104,$W463),0,1))+N(INDEX('得意先'!$E$5:$E$104,$W463))),MIN(INDEX('得意先'!$F$5:$F$104,$W463),DAY(DATE(YEAR($X463),(MONTH($X463)+IF(INDEX('得意先'!$D$5:$D$104,$W463)="末",0,IF(DAY($X463)&lt;=INDEX('得意先'!$D$5:$D$104,$W463),0,1))+N(INDEX('得意先'!$E$5:$E$104,$W463)))+1,0)))))))</f>
        <v/>
      </c>
      <c r="N463" s="26" t="n"/>
      <c r="O463" s="29">
        <f>IF($A463="","",IF(ISNUMBER($N463),$N463,$M463))</f>
        <v/>
      </c>
      <c r="P463" s="28">
        <f>IF($A463="","",SUMIF('入金消込'!$F$5:$F$1004,$A463,'入金消込'!$G$5:$G$1004))</f>
        <v/>
      </c>
      <c r="Q463" s="28">
        <f>IF($A463="","",SUMIF('入金消込'!$F$5:$F$1004,$A463,'入金消込'!$H$5:$H$1004)+SUMIF('入金消込'!$F$5:$F$1004,$A463,'入金消込'!$I$5:$I$1004))</f>
        <v/>
      </c>
      <c r="R463" s="28">
        <f>IF($A463="","",$L463-$P463-$Q463)</f>
        <v/>
      </c>
      <c r="S463" s="30">
        <f>IF($A463="","",IF($R463=0,IF($L463=0,"請求額0","回収済"),IF($L463&lt;0,IF($R463&lt;0,"差し引き待ち","差し引きすぎ"),IF($R463&lt;0,"入金が多い",IF($P463+$Q463=0,"未入金","一部入金")))))</f>
        <v/>
      </c>
      <c r="T463" s="31">
        <f>IF(OR($A463="",N($R463)&lt;=0,NOT(ISNUMBER($O463))),"",IF($O463&lt;'設定'!$B$7,'設定'!$B$7-$O463,""))</f>
        <v/>
      </c>
      <c r="U463" s="30">
        <f>IF(OR($A463="",N($R463)&lt;=0),"",IF(NOT(ISNUMBER($O463)),'設定'!$B$22,IF($O463&gt;='設定'!$B$7,'設定'!$B$17,IF('設定'!$B$7-$O463&lt;='設定'!$B$12,'設定'!$B$18,IF('設定'!$B$7-$O463&lt;='設定'!$B$13,'設定'!$B$19,IF('設定'!$B$7-$O463&lt;='設定'!$B$14,'設定'!$B$20,'設定'!$B$21))))))</f>
        <v/>
      </c>
      <c r="V463" s="56" t="n"/>
      <c r="W463" s="32">
        <f>IF($C463="","",IFERROR(MATCH($C463,'得意先'!$B$5:$B$104,0),"なし"))</f>
        <v/>
      </c>
      <c r="X463" s="33">
        <f>IF($A463="","",IF(ISNUMBER($E463),$E463,IF(ISNUMBER($B463),$B463,"")))</f>
        <v/>
      </c>
      <c r="Y463" s="34">
        <f>IF($T463="","",$O463+ROW()/1000000)</f>
        <v/>
      </c>
      <c r="Z463" s="35">
        <f>IF(OR($A463="",$C463="",$C463&lt;&gt;'売掛帳'!$B$3,NOT(ISNUMBER($X463))),"",IF(AND($X463&gt;='売掛帳'!$Q$3,$X463&lt;='売掛帳'!$Q$4),$X463+ROW()/10000000,""))</f>
        <v/>
      </c>
    </row>
    <row r="464" ht="18" customHeight="1">
      <c r="A464" s="18" t="n"/>
      <c r="B464" s="26" t="n"/>
      <c r="C464" s="18" t="n"/>
      <c r="D464" s="20">
        <f>IF($W464="","",IF($W464="なし","※得意先にないコード",INDEX('得意先'!$C$5:$C$104,$W464)&amp;""))</f>
        <v/>
      </c>
      <c r="E464" s="26" t="n"/>
      <c r="F464" s="19" t="n"/>
      <c r="G464" s="27" t="n"/>
      <c r="H464" s="27" t="n"/>
      <c r="I464" s="27" t="n"/>
      <c r="J464" s="28">
        <f>IF($A464="","",IF('設定'!$B$10="四捨五入",ROUND(IF('設定'!$B$9="税込",N($G464)*10/110,N($G464)*10/100),0),IF('設定'!$B$10="切り上げ",ROUNDUP(IF('設定'!$B$9="税込",N($G464)*10/110,N($G464)*10/100),0),ROUNDDOWN(IF('設定'!$B$9="税込",N($G464)*10/110,N($G464)*10/100),0))))</f>
        <v/>
      </c>
      <c r="K464" s="28">
        <f>IF($A464="","",IF('設定'!$B$10="四捨五入",ROUND(IF('設定'!$B$9="税込",N($H464)*8/108,N($H464)*8/100),0),IF('設定'!$B$10="切り上げ",ROUNDUP(IF('設定'!$B$9="税込",N($H464)*8/108,N($H464)*8/100),0),ROUNDDOWN(IF('設定'!$B$9="税込",N($H464)*8/108,N($H464)*8/100),0))))</f>
        <v/>
      </c>
      <c r="L464" s="28">
        <f>IF($A464="","",N($G464)+N($H464)+N($I464)+IF('設定'!$B$9="税込",0,$J464+$K464))</f>
        <v/>
      </c>
      <c r="M464" s="29">
        <f>IF(OR($A464="",NOT(ISNUMBER($W464)),NOT(ISNUMBER($X464))),"",IF(OR(INDEX('得意先'!$D$5:$D$104,$W464)="",INDEX('得意先'!$E$5:$E$104,$W464)="",INDEX('得意先'!$F$5:$F$104,$W464)=""),"",IF(INDEX('得意先'!$F$5:$F$104,$W464)="末",DATE(YEAR($X464),(MONTH($X464)+IF(INDEX('得意先'!$D$5:$D$104,$W464)="末",0,IF(DAY($X464)&lt;=INDEX('得意先'!$D$5:$D$104,$W464),0,1))+N(INDEX('得意先'!$E$5:$E$104,$W464)))+1,0),DATE(YEAR($X464),(MONTH($X464)+IF(INDEX('得意先'!$D$5:$D$104,$W464)="末",0,IF(DAY($X464)&lt;=INDEX('得意先'!$D$5:$D$104,$W464),0,1))+N(INDEX('得意先'!$E$5:$E$104,$W464))),MIN(INDEX('得意先'!$F$5:$F$104,$W464),DAY(DATE(YEAR($X464),(MONTH($X464)+IF(INDEX('得意先'!$D$5:$D$104,$W464)="末",0,IF(DAY($X464)&lt;=INDEX('得意先'!$D$5:$D$104,$W464),0,1))+N(INDEX('得意先'!$E$5:$E$104,$W464)))+1,0)))))))</f>
        <v/>
      </c>
      <c r="N464" s="26" t="n"/>
      <c r="O464" s="29">
        <f>IF($A464="","",IF(ISNUMBER($N464),$N464,$M464))</f>
        <v/>
      </c>
      <c r="P464" s="28">
        <f>IF($A464="","",SUMIF('入金消込'!$F$5:$F$1004,$A464,'入金消込'!$G$5:$G$1004))</f>
        <v/>
      </c>
      <c r="Q464" s="28">
        <f>IF($A464="","",SUMIF('入金消込'!$F$5:$F$1004,$A464,'入金消込'!$H$5:$H$1004)+SUMIF('入金消込'!$F$5:$F$1004,$A464,'入金消込'!$I$5:$I$1004))</f>
        <v/>
      </c>
      <c r="R464" s="28">
        <f>IF($A464="","",$L464-$P464-$Q464)</f>
        <v/>
      </c>
      <c r="S464" s="30">
        <f>IF($A464="","",IF($R464=0,IF($L464=0,"請求額0","回収済"),IF($L464&lt;0,IF($R464&lt;0,"差し引き待ち","差し引きすぎ"),IF($R464&lt;0,"入金が多い",IF($P464+$Q464=0,"未入金","一部入金")))))</f>
        <v/>
      </c>
      <c r="T464" s="31">
        <f>IF(OR($A464="",N($R464)&lt;=0,NOT(ISNUMBER($O464))),"",IF($O464&lt;'設定'!$B$7,'設定'!$B$7-$O464,""))</f>
        <v/>
      </c>
      <c r="U464" s="30">
        <f>IF(OR($A464="",N($R464)&lt;=0),"",IF(NOT(ISNUMBER($O464)),'設定'!$B$22,IF($O464&gt;='設定'!$B$7,'設定'!$B$17,IF('設定'!$B$7-$O464&lt;='設定'!$B$12,'設定'!$B$18,IF('設定'!$B$7-$O464&lt;='設定'!$B$13,'設定'!$B$19,IF('設定'!$B$7-$O464&lt;='設定'!$B$14,'設定'!$B$20,'設定'!$B$21))))))</f>
        <v/>
      </c>
      <c r="V464" s="56" t="n"/>
      <c r="W464" s="32">
        <f>IF($C464="","",IFERROR(MATCH($C464,'得意先'!$B$5:$B$104,0),"なし"))</f>
        <v/>
      </c>
      <c r="X464" s="33">
        <f>IF($A464="","",IF(ISNUMBER($E464),$E464,IF(ISNUMBER($B464),$B464,"")))</f>
        <v/>
      </c>
      <c r="Y464" s="34">
        <f>IF($T464="","",$O464+ROW()/1000000)</f>
        <v/>
      </c>
      <c r="Z464" s="35">
        <f>IF(OR($A464="",$C464="",$C464&lt;&gt;'売掛帳'!$B$3,NOT(ISNUMBER($X464))),"",IF(AND($X464&gt;='売掛帳'!$Q$3,$X464&lt;='売掛帳'!$Q$4),$X464+ROW()/10000000,""))</f>
        <v/>
      </c>
    </row>
    <row r="465" ht="18" customHeight="1">
      <c r="A465" s="18" t="n"/>
      <c r="B465" s="26" t="n"/>
      <c r="C465" s="18" t="n"/>
      <c r="D465" s="20">
        <f>IF($W465="","",IF($W465="なし","※得意先にないコード",INDEX('得意先'!$C$5:$C$104,$W465)&amp;""))</f>
        <v/>
      </c>
      <c r="E465" s="26" t="n"/>
      <c r="F465" s="19" t="n"/>
      <c r="G465" s="27" t="n"/>
      <c r="H465" s="27" t="n"/>
      <c r="I465" s="27" t="n"/>
      <c r="J465" s="28">
        <f>IF($A465="","",IF('設定'!$B$10="四捨五入",ROUND(IF('設定'!$B$9="税込",N($G465)*10/110,N($G465)*10/100),0),IF('設定'!$B$10="切り上げ",ROUNDUP(IF('設定'!$B$9="税込",N($G465)*10/110,N($G465)*10/100),0),ROUNDDOWN(IF('設定'!$B$9="税込",N($G465)*10/110,N($G465)*10/100),0))))</f>
        <v/>
      </c>
      <c r="K465" s="28">
        <f>IF($A465="","",IF('設定'!$B$10="四捨五入",ROUND(IF('設定'!$B$9="税込",N($H465)*8/108,N($H465)*8/100),0),IF('設定'!$B$10="切り上げ",ROUNDUP(IF('設定'!$B$9="税込",N($H465)*8/108,N($H465)*8/100),0),ROUNDDOWN(IF('設定'!$B$9="税込",N($H465)*8/108,N($H465)*8/100),0))))</f>
        <v/>
      </c>
      <c r="L465" s="28">
        <f>IF($A465="","",N($G465)+N($H465)+N($I465)+IF('設定'!$B$9="税込",0,$J465+$K465))</f>
        <v/>
      </c>
      <c r="M465" s="29">
        <f>IF(OR($A465="",NOT(ISNUMBER($W465)),NOT(ISNUMBER($X465))),"",IF(OR(INDEX('得意先'!$D$5:$D$104,$W465)="",INDEX('得意先'!$E$5:$E$104,$W465)="",INDEX('得意先'!$F$5:$F$104,$W465)=""),"",IF(INDEX('得意先'!$F$5:$F$104,$W465)="末",DATE(YEAR($X465),(MONTH($X465)+IF(INDEX('得意先'!$D$5:$D$104,$W465)="末",0,IF(DAY($X465)&lt;=INDEX('得意先'!$D$5:$D$104,$W465),0,1))+N(INDEX('得意先'!$E$5:$E$104,$W465)))+1,0),DATE(YEAR($X465),(MONTH($X465)+IF(INDEX('得意先'!$D$5:$D$104,$W465)="末",0,IF(DAY($X465)&lt;=INDEX('得意先'!$D$5:$D$104,$W465),0,1))+N(INDEX('得意先'!$E$5:$E$104,$W465))),MIN(INDEX('得意先'!$F$5:$F$104,$W465),DAY(DATE(YEAR($X465),(MONTH($X465)+IF(INDEX('得意先'!$D$5:$D$104,$W465)="末",0,IF(DAY($X465)&lt;=INDEX('得意先'!$D$5:$D$104,$W465),0,1))+N(INDEX('得意先'!$E$5:$E$104,$W465)))+1,0)))))))</f>
        <v/>
      </c>
      <c r="N465" s="26" t="n"/>
      <c r="O465" s="29">
        <f>IF($A465="","",IF(ISNUMBER($N465),$N465,$M465))</f>
        <v/>
      </c>
      <c r="P465" s="28">
        <f>IF($A465="","",SUMIF('入金消込'!$F$5:$F$1004,$A465,'入金消込'!$G$5:$G$1004))</f>
        <v/>
      </c>
      <c r="Q465" s="28">
        <f>IF($A465="","",SUMIF('入金消込'!$F$5:$F$1004,$A465,'入金消込'!$H$5:$H$1004)+SUMIF('入金消込'!$F$5:$F$1004,$A465,'入金消込'!$I$5:$I$1004))</f>
        <v/>
      </c>
      <c r="R465" s="28">
        <f>IF($A465="","",$L465-$P465-$Q465)</f>
        <v/>
      </c>
      <c r="S465" s="30">
        <f>IF($A465="","",IF($R465=0,IF($L465=0,"請求額0","回収済"),IF($L465&lt;0,IF($R465&lt;0,"差し引き待ち","差し引きすぎ"),IF($R465&lt;0,"入金が多い",IF($P465+$Q465=0,"未入金","一部入金")))))</f>
        <v/>
      </c>
      <c r="T465" s="31">
        <f>IF(OR($A465="",N($R465)&lt;=0,NOT(ISNUMBER($O465))),"",IF($O465&lt;'設定'!$B$7,'設定'!$B$7-$O465,""))</f>
        <v/>
      </c>
      <c r="U465" s="30">
        <f>IF(OR($A465="",N($R465)&lt;=0),"",IF(NOT(ISNUMBER($O465)),'設定'!$B$22,IF($O465&gt;='設定'!$B$7,'設定'!$B$17,IF('設定'!$B$7-$O465&lt;='設定'!$B$12,'設定'!$B$18,IF('設定'!$B$7-$O465&lt;='設定'!$B$13,'設定'!$B$19,IF('設定'!$B$7-$O465&lt;='設定'!$B$14,'設定'!$B$20,'設定'!$B$21))))))</f>
        <v/>
      </c>
      <c r="V465" s="56" t="n"/>
      <c r="W465" s="32">
        <f>IF($C465="","",IFERROR(MATCH($C465,'得意先'!$B$5:$B$104,0),"なし"))</f>
        <v/>
      </c>
      <c r="X465" s="33">
        <f>IF($A465="","",IF(ISNUMBER($E465),$E465,IF(ISNUMBER($B465),$B465,"")))</f>
        <v/>
      </c>
      <c r="Y465" s="34">
        <f>IF($T465="","",$O465+ROW()/1000000)</f>
        <v/>
      </c>
      <c r="Z465" s="35">
        <f>IF(OR($A465="",$C465="",$C465&lt;&gt;'売掛帳'!$B$3,NOT(ISNUMBER($X465))),"",IF(AND($X465&gt;='売掛帳'!$Q$3,$X465&lt;='売掛帳'!$Q$4),$X465+ROW()/10000000,""))</f>
        <v/>
      </c>
    </row>
    <row r="466" ht="18" customHeight="1">
      <c r="A466" s="18" t="n"/>
      <c r="B466" s="26" t="n"/>
      <c r="C466" s="18" t="n"/>
      <c r="D466" s="20">
        <f>IF($W466="","",IF($W466="なし","※得意先にないコード",INDEX('得意先'!$C$5:$C$104,$W466)&amp;""))</f>
        <v/>
      </c>
      <c r="E466" s="26" t="n"/>
      <c r="F466" s="19" t="n"/>
      <c r="G466" s="27" t="n"/>
      <c r="H466" s="27" t="n"/>
      <c r="I466" s="27" t="n"/>
      <c r="J466" s="28">
        <f>IF($A466="","",IF('設定'!$B$10="四捨五入",ROUND(IF('設定'!$B$9="税込",N($G466)*10/110,N($G466)*10/100),0),IF('設定'!$B$10="切り上げ",ROUNDUP(IF('設定'!$B$9="税込",N($G466)*10/110,N($G466)*10/100),0),ROUNDDOWN(IF('設定'!$B$9="税込",N($G466)*10/110,N($G466)*10/100),0))))</f>
        <v/>
      </c>
      <c r="K466" s="28">
        <f>IF($A466="","",IF('設定'!$B$10="四捨五入",ROUND(IF('設定'!$B$9="税込",N($H466)*8/108,N($H466)*8/100),0),IF('設定'!$B$10="切り上げ",ROUNDUP(IF('設定'!$B$9="税込",N($H466)*8/108,N($H466)*8/100),0),ROUNDDOWN(IF('設定'!$B$9="税込",N($H466)*8/108,N($H466)*8/100),0))))</f>
        <v/>
      </c>
      <c r="L466" s="28">
        <f>IF($A466="","",N($G466)+N($H466)+N($I466)+IF('設定'!$B$9="税込",0,$J466+$K466))</f>
        <v/>
      </c>
      <c r="M466" s="29">
        <f>IF(OR($A466="",NOT(ISNUMBER($W466)),NOT(ISNUMBER($X466))),"",IF(OR(INDEX('得意先'!$D$5:$D$104,$W466)="",INDEX('得意先'!$E$5:$E$104,$W466)="",INDEX('得意先'!$F$5:$F$104,$W466)=""),"",IF(INDEX('得意先'!$F$5:$F$104,$W466)="末",DATE(YEAR($X466),(MONTH($X466)+IF(INDEX('得意先'!$D$5:$D$104,$W466)="末",0,IF(DAY($X466)&lt;=INDEX('得意先'!$D$5:$D$104,$W466),0,1))+N(INDEX('得意先'!$E$5:$E$104,$W466)))+1,0),DATE(YEAR($X466),(MONTH($X466)+IF(INDEX('得意先'!$D$5:$D$104,$W466)="末",0,IF(DAY($X466)&lt;=INDEX('得意先'!$D$5:$D$104,$W466),0,1))+N(INDEX('得意先'!$E$5:$E$104,$W466))),MIN(INDEX('得意先'!$F$5:$F$104,$W466),DAY(DATE(YEAR($X466),(MONTH($X466)+IF(INDEX('得意先'!$D$5:$D$104,$W466)="末",0,IF(DAY($X466)&lt;=INDEX('得意先'!$D$5:$D$104,$W466),0,1))+N(INDEX('得意先'!$E$5:$E$104,$W466)))+1,0)))))))</f>
        <v/>
      </c>
      <c r="N466" s="26" t="n"/>
      <c r="O466" s="29">
        <f>IF($A466="","",IF(ISNUMBER($N466),$N466,$M466))</f>
        <v/>
      </c>
      <c r="P466" s="28">
        <f>IF($A466="","",SUMIF('入金消込'!$F$5:$F$1004,$A466,'入金消込'!$G$5:$G$1004))</f>
        <v/>
      </c>
      <c r="Q466" s="28">
        <f>IF($A466="","",SUMIF('入金消込'!$F$5:$F$1004,$A466,'入金消込'!$H$5:$H$1004)+SUMIF('入金消込'!$F$5:$F$1004,$A466,'入金消込'!$I$5:$I$1004))</f>
        <v/>
      </c>
      <c r="R466" s="28">
        <f>IF($A466="","",$L466-$P466-$Q466)</f>
        <v/>
      </c>
      <c r="S466" s="30">
        <f>IF($A466="","",IF($R466=0,IF($L466=0,"請求額0","回収済"),IF($L466&lt;0,IF($R466&lt;0,"差し引き待ち","差し引きすぎ"),IF($R466&lt;0,"入金が多い",IF($P466+$Q466=0,"未入金","一部入金")))))</f>
        <v/>
      </c>
      <c r="T466" s="31">
        <f>IF(OR($A466="",N($R466)&lt;=0,NOT(ISNUMBER($O466))),"",IF($O466&lt;'設定'!$B$7,'設定'!$B$7-$O466,""))</f>
        <v/>
      </c>
      <c r="U466" s="30">
        <f>IF(OR($A466="",N($R466)&lt;=0),"",IF(NOT(ISNUMBER($O466)),'設定'!$B$22,IF($O466&gt;='設定'!$B$7,'設定'!$B$17,IF('設定'!$B$7-$O466&lt;='設定'!$B$12,'設定'!$B$18,IF('設定'!$B$7-$O466&lt;='設定'!$B$13,'設定'!$B$19,IF('設定'!$B$7-$O466&lt;='設定'!$B$14,'設定'!$B$20,'設定'!$B$21))))))</f>
        <v/>
      </c>
      <c r="V466" s="56" t="n"/>
      <c r="W466" s="32">
        <f>IF($C466="","",IFERROR(MATCH($C466,'得意先'!$B$5:$B$104,0),"なし"))</f>
        <v/>
      </c>
      <c r="X466" s="33">
        <f>IF($A466="","",IF(ISNUMBER($E466),$E466,IF(ISNUMBER($B466),$B466,"")))</f>
        <v/>
      </c>
      <c r="Y466" s="34">
        <f>IF($T466="","",$O466+ROW()/1000000)</f>
        <v/>
      </c>
      <c r="Z466" s="35">
        <f>IF(OR($A466="",$C466="",$C466&lt;&gt;'売掛帳'!$B$3,NOT(ISNUMBER($X466))),"",IF(AND($X466&gt;='売掛帳'!$Q$3,$X466&lt;='売掛帳'!$Q$4),$X466+ROW()/10000000,""))</f>
        <v/>
      </c>
    </row>
    <row r="467" ht="18" customHeight="1">
      <c r="A467" s="18" t="n"/>
      <c r="B467" s="26" t="n"/>
      <c r="C467" s="18" t="n"/>
      <c r="D467" s="20">
        <f>IF($W467="","",IF($W467="なし","※得意先にないコード",INDEX('得意先'!$C$5:$C$104,$W467)&amp;""))</f>
        <v/>
      </c>
      <c r="E467" s="26" t="n"/>
      <c r="F467" s="19" t="n"/>
      <c r="G467" s="27" t="n"/>
      <c r="H467" s="27" t="n"/>
      <c r="I467" s="27" t="n"/>
      <c r="J467" s="28">
        <f>IF($A467="","",IF('設定'!$B$10="四捨五入",ROUND(IF('設定'!$B$9="税込",N($G467)*10/110,N($G467)*10/100),0),IF('設定'!$B$10="切り上げ",ROUNDUP(IF('設定'!$B$9="税込",N($G467)*10/110,N($G467)*10/100),0),ROUNDDOWN(IF('設定'!$B$9="税込",N($G467)*10/110,N($G467)*10/100),0))))</f>
        <v/>
      </c>
      <c r="K467" s="28">
        <f>IF($A467="","",IF('設定'!$B$10="四捨五入",ROUND(IF('設定'!$B$9="税込",N($H467)*8/108,N($H467)*8/100),0),IF('設定'!$B$10="切り上げ",ROUNDUP(IF('設定'!$B$9="税込",N($H467)*8/108,N($H467)*8/100),0),ROUNDDOWN(IF('設定'!$B$9="税込",N($H467)*8/108,N($H467)*8/100),0))))</f>
        <v/>
      </c>
      <c r="L467" s="28">
        <f>IF($A467="","",N($G467)+N($H467)+N($I467)+IF('設定'!$B$9="税込",0,$J467+$K467))</f>
        <v/>
      </c>
      <c r="M467" s="29">
        <f>IF(OR($A467="",NOT(ISNUMBER($W467)),NOT(ISNUMBER($X467))),"",IF(OR(INDEX('得意先'!$D$5:$D$104,$W467)="",INDEX('得意先'!$E$5:$E$104,$W467)="",INDEX('得意先'!$F$5:$F$104,$W467)=""),"",IF(INDEX('得意先'!$F$5:$F$104,$W467)="末",DATE(YEAR($X467),(MONTH($X467)+IF(INDEX('得意先'!$D$5:$D$104,$W467)="末",0,IF(DAY($X467)&lt;=INDEX('得意先'!$D$5:$D$104,$W467),0,1))+N(INDEX('得意先'!$E$5:$E$104,$W467)))+1,0),DATE(YEAR($X467),(MONTH($X467)+IF(INDEX('得意先'!$D$5:$D$104,$W467)="末",0,IF(DAY($X467)&lt;=INDEX('得意先'!$D$5:$D$104,$W467),0,1))+N(INDEX('得意先'!$E$5:$E$104,$W467))),MIN(INDEX('得意先'!$F$5:$F$104,$W467),DAY(DATE(YEAR($X467),(MONTH($X467)+IF(INDEX('得意先'!$D$5:$D$104,$W467)="末",0,IF(DAY($X467)&lt;=INDEX('得意先'!$D$5:$D$104,$W467),0,1))+N(INDEX('得意先'!$E$5:$E$104,$W467)))+1,0)))))))</f>
        <v/>
      </c>
      <c r="N467" s="26" t="n"/>
      <c r="O467" s="29">
        <f>IF($A467="","",IF(ISNUMBER($N467),$N467,$M467))</f>
        <v/>
      </c>
      <c r="P467" s="28">
        <f>IF($A467="","",SUMIF('入金消込'!$F$5:$F$1004,$A467,'入金消込'!$G$5:$G$1004))</f>
        <v/>
      </c>
      <c r="Q467" s="28">
        <f>IF($A467="","",SUMIF('入金消込'!$F$5:$F$1004,$A467,'入金消込'!$H$5:$H$1004)+SUMIF('入金消込'!$F$5:$F$1004,$A467,'入金消込'!$I$5:$I$1004))</f>
        <v/>
      </c>
      <c r="R467" s="28">
        <f>IF($A467="","",$L467-$P467-$Q467)</f>
        <v/>
      </c>
      <c r="S467" s="30">
        <f>IF($A467="","",IF($R467=0,IF($L467=0,"請求額0","回収済"),IF($L467&lt;0,IF($R467&lt;0,"差し引き待ち","差し引きすぎ"),IF($R467&lt;0,"入金が多い",IF($P467+$Q467=0,"未入金","一部入金")))))</f>
        <v/>
      </c>
      <c r="T467" s="31">
        <f>IF(OR($A467="",N($R467)&lt;=0,NOT(ISNUMBER($O467))),"",IF($O467&lt;'設定'!$B$7,'設定'!$B$7-$O467,""))</f>
        <v/>
      </c>
      <c r="U467" s="30">
        <f>IF(OR($A467="",N($R467)&lt;=0),"",IF(NOT(ISNUMBER($O467)),'設定'!$B$22,IF($O467&gt;='設定'!$B$7,'設定'!$B$17,IF('設定'!$B$7-$O467&lt;='設定'!$B$12,'設定'!$B$18,IF('設定'!$B$7-$O467&lt;='設定'!$B$13,'設定'!$B$19,IF('設定'!$B$7-$O467&lt;='設定'!$B$14,'設定'!$B$20,'設定'!$B$21))))))</f>
        <v/>
      </c>
      <c r="V467" s="56" t="n"/>
      <c r="W467" s="32">
        <f>IF($C467="","",IFERROR(MATCH($C467,'得意先'!$B$5:$B$104,0),"なし"))</f>
        <v/>
      </c>
      <c r="X467" s="33">
        <f>IF($A467="","",IF(ISNUMBER($E467),$E467,IF(ISNUMBER($B467),$B467,"")))</f>
        <v/>
      </c>
      <c r="Y467" s="34">
        <f>IF($T467="","",$O467+ROW()/1000000)</f>
        <v/>
      </c>
      <c r="Z467" s="35">
        <f>IF(OR($A467="",$C467="",$C467&lt;&gt;'売掛帳'!$B$3,NOT(ISNUMBER($X467))),"",IF(AND($X467&gt;='売掛帳'!$Q$3,$X467&lt;='売掛帳'!$Q$4),$X467+ROW()/10000000,""))</f>
        <v/>
      </c>
    </row>
    <row r="468" ht="18" customHeight="1">
      <c r="A468" s="18" t="n"/>
      <c r="B468" s="26" t="n"/>
      <c r="C468" s="18" t="n"/>
      <c r="D468" s="20">
        <f>IF($W468="","",IF($W468="なし","※得意先にないコード",INDEX('得意先'!$C$5:$C$104,$W468)&amp;""))</f>
        <v/>
      </c>
      <c r="E468" s="26" t="n"/>
      <c r="F468" s="19" t="n"/>
      <c r="G468" s="27" t="n"/>
      <c r="H468" s="27" t="n"/>
      <c r="I468" s="27" t="n"/>
      <c r="J468" s="28">
        <f>IF($A468="","",IF('設定'!$B$10="四捨五入",ROUND(IF('設定'!$B$9="税込",N($G468)*10/110,N($G468)*10/100),0),IF('設定'!$B$10="切り上げ",ROUNDUP(IF('設定'!$B$9="税込",N($G468)*10/110,N($G468)*10/100),0),ROUNDDOWN(IF('設定'!$B$9="税込",N($G468)*10/110,N($G468)*10/100),0))))</f>
        <v/>
      </c>
      <c r="K468" s="28">
        <f>IF($A468="","",IF('設定'!$B$10="四捨五入",ROUND(IF('設定'!$B$9="税込",N($H468)*8/108,N($H468)*8/100),0),IF('設定'!$B$10="切り上げ",ROUNDUP(IF('設定'!$B$9="税込",N($H468)*8/108,N($H468)*8/100),0),ROUNDDOWN(IF('設定'!$B$9="税込",N($H468)*8/108,N($H468)*8/100),0))))</f>
        <v/>
      </c>
      <c r="L468" s="28">
        <f>IF($A468="","",N($G468)+N($H468)+N($I468)+IF('設定'!$B$9="税込",0,$J468+$K468))</f>
        <v/>
      </c>
      <c r="M468" s="29">
        <f>IF(OR($A468="",NOT(ISNUMBER($W468)),NOT(ISNUMBER($X468))),"",IF(OR(INDEX('得意先'!$D$5:$D$104,$W468)="",INDEX('得意先'!$E$5:$E$104,$W468)="",INDEX('得意先'!$F$5:$F$104,$W468)=""),"",IF(INDEX('得意先'!$F$5:$F$104,$W468)="末",DATE(YEAR($X468),(MONTH($X468)+IF(INDEX('得意先'!$D$5:$D$104,$W468)="末",0,IF(DAY($X468)&lt;=INDEX('得意先'!$D$5:$D$104,$W468),0,1))+N(INDEX('得意先'!$E$5:$E$104,$W468)))+1,0),DATE(YEAR($X468),(MONTH($X468)+IF(INDEX('得意先'!$D$5:$D$104,$W468)="末",0,IF(DAY($X468)&lt;=INDEX('得意先'!$D$5:$D$104,$W468),0,1))+N(INDEX('得意先'!$E$5:$E$104,$W468))),MIN(INDEX('得意先'!$F$5:$F$104,$W468),DAY(DATE(YEAR($X468),(MONTH($X468)+IF(INDEX('得意先'!$D$5:$D$104,$W468)="末",0,IF(DAY($X468)&lt;=INDEX('得意先'!$D$5:$D$104,$W468),0,1))+N(INDEX('得意先'!$E$5:$E$104,$W468)))+1,0)))))))</f>
        <v/>
      </c>
      <c r="N468" s="26" t="n"/>
      <c r="O468" s="29">
        <f>IF($A468="","",IF(ISNUMBER($N468),$N468,$M468))</f>
        <v/>
      </c>
      <c r="P468" s="28">
        <f>IF($A468="","",SUMIF('入金消込'!$F$5:$F$1004,$A468,'入金消込'!$G$5:$G$1004))</f>
        <v/>
      </c>
      <c r="Q468" s="28">
        <f>IF($A468="","",SUMIF('入金消込'!$F$5:$F$1004,$A468,'入金消込'!$H$5:$H$1004)+SUMIF('入金消込'!$F$5:$F$1004,$A468,'入金消込'!$I$5:$I$1004))</f>
        <v/>
      </c>
      <c r="R468" s="28">
        <f>IF($A468="","",$L468-$P468-$Q468)</f>
        <v/>
      </c>
      <c r="S468" s="30">
        <f>IF($A468="","",IF($R468=0,IF($L468=0,"請求額0","回収済"),IF($L468&lt;0,IF($R468&lt;0,"差し引き待ち","差し引きすぎ"),IF($R468&lt;0,"入金が多い",IF($P468+$Q468=0,"未入金","一部入金")))))</f>
        <v/>
      </c>
      <c r="T468" s="31">
        <f>IF(OR($A468="",N($R468)&lt;=0,NOT(ISNUMBER($O468))),"",IF($O468&lt;'設定'!$B$7,'設定'!$B$7-$O468,""))</f>
        <v/>
      </c>
      <c r="U468" s="30">
        <f>IF(OR($A468="",N($R468)&lt;=0),"",IF(NOT(ISNUMBER($O468)),'設定'!$B$22,IF($O468&gt;='設定'!$B$7,'設定'!$B$17,IF('設定'!$B$7-$O468&lt;='設定'!$B$12,'設定'!$B$18,IF('設定'!$B$7-$O468&lt;='設定'!$B$13,'設定'!$B$19,IF('設定'!$B$7-$O468&lt;='設定'!$B$14,'設定'!$B$20,'設定'!$B$21))))))</f>
        <v/>
      </c>
      <c r="V468" s="56" t="n"/>
      <c r="W468" s="32">
        <f>IF($C468="","",IFERROR(MATCH($C468,'得意先'!$B$5:$B$104,0),"なし"))</f>
        <v/>
      </c>
      <c r="X468" s="33">
        <f>IF($A468="","",IF(ISNUMBER($E468),$E468,IF(ISNUMBER($B468),$B468,"")))</f>
        <v/>
      </c>
      <c r="Y468" s="34">
        <f>IF($T468="","",$O468+ROW()/1000000)</f>
        <v/>
      </c>
      <c r="Z468" s="35">
        <f>IF(OR($A468="",$C468="",$C468&lt;&gt;'売掛帳'!$B$3,NOT(ISNUMBER($X468))),"",IF(AND($X468&gt;='売掛帳'!$Q$3,$X468&lt;='売掛帳'!$Q$4),$X468+ROW()/10000000,""))</f>
        <v/>
      </c>
    </row>
    <row r="469" ht="18" customHeight="1">
      <c r="A469" s="18" t="n"/>
      <c r="B469" s="26" t="n"/>
      <c r="C469" s="18" t="n"/>
      <c r="D469" s="20">
        <f>IF($W469="","",IF($W469="なし","※得意先にないコード",INDEX('得意先'!$C$5:$C$104,$W469)&amp;""))</f>
        <v/>
      </c>
      <c r="E469" s="26" t="n"/>
      <c r="F469" s="19" t="n"/>
      <c r="G469" s="27" t="n"/>
      <c r="H469" s="27" t="n"/>
      <c r="I469" s="27" t="n"/>
      <c r="J469" s="28">
        <f>IF($A469="","",IF('設定'!$B$10="四捨五入",ROUND(IF('設定'!$B$9="税込",N($G469)*10/110,N($G469)*10/100),0),IF('設定'!$B$10="切り上げ",ROUNDUP(IF('設定'!$B$9="税込",N($G469)*10/110,N($G469)*10/100),0),ROUNDDOWN(IF('設定'!$B$9="税込",N($G469)*10/110,N($G469)*10/100),0))))</f>
        <v/>
      </c>
      <c r="K469" s="28">
        <f>IF($A469="","",IF('設定'!$B$10="四捨五入",ROUND(IF('設定'!$B$9="税込",N($H469)*8/108,N($H469)*8/100),0),IF('設定'!$B$10="切り上げ",ROUNDUP(IF('設定'!$B$9="税込",N($H469)*8/108,N($H469)*8/100),0),ROUNDDOWN(IF('設定'!$B$9="税込",N($H469)*8/108,N($H469)*8/100),0))))</f>
        <v/>
      </c>
      <c r="L469" s="28">
        <f>IF($A469="","",N($G469)+N($H469)+N($I469)+IF('設定'!$B$9="税込",0,$J469+$K469))</f>
        <v/>
      </c>
      <c r="M469" s="29">
        <f>IF(OR($A469="",NOT(ISNUMBER($W469)),NOT(ISNUMBER($X469))),"",IF(OR(INDEX('得意先'!$D$5:$D$104,$W469)="",INDEX('得意先'!$E$5:$E$104,$W469)="",INDEX('得意先'!$F$5:$F$104,$W469)=""),"",IF(INDEX('得意先'!$F$5:$F$104,$W469)="末",DATE(YEAR($X469),(MONTH($X469)+IF(INDEX('得意先'!$D$5:$D$104,$W469)="末",0,IF(DAY($X469)&lt;=INDEX('得意先'!$D$5:$D$104,$W469),0,1))+N(INDEX('得意先'!$E$5:$E$104,$W469)))+1,0),DATE(YEAR($X469),(MONTH($X469)+IF(INDEX('得意先'!$D$5:$D$104,$W469)="末",0,IF(DAY($X469)&lt;=INDEX('得意先'!$D$5:$D$104,$W469),0,1))+N(INDEX('得意先'!$E$5:$E$104,$W469))),MIN(INDEX('得意先'!$F$5:$F$104,$W469),DAY(DATE(YEAR($X469),(MONTH($X469)+IF(INDEX('得意先'!$D$5:$D$104,$W469)="末",0,IF(DAY($X469)&lt;=INDEX('得意先'!$D$5:$D$104,$W469),0,1))+N(INDEX('得意先'!$E$5:$E$104,$W469)))+1,0)))))))</f>
        <v/>
      </c>
      <c r="N469" s="26" t="n"/>
      <c r="O469" s="29">
        <f>IF($A469="","",IF(ISNUMBER($N469),$N469,$M469))</f>
        <v/>
      </c>
      <c r="P469" s="28">
        <f>IF($A469="","",SUMIF('入金消込'!$F$5:$F$1004,$A469,'入金消込'!$G$5:$G$1004))</f>
        <v/>
      </c>
      <c r="Q469" s="28">
        <f>IF($A469="","",SUMIF('入金消込'!$F$5:$F$1004,$A469,'入金消込'!$H$5:$H$1004)+SUMIF('入金消込'!$F$5:$F$1004,$A469,'入金消込'!$I$5:$I$1004))</f>
        <v/>
      </c>
      <c r="R469" s="28">
        <f>IF($A469="","",$L469-$P469-$Q469)</f>
        <v/>
      </c>
      <c r="S469" s="30">
        <f>IF($A469="","",IF($R469=0,IF($L469=0,"請求額0","回収済"),IF($L469&lt;0,IF($R469&lt;0,"差し引き待ち","差し引きすぎ"),IF($R469&lt;0,"入金が多い",IF($P469+$Q469=0,"未入金","一部入金")))))</f>
        <v/>
      </c>
      <c r="T469" s="31">
        <f>IF(OR($A469="",N($R469)&lt;=0,NOT(ISNUMBER($O469))),"",IF($O469&lt;'設定'!$B$7,'設定'!$B$7-$O469,""))</f>
        <v/>
      </c>
      <c r="U469" s="30">
        <f>IF(OR($A469="",N($R469)&lt;=0),"",IF(NOT(ISNUMBER($O469)),'設定'!$B$22,IF($O469&gt;='設定'!$B$7,'設定'!$B$17,IF('設定'!$B$7-$O469&lt;='設定'!$B$12,'設定'!$B$18,IF('設定'!$B$7-$O469&lt;='設定'!$B$13,'設定'!$B$19,IF('設定'!$B$7-$O469&lt;='設定'!$B$14,'設定'!$B$20,'設定'!$B$21))))))</f>
        <v/>
      </c>
      <c r="V469" s="56" t="n"/>
      <c r="W469" s="32">
        <f>IF($C469="","",IFERROR(MATCH($C469,'得意先'!$B$5:$B$104,0),"なし"))</f>
        <v/>
      </c>
      <c r="X469" s="33">
        <f>IF($A469="","",IF(ISNUMBER($E469),$E469,IF(ISNUMBER($B469),$B469,"")))</f>
        <v/>
      </c>
      <c r="Y469" s="34">
        <f>IF($T469="","",$O469+ROW()/1000000)</f>
        <v/>
      </c>
      <c r="Z469" s="35">
        <f>IF(OR($A469="",$C469="",$C469&lt;&gt;'売掛帳'!$B$3,NOT(ISNUMBER($X469))),"",IF(AND($X469&gt;='売掛帳'!$Q$3,$X469&lt;='売掛帳'!$Q$4),$X469+ROW()/10000000,""))</f>
        <v/>
      </c>
    </row>
    <row r="470" ht="18" customHeight="1">
      <c r="A470" s="18" t="n"/>
      <c r="B470" s="26" t="n"/>
      <c r="C470" s="18" t="n"/>
      <c r="D470" s="20">
        <f>IF($W470="","",IF($W470="なし","※得意先にないコード",INDEX('得意先'!$C$5:$C$104,$W470)&amp;""))</f>
        <v/>
      </c>
      <c r="E470" s="26" t="n"/>
      <c r="F470" s="19" t="n"/>
      <c r="G470" s="27" t="n"/>
      <c r="H470" s="27" t="n"/>
      <c r="I470" s="27" t="n"/>
      <c r="J470" s="28">
        <f>IF($A470="","",IF('設定'!$B$10="四捨五入",ROUND(IF('設定'!$B$9="税込",N($G470)*10/110,N($G470)*10/100),0),IF('設定'!$B$10="切り上げ",ROUNDUP(IF('設定'!$B$9="税込",N($G470)*10/110,N($G470)*10/100),0),ROUNDDOWN(IF('設定'!$B$9="税込",N($G470)*10/110,N($G470)*10/100),0))))</f>
        <v/>
      </c>
      <c r="K470" s="28">
        <f>IF($A470="","",IF('設定'!$B$10="四捨五入",ROUND(IF('設定'!$B$9="税込",N($H470)*8/108,N($H470)*8/100),0),IF('設定'!$B$10="切り上げ",ROUNDUP(IF('設定'!$B$9="税込",N($H470)*8/108,N($H470)*8/100),0),ROUNDDOWN(IF('設定'!$B$9="税込",N($H470)*8/108,N($H470)*8/100),0))))</f>
        <v/>
      </c>
      <c r="L470" s="28">
        <f>IF($A470="","",N($G470)+N($H470)+N($I470)+IF('設定'!$B$9="税込",0,$J470+$K470))</f>
        <v/>
      </c>
      <c r="M470" s="29">
        <f>IF(OR($A470="",NOT(ISNUMBER($W470)),NOT(ISNUMBER($X470))),"",IF(OR(INDEX('得意先'!$D$5:$D$104,$W470)="",INDEX('得意先'!$E$5:$E$104,$W470)="",INDEX('得意先'!$F$5:$F$104,$W470)=""),"",IF(INDEX('得意先'!$F$5:$F$104,$W470)="末",DATE(YEAR($X470),(MONTH($X470)+IF(INDEX('得意先'!$D$5:$D$104,$W470)="末",0,IF(DAY($X470)&lt;=INDEX('得意先'!$D$5:$D$104,$W470),0,1))+N(INDEX('得意先'!$E$5:$E$104,$W470)))+1,0),DATE(YEAR($X470),(MONTH($X470)+IF(INDEX('得意先'!$D$5:$D$104,$W470)="末",0,IF(DAY($X470)&lt;=INDEX('得意先'!$D$5:$D$104,$W470),0,1))+N(INDEX('得意先'!$E$5:$E$104,$W470))),MIN(INDEX('得意先'!$F$5:$F$104,$W470),DAY(DATE(YEAR($X470),(MONTH($X470)+IF(INDEX('得意先'!$D$5:$D$104,$W470)="末",0,IF(DAY($X470)&lt;=INDEX('得意先'!$D$5:$D$104,$W470),0,1))+N(INDEX('得意先'!$E$5:$E$104,$W470)))+1,0)))))))</f>
        <v/>
      </c>
      <c r="N470" s="26" t="n"/>
      <c r="O470" s="29">
        <f>IF($A470="","",IF(ISNUMBER($N470),$N470,$M470))</f>
        <v/>
      </c>
      <c r="P470" s="28">
        <f>IF($A470="","",SUMIF('入金消込'!$F$5:$F$1004,$A470,'入金消込'!$G$5:$G$1004))</f>
        <v/>
      </c>
      <c r="Q470" s="28">
        <f>IF($A470="","",SUMIF('入金消込'!$F$5:$F$1004,$A470,'入金消込'!$H$5:$H$1004)+SUMIF('入金消込'!$F$5:$F$1004,$A470,'入金消込'!$I$5:$I$1004))</f>
        <v/>
      </c>
      <c r="R470" s="28">
        <f>IF($A470="","",$L470-$P470-$Q470)</f>
        <v/>
      </c>
      <c r="S470" s="30">
        <f>IF($A470="","",IF($R470=0,IF($L470=0,"請求額0","回収済"),IF($L470&lt;0,IF($R470&lt;0,"差し引き待ち","差し引きすぎ"),IF($R470&lt;0,"入金が多い",IF($P470+$Q470=0,"未入金","一部入金")))))</f>
        <v/>
      </c>
      <c r="T470" s="31">
        <f>IF(OR($A470="",N($R470)&lt;=0,NOT(ISNUMBER($O470))),"",IF($O470&lt;'設定'!$B$7,'設定'!$B$7-$O470,""))</f>
        <v/>
      </c>
      <c r="U470" s="30">
        <f>IF(OR($A470="",N($R470)&lt;=0),"",IF(NOT(ISNUMBER($O470)),'設定'!$B$22,IF($O470&gt;='設定'!$B$7,'設定'!$B$17,IF('設定'!$B$7-$O470&lt;='設定'!$B$12,'設定'!$B$18,IF('設定'!$B$7-$O470&lt;='設定'!$B$13,'設定'!$B$19,IF('設定'!$B$7-$O470&lt;='設定'!$B$14,'設定'!$B$20,'設定'!$B$21))))))</f>
        <v/>
      </c>
      <c r="V470" s="56" t="n"/>
      <c r="W470" s="32">
        <f>IF($C470="","",IFERROR(MATCH($C470,'得意先'!$B$5:$B$104,0),"なし"))</f>
        <v/>
      </c>
      <c r="X470" s="33">
        <f>IF($A470="","",IF(ISNUMBER($E470),$E470,IF(ISNUMBER($B470),$B470,"")))</f>
        <v/>
      </c>
      <c r="Y470" s="34">
        <f>IF($T470="","",$O470+ROW()/1000000)</f>
        <v/>
      </c>
      <c r="Z470" s="35">
        <f>IF(OR($A470="",$C470="",$C470&lt;&gt;'売掛帳'!$B$3,NOT(ISNUMBER($X470))),"",IF(AND($X470&gt;='売掛帳'!$Q$3,$X470&lt;='売掛帳'!$Q$4),$X470+ROW()/10000000,""))</f>
        <v/>
      </c>
    </row>
    <row r="471" ht="18" customHeight="1">
      <c r="A471" s="18" t="n"/>
      <c r="B471" s="26" t="n"/>
      <c r="C471" s="18" t="n"/>
      <c r="D471" s="20">
        <f>IF($W471="","",IF($W471="なし","※得意先にないコード",INDEX('得意先'!$C$5:$C$104,$W471)&amp;""))</f>
        <v/>
      </c>
      <c r="E471" s="26" t="n"/>
      <c r="F471" s="19" t="n"/>
      <c r="G471" s="27" t="n"/>
      <c r="H471" s="27" t="n"/>
      <c r="I471" s="27" t="n"/>
      <c r="J471" s="28">
        <f>IF($A471="","",IF('設定'!$B$10="四捨五入",ROUND(IF('設定'!$B$9="税込",N($G471)*10/110,N($G471)*10/100),0),IF('設定'!$B$10="切り上げ",ROUNDUP(IF('設定'!$B$9="税込",N($G471)*10/110,N($G471)*10/100),0),ROUNDDOWN(IF('設定'!$B$9="税込",N($G471)*10/110,N($G471)*10/100),0))))</f>
        <v/>
      </c>
      <c r="K471" s="28">
        <f>IF($A471="","",IF('設定'!$B$10="四捨五入",ROUND(IF('設定'!$B$9="税込",N($H471)*8/108,N($H471)*8/100),0),IF('設定'!$B$10="切り上げ",ROUNDUP(IF('設定'!$B$9="税込",N($H471)*8/108,N($H471)*8/100),0),ROUNDDOWN(IF('設定'!$B$9="税込",N($H471)*8/108,N($H471)*8/100),0))))</f>
        <v/>
      </c>
      <c r="L471" s="28">
        <f>IF($A471="","",N($G471)+N($H471)+N($I471)+IF('設定'!$B$9="税込",0,$J471+$K471))</f>
        <v/>
      </c>
      <c r="M471" s="29">
        <f>IF(OR($A471="",NOT(ISNUMBER($W471)),NOT(ISNUMBER($X471))),"",IF(OR(INDEX('得意先'!$D$5:$D$104,$W471)="",INDEX('得意先'!$E$5:$E$104,$W471)="",INDEX('得意先'!$F$5:$F$104,$W471)=""),"",IF(INDEX('得意先'!$F$5:$F$104,$W471)="末",DATE(YEAR($X471),(MONTH($X471)+IF(INDEX('得意先'!$D$5:$D$104,$W471)="末",0,IF(DAY($X471)&lt;=INDEX('得意先'!$D$5:$D$104,$W471),0,1))+N(INDEX('得意先'!$E$5:$E$104,$W471)))+1,0),DATE(YEAR($X471),(MONTH($X471)+IF(INDEX('得意先'!$D$5:$D$104,$W471)="末",0,IF(DAY($X471)&lt;=INDEX('得意先'!$D$5:$D$104,$W471),0,1))+N(INDEX('得意先'!$E$5:$E$104,$W471))),MIN(INDEX('得意先'!$F$5:$F$104,$W471),DAY(DATE(YEAR($X471),(MONTH($X471)+IF(INDEX('得意先'!$D$5:$D$104,$W471)="末",0,IF(DAY($X471)&lt;=INDEX('得意先'!$D$5:$D$104,$W471),0,1))+N(INDEX('得意先'!$E$5:$E$104,$W471)))+1,0)))))))</f>
        <v/>
      </c>
      <c r="N471" s="26" t="n"/>
      <c r="O471" s="29">
        <f>IF($A471="","",IF(ISNUMBER($N471),$N471,$M471))</f>
        <v/>
      </c>
      <c r="P471" s="28">
        <f>IF($A471="","",SUMIF('入金消込'!$F$5:$F$1004,$A471,'入金消込'!$G$5:$G$1004))</f>
        <v/>
      </c>
      <c r="Q471" s="28">
        <f>IF($A471="","",SUMIF('入金消込'!$F$5:$F$1004,$A471,'入金消込'!$H$5:$H$1004)+SUMIF('入金消込'!$F$5:$F$1004,$A471,'入金消込'!$I$5:$I$1004))</f>
        <v/>
      </c>
      <c r="R471" s="28">
        <f>IF($A471="","",$L471-$P471-$Q471)</f>
        <v/>
      </c>
      <c r="S471" s="30">
        <f>IF($A471="","",IF($R471=0,IF($L471=0,"請求額0","回収済"),IF($L471&lt;0,IF($R471&lt;0,"差し引き待ち","差し引きすぎ"),IF($R471&lt;0,"入金が多い",IF($P471+$Q471=0,"未入金","一部入金")))))</f>
        <v/>
      </c>
      <c r="T471" s="31">
        <f>IF(OR($A471="",N($R471)&lt;=0,NOT(ISNUMBER($O471))),"",IF($O471&lt;'設定'!$B$7,'設定'!$B$7-$O471,""))</f>
        <v/>
      </c>
      <c r="U471" s="30">
        <f>IF(OR($A471="",N($R471)&lt;=0),"",IF(NOT(ISNUMBER($O471)),'設定'!$B$22,IF($O471&gt;='設定'!$B$7,'設定'!$B$17,IF('設定'!$B$7-$O471&lt;='設定'!$B$12,'設定'!$B$18,IF('設定'!$B$7-$O471&lt;='設定'!$B$13,'設定'!$B$19,IF('設定'!$B$7-$O471&lt;='設定'!$B$14,'設定'!$B$20,'設定'!$B$21))))))</f>
        <v/>
      </c>
      <c r="V471" s="56" t="n"/>
      <c r="W471" s="32">
        <f>IF($C471="","",IFERROR(MATCH($C471,'得意先'!$B$5:$B$104,0),"なし"))</f>
        <v/>
      </c>
      <c r="X471" s="33">
        <f>IF($A471="","",IF(ISNUMBER($E471),$E471,IF(ISNUMBER($B471),$B471,"")))</f>
        <v/>
      </c>
      <c r="Y471" s="34">
        <f>IF($T471="","",$O471+ROW()/1000000)</f>
        <v/>
      </c>
      <c r="Z471" s="35">
        <f>IF(OR($A471="",$C471="",$C471&lt;&gt;'売掛帳'!$B$3,NOT(ISNUMBER($X471))),"",IF(AND($X471&gt;='売掛帳'!$Q$3,$X471&lt;='売掛帳'!$Q$4),$X471+ROW()/10000000,""))</f>
        <v/>
      </c>
    </row>
    <row r="472" ht="18" customHeight="1">
      <c r="A472" s="18" t="n"/>
      <c r="B472" s="26" t="n"/>
      <c r="C472" s="18" t="n"/>
      <c r="D472" s="20">
        <f>IF($W472="","",IF($W472="なし","※得意先にないコード",INDEX('得意先'!$C$5:$C$104,$W472)&amp;""))</f>
        <v/>
      </c>
      <c r="E472" s="26" t="n"/>
      <c r="F472" s="19" t="n"/>
      <c r="G472" s="27" t="n"/>
      <c r="H472" s="27" t="n"/>
      <c r="I472" s="27" t="n"/>
      <c r="J472" s="28">
        <f>IF($A472="","",IF('設定'!$B$10="四捨五入",ROUND(IF('設定'!$B$9="税込",N($G472)*10/110,N($G472)*10/100),0),IF('設定'!$B$10="切り上げ",ROUNDUP(IF('設定'!$B$9="税込",N($G472)*10/110,N($G472)*10/100),0),ROUNDDOWN(IF('設定'!$B$9="税込",N($G472)*10/110,N($G472)*10/100),0))))</f>
        <v/>
      </c>
      <c r="K472" s="28">
        <f>IF($A472="","",IF('設定'!$B$10="四捨五入",ROUND(IF('設定'!$B$9="税込",N($H472)*8/108,N($H472)*8/100),0),IF('設定'!$B$10="切り上げ",ROUNDUP(IF('設定'!$B$9="税込",N($H472)*8/108,N($H472)*8/100),0),ROUNDDOWN(IF('設定'!$B$9="税込",N($H472)*8/108,N($H472)*8/100),0))))</f>
        <v/>
      </c>
      <c r="L472" s="28">
        <f>IF($A472="","",N($G472)+N($H472)+N($I472)+IF('設定'!$B$9="税込",0,$J472+$K472))</f>
        <v/>
      </c>
      <c r="M472" s="29">
        <f>IF(OR($A472="",NOT(ISNUMBER($W472)),NOT(ISNUMBER($X472))),"",IF(OR(INDEX('得意先'!$D$5:$D$104,$W472)="",INDEX('得意先'!$E$5:$E$104,$W472)="",INDEX('得意先'!$F$5:$F$104,$W472)=""),"",IF(INDEX('得意先'!$F$5:$F$104,$W472)="末",DATE(YEAR($X472),(MONTH($X472)+IF(INDEX('得意先'!$D$5:$D$104,$W472)="末",0,IF(DAY($X472)&lt;=INDEX('得意先'!$D$5:$D$104,$W472),0,1))+N(INDEX('得意先'!$E$5:$E$104,$W472)))+1,0),DATE(YEAR($X472),(MONTH($X472)+IF(INDEX('得意先'!$D$5:$D$104,$W472)="末",0,IF(DAY($X472)&lt;=INDEX('得意先'!$D$5:$D$104,$W472),0,1))+N(INDEX('得意先'!$E$5:$E$104,$W472))),MIN(INDEX('得意先'!$F$5:$F$104,$W472),DAY(DATE(YEAR($X472),(MONTH($X472)+IF(INDEX('得意先'!$D$5:$D$104,$W472)="末",0,IF(DAY($X472)&lt;=INDEX('得意先'!$D$5:$D$104,$W472),0,1))+N(INDEX('得意先'!$E$5:$E$104,$W472)))+1,0)))))))</f>
        <v/>
      </c>
      <c r="N472" s="26" t="n"/>
      <c r="O472" s="29">
        <f>IF($A472="","",IF(ISNUMBER($N472),$N472,$M472))</f>
        <v/>
      </c>
      <c r="P472" s="28">
        <f>IF($A472="","",SUMIF('入金消込'!$F$5:$F$1004,$A472,'入金消込'!$G$5:$G$1004))</f>
        <v/>
      </c>
      <c r="Q472" s="28">
        <f>IF($A472="","",SUMIF('入金消込'!$F$5:$F$1004,$A472,'入金消込'!$H$5:$H$1004)+SUMIF('入金消込'!$F$5:$F$1004,$A472,'入金消込'!$I$5:$I$1004))</f>
        <v/>
      </c>
      <c r="R472" s="28">
        <f>IF($A472="","",$L472-$P472-$Q472)</f>
        <v/>
      </c>
      <c r="S472" s="30">
        <f>IF($A472="","",IF($R472=0,IF($L472=0,"請求額0","回収済"),IF($L472&lt;0,IF($R472&lt;0,"差し引き待ち","差し引きすぎ"),IF($R472&lt;0,"入金が多い",IF($P472+$Q472=0,"未入金","一部入金")))))</f>
        <v/>
      </c>
      <c r="T472" s="31">
        <f>IF(OR($A472="",N($R472)&lt;=0,NOT(ISNUMBER($O472))),"",IF($O472&lt;'設定'!$B$7,'設定'!$B$7-$O472,""))</f>
        <v/>
      </c>
      <c r="U472" s="30">
        <f>IF(OR($A472="",N($R472)&lt;=0),"",IF(NOT(ISNUMBER($O472)),'設定'!$B$22,IF($O472&gt;='設定'!$B$7,'設定'!$B$17,IF('設定'!$B$7-$O472&lt;='設定'!$B$12,'設定'!$B$18,IF('設定'!$B$7-$O472&lt;='設定'!$B$13,'設定'!$B$19,IF('設定'!$B$7-$O472&lt;='設定'!$B$14,'設定'!$B$20,'設定'!$B$21))))))</f>
        <v/>
      </c>
      <c r="V472" s="56" t="n"/>
      <c r="W472" s="32">
        <f>IF($C472="","",IFERROR(MATCH($C472,'得意先'!$B$5:$B$104,0),"なし"))</f>
        <v/>
      </c>
      <c r="X472" s="33">
        <f>IF($A472="","",IF(ISNUMBER($E472),$E472,IF(ISNUMBER($B472),$B472,"")))</f>
        <v/>
      </c>
      <c r="Y472" s="34">
        <f>IF($T472="","",$O472+ROW()/1000000)</f>
        <v/>
      </c>
      <c r="Z472" s="35">
        <f>IF(OR($A472="",$C472="",$C472&lt;&gt;'売掛帳'!$B$3,NOT(ISNUMBER($X472))),"",IF(AND($X472&gt;='売掛帳'!$Q$3,$X472&lt;='売掛帳'!$Q$4),$X472+ROW()/10000000,""))</f>
        <v/>
      </c>
    </row>
    <row r="473" ht="18" customHeight="1">
      <c r="A473" s="18" t="n"/>
      <c r="B473" s="26" t="n"/>
      <c r="C473" s="18" t="n"/>
      <c r="D473" s="20">
        <f>IF($W473="","",IF($W473="なし","※得意先にないコード",INDEX('得意先'!$C$5:$C$104,$W473)&amp;""))</f>
        <v/>
      </c>
      <c r="E473" s="26" t="n"/>
      <c r="F473" s="19" t="n"/>
      <c r="G473" s="27" t="n"/>
      <c r="H473" s="27" t="n"/>
      <c r="I473" s="27" t="n"/>
      <c r="J473" s="28">
        <f>IF($A473="","",IF('設定'!$B$10="四捨五入",ROUND(IF('設定'!$B$9="税込",N($G473)*10/110,N($G473)*10/100),0),IF('設定'!$B$10="切り上げ",ROUNDUP(IF('設定'!$B$9="税込",N($G473)*10/110,N($G473)*10/100),0),ROUNDDOWN(IF('設定'!$B$9="税込",N($G473)*10/110,N($G473)*10/100),0))))</f>
        <v/>
      </c>
      <c r="K473" s="28">
        <f>IF($A473="","",IF('設定'!$B$10="四捨五入",ROUND(IF('設定'!$B$9="税込",N($H473)*8/108,N($H473)*8/100),0),IF('設定'!$B$10="切り上げ",ROUNDUP(IF('設定'!$B$9="税込",N($H473)*8/108,N($H473)*8/100),0),ROUNDDOWN(IF('設定'!$B$9="税込",N($H473)*8/108,N($H473)*8/100),0))))</f>
        <v/>
      </c>
      <c r="L473" s="28">
        <f>IF($A473="","",N($G473)+N($H473)+N($I473)+IF('設定'!$B$9="税込",0,$J473+$K473))</f>
        <v/>
      </c>
      <c r="M473" s="29">
        <f>IF(OR($A473="",NOT(ISNUMBER($W473)),NOT(ISNUMBER($X473))),"",IF(OR(INDEX('得意先'!$D$5:$D$104,$W473)="",INDEX('得意先'!$E$5:$E$104,$W473)="",INDEX('得意先'!$F$5:$F$104,$W473)=""),"",IF(INDEX('得意先'!$F$5:$F$104,$W473)="末",DATE(YEAR($X473),(MONTH($X473)+IF(INDEX('得意先'!$D$5:$D$104,$W473)="末",0,IF(DAY($X473)&lt;=INDEX('得意先'!$D$5:$D$104,$W473),0,1))+N(INDEX('得意先'!$E$5:$E$104,$W473)))+1,0),DATE(YEAR($X473),(MONTH($X473)+IF(INDEX('得意先'!$D$5:$D$104,$W473)="末",0,IF(DAY($X473)&lt;=INDEX('得意先'!$D$5:$D$104,$W473),0,1))+N(INDEX('得意先'!$E$5:$E$104,$W473))),MIN(INDEX('得意先'!$F$5:$F$104,$W473),DAY(DATE(YEAR($X473),(MONTH($X473)+IF(INDEX('得意先'!$D$5:$D$104,$W473)="末",0,IF(DAY($X473)&lt;=INDEX('得意先'!$D$5:$D$104,$W473),0,1))+N(INDEX('得意先'!$E$5:$E$104,$W473)))+1,0)))))))</f>
        <v/>
      </c>
      <c r="N473" s="26" t="n"/>
      <c r="O473" s="29">
        <f>IF($A473="","",IF(ISNUMBER($N473),$N473,$M473))</f>
        <v/>
      </c>
      <c r="P473" s="28">
        <f>IF($A473="","",SUMIF('入金消込'!$F$5:$F$1004,$A473,'入金消込'!$G$5:$G$1004))</f>
        <v/>
      </c>
      <c r="Q473" s="28">
        <f>IF($A473="","",SUMIF('入金消込'!$F$5:$F$1004,$A473,'入金消込'!$H$5:$H$1004)+SUMIF('入金消込'!$F$5:$F$1004,$A473,'入金消込'!$I$5:$I$1004))</f>
        <v/>
      </c>
      <c r="R473" s="28">
        <f>IF($A473="","",$L473-$P473-$Q473)</f>
        <v/>
      </c>
      <c r="S473" s="30">
        <f>IF($A473="","",IF($R473=0,IF($L473=0,"請求額0","回収済"),IF($L473&lt;0,IF($R473&lt;0,"差し引き待ち","差し引きすぎ"),IF($R473&lt;0,"入金が多い",IF($P473+$Q473=0,"未入金","一部入金")))))</f>
        <v/>
      </c>
      <c r="T473" s="31">
        <f>IF(OR($A473="",N($R473)&lt;=0,NOT(ISNUMBER($O473))),"",IF($O473&lt;'設定'!$B$7,'設定'!$B$7-$O473,""))</f>
        <v/>
      </c>
      <c r="U473" s="30">
        <f>IF(OR($A473="",N($R473)&lt;=0),"",IF(NOT(ISNUMBER($O473)),'設定'!$B$22,IF($O473&gt;='設定'!$B$7,'設定'!$B$17,IF('設定'!$B$7-$O473&lt;='設定'!$B$12,'設定'!$B$18,IF('設定'!$B$7-$O473&lt;='設定'!$B$13,'設定'!$B$19,IF('設定'!$B$7-$O473&lt;='設定'!$B$14,'設定'!$B$20,'設定'!$B$21))))))</f>
        <v/>
      </c>
      <c r="V473" s="56" t="n"/>
      <c r="W473" s="32">
        <f>IF($C473="","",IFERROR(MATCH($C473,'得意先'!$B$5:$B$104,0),"なし"))</f>
        <v/>
      </c>
      <c r="X473" s="33">
        <f>IF($A473="","",IF(ISNUMBER($E473),$E473,IF(ISNUMBER($B473),$B473,"")))</f>
        <v/>
      </c>
      <c r="Y473" s="34">
        <f>IF($T473="","",$O473+ROW()/1000000)</f>
        <v/>
      </c>
      <c r="Z473" s="35">
        <f>IF(OR($A473="",$C473="",$C473&lt;&gt;'売掛帳'!$B$3,NOT(ISNUMBER($X473))),"",IF(AND($X473&gt;='売掛帳'!$Q$3,$X473&lt;='売掛帳'!$Q$4),$X473+ROW()/10000000,""))</f>
        <v/>
      </c>
    </row>
    <row r="474" ht="18" customHeight="1">
      <c r="A474" s="18" t="n"/>
      <c r="B474" s="26" t="n"/>
      <c r="C474" s="18" t="n"/>
      <c r="D474" s="20">
        <f>IF($W474="","",IF($W474="なし","※得意先にないコード",INDEX('得意先'!$C$5:$C$104,$W474)&amp;""))</f>
        <v/>
      </c>
      <c r="E474" s="26" t="n"/>
      <c r="F474" s="19" t="n"/>
      <c r="G474" s="27" t="n"/>
      <c r="H474" s="27" t="n"/>
      <c r="I474" s="27" t="n"/>
      <c r="J474" s="28">
        <f>IF($A474="","",IF('設定'!$B$10="四捨五入",ROUND(IF('設定'!$B$9="税込",N($G474)*10/110,N($G474)*10/100),0),IF('設定'!$B$10="切り上げ",ROUNDUP(IF('設定'!$B$9="税込",N($G474)*10/110,N($G474)*10/100),0),ROUNDDOWN(IF('設定'!$B$9="税込",N($G474)*10/110,N($G474)*10/100),0))))</f>
        <v/>
      </c>
      <c r="K474" s="28">
        <f>IF($A474="","",IF('設定'!$B$10="四捨五入",ROUND(IF('設定'!$B$9="税込",N($H474)*8/108,N($H474)*8/100),0),IF('設定'!$B$10="切り上げ",ROUNDUP(IF('設定'!$B$9="税込",N($H474)*8/108,N($H474)*8/100),0),ROUNDDOWN(IF('設定'!$B$9="税込",N($H474)*8/108,N($H474)*8/100),0))))</f>
        <v/>
      </c>
      <c r="L474" s="28">
        <f>IF($A474="","",N($G474)+N($H474)+N($I474)+IF('設定'!$B$9="税込",0,$J474+$K474))</f>
        <v/>
      </c>
      <c r="M474" s="29">
        <f>IF(OR($A474="",NOT(ISNUMBER($W474)),NOT(ISNUMBER($X474))),"",IF(OR(INDEX('得意先'!$D$5:$D$104,$W474)="",INDEX('得意先'!$E$5:$E$104,$W474)="",INDEX('得意先'!$F$5:$F$104,$W474)=""),"",IF(INDEX('得意先'!$F$5:$F$104,$W474)="末",DATE(YEAR($X474),(MONTH($X474)+IF(INDEX('得意先'!$D$5:$D$104,$W474)="末",0,IF(DAY($X474)&lt;=INDEX('得意先'!$D$5:$D$104,$W474),0,1))+N(INDEX('得意先'!$E$5:$E$104,$W474)))+1,0),DATE(YEAR($X474),(MONTH($X474)+IF(INDEX('得意先'!$D$5:$D$104,$W474)="末",0,IF(DAY($X474)&lt;=INDEX('得意先'!$D$5:$D$104,$W474),0,1))+N(INDEX('得意先'!$E$5:$E$104,$W474))),MIN(INDEX('得意先'!$F$5:$F$104,$W474),DAY(DATE(YEAR($X474),(MONTH($X474)+IF(INDEX('得意先'!$D$5:$D$104,$W474)="末",0,IF(DAY($X474)&lt;=INDEX('得意先'!$D$5:$D$104,$W474),0,1))+N(INDEX('得意先'!$E$5:$E$104,$W474)))+1,0)))))))</f>
        <v/>
      </c>
      <c r="N474" s="26" t="n"/>
      <c r="O474" s="29">
        <f>IF($A474="","",IF(ISNUMBER($N474),$N474,$M474))</f>
        <v/>
      </c>
      <c r="P474" s="28">
        <f>IF($A474="","",SUMIF('入金消込'!$F$5:$F$1004,$A474,'入金消込'!$G$5:$G$1004))</f>
        <v/>
      </c>
      <c r="Q474" s="28">
        <f>IF($A474="","",SUMIF('入金消込'!$F$5:$F$1004,$A474,'入金消込'!$H$5:$H$1004)+SUMIF('入金消込'!$F$5:$F$1004,$A474,'入金消込'!$I$5:$I$1004))</f>
        <v/>
      </c>
      <c r="R474" s="28">
        <f>IF($A474="","",$L474-$P474-$Q474)</f>
        <v/>
      </c>
      <c r="S474" s="30">
        <f>IF($A474="","",IF($R474=0,IF($L474=0,"請求額0","回収済"),IF($L474&lt;0,IF($R474&lt;0,"差し引き待ち","差し引きすぎ"),IF($R474&lt;0,"入金が多い",IF($P474+$Q474=0,"未入金","一部入金")))))</f>
        <v/>
      </c>
      <c r="T474" s="31">
        <f>IF(OR($A474="",N($R474)&lt;=0,NOT(ISNUMBER($O474))),"",IF($O474&lt;'設定'!$B$7,'設定'!$B$7-$O474,""))</f>
        <v/>
      </c>
      <c r="U474" s="30">
        <f>IF(OR($A474="",N($R474)&lt;=0),"",IF(NOT(ISNUMBER($O474)),'設定'!$B$22,IF($O474&gt;='設定'!$B$7,'設定'!$B$17,IF('設定'!$B$7-$O474&lt;='設定'!$B$12,'設定'!$B$18,IF('設定'!$B$7-$O474&lt;='設定'!$B$13,'設定'!$B$19,IF('設定'!$B$7-$O474&lt;='設定'!$B$14,'設定'!$B$20,'設定'!$B$21))))))</f>
        <v/>
      </c>
      <c r="V474" s="56" t="n"/>
      <c r="W474" s="32">
        <f>IF($C474="","",IFERROR(MATCH($C474,'得意先'!$B$5:$B$104,0),"なし"))</f>
        <v/>
      </c>
      <c r="X474" s="33">
        <f>IF($A474="","",IF(ISNUMBER($E474),$E474,IF(ISNUMBER($B474),$B474,"")))</f>
        <v/>
      </c>
      <c r="Y474" s="34">
        <f>IF($T474="","",$O474+ROW()/1000000)</f>
        <v/>
      </c>
      <c r="Z474" s="35">
        <f>IF(OR($A474="",$C474="",$C474&lt;&gt;'売掛帳'!$B$3,NOT(ISNUMBER($X474))),"",IF(AND($X474&gt;='売掛帳'!$Q$3,$X474&lt;='売掛帳'!$Q$4),$X474+ROW()/10000000,""))</f>
        <v/>
      </c>
    </row>
    <row r="475" ht="18" customHeight="1">
      <c r="A475" s="18" t="n"/>
      <c r="B475" s="26" t="n"/>
      <c r="C475" s="18" t="n"/>
      <c r="D475" s="20">
        <f>IF($W475="","",IF($W475="なし","※得意先にないコード",INDEX('得意先'!$C$5:$C$104,$W475)&amp;""))</f>
        <v/>
      </c>
      <c r="E475" s="26" t="n"/>
      <c r="F475" s="19" t="n"/>
      <c r="G475" s="27" t="n"/>
      <c r="H475" s="27" t="n"/>
      <c r="I475" s="27" t="n"/>
      <c r="J475" s="28">
        <f>IF($A475="","",IF('設定'!$B$10="四捨五入",ROUND(IF('設定'!$B$9="税込",N($G475)*10/110,N($G475)*10/100),0),IF('設定'!$B$10="切り上げ",ROUNDUP(IF('設定'!$B$9="税込",N($G475)*10/110,N($G475)*10/100),0),ROUNDDOWN(IF('設定'!$B$9="税込",N($G475)*10/110,N($G475)*10/100),0))))</f>
        <v/>
      </c>
      <c r="K475" s="28">
        <f>IF($A475="","",IF('設定'!$B$10="四捨五入",ROUND(IF('設定'!$B$9="税込",N($H475)*8/108,N($H475)*8/100),0),IF('設定'!$B$10="切り上げ",ROUNDUP(IF('設定'!$B$9="税込",N($H475)*8/108,N($H475)*8/100),0),ROUNDDOWN(IF('設定'!$B$9="税込",N($H475)*8/108,N($H475)*8/100),0))))</f>
        <v/>
      </c>
      <c r="L475" s="28">
        <f>IF($A475="","",N($G475)+N($H475)+N($I475)+IF('設定'!$B$9="税込",0,$J475+$K475))</f>
        <v/>
      </c>
      <c r="M475" s="29">
        <f>IF(OR($A475="",NOT(ISNUMBER($W475)),NOT(ISNUMBER($X475))),"",IF(OR(INDEX('得意先'!$D$5:$D$104,$W475)="",INDEX('得意先'!$E$5:$E$104,$W475)="",INDEX('得意先'!$F$5:$F$104,$W475)=""),"",IF(INDEX('得意先'!$F$5:$F$104,$W475)="末",DATE(YEAR($X475),(MONTH($X475)+IF(INDEX('得意先'!$D$5:$D$104,$W475)="末",0,IF(DAY($X475)&lt;=INDEX('得意先'!$D$5:$D$104,$W475),0,1))+N(INDEX('得意先'!$E$5:$E$104,$W475)))+1,0),DATE(YEAR($X475),(MONTH($X475)+IF(INDEX('得意先'!$D$5:$D$104,$W475)="末",0,IF(DAY($X475)&lt;=INDEX('得意先'!$D$5:$D$104,$W475),0,1))+N(INDEX('得意先'!$E$5:$E$104,$W475))),MIN(INDEX('得意先'!$F$5:$F$104,$W475),DAY(DATE(YEAR($X475),(MONTH($X475)+IF(INDEX('得意先'!$D$5:$D$104,$W475)="末",0,IF(DAY($X475)&lt;=INDEX('得意先'!$D$5:$D$104,$W475),0,1))+N(INDEX('得意先'!$E$5:$E$104,$W475)))+1,0)))))))</f>
        <v/>
      </c>
      <c r="N475" s="26" t="n"/>
      <c r="O475" s="29">
        <f>IF($A475="","",IF(ISNUMBER($N475),$N475,$M475))</f>
        <v/>
      </c>
      <c r="P475" s="28">
        <f>IF($A475="","",SUMIF('入金消込'!$F$5:$F$1004,$A475,'入金消込'!$G$5:$G$1004))</f>
        <v/>
      </c>
      <c r="Q475" s="28">
        <f>IF($A475="","",SUMIF('入金消込'!$F$5:$F$1004,$A475,'入金消込'!$H$5:$H$1004)+SUMIF('入金消込'!$F$5:$F$1004,$A475,'入金消込'!$I$5:$I$1004))</f>
        <v/>
      </c>
      <c r="R475" s="28">
        <f>IF($A475="","",$L475-$P475-$Q475)</f>
        <v/>
      </c>
      <c r="S475" s="30">
        <f>IF($A475="","",IF($R475=0,IF($L475=0,"請求額0","回収済"),IF($L475&lt;0,IF($R475&lt;0,"差し引き待ち","差し引きすぎ"),IF($R475&lt;0,"入金が多い",IF($P475+$Q475=0,"未入金","一部入金")))))</f>
        <v/>
      </c>
      <c r="T475" s="31">
        <f>IF(OR($A475="",N($R475)&lt;=0,NOT(ISNUMBER($O475))),"",IF($O475&lt;'設定'!$B$7,'設定'!$B$7-$O475,""))</f>
        <v/>
      </c>
      <c r="U475" s="30">
        <f>IF(OR($A475="",N($R475)&lt;=0),"",IF(NOT(ISNUMBER($O475)),'設定'!$B$22,IF($O475&gt;='設定'!$B$7,'設定'!$B$17,IF('設定'!$B$7-$O475&lt;='設定'!$B$12,'設定'!$B$18,IF('設定'!$B$7-$O475&lt;='設定'!$B$13,'設定'!$B$19,IF('設定'!$B$7-$O475&lt;='設定'!$B$14,'設定'!$B$20,'設定'!$B$21))))))</f>
        <v/>
      </c>
      <c r="V475" s="56" t="n"/>
      <c r="W475" s="32">
        <f>IF($C475="","",IFERROR(MATCH($C475,'得意先'!$B$5:$B$104,0),"なし"))</f>
        <v/>
      </c>
      <c r="X475" s="33">
        <f>IF($A475="","",IF(ISNUMBER($E475),$E475,IF(ISNUMBER($B475),$B475,"")))</f>
        <v/>
      </c>
      <c r="Y475" s="34">
        <f>IF($T475="","",$O475+ROW()/1000000)</f>
        <v/>
      </c>
      <c r="Z475" s="35">
        <f>IF(OR($A475="",$C475="",$C475&lt;&gt;'売掛帳'!$B$3,NOT(ISNUMBER($X475))),"",IF(AND($X475&gt;='売掛帳'!$Q$3,$X475&lt;='売掛帳'!$Q$4),$X475+ROW()/10000000,""))</f>
        <v/>
      </c>
    </row>
    <row r="476" ht="18" customHeight="1">
      <c r="A476" s="18" t="n"/>
      <c r="B476" s="26" t="n"/>
      <c r="C476" s="18" t="n"/>
      <c r="D476" s="20">
        <f>IF($W476="","",IF($W476="なし","※得意先にないコード",INDEX('得意先'!$C$5:$C$104,$W476)&amp;""))</f>
        <v/>
      </c>
      <c r="E476" s="26" t="n"/>
      <c r="F476" s="19" t="n"/>
      <c r="G476" s="27" t="n"/>
      <c r="H476" s="27" t="n"/>
      <c r="I476" s="27" t="n"/>
      <c r="J476" s="28">
        <f>IF($A476="","",IF('設定'!$B$10="四捨五入",ROUND(IF('設定'!$B$9="税込",N($G476)*10/110,N($G476)*10/100),0),IF('設定'!$B$10="切り上げ",ROUNDUP(IF('設定'!$B$9="税込",N($G476)*10/110,N($G476)*10/100),0),ROUNDDOWN(IF('設定'!$B$9="税込",N($G476)*10/110,N($G476)*10/100),0))))</f>
        <v/>
      </c>
      <c r="K476" s="28">
        <f>IF($A476="","",IF('設定'!$B$10="四捨五入",ROUND(IF('設定'!$B$9="税込",N($H476)*8/108,N($H476)*8/100),0),IF('設定'!$B$10="切り上げ",ROUNDUP(IF('設定'!$B$9="税込",N($H476)*8/108,N($H476)*8/100),0),ROUNDDOWN(IF('設定'!$B$9="税込",N($H476)*8/108,N($H476)*8/100),0))))</f>
        <v/>
      </c>
      <c r="L476" s="28">
        <f>IF($A476="","",N($G476)+N($H476)+N($I476)+IF('設定'!$B$9="税込",0,$J476+$K476))</f>
        <v/>
      </c>
      <c r="M476" s="29">
        <f>IF(OR($A476="",NOT(ISNUMBER($W476)),NOT(ISNUMBER($X476))),"",IF(OR(INDEX('得意先'!$D$5:$D$104,$W476)="",INDEX('得意先'!$E$5:$E$104,$W476)="",INDEX('得意先'!$F$5:$F$104,$W476)=""),"",IF(INDEX('得意先'!$F$5:$F$104,$W476)="末",DATE(YEAR($X476),(MONTH($X476)+IF(INDEX('得意先'!$D$5:$D$104,$W476)="末",0,IF(DAY($X476)&lt;=INDEX('得意先'!$D$5:$D$104,$W476),0,1))+N(INDEX('得意先'!$E$5:$E$104,$W476)))+1,0),DATE(YEAR($X476),(MONTH($X476)+IF(INDEX('得意先'!$D$5:$D$104,$W476)="末",0,IF(DAY($X476)&lt;=INDEX('得意先'!$D$5:$D$104,$W476),0,1))+N(INDEX('得意先'!$E$5:$E$104,$W476))),MIN(INDEX('得意先'!$F$5:$F$104,$W476),DAY(DATE(YEAR($X476),(MONTH($X476)+IF(INDEX('得意先'!$D$5:$D$104,$W476)="末",0,IF(DAY($X476)&lt;=INDEX('得意先'!$D$5:$D$104,$W476),0,1))+N(INDEX('得意先'!$E$5:$E$104,$W476)))+1,0)))))))</f>
        <v/>
      </c>
      <c r="N476" s="26" t="n"/>
      <c r="O476" s="29">
        <f>IF($A476="","",IF(ISNUMBER($N476),$N476,$M476))</f>
        <v/>
      </c>
      <c r="P476" s="28">
        <f>IF($A476="","",SUMIF('入金消込'!$F$5:$F$1004,$A476,'入金消込'!$G$5:$G$1004))</f>
        <v/>
      </c>
      <c r="Q476" s="28">
        <f>IF($A476="","",SUMIF('入金消込'!$F$5:$F$1004,$A476,'入金消込'!$H$5:$H$1004)+SUMIF('入金消込'!$F$5:$F$1004,$A476,'入金消込'!$I$5:$I$1004))</f>
        <v/>
      </c>
      <c r="R476" s="28">
        <f>IF($A476="","",$L476-$P476-$Q476)</f>
        <v/>
      </c>
      <c r="S476" s="30">
        <f>IF($A476="","",IF($R476=0,IF($L476=0,"請求額0","回収済"),IF($L476&lt;0,IF($R476&lt;0,"差し引き待ち","差し引きすぎ"),IF($R476&lt;0,"入金が多い",IF($P476+$Q476=0,"未入金","一部入金")))))</f>
        <v/>
      </c>
      <c r="T476" s="31">
        <f>IF(OR($A476="",N($R476)&lt;=0,NOT(ISNUMBER($O476))),"",IF($O476&lt;'設定'!$B$7,'設定'!$B$7-$O476,""))</f>
        <v/>
      </c>
      <c r="U476" s="30">
        <f>IF(OR($A476="",N($R476)&lt;=0),"",IF(NOT(ISNUMBER($O476)),'設定'!$B$22,IF($O476&gt;='設定'!$B$7,'設定'!$B$17,IF('設定'!$B$7-$O476&lt;='設定'!$B$12,'設定'!$B$18,IF('設定'!$B$7-$O476&lt;='設定'!$B$13,'設定'!$B$19,IF('設定'!$B$7-$O476&lt;='設定'!$B$14,'設定'!$B$20,'設定'!$B$21))))))</f>
        <v/>
      </c>
      <c r="V476" s="56" t="n"/>
      <c r="W476" s="32">
        <f>IF($C476="","",IFERROR(MATCH($C476,'得意先'!$B$5:$B$104,0),"なし"))</f>
        <v/>
      </c>
      <c r="X476" s="33">
        <f>IF($A476="","",IF(ISNUMBER($E476),$E476,IF(ISNUMBER($B476),$B476,"")))</f>
        <v/>
      </c>
      <c r="Y476" s="34">
        <f>IF($T476="","",$O476+ROW()/1000000)</f>
        <v/>
      </c>
      <c r="Z476" s="35">
        <f>IF(OR($A476="",$C476="",$C476&lt;&gt;'売掛帳'!$B$3,NOT(ISNUMBER($X476))),"",IF(AND($X476&gt;='売掛帳'!$Q$3,$X476&lt;='売掛帳'!$Q$4),$X476+ROW()/10000000,""))</f>
        <v/>
      </c>
    </row>
    <row r="477" ht="18" customHeight="1">
      <c r="A477" s="18" t="n"/>
      <c r="B477" s="26" t="n"/>
      <c r="C477" s="18" t="n"/>
      <c r="D477" s="20">
        <f>IF($W477="","",IF($W477="なし","※得意先にないコード",INDEX('得意先'!$C$5:$C$104,$W477)&amp;""))</f>
        <v/>
      </c>
      <c r="E477" s="26" t="n"/>
      <c r="F477" s="19" t="n"/>
      <c r="G477" s="27" t="n"/>
      <c r="H477" s="27" t="n"/>
      <c r="I477" s="27" t="n"/>
      <c r="J477" s="28">
        <f>IF($A477="","",IF('設定'!$B$10="四捨五入",ROUND(IF('設定'!$B$9="税込",N($G477)*10/110,N($G477)*10/100),0),IF('設定'!$B$10="切り上げ",ROUNDUP(IF('設定'!$B$9="税込",N($G477)*10/110,N($G477)*10/100),0),ROUNDDOWN(IF('設定'!$B$9="税込",N($G477)*10/110,N($G477)*10/100),0))))</f>
        <v/>
      </c>
      <c r="K477" s="28">
        <f>IF($A477="","",IF('設定'!$B$10="四捨五入",ROUND(IF('設定'!$B$9="税込",N($H477)*8/108,N($H477)*8/100),0),IF('設定'!$B$10="切り上げ",ROUNDUP(IF('設定'!$B$9="税込",N($H477)*8/108,N($H477)*8/100),0),ROUNDDOWN(IF('設定'!$B$9="税込",N($H477)*8/108,N($H477)*8/100),0))))</f>
        <v/>
      </c>
      <c r="L477" s="28">
        <f>IF($A477="","",N($G477)+N($H477)+N($I477)+IF('設定'!$B$9="税込",0,$J477+$K477))</f>
        <v/>
      </c>
      <c r="M477" s="29">
        <f>IF(OR($A477="",NOT(ISNUMBER($W477)),NOT(ISNUMBER($X477))),"",IF(OR(INDEX('得意先'!$D$5:$D$104,$W477)="",INDEX('得意先'!$E$5:$E$104,$W477)="",INDEX('得意先'!$F$5:$F$104,$W477)=""),"",IF(INDEX('得意先'!$F$5:$F$104,$W477)="末",DATE(YEAR($X477),(MONTH($X477)+IF(INDEX('得意先'!$D$5:$D$104,$W477)="末",0,IF(DAY($X477)&lt;=INDEX('得意先'!$D$5:$D$104,$W477),0,1))+N(INDEX('得意先'!$E$5:$E$104,$W477)))+1,0),DATE(YEAR($X477),(MONTH($X477)+IF(INDEX('得意先'!$D$5:$D$104,$W477)="末",0,IF(DAY($X477)&lt;=INDEX('得意先'!$D$5:$D$104,$W477),0,1))+N(INDEX('得意先'!$E$5:$E$104,$W477))),MIN(INDEX('得意先'!$F$5:$F$104,$W477),DAY(DATE(YEAR($X477),(MONTH($X477)+IF(INDEX('得意先'!$D$5:$D$104,$W477)="末",0,IF(DAY($X477)&lt;=INDEX('得意先'!$D$5:$D$104,$W477),0,1))+N(INDEX('得意先'!$E$5:$E$104,$W477)))+1,0)))))))</f>
        <v/>
      </c>
      <c r="N477" s="26" t="n"/>
      <c r="O477" s="29">
        <f>IF($A477="","",IF(ISNUMBER($N477),$N477,$M477))</f>
        <v/>
      </c>
      <c r="P477" s="28">
        <f>IF($A477="","",SUMIF('入金消込'!$F$5:$F$1004,$A477,'入金消込'!$G$5:$G$1004))</f>
        <v/>
      </c>
      <c r="Q477" s="28">
        <f>IF($A477="","",SUMIF('入金消込'!$F$5:$F$1004,$A477,'入金消込'!$H$5:$H$1004)+SUMIF('入金消込'!$F$5:$F$1004,$A477,'入金消込'!$I$5:$I$1004))</f>
        <v/>
      </c>
      <c r="R477" s="28">
        <f>IF($A477="","",$L477-$P477-$Q477)</f>
        <v/>
      </c>
      <c r="S477" s="30">
        <f>IF($A477="","",IF($R477=0,IF($L477=0,"請求額0","回収済"),IF($L477&lt;0,IF($R477&lt;0,"差し引き待ち","差し引きすぎ"),IF($R477&lt;0,"入金が多い",IF($P477+$Q477=0,"未入金","一部入金")))))</f>
        <v/>
      </c>
      <c r="T477" s="31">
        <f>IF(OR($A477="",N($R477)&lt;=0,NOT(ISNUMBER($O477))),"",IF($O477&lt;'設定'!$B$7,'設定'!$B$7-$O477,""))</f>
        <v/>
      </c>
      <c r="U477" s="30">
        <f>IF(OR($A477="",N($R477)&lt;=0),"",IF(NOT(ISNUMBER($O477)),'設定'!$B$22,IF($O477&gt;='設定'!$B$7,'設定'!$B$17,IF('設定'!$B$7-$O477&lt;='設定'!$B$12,'設定'!$B$18,IF('設定'!$B$7-$O477&lt;='設定'!$B$13,'設定'!$B$19,IF('設定'!$B$7-$O477&lt;='設定'!$B$14,'設定'!$B$20,'設定'!$B$21))))))</f>
        <v/>
      </c>
      <c r="V477" s="56" t="n"/>
      <c r="W477" s="32">
        <f>IF($C477="","",IFERROR(MATCH($C477,'得意先'!$B$5:$B$104,0),"なし"))</f>
        <v/>
      </c>
      <c r="X477" s="33">
        <f>IF($A477="","",IF(ISNUMBER($E477),$E477,IF(ISNUMBER($B477),$B477,"")))</f>
        <v/>
      </c>
      <c r="Y477" s="34">
        <f>IF($T477="","",$O477+ROW()/1000000)</f>
        <v/>
      </c>
      <c r="Z477" s="35">
        <f>IF(OR($A477="",$C477="",$C477&lt;&gt;'売掛帳'!$B$3,NOT(ISNUMBER($X477))),"",IF(AND($X477&gt;='売掛帳'!$Q$3,$X477&lt;='売掛帳'!$Q$4),$X477+ROW()/10000000,""))</f>
        <v/>
      </c>
    </row>
    <row r="478" ht="18" customHeight="1">
      <c r="A478" s="18" t="n"/>
      <c r="B478" s="26" t="n"/>
      <c r="C478" s="18" t="n"/>
      <c r="D478" s="20">
        <f>IF($W478="","",IF($W478="なし","※得意先にないコード",INDEX('得意先'!$C$5:$C$104,$W478)&amp;""))</f>
        <v/>
      </c>
      <c r="E478" s="26" t="n"/>
      <c r="F478" s="19" t="n"/>
      <c r="G478" s="27" t="n"/>
      <c r="H478" s="27" t="n"/>
      <c r="I478" s="27" t="n"/>
      <c r="J478" s="28">
        <f>IF($A478="","",IF('設定'!$B$10="四捨五入",ROUND(IF('設定'!$B$9="税込",N($G478)*10/110,N($G478)*10/100),0),IF('設定'!$B$10="切り上げ",ROUNDUP(IF('設定'!$B$9="税込",N($G478)*10/110,N($G478)*10/100),0),ROUNDDOWN(IF('設定'!$B$9="税込",N($G478)*10/110,N($G478)*10/100),0))))</f>
        <v/>
      </c>
      <c r="K478" s="28">
        <f>IF($A478="","",IF('設定'!$B$10="四捨五入",ROUND(IF('設定'!$B$9="税込",N($H478)*8/108,N($H478)*8/100),0),IF('設定'!$B$10="切り上げ",ROUNDUP(IF('設定'!$B$9="税込",N($H478)*8/108,N($H478)*8/100),0),ROUNDDOWN(IF('設定'!$B$9="税込",N($H478)*8/108,N($H478)*8/100),0))))</f>
        <v/>
      </c>
      <c r="L478" s="28">
        <f>IF($A478="","",N($G478)+N($H478)+N($I478)+IF('設定'!$B$9="税込",0,$J478+$K478))</f>
        <v/>
      </c>
      <c r="M478" s="29">
        <f>IF(OR($A478="",NOT(ISNUMBER($W478)),NOT(ISNUMBER($X478))),"",IF(OR(INDEX('得意先'!$D$5:$D$104,$W478)="",INDEX('得意先'!$E$5:$E$104,$W478)="",INDEX('得意先'!$F$5:$F$104,$W478)=""),"",IF(INDEX('得意先'!$F$5:$F$104,$W478)="末",DATE(YEAR($X478),(MONTH($X478)+IF(INDEX('得意先'!$D$5:$D$104,$W478)="末",0,IF(DAY($X478)&lt;=INDEX('得意先'!$D$5:$D$104,$W478),0,1))+N(INDEX('得意先'!$E$5:$E$104,$W478)))+1,0),DATE(YEAR($X478),(MONTH($X478)+IF(INDEX('得意先'!$D$5:$D$104,$W478)="末",0,IF(DAY($X478)&lt;=INDEX('得意先'!$D$5:$D$104,$W478),0,1))+N(INDEX('得意先'!$E$5:$E$104,$W478))),MIN(INDEX('得意先'!$F$5:$F$104,$W478),DAY(DATE(YEAR($X478),(MONTH($X478)+IF(INDEX('得意先'!$D$5:$D$104,$W478)="末",0,IF(DAY($X478)&lt;=INDEX('得意先'!$D$5:$D$104,$W478),0,1))+N(INDEX('得意先'!$E$5:$E$104,$W478)))+1,0)))))))</f>
        <v/>
      </c>
      <c r="N478" s="26" t="n"/>
      <c r="O478" s="29">
        <f>IF($A478="","",IF(ISNUMBER($N478),$N478,$M478))</f>
        <v/>
      </c>
      <c r="P478" s="28">
        <f>IF($A478="","",SUMIF('入金消込'!$F$5:$F$1004,$A478,'入金消込'!$G$5:$G$1004))</f>
        <v/>
      </c>
      <c r="Q478" s="28">
        <f>IF($A478="","",SUMIF('入金消込'!$F$5:$F$1004,$A478,'入金消込'!$H$5:$H$1004)+SUMIF('入金消込'!$F$5:$F$1004,$A478,'入金消込'!$I$5:$I$1004))</f>
        <v/>
      </c>
      <c r="R478" s="28">
        <f>IF($A478="","",$L478-$P478-$Q478)</f>
        <v/>
      </c>
      <c r="S478" s="30">
        <f>IF($A478="","",IF($R478=0,IF($L478=0,"請求額0","回収済"),IF($L478&lt;0,IF($R478&lt;0,"差し引き待ち","差し引きすぎ"),IF($R478&lt;0,"入金が多い",IF($P478+$Q478=0,"未入金","一部入金")))))</f>
        <v/>
      </c>
      <c r="T478" s="31">
        <f>IF(OR($A478="",N($R478)&lt;=0,NOT(ISNUMBER($O478))),"",IF($O478&lt;'設定'!$B$7,'設定'!$B$7-$O478,""))</f>
        <v/>
      </c>
      <c r="U478" s="30">
        <f>IF(OR($A478="",N($R478)&lt;=0),"",IF(NOT(ISNUMBER($O478)),'設定'!$B$22,IF($O478&gt;='設定'!$B$7,'設定'!$B$17,IF('設定'!$B$7-$O478&lt;='設定'!$B$12,'設定'!$B$18,IF('設定'!$B$7-$O478&lt;='設定'!$B$13,'設定'!$B$19,IF('設定'!$B$7-$O478&lt;='設定'!$B$14,'設定'!$B$20,'設定'!$B$21))))))</f>
        <v/>
      </c>
      <c r="V478" s="56" t="n"/>
      <c r="W478" s="32">
        <f>IF($C478="","",IFERROR(MATCH($C478,'得意先'!$B$5:$B$104,0),"なし"))</f>
        <v/>
      </c>
      <c r="X478" s="33">
        <f>IF($A478="","",IF(ISNUMBER($E478),$E478,IF(ISNUMBER($B478),$B478,"")))</f>
        <v/>
      </c>
      <c r="Y478" s="34">
        <f>IF($T478="","",$O478+ROW()/1000000)</f>
        <v/>
      </c>
      <c r="Z478" s="35">
        <f>IF(OR($A478="",$C478="",$C478&lt;&gt;'売掛帳'!$B$3,NOT(ISNUMBER($X478))),"",IF(AND($X478&gt;='売掛帳'!$Q$3,$X478&lt;='売掛帳'!$Q$4),$X478+ROW()/10000000,""))</f>
        <v/>
      </c>
    </row>
    <row r="479" ht="18" customHeight="1">
      <c r="A479" s="18" t="n"/>
      <c r="B479" s="26" t="n"/>
      <c r="C479" s="18" t="n"/>
      <c r="D479" s="20">
        <f>IF($W479="","",IF($W479="なし","※得意先にないコード",INDEX('得意先'!$C$5:$C$104,$W479)&amp;""))</f>
        <v/>
      </c>
      <c r="E479" s="26" t="n"/>
      <c r="F479" s="19" t="n"/>
      <c r="G479" s="27" t="n"/>
      <c r="H479" s="27" t="n"/>
      <c r="I479" s="27" t="n"/>
      <c r="J479" s="28">
        <f>IF($A479="","",IF('設定'!$B$10="四捨五入",ROUND(IF('設定'!$B$9="税込",N($G479)*10/110,N($G479)*10/100),0),IF('設定'!$B$10="切り上げ",ROUNDUP(IF('設定'!$B$9="税込",N($G479)*10/110,N($G479)*10/100),0),ROUNDDOWN(IF('設定'!$B$9="税込",N($G479)*10/110,N($G479)*10/100),0))))</f>
        <v/>
      </c>
      <c r="K479" s="28">
        <f>IF($A479="","",IF('設定'!$B$10="四捨五入",ROUND(IF('設定'!$B$9="税込",N($H479)*8/108,N($H479)*8/100),0),IF('設定'!$B$10="切り上げ",ROUNDUP(IF('設定'!$B$9="税込",N($H479)*8/108,N($H479)*8/100),0),ROUNDDOWN(IF('設定'!$B$9="税込",N($H479)*8/108,N($H479)*8/100),0))))</f>
        <v/>
      </c>
      <c r="L479" s="28">
        <f>IF($A479="","",N($G479)+N($H479)+N($I479)+IF('設定'!$B$9="税込",0,$J479+$K479))</f>
        <v/>
      </c>
      <c r="M479" s="29">
        <f>IF(OR($A479="",NOT(ISNUMBER($W479)),NOT(ISNUMBER($X479))),"",IF(OR(INDEX('得意先'!$D$5:$D$104,$W479)="",INDEX('得意先'!$E$5:$E$104,$W479)="",INDEX('得意先'!$F$5:$F$104,$W479)=""),"",IF(INDEX('得意先'!$F$5:$F$104,$W479)="末",DATE(YEAR($X479),(MONTH($X479)+IF(INDEX('得意先'!$D$5:$D$104,$W479)="末",0,IF(DAY($X479)&lt;=INDEX('得意先'!$D$5:$D$104,$W479),0,1))+N(INDEX('得意先'!$E$5:$E$104,$W479)))+1,0),DATE(YEAR($X479),(MONTH($X479)+IF(INDEX('得意先'!$D$5:$D$104,$W479)="末",0,IF(DAY($X479)&lt;=INDEX('得意先'!$D$5:$D$104,$W479),0,1))+N(INDEX('得意先'!$E$5:$E$104,$W479))),MIN(INDEX('得意先'!$F$5:$F$104,$W479),DAY(DATE(YEAR($X479),(MONTH($X479)+IF(INDEX('得意先'!$D$5:$D$104,$W479)="末",0,IF(DAY($X479)&lt;=INDEX('得意先'!$D$5:$D$104,$W479),0,1))+N(INDEX('得意先'!$E$5:$E$104,$W479)))+1,0)))))))</f>
        <v/>
      </c>
      <c r="N479" s="26" t="n"/>
      <c r="O479" s="29">
        <f>IF($A479="","",IF(ISNUMBER($N479),$N479,$M479))</f>
        <v/>
      </c>
      <c r="P479" s="28">
        <f>IF($A479="","",SUMIF('入金消込'!$F$5:$F$1004,$A479,'入金消込'!$G$5:$G$1004))</f>
        <v/>
      </c>
      <c r="Q479" s="28">
        <f>IF($A479="","",SUMIF('入金消込'!$F$5:$F$1004,$A479,'入金消込'!$H$5:$H$1004)+SUMIF('入金消込'!$F$5:$F$1004,$A479,'入金消込'!$I$5:$I$1004))</f>
        <v/>
      </c>
      <c r="R479" s="28">
        <f>IF($A479="","",$L479-$P479-$Q479)</f>
        <v/>
      </c>
      <c r="S479" s="30">
        <f>IF($A479="","",IF($R479=0,IF($L479=0,"請求額0","回収済"),IF($L479&lt;0,IF($R479&lt;0,"差し引き待ち","差し引きすぎ"),IF($R479&lt;0,"入金が多い",IF($P479+$Q479=0,"未入金","一部入金")))))</f>
        <v/>
      </c>
      <c r="T479" s="31">
        <f>IF(OR($A479="",N($R479)&lt;=0,NOT(ISNUMBER($O479))),"",IF($O479&lt;'設定'!$B$7,'設定'!$B$7-$O479,""))</f>
        <v/>
      </c>
      <c r="U479" s="30">
        <f>IF(OR($A479="",N($R479)&lt;=0),"",IF(NOT(ISNUMBER($O479)),'設定'!$B$22,IF($O479&gt;='設定'!$B$7,'設定'!$B$17,IF('設定'!$B$7-$O479&lt;='設定'!$B$12,'設定'!$B$18,IF('設定'!$B$7-$O479&lt;='設定'!$B$13,'設定'!$B$19,IF('設定'!$B$7-$O479&lt;='設定'!$B$14,'設定'!$B$20,'設定'!$B$21))))))</f>
        <v/>
      </c>
      <c r="V479" s="56" t="n"/>
      <c r="W479" s="32">
        <f>IF($C479="","",IFERROR(MATCH($C479,'得意先'!$B$5:$B$104,0),"なし"))</f>
        <v/>
      </c>
      <c r="X479" s="33">
        <f>IF($A479="","",IF(ISNUMBER($E479),$E479,IF(ISNUMBER($B479),$B479,"")))</f>
        <v/>
      </c>
      <c r="Y479" s="34">
        <f>IF($T479="","",$O479+ROW()/1000000)</f>
        <v/>
      </c>
      <c r="Z479" s="35">
        <f>IF(OR($A479="",$C479="",$C479&lt;&gt;'売掛帳'!$B$3,NOT(ISNUMBER($X479))),"",IF(AND($X479&gt;='売掛帳'!$Q$3,$X479&lt;='売掛帳'!$Q$4),$X479+ROW()/10000000,""))</f>
        <v/>
      </c>
    </row>
    <row r="480" ht="18" customHeight="1">
      <c r="A480" s="18" t="n"/>
      <c r="B480" s="26" t="n"/>
      <c r="C480" s="18" t="n"/>
      <c r="D480" s="20">
        <f>IF($W480="","",IF($W480="なし","※得意先にないコード",INDEX('得意先'!$C$5:$C$104,$W480)&amp;""))</f>
        <v/>
      </c>
      <c r="E480" s="26" t="n"/>
      <c r="F480" s="19" t="n"/>
      <c r="G480" s="27" t="n"/>
      <c r="H480" s="27" t="n"/>
      <c r="I480" s="27" t="n"/>
      <c r="J480" s="28">
        <f>IF($A480="","",IF('設定'!$B$10="四捨五入",ROUND(IF('設定'!$B$9="税込",N($G480)*10/110,N($G480)*10/100),0),IF('設定'!$B$10="切り上げ",ROUNDUP(IF('設定'!$B$9="税込",N($G480)*10/110,N($G480)*10/100),0),ROUNDDOWN(IF('設定'!$B$9="税込",N($G480)*10/110,N($G480)*10/100),0))))</f>
        <v/>
      </c>
      <c r="K480" s="28">
        <f>IF($A480="","",IF('設定'!$B$10="四捨五入",ROUND(IF('設定'!$B$9="税込",N($H480)*8/108,N($H480)*8/100),0),IF('設定'!$B$10="切り上げ",ROUNDUP(IF('設定'!$B$9="税込",N($H480)*8/108,N($H480)*8/100),0),ROUNDDOWN(IF('設定'!$B$9="税込",N($H480)*8/108,N($H480)*8/100),0))))</f>
        <v/>
      </c>
      <c r="L480" s="28">
        <f>IF($A480="","",N($G480)+N($H480)+N($I480)+IF('設定'!$B$9="税込",0,$J480+$K480))</f>
        <v/>
      </c>
      <c r="M480" s="29">
        <f>IF(OR($A480="",NOT(ISNUMBER($W480)),NOT(ISNUMBER($X480))),"",IF(OR(INDEX('得意先'!$D$5:$D$104,$W480)="",INDEX('得意先'!$E$5:$E$104,$W480)="",INDEX('得意先'!$F$5:$F$104,$W480)=""),"",IF(INDEX('得意先'!$F$5:$F$104,$W480)="末",DATE(YEAR($X480),(MONTH($X480)+IF(INDEX('得意先'!$D$5:$D$104,$W480)="末",0,IF(DAY($X480)&lt;=INDEX('得意先'!$D$5:$D$104,$W480),0,1))+N(INDEX('得意先'!$E$5:$E$104,$W480)))+1,0),DATE(YEAR($X480),(MONTH($X480)+IF(INDEX('得意先'!$D$5:$D$104,$W480)="末",0,IF(DAY($X480)&lt;=INDEX('得意先'!$D$5:$D$104,$W480),0,1))+N(INDEX('得意先'!$E$5:$E$104,$W480))),MIN(INDEX('得意先'!$F$5:$F$104,$W480),DAY(DATE(YEAR($X480),(MONTH($X480)+IF(INDEX('得意先'!$D$5:$D$104,$W480)="末",0,IF(DAY($X480)&lt;=INDEX('得意先'!$D$5:$D$104,$W480),0,1))+N(INDEX('得意先'!$E$5:$E$104,$W480)))+1,0)))))))</f>
        <v/>
      </c>
      <c r="N480" s="26" t="n"/>
      <c r="O480" s="29">
        <f>IF($A480="","",IF(ISNUMBER($N480),$N480,$M480))</f>
        <v/>
      </c>
      <c r="P480" s="28">
        <f>IF($A480="","",SUMIF('入金消込'!$F$5:$F$1004,$A480,'入金消込'!$G$5:$G$1004))</f>
        <v/>
      </c>
      <c r="Q480" s="28">
        <f>IF($A480="","",SUMIF('入金消込'!$F$5:$F$1004,$A480,'入金消込'!$H$5:$H$1004)+SUMIF('入金消込'!$F$5:$F$1004,$A480,'入金消込'!$I$5:$I$1004))</f>
        <v/>
      </c>
      <c r="R480" s="28">
        <f>IF($A480="","",$L480-$P480-$Q480)</f>
        <v/>
      </c>
      <c r="S480" s="30">
        <f>IF($A480="","",IF($R480=0,IF($L480=0,"請求額0","回収済"),IF($L480&lt;0,IF($R480&lt;0,"差し引き待ち","差し引きすぎ"),IF($R480&lt;0,"入金が多い",IF($P480+$Q480=0,"未入金","一部入金")))))</f>
        <v/>
      </c>
      <c r="T480" s="31">
        <f>IF(OR($A480="",N($R480)&lt;=0,NOT(ISNUMBER($O480))),"",IF($O480&lt;'設定'!$B$7,'設定'!$B$7-$O480,""))</f>
        <v/>
      </c>
      <c r="U480" s="30">
        <f>IF(OR($A480="",N($R480)&lt;=0),"",IF(NOT(ISNUMBER($O480)),'設定'!$B$22,IF($O480&gt;='設定'!$B$7,'設定'!$B$17,IF('設定'!$B$7-$O480&lt;='設定'!$B$12,'設定'!$B$18,IF('設定'!$B$7-$O480&lt;='設定'!$B$13,'設定'!$B$19,IF('設定'!$B$7-$O480&lt;='設定'!$B$14,'設定'!$B$20,'設定'!$B$21))))))</f>
        <v/>
      </c>
      <c r="V480" s="56" t="n"/>
      <c r="W480" s="32">
        <f>IF($C480="","",IFERROR(MATCH($C480,'得意先'!$B$5:$B$104,0),"なし"))</f>
        <v/>
      </c>
      <c r="X480" s="33">
        <f>IF($A480="","",IF(ISNUMBER($E480),$E480,IF(ISNUMBER($B480),$B480,"")))</f>
        <v/>
      </c>
      <c r="Y480" s="34">
        <f>IF($T480="","",$O480+ROW()/1000000)</f>
        <v/>
      </c>
      <c r="Z480" s="35">
        <f>IF(OR($A480="",$C480="",$C480&lt;&gt;'売掛帳'!$B$3,NOT(ISNUMBER($X480))),"",IF(AND($X480&gt;='売掛帳'!$Q$3,$X480&lt;='売掛帳'!$Q$4),$X480+ROW()/10000000,""))</f>
        <v/>
      </c>
    </row>
    <row r="481" ht="18" customHeight="1">
      <c r="A481" s="18" t="n"/>
      <c r="B481" s="26" t="n"/>
      <c r="C481" s="18" t="n"/>
      <c r="D481" s="20">
        <f>IF($W481="","",IF($W481="なし","※得意先にないコード",INDEX('得意先'!$C$5:$C$104,$W481)&amp;""))</f>
        <v/>
      </c>
      <c r="E481" s="26" t="n"/>
      <c r="F481" s="19" t="n"/>
      <c r="G481" s="27" t="n"/>
      <c r="H481" s="27" t="n"/>
      <c r="I481" s="27" t="n"/>
      <c r="J481" s="28">
        <f>IF($A481="","",IF('設定'!$B$10="四捨五入",ROUND(IF('設定'!$B$9="税込",N($G481)*10/110,N($G481)*10/100),0),IF('設定'!$B$10="切り上げ",ROUNDUP(IF('設定'!$B$9="税込",N($G481)*10/110,N($G481)*10/100),0),ROUNDDOWN(IF('設定'!$B$9="税込",N($G481)*10/110,N($G481)*10/100),0))))</f>
        <v/>
      </c>
      <c r="K481" s="28">
        <f>IF($A481="","",IF('設定'!$B$10="四捨五入",ROUND(IF('設定'!$B$9="税込",N($H481)*8/108,N($H481)*8/100),0),IF('設定'!$B$10="切り上げ",ROUNDUP(IF('設定'!$B$9="税込",N($H481)*8/108,N($H481)*8/100),0),ROUNDDOWN(IF('設定'!$B$9="税込",N($H481)*8/108,N($H481)*8/100),0))))</f>
        <v/>
      </c>
      <c r="L481" s="28">
        <f>IF($A481="","",N($G481)+N($H481)+N($I481)+IF('設定'!$B$9="税込",0,$J481+$K481))</f>
        <v/>
      </c>
      <c r="M481" s="29">
        <f>IF(OR($A481="",NOT(ISNUMBER($W481)),NOT(ISNUMBER($X481))),"",IF(OR(INDEX('得意先'!$D$5:$D$104,$W481)="",INDEX('得意先'!$E$5:$E$104,$W481)="",INDEX('得意先'!$F$5:$F$104,$W481)=""),"",IF(INDEX('得意先'!$F$5:$F$104,$W481)="末",DATE(YEAR($X481),(MONTH($X481)+IF(INDEX('得意先'!$D$5:$D$104,$W481)="末",0,IF(DAY($X481)&lt;=INDEX('得意先'!$D$5:$D$104,$W481),0,1))+N(INDEX('得意先'!$E$5:$E$104,$W481)))+1,0),DATE(YEAR($X481),(MONTH($X481)+IF(INDEX('得意先'!$D$5:$D$104,$W481)="末",0,IF(DAY($X481)&lt;=INDEX('得意先'!$D$5:$D$104,$W481),0,1))+N(INDEX('得意先'!$E$5:$E$104,$W481))),MIN(INDEX('得意先'!$F$5:$F$104,$W481),DAY(DATE(YEAR($X481),(MONTH($X481)+IF(INDEX('得意先'!$D$5:$D$104,$W481)="末",0,IF(DAY($X481)&lt;=INDEX('得意先'!$D$5:$D$104,$W481),0,1))+N(INDEX('得意先'!$E$5:$E$104,$W481)))+1,0)))))))</f>
        <v/>
      </c>
      <c r="N481" s="26" t="n"/>
      <c r="O481" s="29">
        <f>IF($A481="","",IF(ISNUMBER($N481),$N481,$M481))</f>
        <v/>
      </c>
      <c r="P481" s="28">
        <f>IF($A481="","",SUMIF('入金消込'!$F$5:$F$1004,$A481,'入金消込'!$G$5:$G$1004))</f>
        <v/>
      </c>
      <c r="Q481" s="28">
        <f>IF($A481="","",SUMIF('入金消込'!$F$5:$F$1004,$A481,'入金消込'!$H$5:$H$1004)+SUMIF('入金消込'!$F$5:$F$1004,$A481,'入金消込'!$I$5:$I$1004))</f>
        <v/>
      </c>
      <c r="R481" s="28">
        <f>IF($A481="","",$L481-$P481-$Q481)</f>
        <v/>
      </c>
      <c r="S481" s="30">
        <f>IF($A481="","",IF($R481=0,IF($L481=0,"請求額0","回収済"),IF($L481&lt;0,IF($R481&lt;0,"差し引き待ち","差し引きすぎ"),IF($R481&lt;0,"入金が多い",IF($P481+$Q481=0,"未入金","一部入金")))))</f>
        <v/>
      </c>
      <c r="T481" s="31">
        <f>IF(OR($A481="",N($R481)&lt;=0,NOT(ISNUMBER($O481))),"",IF($O481&lt;'設定'!$B$7,'設定'!$B$7-$O481,""))</f>
        <v/>
      </c>
      <c r="U481" s="30">
        <f>IF(OR($A481="",N($R481)&lt;=0),"",IF(NOT(ISNUMBER($O481)),'設定'!$B$22,IF($O481&gt;='設定'!$B$7,'設定'!$B$17,IF('設定'!$B$7-$O481&lt;='設定'!$B$12,'設定'!$B$18,IF('設定'!$B$7-$O481&lt;='設定'!$B$13,'設定'!$B$19,IF('設定'!$B$7-$O481&lt;='設定'!$B$14,'設定'!$B$20,'設定'!$B$21))))))</f>
        <v/>
      </c>
      <c r="V481" s="56" t="n"/>
      <c r="W481" s="32">
        <f>IF($C481="","",IFERROR(MATCH($C481,'得意先'!$B$5:$B$104,0),"なし"))</f>
        <v/>
      </c>
      <c r="X481" s="33">
        <f>IF($A481="","",IF(ISNUMBER($E481),$E481,IF(ISNUMBER($B481),$B481,"")))</f>
        <v/>
      </c>
      <c r="Y481" s="34">
        <f>IF($T481="","",$O481+ROW()/1000000)</f>
        <v/>
      </c>
      <c r="Z481" s="35">
        <f>IF(OR($A481="",$C481="",$C481&lt;&gt;'売掛帳'!$B$3,NOT(ISNUMBER($X481))),"",IF(AND($X481&gt;='売掛帳'!$Q$3,$X481&lt;='売掛帳'!$Q$4),$X481+ROW()/10000000,""))</f>
        <v/>
      </c>
    </row>
    <row r="482" ht="18" customHeight="1">
      <c r="A482" s="18" t="n"/>
      <c r="B482" s="26" t="n"/>
      <c r="C482" s="18" t="n"/>
      <c r="D482" s="20">
        <f>IF($W482="","",IF($W482="なし","※得意先にないコード",INDEX('得意先'!$C$5:$C$104,$W482)&amp;""))</f>
        <v/>
      </c>
      <c r="E482" s="26" t="n"/>
      <c r="F482" s="19" t="n"/>
      <c r="G482" s="27" t="n"/>
      <c r="H482" s="27" t="n"/>
      <c r="I482" s="27" t="n"/>
      <c r="J482" s="28">
        <f>IF($A482="","",IF('設定'!$B$10="四捨五入",ROUND(IF('設定'!$B$9="税込",N($G482)*10/110,N($G482)*10/100),0),IF('設定'!$B$10="切り上げ",ROUNDUP(IF('設定'!$B$9="税込",N($G482)*10/110,N($G482)*10/100),0),ROUNDDOWN(IF('設定'!$B$9="税込",N($G482)*10/110,N($G482)*10/100),0))))</f>
        <v/>
      </c>
      <c r="K482" s="28">
        <f>IF($A482="","",IF('設定'!$B$10="四捨五入",ROUND(IF('設定'!$B$9="税込",N($H482)*8/108,N($H482)*8/100),0),IF('設定'!$B$10="切り上げ",ROUNDUP(IF('設定'!$B$9="税込",N($H482)*8/108,N($H482)*8/100),0),ROUNDDOWN(IF('設定'!$B$9="税込",N($H482)*8/108,N($H482)*8/100),0))))</f>
        <v/>
      </c>
      <c r="L482" s="28">
        <f>IF($A482="","",N($G482)+N($H482)+N($I482)+IF('設定'!$B$9="税込",0,$J482+$K482))</f>
        <v/>
      </c>
      <c r="M482" s="29">
        <f>IF(OR($A482="",NOT(ISNUMBER($W482)),NOT(ISNUMBER($X482))),"",IF(OR(INDEX('得意先'!$D$5:$D$104,$W482)="",INDEX('得意先'!$E$5:$E$104,$W482)="",INDEX('得意先'!$F$5:$F$104,$W482)=""),"",IF(INDEX('得意先'!$F$5:$F$104,$W482)="末",DATE(YEAR($X482),(MONTH($X482)+IF(INDEX('得意先'!$D$5:$D$104,$W482)="末",0,IF(DAY($X482)&lt;=INDEX('得意先'!$D$5:$D$104,$W482),0,1))+N(INDEX('得意先'!$E$5:$E$104,$W482)))+1,0),DATE(YEAR($X482),(MONTH($X482)+IF(INDEX('得意先'!$D$5:$D$104,$W482)="末",0,IF(DAY($X482)&lt;=INDEX('得意先'!$D$5:$D$104,$W482),0,1))+N(INDEX('得意先'!$E$5:$E$104,$W482))),MIN(INDEX('得意先'!$F$5:$F$104,$W482),DAY(DATE(YEAR($X482),(MONTH($X482)+IF(INDEX('得意先'!$D$5:$D$104,$W482)="末",0,IF(DAY($X482)&lt;=INDEX('得意先'!$D$5:$D$104,$W482),0,1))+N(INDEX('得意先'!$E$5:$E$104,$W482)))+1,0)))))))</f>
        <v/>
      </c>
      <c r="N482" s="26" t="n"/>
      <c r="O482" s="29">
        <f>IF($A482="","",IF(ISNUMBER($N482),$N482,$M482))</f>
        <v/>
      </c>
      <c r="P482" s="28">
        <f>IF($A482="","",SUMIF('入金消込'!$F$5:$F$1004,$A482,'入金消込'!$G$5:$G$1004))</f>
        <v/>
      </c>
      <c r="Q482" s="28">
        <f>IF($A482="","",SUMIF('入金消込'!$F$5:$F$1004,$A482,'入金消込'!$H$5:$H$1004)+SUMIF('入金消込'!$F$5:$F$1004,$A482,'入金消込'!$I$5:$I$1004))</f>
        <v/>
      </c>
      <c r="R482" s="28">
        <f>IF($A482="","",$L482-$P482-$Q482)</f>
        <v/>
      </c>
      <c r="S482" s="30">
        <f>IF($A482="","",IF($R482=0,IF($L482=0,"請求額0","回収済"),IF($L482&lt;0,IF($R482&lt;0,"差し引き待ち","差し引きすぎ"),IF($R482&lt;0,"入金が多い",IF($P482+$Q482=0,"未入金","一部入金")))))</f>
        <v/>
      </c>
      <c r="T482" s="31">
        <f>IF(OR($A482="",N($R482)&lt;=0,NOT(ISNUMBER($O482))),"",IF($O482&lt;'設定'!$B$7,'設定'!$B$7-$O482,""))</f>
        <v/>
      </c>
      <c r="U482" s="30">
        <f>IF(OR($A482="",N($R482)&lt;=0),"",IF(NOT(ISNUMBER($O482)),'設定'!$B$22,IF($O482&gt;='設定'!$B$7,'設定'!$B$17,IF('設定'!$B$7-$O482&lt;='設定'!$B$12,'設定'!$B$18,IF('設定'!$B$7-$O482&lt;='設定'!$B$13,'設定'!$B$19,IF('設定'!$B$7-$O482&lt;='設定'!$B$14,'設定'!$B$20,'設定'!$B$21))))))</f>
        <v/>
      </c>
      <c r="V482" s="56" t="n"/>
      <c r="W482" s="32">
        <f>IF($C482="","",IFERROR(MATCH($C482,'得意先'!$B$5:$B$104,0),"なし"))</f>
        <v/>
      </c>
      <c r="X482" s="33">
        <f>IF($A482="","",IF(ISNUMBER($E482),$E482,IF(ISNUMBER($B482),$B482,"")))</f>
        <v/>
      </c>
      <c r="Y482" s="34">
        <f>IF($T482="","",$O482+ROW()/1000000)</f>
        <v/>
      </c>
      <c r="Z482" s="35">
        <f>IF(OR($A482="",$C482="",$C482&lt;&gt;'売掛帳'!$B$3,NOT(ISNUMBER($X482))),"",IF(AND($X482&gt;='売掛帳'!$Q$3,$X482&lt;='売掛帳'!$Q$4),$X482+ROW()/10000000,""))</f>
        <v/>
      </c>
    </row>
    <row r="483" ht="18" customHeight="1">
      <c r="A483" s="18" t="n"/>
      <c r="B483" s="26" t="n"/>
      <c r="C483" s="18" t="n"/>
      <c r="D483" s="20">
        <f>IF($W483="","",IF($W483="なし","※得意先にないコード",INDEX('得意先'!$C$5:$C$104,$W483)&amp;""))</f>
        <v/>
      </c>
      <c r="E483" s="26" t="n"/>
      <c r="F483" s="19" t="n"/>
      <c r="G483" s="27" t="n"/>
      <c r="H483" s="27" t="n"/>
      <c r="I483" s="27" t="n"/>
      <c r="J483" s="28">
        <f>IF($A483="","",IF('設定'!$B$10="四捨五入",ROUND(IF('設定'!$B$9="税込",N($G483)*10/110,N($G483)*10/100),0),IF('設定'!$B$10="切り上げ",ROUNDUP(IF('設定'!$B$9="税込",N($G483)*10/110,N($G483)*10/100),0),ROUNDDOWN(IF('設定'!$B$9="税込",N($G483)*10/110,N($G483)*10/100),0))))</f>
        <v/>
      </c>
      <c r="K483" s="28">
        <f>IF($A483="","",IF('設定'!$B$10="四捨五入",ROUND(IF('設定'!$B$9="税込",N($H483)*8/108,N($H483)*8/100),0),IF('設定'!$B$10="切り上げ",ROUNDUP(IF('設定'!$B$9="税込",N($H483)*8/108,N($H483)*8/100),0),ROUNDDOWN(IF('設定'!$B$9="税込",N($H483)*8/108,N($H483)*8/100),0))))</f>
        <v/>
      </c>
      <c r="L483" s="28">
        <f>IF($A483="","",N($G483)+N($H483)+N($I483)+IF('設定'!$B$9="税込",0,$J483+$K483))</f>
        <v/>
      </c>
      <c r="M483" s="29">
        <f>IF(OR($A483="",NOT(ISNUMBER($W483)),NOT(ISNUMBER($X483))),"",IF(OR(INDEX('得意先'!$D$5:$D$104,$W483)="",INDEX('得意先'!$E$5:$E$104,$W483)="",INDEX('得意先'!$F$5:$F$104,$W483)=""),"",IF(INDEX('得意先'!$F$5:$F$104,$W483)="末",DATE(YEAR($X483),(MONTH($X483)+IF(INDEX('得意先'!$D$5:$D$104,$W483)="末",0,IF(DAY($X483)&lt;=INDEX('得意先'!$D$5:$D$104,$W483),0,1))+N(INDEX('得意先'!$E$5:$E$104,$W483)))+1,0),DATE(YEAR($X483),(MONTH($X483)+IF(INDEX('得意先'!$D$5:$D$104,$W483)="末",0,IF(DAY($X483)&lt;=INDEX('得意先'!$D$5:$D$104,$W483),0,1))+N(INDEX('得意先'!$E$5:$E$104,$W483))),MIN(INDEX('得意先'!$F$5:$F$104,$W483),DAY(DATE(YEAR($X483),(MONTH($X483)+IF(INDEX('得意先'!$D$5:$D$104,$W483)="末",0,IF(DAY($X483)&lt;=INDEX('得意先'!$D$5:$D$104,$W483),0,1))+N(INDEX('得意先'!$E$5:$E$104,$W483)))+1,0)))))))</f>
        <v/>
      </c>
      <c r="N483" s="26" t="n"/>
      <c r="O483" s="29">
        <f>IF($A483="","",IF(ISNUMBER($N483),$N483,$M483))</f>
        <v/>
      </c>
      <c r="P483" s="28">
        <f>IF($A483="","",SUMIF('入金消込'!$F$5:$F$1004,$A483,'入金消込'!$G$5:$G$1004))</f>
        <v/>
      </c>
      <c r="Q483" s="28">
        <f>IF($A483="","",SUMIF('入金消込'!$F$5:$F$1004,$A483,'入金消込'!$H$5:$H$1004)+SUMIF('入金消込'!$F$5:$F$1004,$A483,'入金消込'!$I$5:$I$1004))</f>
        <v/>
      </c>
      <c r="R483" s="28">
        <f>IF($A483="","",$L483-$P483-$Q483)</f>
        <v/>
      </c>
      <c r="S483" s="30">
        <f>IF($A483="","",IF($R483=0,IF($L483=0,"請求額0","回収済"),IF($L483&lt;0,IF($R483&lt;0,"差し引き待ち","差し引きすぎ"),IF($R483&lt;0,"入金が多い",IF($P483+$Q483=0,"未入金","一部入金")))))</f>
        <v/>
      </c>
      <c r="T483" s="31">
        <f>IF(OR($A483="",N($R483)&lt;=0,NOT(ISNUMBER($O483))),"",IF($O483&lt;'設定'!$B$7,'設定'!$B$7-$O483,""))</f>
        <v/>
      </c>
      <c r="U483" s="30">
        <f>IF(OR($A483="",N($R483)&lt;=0),"",IF(NOT(ISNUMBER($O483)),'設定'!$B$22,IF($O483&gt;='設定'!$B$7,'設定'!$B$17,IF('設定'!$B$7-$O483&lt;='設定'!$B$12,'設定'!$B$18,IF('設定'!$B$7-$O483&lt;='設定'!$B$13,'設定'!$B$19,IF('設定'!$B$7-$O483&lt;='設定'!$B$14,'設定'!$B$20,'設定'!$B$21))))))</f>
        <v/>
      </c>
      <c r="V483" s="56" t="n"/>
      <c r="W483" s="32">
        <f>IF($C483="","",IFERROR(MATCH($C483,'得意先'!$B$5:$B$104,0),"なし"))</f>
        <v/>
      </c>
      <c r="X483" s="33">
        <f>IF($A483="","",IF(ISNUMBER($E483),$E483,IF(ISNUMBER($B483),$B483,"")))</f>
        <v/>
      </c>
      <c r="Y483" s="34">
        <f>IF($T483="","",$O483+ROW()/1000000)</f>
        <v/>
      </c>
      <c r="Z483" s="35">
        <f>IF(OR($A483="",$C483="",$C483&lt;&gt;'売掛帳'!$B$3,NOT(ISNUMBER($X483))),"",IF(AND($X483&gt;='売掛帳'!$Q$3,$X483&lt;='売掛帳'!$Q$4),$X483+ROW()/10000000,""))</f>
        <v/>
      </c>
    </row>
    <row r="484" ht="18" customHeight="1">
      <c r="A484" s="18" t="n"/>
      <c r="B484" s="26" t="n"/>
      <c r="C484" s="18" t="n"/>
      <c r="D484" s="20">
        <f>IF($W484="","",IF($W484="なし","※得意先にないコード",INDEX('得意先'!$C$5:$C$104,$W484)&amp;""))</f>
        <v/>
      </c>
      <c r="E484" s="26" t="n"/>
      <c r="F484" s="19" t="n"/>
      <c r="G484" s="27" t="n"/>
      <c r="H484" s="27" t="n"/>
      <c r="I484" s="27" t="n"/>
      <c r="J484" s="28">
        <f>IF($A484="","",IF('設定'!$B$10="四捨五入",ROUND(IF('設定'!$B$9="税込",N($G484)*10/110,N($G484)*10/100),0),IF('設定'!$B$10="切り上げ",ROUNDUP(IF('設定'!$B$9="税込",N($G484)*10/110,N($G484)*10/100),0),ROUNDDOWN(IF('設定'!$B$9="税込",N($G484)*10/110,N($G484)*10/100),0))))</f>
        <v/>
      </c>
      <c r="K484" s="28">
        <f>IF($A484="","",IF('設定'!$B$10="四捨五入",ROUND(IF('設定'!$B$9="税込",N($H484)*8/108,N($H484)*8/100),0),IF('設定'!$B$10="切り上げ",ROUNDUP(IF('設定'!$B$9="税込",N($H484)*8/108,N($H484)*8/100),0),ROUNDDOWN(IF('設定'!$B$9="税込",N($H484)*8/108,N($H484)*8/100),0))))</f>
        <v/>
      </c>
      <c r="L484" s="28">
        <f>IF($A484="","",N($G484)+N($H484)+N($I484)+IF('設定'!$B$9="税込",0,$J484+$K484))</f>
        <v/>
      </c>
      <c r="M484" s="29">
        <f>IF(OR($A484="",NOT(ISNUMBER($W484)),NOT(ISNUMBER($X484))),"",IF(OR(INDEX('得意先'!$D$5:$D$104,$W484)="",INDEX('得意先'!$E$5:$E$104,$W484)="",INDEX('得意先'!$F$5:$F$104,$W484)=""),"",IF(INDEX('得意先'!$F$5:$F$104,$W484)="末",DATE(YEAR($X484),(MONTH($X484)+IF(INDEX('得意先'!$D$5:$D$104,$W484)="末",0,IF(DAY($X484)&lt;=INDEX('得意先'!$D$5:$D$104,$W484),0,1))+N(INDEX('得意先'!$E$5:$E$104,$W484)))+1,0),DATE(YEAR($X484),(MONTH($X484)+IF(INDEX('得意先'!$D$5:$D$104,$W484)="末",0,IF(DAY($X484)&lt;=INDEX('得意先'!$D$5:$D$104,$W484),0,1))+N(INDEX('得意先'!$E$5:$E$104,$W484))),MIN(INDEX('得意先'!$F$5:$F$104,$W484),DAY(DATE(YEAR($X484),(MONTH($X484)+IF(INDEX('得意先'!$D$5:$D$104,$W484)="末",0,IF(DAY($X484)&lt;=INDEX('得意先'!$D$5:$D$104,$W484),0,1))+N(INDEX('得意先'!$E$5:$E$104,$W484)))+1,0)))))))</f>
        <v/>
      </c>
      <c r="N484" s="26" t="n"/>
      <c r="O484" s="29">
        <f>IF($A484="","",IF(ISNUMBER($N484),$N484,$M484))</f>
        <v/>
      </c>
      <c r="P484" s="28">
        <f>IF($A484="","",SUMIF('入金消込'!$F$5:$F$1004,$A484,'入金消込'!$G$5:$G$1004))</f>
        <v/>
      </c>
      <c r="Q484" s="28">
        <f>IF($A484="","",SUMIF('入金消込'!$F$5:$F$1004,$A484,'入金消込'!$H$5:$H$1004)+SUMIF('入金消込'!$F$5:$F$1004,$A484,'入金消込'!$I$5:$I$1004))</f>
        <v/>
      </c>
      <c r="R484" s="28">
        <f>IF($A484="","",$L484-$P484-$Q484)</f>
        <v/>
      </c>
      <c r="S484" s="30">
        <f>IF($A484="","",IF($R484=0,IF($L484=0,"請求額0","回収済"),IF($L484&lt;0,IF($R484&lt;0,"差し引き待ち","差し引きすぎ"),IF($R484&lt;0,"入金が多い",IF($P484+$Q484=0,"未入金","一部入金")))))</f>
        <v/>
      </c>
      <c r="T484" s="31">
        <f>IF(OR($A484="",N($R484)&lt;=0,NOT(ISNUMBER($O484))),"",IF($O484&lt;'設定'!$B$7,'設定'!$B$7-$O484,""))</f>
        <v/>
      </c>
      <c r="U484" s="30">
        <f>IF(OR($A484="",N($R484)&lt;=0),"",IF(NOT(ISNUMBER($O484)),'設定'!$B$22,IF($O484&gt;='設定'!$B$7,'設定'!$B$17,IF('設定'!$B$7-$O484&lt;='設定'!$B$12,'設定'!$B$18,IF('設定'!$B$7-$O484&lt;='設定'!$B$13,'設定'!$B$19,IF('設定'!$B$7-$O484&lt;='設定'!$B$14,'設定'!$B$20,'設定'!$B$21))))))</f>
        <v/>
      </c>
      <c r="V484" s="56" t="n"/>
      <c r="W484" s="32">
        <f>IF($C484="","",IFERROR(MATCH($C484,'得意先'!$B$5:$B$104,0),"なし"))</f>
        <v/>
      </c>
      <c r="X484" s="33">
        <f>IF($A484="","",IF(ISNUMBER($E484),$E484,IF(ISNUMBER($B484),$B484,"")))</f>
        <v/>
      </c>
      <c r="Y484" s="34">
        <f>IF($T484="","",$O484+ROW()/1000000)</f>
        <v/>
      </c>
      <c r="Z484" s="35">
        <f>IF(OR($A484="",$C484="",$C484&lt;&gt;'売掛帳'!$B$3,NOT(ISNUMBER($X484))),"",IF(AND($X484&gt;='売掛帳'!$Q$3,$X484&lt;='売掛帳'!$Q$4),$X484+ROW()/10000000,""))</f>
        <v/>
      </c>
    </row>
    <row r="485" ht="18" customHeight="1">
      <c r="A485" s="18" t="n"/>
      <c r="B485" s="26" t="n"/>
      <c r="C485" s="18" t="n"/>
      <c r="D485" s="20">
        <f>IF($W485="","",IF($W485="なし","※得意先にないコード",INDEX('得意先'!$C$5:$C$104,$W485)&amp;""))</f>
        <v/>
      </c>
      <c r="E485" s="26" t="n"/>
      <c r="F485" s="19" t="n"/>
      <c r="G485" s="27" t="n"/>
      <c r="H485" s="27" t="n"/>
      <c r="I485" s="27" t="n"/>
      <c r="J485" s="28">
        <f>IF($A485="","",IF('設定'!$B$10="四捨五入",ROUND(IF('設定'!$B$9="税込",N($G485)*10/110,N($G485)*10/100),0),IF('設定'!$B$10="切り上げ",ROUNDUP(IF('設定'!$B$9="税込",N($G485)*10/110,N($G485)*10/100),0),ROUNDDOWN(IF('設定'!$B$9="税込",N($G485)*10/110,N($G485)*10/100),0))))</f>
        <v/>
      </c>
      <c r="K485" s="28">
        <f>IF($A485="","",IF('設定'!$B$10="四捨五入",ROUND(IF('設定'!$B$9="税込",N($H485)*8/108,N($H485)*8/100),0),IF('設定'!$B$10="切り上げ",ROUNDUP(IF('設定'!$B$9="税込",N($H485)*8/108,N($H485)*8/100),0),ROUNDDOWN(IF('設定'!$B$9="税込",N($H485)*8/108,N($H485)*8/100),0))))</f>
        <v/>
      </c>
      <c r="L485" s="28">
        <f>IF($A485="","",N($G485)+N($H485)+N($I485)+IF('設定'!$B$9="税込",0,$J485+$K485))</f>
        <v/>
      </c>
      <c r="M485" s="29">
        <f>IF(OR($A485="",NOT(ISNUMBER($W485)),NOT(ISNUMBER($X485))),"",IF(OR(INDEX('得意先'!$D$5:$D$104,$W485)="",INDEX('得意先'!$E$5:$E$104,$W485)="",INDEX('得意先'!$F$5:$F$104,$W485)=""),"",IF(INDEX('得意先'!$F$5:$F$104,$W485)="末",DATE(YEAR($X485),(MONTH($X485)+IF(INDEX('得意先'!$D$5:$D$104,$W485)="末",0,IF(DAY($X485)&lt;=INDEX('得意先'!$D$5:$D$104,$W485),0,1))+N(INDEX('得意先'!$E$5:$E$104,$W485)))+1,0),DATE(YEAR($X485),(MONTH($X485)+IF(INDEX('得意先'!$D$5:$D$104,$W485)="末",0,IF(DAY($X485)&lt;=INDEX('得意先'!$D$5:$D$104,$W485),0,1))+N(INDEX('得意先'!$E$5:$E$104,$W485))),MIN(INDEX('得意先'!$F$5:$F$104,$W485),DAY(DATE(YEAR($X485),(MONTH($X485)+IF(INDEX('得意先'!$D$5:$D$104,$W485)="末",0,IF(DAY($X485)&lt;=INDEX('得意先'!$D$5:$D$104,$W485),0,1))+N(INDEX('得意先'!$E$5:$E$104,$W485)))+1,0)))))))</f>
        <v/>
      </c>
      <c r="N485" s="26" t="n"/>
      <c r="O485" s="29">
        <f>IF($A485="","",IF(ISNUMBER($N485),$N485,$M485))</f>
        <v/>
      </c>
      <c r="P485" s="28">
        <f>IF($A485="","",SUMIF('入金消込'!$F$5:$F$1004,$A485,'入金消込'!$G$5:$G$1004))</f>
        <v/>
      </c>
      <c r="Q485" s="28">
        <f>IF($A485="","",SUMIF('入金消込'!$F$5:$F$1004,$A485,'入金消込'!$H$5:$H$1004)+SUMIF('入金消込'!$F$5:$F$1004,$A485,'入金消込'!$I$5:$I$1004))</f>
        <v/>
      </c>
      <c r="R485" s="28">
        <f>IF($A485="","",$L485-$P485-$Q485)</f>
        <v/>
      </c>
      <c r="S485" s="30">
        <f>IF($A485="","",IF($R485=0,IF($L485=0,"請求額0","回収済"),IF($L485&lt;0,IF($R485&lt;0,"差し引き待ち","差し引きすぎ"),IF($R485&lt;0,"入金が多い",IF($P485+$Q485=0,"未入金","一部入金")))))</f>
        <v/>
      </c>
      <c r="T485" s="31">
        <f>IF(OR($A485="",N($R485)&lt;=0,NOT(ISNUMBER($O485))),"",IF($O485&lt;'設定'!$B$7,'設定'!$B$7-$O485,""))</f>
        <v/>
      </c>
      <c r="U485" s="30">
        <f>IF(OR($A485="",N($R485)&lt;=0),"",IF(NOT(ISNUMBER($O485)),'設定'!$B$22,IF($O485&gt;='設定'!$B$7,'設定'!$B$17,IF('設定'!$B$7-$O485&lt;='設定'!$B$12,'設定'!$B$18,IF('設定'!$B$7-$O485&lt;='設定'!$B$13,'設定'!$B$19,IF('設定'!$B$7-$O485&lt;='設定'!$B$14,'設定'!$B$20,'設定'!$B$21))))))</f>
        <v/>
      </c>
      <c r="V485" s="56" t="n"/>
      <c r="W485" s="32">
        <f>IF($C485="","",IFERROR(MATCH($C485,'得意先'!$B$5:$B$104,0),"なし"))</f>
        <v/>
      </c>
      <c r="X485" s="33">
        <f>IF($A485="","",IF(ISNUMBER($E485),$E485,IF(ISNUMBER($B485),$B485,"")))</f>
        <v/>
      </c>
      <c r="Y485" s="34">
        <f>IF($T485="","",$O485+ROW()/1000000)</f>
        <v/>
      </c>
      <c r="Z485" s="35">
        <f>IF(OR($A485="",$C485="",$C485&lt;&gt;'売掛帳'!$B$3,NOT(ISNUMBER($X485))),"",IF(AND($X485&gt;='売掛帳'!$Q$3,$X485&lt;='売掛帳'!$Q$4),$X485+ROW()/10000000,""))</f>
        <v/>
      </c>
    </row>
    <row r="486" ht="18" customHeight="1">
      <c r="A486" s="18" t="n"/>
      <c r="B486" s="26" t="n"/>
      <c r="C486" s="18" t="n"/>
      <c r="D486" s="20">
        <f>IF($W486="","",IF($W486="なし","※得意先にないコード",INDEX('得意先'!$C$5:$C$104,$W486)&amp;""))</f>
        <v/>
      </c>
      <c r="E486" s="26" t="n"/>
      <c r="F486" s="19" t="n"/>
      <c r="G486" s="27" t="n"/>
      <c r="H486" s="27" t="n"/>
      <c r="I486" s="27" t="n"/>
      <c r="J486" s="28">
        <f>IF($A486="","",IF('設定'!$B$10="四捨五入",ROUND(IF('設定'!$B$9="税込",N($G486)*10/110,N($G486)*10/100),0),IF('設定'!$B$10="切り上げ",ROUNDUP(IF('設定'!$B$9="税込",N($G486)*10/110,N($G486)*10/100),0),ROUNDDOWN(IF('設定'!$B$9="税込",N($G486)*10/110,N($G486)*10/100),0))))</f>
        <v/>
      </c>
      <c r="K486" s="28">
        <f>IF($A486="","",IF('設定'!$B$10="四捨五入",ROUND(IF('設定'!$B$9="税込",N($H486)*8/108,N($H486)*8/100),0),IF('設定'!$B$10="切り上げ",ROUNDUP(IF('設定'!$B$9="税込",N($H486)*8/108,N($H486)*8/100),0),ROUNDDOWN(IF('設定'!$B$9="税込",N($H486)*8/108,N($H486)*8/100),0))))</f>
        <v/>
      </c>
      <c r="L486" s="28">
        <f>IF($A486="","",N($G486)+N($H486)+N($I486)+IF('設定'!$B$9="税込",0,$J486+$K486))</f>
        <v/>
      </c>
      <c r="M486" s="29">
        <f>IF(OR($A486="",NOT(ISNUMBER($W486)),NOT(ISNUMBER($X486))),"",IF(OR(INDEX('得意先'!$D$5:$D$104,$W486)="",INDEX('得意先'!$E$5:$E$104,$W486)="",INDEX('得意先'!$F$5:$F$104,$W486)=""),"",IF(INDEX('得意先'!$F$5:$F$104,$W486)="末",DATE(YEAR($X486),(MONTH($X486)+IF(INDEX('得意先'!$D$5:$D$104,$W486)="末",0,IF(DAY($X486)&lt;=INDEX('得意先'!$D$5:$D$104,$W486),0,1))+N(INDEX('得意先'!$E$5:$E$104,$W486)))+1,0),DATE(YEAR($X486),(MONTH($X486)+IF(INDEX('得意先'!$D$5:$D$104,$W486)="末",0,IF(DAY($X486)&lt;=INDEX('得意先'!$D$5:$D$104,$W486),0,1))+N(INDEX('得意先'!$E$5:$E$104,$W486))),MIN(INDEX('得意先'!$F$5:$F$104,$W486),DAY(DATE(YEAR($X486),(MONTH($X486)+IF(INDEX('得意先'!$D$5:$D$104,$W486)="末",0,IF(DAY($X486)&lt;=INDEX('得意先'!$D$5:$D$104,$W486),0,1))+N(INDEX('得意先'!$E$5:$E$104,$W486)))+1,0)))))))</f>
        <v/>
      </c>
      <c r="N486" s="26" t="n"/>
      <c r="O486" s="29">
        <f>IF($A486="","",IF(ISNUMBER($N486),$N486,$M486))</f>
        <v/>
      </c>
      <c r="P486" s="28">
        <f>IF($A486="","",SUMIF('入金消込'!$F$5:$F$1004,$A486,'入金消込'!$G$5:$G$1004))</f>
        <v/>
      </c>
      <c r="Q486" s="28">
        <f>IF($A486="","",SUMIF('入金消込'!$F$5:$F$1004,$A486,'入金消込'!$H$5:$H$1004)+SUMIF('入金消込'!$F$5:$F$1004,$A486,'入金消込'!$I$5:$I$1004))</f>
        <v/>
      </c>
      <c r="R486" s="28">
        <f>IF($A486="","",$L486-$P486-$Q486)</f>
        <v/>
      </c>
      <c r="S486" s="30">
        <f>IF($A486="","",IF($R486=0,IF($L486=0,"請求額0","回収済"),IF($L486&lt;0,IF($R486&lt;0,"差し引き待ち","差し引きすぎ"),IF($R486&lt;0,"入金が多い",IF($P486+$Q486=0,"未入金","一部入金")))))</f>
        <v/>
      </c>
      <c r="T486" s="31">
        <f>IF(OR($A486="",N($R486)&lt;=0,NOT(ISNUMBER($O486))),"",IF($O486&lt;'設定'!$B$7,'設定'!$B$7-$O486,""))</f>
        <v/>
      </c>
      <c r="U486" s="30">
        <f>IF(OR($A486="",N($R486)&lt;=0),"",IF(NOT(ISNUMBER($O486)),'設定'!$B$22,IF($O486&gt;='設定'!$B$7,'設定'!$B$17,IF('設定'!$B$7-$O486&lt;='設定'!$B$12,'設定'!$B$18,IF('設定'!$B$7-$O486&lt;='設定'!$B$13,'設定'!$B$19,IF('設定'!$B$7-$O486&lt;='設定'!$B$14,'設定'!$B$20,'設定'!$B$21))))))</f>
        <v/>
      </c>
      <c r="V486" s="56" t="n"/>
      <c r="W486" s="32">
        <f>IF($C486="","",IFERROR(MATCH($C486,'得意先'!$B$5:$B$104,0),"なし"))</f>
        <v/>
      </c>
      <c r="X486" s="33">
        <f>IF($A486="","",IF(ISNUMBER($E486),$E486,IF(ISNUMBER($B486),$B486,"")))</f>
        <v/>
      </c>
      <c r="Y486" s="34">
        <f>IF($T486="","",$O486+ROW()/1000000)</f>
        <v/>
      </c>
      <c r="Z486" s="35">
        <f>IF(OR($A486="",$C486="",$C486&lt;&gt;'売掛帳'!$B$3,NOT(ISNUMBER($X486))),"",IF(AND($X486&gt;='売掛帳'!$Q$3,$X486&lt;='売掛帳'!$Q$4),$X486+ROW()/10000000,""))</f>
        <v/>
      </c>
    </row>
    <row r="487" ht="18" customHeight="1">
      <c r="A487" s="18" t="n"/>
      <c r="B487" s="26" t="n"/>
      <c r="C487" s="18" t="n"/>
      <c r="D487" s="20">
        <f>IF($W487="","",IF($W487="なし","※得意先にないコード",INDEX('得意先'!$C$5:$C$104,$W487)&amp;""))</f>
        <v/>
      </c>
      <c r="E487" s="26" t="n"/>
      <c r="F487" s="19" t="n"/>
      <c r="G487" s="27" t="n"/>
      <c r="H487" s="27" t="n"/>
      <c r="I487" s="27" t="n"/>
      <c r="J487" s="28">
        <f>IF($A487="","",IF('設定'!$B$10="四捨五入",ROUND(IF('設定'!$B$9="税込",N($G487)*10/110,N($G487)*10/100),0),IF('設定'!$B$10="切り上げ",ROUNDUP(IF('設定'!$B$9="税込",N($G487)*10/110,N($G487)*10/100),0),ROUNDDOWN(IF('設定'!$B$9="税込",N($G487)*10/110,N($G487)*10/100),0))))</f>
        <v/>
      </c>
      <c r="K487" s="28">
        <f>IF($A487="","",IF('設定'!$B$10="四捨五入",ROUND(IF('設定'!$B$9="税込",N($H487)*8/108,N($H487)*8/100),0),IF('設定'!$B$10="切り上げ",ROUNDUP(IF('設定'!$B$9="税込",N($H487)*8/108,N($H487)*8/100),0),ROUNDDOWN(IF('設定'!$B$9="税込",N($H487)*8/108,N($H487)*8/100),0))))</f>
        <v/>
      </c>
      <c r="L487" s="28">
        <f>IF($A487="","",N($G487)+N($H487)+N($I487)+IF('設定'!$B$9="税込",0,$J487+$K487))</f>
        <v/>
      </c>
      <c r="M487" s="29">
        <f>IF(OR($A487="",NOT(ISNUMBER($W487)),NOT(ISNUMBER($X487))),"",IF(OR(INDEX('得意先'!$D$5:$D$104,$W487)="",INDEX('得意先'!$E$5:$E$104,$W487)="",INDEX('得意先'!$F$5:$F$104,$W487)=""),"",IF(INDEX('得意先'!$F$5:$F$104,$W487)="末",DATE(YEAR($X487),(MONTH($X487)+IF(INDEX('得意先'!$D$5:$D$104,$W487)="末",0,IF(DAY($X487)&lt;=INDEX('得意先'!$D$5:$D$104,$W487),0,1))+N(INDEX('得意先'!$E$5:$E$104,$W487)))+1,0),DATE(YEAR($X487),(MONTH($X487)+IF(INDEX('得意先'!$D$5:$D$104,$W487)="末",0,IF(DAY($X487)&lt;=INDEX('得意先'!$D$5:$D$104,$W487),0,1))+N(INDEX('得意先'!$E$5:$E$104,$W487))),MIN(INDEX('得意先'!$F$5:$F$104,$W487),DAY(DATE(YEAR($X487),(MONTH($X487)+IF(INDEX('得意先'!$D$5:$D$104,$W487)="末",0,IF(DAY($X487)&lt;=INDEX('得意先'!$D$5:$D$104,$W487),0,1))+N(INDEX('得意先'!$E$5:$E$104,$W487)))+1,0)))))))</f>
        <v/>
      </c>
      <c r="N487" s="26" t="n"/>
      <c r="O487" s="29">
        <f>IF($A487="","",IF(ISNUMBER($N487),$N487,$M487))</f>
        <v/>
      </c>
      <c r="P487" s="28">
        <f>IF($A487="","",SUMIF('入金消込'!$F$5:$F$1004,$A487,'入金消込'!$G$5:$G$1004))</f>
        <v/>
      </c>
      <c r="Q487" s="28">
        <f>IF($A487="","",SUMIF('入金消込'!$F$5:$F$1004,$A487,'入金消込'!$H$5:$H$1004)+SUMIF('入金消込'!$F$5:$F$1004,$A487,'入金消込'!$I$5:$I$1004))</f>
        <v/>
      </c>
      <c r="R487" s="28">
        <f>IF($A487="","",$L487-$P487-$Q487)</f>
        <v/>
      </c>
      <c r="S487" s="30">
        <f>IF($A487="","",IF($R487=0,IF($L487=0,"請求額0","回収済"),IF($L487&lt;0,IF($R487&lt;0,"差し引き待ち","差し引きすぎ"),IF($R487&lt;0,"入金が多い",IF($P487+$Q487=0,"未入金","一部入金")))))</f>
        <v/>
      </c>
      <c r="T487" s="31">
        <f>IF(OR($A487="",N($R487)&lt;=0,NOT(ISNUMBER($O487))),"",IF($O487&lt;'設定'!$B$7,'設定'!$B$7-$O487,""))</f>
        <v/>
      </c>
      <c r="U487" s="30">
        <f>IF(OR($A487="",N($R487)&lt;=0),"",IF(NOT(ISNUMBER($O487)),'設定'!$B$22,IF($O487&gt;='設定'!$B$7,'設定'!$B$17,IF('設定'!$B$7-$O487&lt;='設定'!$B$12,'設定'!$B$18,IF('設定'!$B$7-$O487&lt;='設定'!$B$13,'設定'!$B$19,IF('設定'!$B$7-$O487&lt;='設定'!$B$14,'設定'!$B$20,'設定'!$B$21))))))</f>
        <v/>
      </c>
      <c r="V487" s="56" t="n"/>
      <c r="W487" s="32">
        <f>IF($C487="","",IFERROR(MATCH($C487,'得意先'!$B$5:$B$104,0),"なし"))</f>
        <v/>
      </c>
      <c r="X487" s="33">
        <f>IF($A487="","",IF(ISNUMBER($E487),$E487,IF(ISNUMBER($B487),$B487,"")))</f>
        <v/>
      </c>
      <c r="Y487" s="34">
        <f>IF($T487="","",$O487+ROW()/1000000)</f>
        <v/>
      </c>
      <c r="Z487" s="35">
        <f>IF(OR($A487="",$C487="",$C487&lt;&gt;'売掛帳'!$B$3,NOT(ISNUMBER($X487))),"",IF(AND($X487&gt;='売掛帳'!$Q$3,$X487&lt;='売掛帳'!$Q$4),$X487+ROW()/10000000,""))</f>
        <v/>
      </c>
    </row>
    <row r="488" ht="18" customHeight="1">
      <c r="A488" s="18" t="n"/>
      <c r="B488" s="26" t="n"/>
      <c r="C488" s="18" t="n"/>
      <c r="D488" s="20">
        <f>IF($W488="","",IF($W488="なし","※得意先にないコード",INDEX('得意先'!$C$5:$C$104,$W488)&amp;""))</f>
        <v/>
      </c>
      <c r="E488" s="26" t="n"/>
      <c r="F488" s="19" t="n"/>
      <c r="G488" s="27" t="n"/>
      <c r="H488" s="27" t="n"/>
      <c r="I488" s="27" t="n"/>
      <c r="J488" s="28">
        <f>IF($A488="","",IF('設定'!$B$10="四捨五入",ROUND(IF('設定'!$B$9="税込",N($G488)*10/110,N($G488)*10/100),0),IF('設定'!$B$10="切り上げ",ROUNDUP(IF('設定'!$B$9="税込",N($G488)*10/110,N($G488)*10/100),0),ROUNDDOWN(IF('設定'!$B$9="税込",N($G488)*10/110,N($G488)*10/100),0))))</f>
        <v/>
      </c>
      <c r="K488" s="28">
        <f>IF($A488="","",IF('設定'!$B$10="四捨五入",ROUND(IF('設定'!$B$9="税込",N($H488)*8/108,N($H488)*8/100),0),IF('設定'!$B$10="切り上げ",ROUNDUP(IF('設定'!$B$9="税込",N($H488)*8/108,N($H488)*8/100),0),ROUNDDOWN(IF('設定'!$B$9="税込",N($H488)*8/108,N($H488)*8/100),0))))</f>
        <v/>
      </c>
      <c r="L488" s="28">
        <f>IF($A488="","",N($G488)+N($H488)+N($I488)+IF('設定'!$B$9="税込",0,$J488+$K488))</f>
        <v/>
      </c>
      <c r="M488" s="29">
        <f>IF(OR($A488="",NOT(ISNUMBER($W488)),NOT(ISNUMBER($X488))),"",IF(OR(INDEX('得意先'!$D$5:$D$104,$W488)="",INDEX('得意先'!$E$5:$E$104,$W488)="",INDEX('得意先'!$F$5:$F$104,$W488)=""),"",IF(INDEX('得意先'!$F$5:$F$104,$W488)="末",DATE(YEAR($X488),(MONTH($X488)+IF(INDEX('得意先'!$D$5:$D$104,$W488)="末",0,IF(DAY($X488)&lt;=INDEX('得意先'!$D$5:$D$104,$W488),0,1))+N(INDEX('得意先'!$E$5:$E$104,$W488)))+1,0),DATE(YEAR($X488),(MONTH($X488)+IF(INDEX('得意先'!$D$5:$D$104,$W488)="末",0,IF(DAY($X488)&lt;=INDEX('得意先'!$D$5:$D$104,$W488),0,1))+N(INDEX('得意先'!$E$5:$E$104,$W488))),MIN(INDEX('得意先'!$F$5:$F$104,$W488),DAY(DATE(YEAR($X488),(MONTH($X488)+IF(INDEX('得意先'!$D$5:$D$104,$W488)="末",0,IF(DAY($X488)&lt;=INDEX('得意先'!$D$5:$D$104,$W488),0,1))+N(INDEX('得意先'!$E$5:$E$104,$W488)))+1,0)))))))</f>
        <v/>
      </c>
      <c r="N488" s="26" t="n"/>
      <c r="O488" s="29">
        <f>IF($A488="","",IF(ISNUMBER($N488),$N488,$M488))</f>
        <v/>
      </c>
      <c r="P488" s="28">
        <f>IF($A488="","",SUMIF('入金消込'!$F$5:$F$1004,$A488,'入金消込'!$G$5:$G$1004))</f>
        <v/>
      </c>
      <c r="Q488" s="28">
        <f>IF($A488="","",SUMIF('入金消込'!$F$5:$F$1004,$A488,'入金消込'!$H$5:$H$1004)+SUMIF('入金消込'!$F$5:$F$1004,$A488,'入金消込'!$I$5:$I$1004))</f>
        <v/>
      </c>
      <c r="R488" s="28">
        <f>IF($A488="","",$L488-$P488-$Q488)</f>
        <v/>
      </c>
      <c r="S488" s="30">
        <f>IF($A488="","",IF($R488=0,IF($L488=0,"請求額0","回収済"),IF($L488&lt;0,IF($R488&lt;0,"差し引き待ち","差し引きすぎ"),IF($R488&lt;0,"入金が多い",IF($P488+$Q488=0,"未入金","一部入金")))))</f>
        <v/>
      </c>
      <c r="T488" s="31">
        <f>IF(OR($A488="",N($R488)&lt;=0,NOT(ISNUMBER($O488))),"",IF($O488&lt;'設定'!$B$7,'設定'!$B$7-$O488,""))</f>
        <v/>
      </c>
      <c r="U488" s="30">
        <f>IF(OR($A488="",N($R488)&lt;=0),"",IF(NOT(ISNUMBER($O488)),'設定'!$B$22,IF($O488&gt;='設定'!$B$7,'設定'!$B$17,IF('設定'!$B$7-$O488&lt;='設定'!$B$12,'設定'!$B$18,IF('設定'!$B$7-$O488&lt;='設定'!$B$13,'設定'!$B$19,IF('設定'!$B$7-$O488&lt;='設定'!$B$14,'設定'!$B$20,'設定'!$B$21))))))</f>
        <v/>
      </c>
      <c r="V488" s="56" t="n"/>
      <c r="W488" s="32">
        <f>IF($C488="","",IFERROR(MATCH($C488,'得意先'!$B$5:$B$104,0),"なし"))</f>
        <v/>
      </c>
      <c r="X488" s="33">
        <f>IF($A488="","",IF(ISNUMBER($E488),$E488,IF(ISNUMBER($B488),$B488,"")))</f>
        <v/>
      </c>
      <c r="Y488" s="34">
        <f>IF($T488="","",$O488+ROW()/1000000)</f>
        <v/>
      </c>
      <c r="Z488" s="35">
        <f>IF(OR($A488="",$C488="",$C488&lt;&gt;'売掛帳'!$B$3,NOT(ISNUMBER($X488))),"",IF(AND($X488&gt;='売掛帳'!$Q$3,$X488&lt;='売掛帳'!$Q$4),$X488+ROW()/10000000,""))</f>
        <v/>
      </c>
    </row>
    <row r="489" ht="18" customHeight="1">
      <c r="A489" s="18" t="n"/>
      <c r="B489" s="26" t="n"/>
      <c r="C489" s="18" t="n"/>
      <c r="D489" s="20">
        <f>IF($W489="","",IF($W489="なし","※得意先にないコード",INDEX('得意先'!$C$5:$C$104,$W489)&amp;""))</f>
        <v/>
      </c>
      <c r="E489" s="26" t="n"/>
      <c r="F489" s="19" t="n"/>
      <c r="G489" s="27" t="n"/>
      <c r="H489" s="27" t="n"/>
      <c r="I489" s="27" t="n"/>
      <c r="J489" s="28">
        <f>IF($A489="","",IF('設定'!$B$10="四捨五入",ROUND(IF('設定'!$B$9="税込",N($G489)*10/110,N($G489)*10/100),0),IF('設定'!$B$10="切り上げ",ROUNDUP(IF('設定'!$B$9="税込",N($G489)*10/110,N($G489)*10/100),0),ROUNDDOWN(IF('設定'!$B$9="税込",N($G489)*10/110,N($G489)*10/100),0))))</f>
        <v/>
      </c>
      <c r="K489" s="28">
        <f>IF($A489="","",IF('設定'!$B$10="四捨五入",ROUND(IF('設定'!$B$9="税込",N($H489)*8/108,N($H489)*8/100),0),IF('設定'!$B$10="切り上げ",ROUNDUP(IF('設定'!$B$9="税込",N($H489)*8/108,N($H489)*8/100),0),ROUNDDOWN(IF('設定'!$B$9="税込",N($H489)*8/108,N($H489)*8/100),0))))</f>
        <v/>
      </c>
      <c r="L489" s="28">
        <f>IF($A489="","",N($G489)+N($H489)+N($I489)+IF('設定'!$B$9="税込",0,$J489+$K489))</f>
        <v/>
      </c>
      <c r="M489" s="29">
        <f>IF(OR($A489="",NOT(ISNUMBER($W489)),NOT(ISNUMBER($X489))),"",IF(OR(INDEX('得意先'!$D$5:$D$104,$W489)="",INDEX('得意先'!$E$5:$E$104,$W489)="",INDEX('得意先'!$F$5:$F$104,$W489)=""),"",IF(INDEX('得意先'!$F$5:$F$104,$W489)="末",DATE(YEAR($X489),(MONTH($X489)+IF(INDEX('得意先'!$D$5:$D$104,$W489)="末",0,IF(DAY($X489)&lt;=INDEX('得意先'!$D$5:$D$104,$W489),0,1))+N(INDEX('得意先'!$E$5:$E$104,$W489)))+1,0),DATE(YEAR($X489),(MONTH($X489)+IF(INDEX('得意先'!$D$5:$D$104,$W489)="末",0,IF(DAY($X489)&lt;=INDEX('得意先'!$D$5:$D$104,$W489),0,1))+N(INDEX('得意先'!$E$5:$E$104,$W489))),MIN(INDEX('得意先'!$F$5:$F$104,$W489),DAY(DATE(YEAR($X489),(MONTH($X489)+IF(INDEX('得意先'!$D$5:$D$104,$W489)="末",0,IF(DAY($X489)&lt;=INDEX('得意先'!$D$5:$D$104,$W489),0,1))+N(INDEX('得意先'!$E$5:$E$104,$W489)))+1,0)))))))</f>
        <v/>
      </c>
      <c r="N489" s="26" t="n"/>
      <c r="O489" s="29">
        <f>IF($A489="","",IF(ISNUMBER($N489),$N489,$M489))</f>
        <v/>
      </c>
      <c r="P489" s="28">
        <f>IF($A489="","",SUMIF('入金消込'!$F$5:$F$1004,$A489,'入金消込'!$G$5:$G$1004))</f>
        <v/>
      </c>
      <c r="Q489" s="28">
        <f>IF($A489="","",SUMIF('入金消込'!$F$5:$F$1004,$A489,'入金消込'!$H$5:$H$1004)+SUMIF('入金消込'!$F$5:$F$1004,$A489,'入金消込'!$I$5:$I$1004))</f>
        <v/>
      </c>
      <c r="R489" s="28">
        <f>IF($A489="","",$L489-$P489-$Q489)</f>
        <v/>
      </c>
      <c r="S489" s="30">
        <f>IF($A489="","",IF($R489=0,IF($L489=0,"請求額0","回収済"),IF($L489&lt;0,IF($R489&lt;0,"差し引き待ち","差し引きすぎ"),IF($R489&lt;0,"入金が多い",IF($P489+$Q489=0,"未入金","一部入金")))))</f>
        <v/>
      </c>
      <c r="T489" s="31">
        <f>IF(OR($A489="",N($R489)&lt;=0,NOT(ISNUMBER($O489))),"",IF($O489&lt;'設定'!$B$7,'設定'!$B$7-$O489,""))</f>
        <v/>
      </c>
      <c r="U489" s="30">
        <f>IF(OR($A489="",N($R489)&lt;=0),"",IF(NOT(ISNUMBER($O489)),'設定'!$B$22,IF($O489&gt;='設定'!$B$7,'設定'!$B$17,IF('設定'!$B$7-$O489&lt;='設定'!$B$12,'設定'!$B$18,IF('設定'!$B$7-$O489&lt;='設定'!$B$13,'設定'!$B$19,IF('設定'!$B$7-$O489&lt;='設定'!$B$14,'設定'!$B$20,'設定'!$B$21))))))</f>
        <v/>
      </c>
      <c r="V489" s="56" t="n"/>
      <c r="W489" s="32">
        <f>IF($C489="","",IFERROR(MATCH($C489,'得意先'!$B$5:$B$104,0),"なし"))</f>
        <v/>
      </c>
      <c r="X489" s="33">
        <f>IF($A489="","",IF(ISNUMBER($E489),$E489,IF(ISNUMBER($B489),$B489,"")))</f>
        <v/>
      </c>
      <c r="Y489" s="34">
        <f>IF($T489="","",$O489+ROW()/1000000)</f>
        <v/>
      </c>
      <c r="Z489" s="35">
        <f>IF(OR($A489="",$C489="",$C489&lt;&gt;'売掛帳'!$B$3,NOT(ISNUMBER($X489))),"",IF(AND($X489&gt;='売掛帳'!$Q$3,$X489&lt;='売掛帳'!$Q$4),$X489+ROW()/10000000,""))</f>
        <v/>
      </c>
    </row>
    <row r="490" ht="18" customHeight="1">
      <c r="A490" s="18" t="n"/>
      <c r="B490" s="26" t="n"/>
      <c r="C490" s="18" t="n"/>
      <c r="D490" s="20">
        <f>IF($W490="","",IF($W490="なし","※得意先にないコード",INDEX('得意先'!$C$5:$C$104,$W490)&amp;""))</f>
        <v/>
      </c>
      <c r="E490" s="26" t="n"/>
      <c r="F490" s="19" t="n"/>
      <c r="G490" s="27" t="n"/>
      <c r="H490" s="27" t="n"/>
      <c r="I490" s="27" t="n"/>
      <c r="J490" s="28">
        <f>IF($A490="","",IF('設定'!$B$10="四捨五入",ROUND(IF('設定'!$B$9="税込",N($G490)*10/110,N($G490)*10/100),0),IF('設定'!$B$10="切り上げ",ROUNDUP(IF('設定'!$B$9="税込",N($G490)*10/110,N($G490)*10/100),0),ROUNDDOWN(IF('設定'!$B$9="税込",N($G490)*10/110,N($G490)*10/100),0))))</f>
        <v/>
      </c>
      <c r="K490" s="28">
        <f>IF($A490="","",IF('設定'!$B$10="四捨五入",ROUND(IF('設定'!$B$9="税込",N($H490)*8/108,N($H490)*8/100),0),IF('設定'!$B$10="切り上げ",ROUNDUP(IF('設定'!$B$9="税込",N($H490)*8/108,N($H490)*8/100),0),ROUNDDOWN(IF('設定'!$B$9="税込",N($H490)*8/108,N($H490)*8/100),0))))</f>
        <v/>
      </c>
      <c r="L490" s="28">
        <f>IF($A490="","",N($G490)+N($H490)+N($I490)+IF('設定'!$B$9="税込",0,$J490+$K490))</f>
        <v/>
      </c>
      <c r="M490" s="29">
        <f>IF(OR($A490="",NOT(ISNUMBER($W490)),NOT(ISNUMBER($X490))),"",IF(OR(INDEX('得意先'!$D$5:$D$104,$W490)="",INDEX('得意先'!$E$5:$E$104,$W490)="",INDEX('得意先'!$F$5:$F$104,$W490)=""),"",IF(INDEX('得意先'!$F$5:$F$104,$W490)="末",DATE(YEAR($X490),(MONTH($X490)+IF(INDEX('得意先'!$D$5:$D$104,$W490)="末",0,IF(DAY($X490)&lt;=INDEX('得意先'!$D$5:$D$104,$W490),0,1))+N(INDEX('得意先'!$E$5:$E$104,$W490)))+1,0),DATE(YEAR($X490),(MONTH($X490)+IF(INDEX('得意先'!$D$5:$D$104,$W490)="末",0,IF(DAY($X490)&lt;=INDEX('得意先'!$D$5:$D$104,$W490),0,1))+N(INDEX('得意先'!$E$5:$E$104,$W490))),MIN(INDEX('得意先'!$F$5:$F$104,$W490),DAY(DATE(YEAR($X490),(MONTH($X490)+IF(INDEX('得意先'!$D$5:$D$104,$W490)="末",0,IF(DAY($X490)&lt;=INDEX('得意先'!$D$5:$D$104,$W490),0,1))+N(INDEX('得意先'!$E$5:$E$104,$W490)))+1,0)))))))</f>
        <v/>
      </c>
      <c r="N490" s="26" t="n"/>
      <c r="O490" s="29">
        <f>IF($A490="","",IF(ISNUMBER($N490),$N490,$M490))</f>
        <v/>
      </c>
      <c r="P490" s="28">
        <f>IF($A490="","",SUMIF('入金消込'!$F$5:$F$1004,$A490,'入金消込'!$G$5:$G$1004))</f>
        <v/>
      </c>
      <c r="Q490" s="28">
        <f>IF($A490="","",SUMIF('入金消込'!$F$5:$F$1004,$A490,'入金消込'!$H$5:$H$1004)+SUMIF('入金消込'!$F$5:$F$1004,$A490,'入金消込'!$I$5:$I$1004))</f>
        <v/>
      </c>
      <c r="R490" s="28">
        <f>IF($A490="","",$L490-$P490-$Q490)</f>
        <v/>
      </c>
      <c r="S490" s="30">
        <f>IF($A490="","",IF($R490=0,IF($L490=0,"請求額0","回収済"),IF($L490&lt;0,IF($R490&lt;0,"差し引き待ち","差し引きすぎ"),IF($R490&lt;0,"入金が多い",IF($P490+$Q490=0,"未入金","一部入金")))))</f>
        <v/>
      </c>
      <c r="T490" s="31">
        <f>IF(OR($A490="",N($R490)&lt;=0,NOT(ISNUMBER($O490))),"",IF($O490&lt;'設定'!$B$7,'設定'!$B$7-$O490,""))</f>
        <v/>
      </c>
      <c r="U490" s="30">
        <f>IF(OR($A490="",N($R490)&lt;=0),"",IF(NOT(ISNUMBER($O490)),'設定'!$B$22,IF($O490&gt;='設定'!$B$7,'設定'!$B$17,IF('設定'!$B$7-$O490&lt;='設定'!$B$12,'設定'!$B$18,IF('設定'!$B$7-$O490&lt;='設定'!$B$13,'設定'!$B$19,IF('設定'!$B$7-$O490&lt;='設定'!$B$14,'設定'!$B$20,'設定'!$B$21))))))</f>
        <v/>
      </c>
      <c r="V490" s="56" t="n"/>
      <c r="W490" s="32">
        <f>IF($C490="","",IFERROR(MATCH($C490,'得意先'!$B$5:$B$104,0),"なし"))</f>
        <v/>
      </c>
      <c r="X490" s="33">
        <f>IF($A490="","",IF(ISNUMBER($E490),$E490,IF(ISNUMBER($B490),$B490,"")))</f>
        <v/>
      </c>
      <c r="Y490" s="34">
        <f>IF($T490="","",$O490+ROW()/1000000)</f>
        <v/>
      </c>
      <c r="Z490" s="35">
        <f>IF(OR($A490="",$C490="",$C490&lt;&gt;'売掛帳'!$B$3,NOT(ISNUMBER($X490))),"",IF(AND($X490&gt;='売掛帳'!$Q$3,$X490&lt;='売掛帳'!$Q$4),$X490+ROW()/10000000,""))</f>
        <v/>
      </c>
    </row>
    <row r="491" ht="18" customHeight="1">
      <c r="A491" s="18" t="n"/>
      <c r="B491" s="26" t="n"/>
      <c r="C491" s="18" t="n"/>
      <c r="D491" s="20">
        <f>IF($W491="","",IF($W491="なし","※得意先にないコード",INDEX('得意先'!$C$5:$C$104,$W491)&amp;""))</f>
        <v/>
      </c>
      <c r="E491" s="26" t="n"/>
      <c r="F491" s="19" t="n"/>
      <c r="G491" s="27" t="n"/>
      <c r="H491" s="27" t="n"/>
      <c r="I491" s="27" t="n"/>
      <c r="J491" s="28">
        <f>IF($A491="","",IF('設定'!$B$10="四捨五入",ROUND(IF('設定'!$B$9="税込",N($G491)*10/110,N($G491)*10/100),0),IF('設定'!$B$10="切り上げ",ROUNDUP(IF('設定'!$B$9="税込",N($G491)*10/110,N($G491)*10/100),0),ROUNDDOWN(IF('設定'!$B$9="税込",N($G491)*10/110,N($G491)*10/100),0))))</f>
        <v/>
      </c>
      <c r="K491" s="28">
        <f>IF($A491="","",IF('設定'!$B$10="四捨五入",ROUND(IF('設定'!$B$9="税込",N($H491)*8/108,N($H491)*8/100),0),IF('設定'!$B$10="切り上げ",ROUNDUP(IF('設定'!$B$9="税込",N($H491)*8/108,N($H491)*8/100),0),ROUNDDOWN(IF('設定'!$B$9="税込",N($H491)*8/108,N($H491)*8/100),0))))</f>
        <v/>
      </c>
      <c r="L491" s="28">
        <f>IF($A491="","",N($G491)+N($H491)+N($I491)+IF('設定'!$B$9="税込",0,$J491+$K491))</f>
        <v/>
      </c>
      <c r="M491" s="29">
        <f>IF(OR($A491="",NOT(ISNUMBER($W491)),NOT(ISNUMBER($X491))),"",IF(OR(INDEX('得意先'!$D$5:$D$104,$W491)="",INDEX('得意先'!$E$5:$E$104,$W491)="",INDEX('得意先'!$F$5:$F$104,$W491)=""),"",IF(INDEX('得意先'!$F$5:$F$104,$W491)="末",DATE(YEAR($X491),(MONTH($X491)+IF(INDEX('得意先'!$D$5:$D$104,$W491)="末",0,IF(DAY($X491)&lt;=INDEX('得意先'!$D$5:$D$104,$W491),0,1))+N(INDEX('得意先'!$E$5:$E$104,$W491)))+1,0),DATE(YEAR($X491),(MONTH($X491)+IF(INDEX('得意先'!$D$5:$D$104,$W491)="末",0,IF(DAY($X491)&lt;=INDEX('得意先'!$D$5:$D$104,$W491),0,1))+N(INDEX('得意先'!$E$5:$E$104,$W491))),MIN(INDEX('得意先'!$F$5:$F$104,$W491),DAY(DATE(YEAR($X491),(MONTH($X491)+IF(INDEX('得意先'!$D$5:$D$104,$W491)="末",0,IF(DAY($X491)&lt;=INDEX('得意先'!$D$5:$D$104,$W491),0,1))+N(INDEX('得意先'!$E$5:$E$104,$W491)))+1,0)))))))</f>
        <v/>
      </c>
      <c r="N491" s="26" t="n"/>
      <c r="O491" s="29">
        <f>IF($A491="","",IF(ISNUMBER($N491),$N491,$M491))</f>
        <v/>
      </c>
      <c r="P491" s="28">
        <f>IF($A491="","",SUMIF('入金消込'!$F$5:$F$1004,$A491,'入金消込'!$G$5:$G$1004))</f>
        <v/>
      </c>
      <c r="Q491" s="28">
        <f>IF($A491="","",SUMIF('入金消込'!$F$5:$F$1004,$A491,'入金消込'!$H$5:$H$1004)+SUMIF('入金消込'!$F$5:$F$1004,$A491,'入金消込'!$I$5:$I$1004))</f>
        <v/>
      </c>
      <c r="R491" s="28">
        <f>IF($A491="","",$L491-$P491-$Q491)</f>
        <v/>
      </c>
      <c r="S491" s="30">
        <f>IF($A491="","",IF($R491=0,IF($L491=0,"請求額0","回収済"),IF($L491&lt;0,IF($R491&lt;0,"差し引き待ち","差し引きすぎ"),IF($R491&lt;0,"入金が多い",IF($P491+$Q491=0,"未入金","一部入金")))))</f>
        <v/>
      </c>
      <c r="T491" s="31">
        <f>IF(OR($A491="",N($R491)&lt;=0,NOT(ISNUMBER($O491))),"",IF($O491&lt;'設定'!$B$7,'設定'!$B$7-$O491,""))</f>
        <v/>
      </c>
      <c r="U491" s="30">
        <f>IF(OR($A491="",N($R491)&lt;=0),"",IF(NOT(ISNUMBER($O491)),'設定'!$B$22,IF($O491&gt;='設定'!$B$7,'設定'!$B$17,IF('設定'!$B$7-$O491&lt;='設定'!$B$12,'設定'!$B$18,IF('設定'!$B$7-$O491&lt;='設定'!$B$13,'設定'!$B$19,IF('設定'!$B$7-$O491&lt;='設定'!$B$14,'設定'!$B$20,'設定'!$B$21))))))</f>
        <v/>
      </c>
      <c r="V491" s="56" t="n"/>
      <c r="W491" s="32">
        <f>IF($C491="","",IFERROR(MATCH($C491,'得意先'!$B$5:$B$104,0),"なし"))</f>
        <v/>
      </c>
      <c r="X491" s="33">
        <f>IF($A491="","",IF(ISNUMBER($E491),$E491,IF(ISNUMBER($B491),$B491,"")))</f>
        <v/>
      </c>
      <c r="Y491" s="34">
        <f>IF($T491="","",$O491+ROW()/1000000)</f>
        <v/>
      </c>
      <c r="Z491" s="35">
        <f>IF(OR($A491="",$C491="",$C491&lt;&gt;'売掛帳'!$B$3,NOT(ISNUMBER($X491))),"",IF(AND($X491&gt;='売掛帳'!$Q$3,$X491&lt;='売掛帳'!$Q$4),$X491+ROW()/10000000,""))</f>
        <v/>
      </c>
    </row>
    <row r="492" ht="18" customHeight="1">
      <c r="A492" s="18" t="n"/>
      <c r="B492" s="26" t="n"/>
      <c r="C492" s="18" t="n"/>
      <c r="D492" s="20">
        <f>IF($W492="","",IF($W492="なし","※得意先にないコード",INDEX('得意先'!$C$5:$C$104,$W492)&amp;""))</f>
        <v/>
      </c>
      <c r="E492" s="26" t="n"/>
      <c r="F492" s="19" t="n"/>
      <c r="G492" s="27" t="n"/>
      <c r="H492" s="27" t="n"/>
      <c r="I492" s="27" t="n"/>
      <c r="J492" s="28">
        <f>IF($A492="","",IF('設定'!$B$10="四捨五入",ROUND(IF('設定'!$B$9="税込",N($G492)*10/110,N($G492)*10/100),0),IF('設定'!$B$10="切り上げ",ROUNDUP(IF('設定'!$B$9="税込",N($G492)*10/110,N($G492)*10/100),0),ROUNDDOWN(IF('設定'!$B$9="税込",N($G492)*10/110,N($G492)*10/100),0))))</f>
        <v/>
      </c>
      <c r="K492" s="28">
        <f>IF($A492="","",IF('設定'!$B$10="四捨五入",ROUND(IF('設定'!$B$9="税込",N($H492)*8/108,N($H492)*8/100),0),IF('設定'!$B$10="切り上げ",ROUNDUP(IF('設定'!$B$9="税込",N($H492)*8/108,N($H492)*8/100),0),ROUNDDOWN(IF('設定'!$B$9="税込",N($H492)*8/108,N($H492)*8/100),0))))</f>
        <v/>
      </c>
      <c r="L492" s="28">
        <f>IF($A492="","",N($G492)+N($H492)+N($I492)+IF('設定'!$B$9="税込",0,$J492+$K492))</f>
        <v/>
      </c>
      <c r="M492" s="29">
        <f>IF(OR($A492="",NOT(ISNUMBER($W492)),NOT(ISNUMBER($X492))),"",IF(OR(INDEX('得意先'!$D$5:$D$104,$W492)="",INDEX('得意先'!$E$5:$E$104,$W492)="",INDEX('得意先'!$F$5:$F$104,$W492)=""),"",IF(INDEX('得意先'!$F$5:$F$104,$W492)="末",DATE(YEAR($X492),(MONTH($X492)+IF(INDEX('得意先'!$D$5:$D$104,$W492)="末",0,IF(DAY($X492)&lt;=INDEX('得意先'!$D$5:$D$104,$W492),0,1))+N(INDEX('得意先'!$E$5:$E$104,$W492)))+1,0),DATE(YEAR($X492),(MONTH($X492)+IF(INDEX('得意先'!$D$5:$D$104,$W492)="末",0,IF(DAY($X492)&lt;=INDEX('得意先'!$D$5:$D$104,$W492),0,1))+N(INDEX('得意先'!$E$5:$E$104,$W492))),MIN(INDEX('得意先'!$F$5:$F$104,$W492),DAY(DATE(YEAR($X492),(MONTH($X492)+IF(INDEX('得意先'!$D$5:$D$104,$W492)="末",0,IF(DAY($X492)&lt;=INDEX('得意先'!$D$5:$D$104,$W492),0,1))+N(INDEX('得意先'!$E$5:$E$104,$W492)))+1,0)))))))</f>
        <v/>
      </c>
      <c r="N492" s="26" t="n"/>
      <c r="O492" s="29">
        <f>IF($A492="","",IF(ISNUMBER($N492),$N492,$M492))</f>
        <v/>
      </c>
      <c r="P492" s="28">
        <f>IF($A492="","",SUMIF('入金消込'!$F$5:$F$1004,$A492,'入金消込'!$G$5:$G$1004))</f>
        <v/>
      </c>
      <c r="Q492" s="28">
        <f>IF($A492="","",SUMIF('入金消込'!$F$5:$F$1004,$A492,'入金消込'!$H$5:$H$1004)+SUMIF('入金消込'!$F$5:$F$1004,$A492,'入金消込'!$I$5:$I$1004))</f>
        <v/>
      </c>
      <c r="R492" s="28">
        <f>IF($A492="","",$L492-$P492-$Q492)</f>
        <v/>
      </c>
      <c r="S492" s="30">
        <f>IF($A492="","",IF($R492=0,IF($L492=0,"請求額0","回収済"),IF($L492&lt;0,IF($R492&lt;0,"差し引き待ち","差し引きすぎ"),IF($R492&lt;0,"入金が多い",IF($P492+$Q492=0,"未入金","一部入金")))))</f>
        <v/>
      </c>
      <c r="T492" s="31">
        <f>IF(OR($A492="",N($R492)&lt;=0,NOT(ISNUMBER($O492))),"",IF($O492&lt;'設定'!$B$7,'設定'!$B$7-$O492,""))</f>
        <v/>
      </c>
      <c r="U492" s="30">
        <f>IF(OR($A492="",N($R492)&lt;=0),"",IF(NOT(ISNUMBER($O492)),'設定'!$B$22,IF($O492&gt;='設定'!$B$7,'設定'!$B$17,IF('設定'!$B$7-$O492&lt;='設定'!$B$12,'設定'!$B$18,IF('設定'!$B$7-$O492&lt;='設定'!$B$13,'設定'!$B$19,IF('設定'!$B$7-$O492&lt;='設定'!$B$14,'設定'!$B$20,'設定'!$B$21))))))</f>
        <v/>
      </c>
      <c r="V492" s="56" t="n"/>
      <c r="W492" s="32">
        <f>IF($C492="","",IFERROR(MATCH($C492,'得意先'!$B$5:$B$104,0),"なし"))</f>
        <v/>
      </c>
      <c r="X492" s="33">
        <f>IF($A492="","",IF(ISNUMBER($E492),$E492,IF(ISNUMBER($B492),$B492,"")))</f>
        <v/>
      </c>
      <c r="Y492" s="34">
        <f>IF($T492="","",$O492+ROW()/1000000)</f>
        <v/>
      </c>
      <c r="Z492" s="35">
        <f>IF(OR($A492="",$C492="",$C492&lt;&gt;'売掛帳'!$B$3,NOT(ISNUMBER($X492))),"",IF(AND($X492&gt;='売掛帳'!$Q$3,$X492&lt;='売掛帳'!$Q$4),$X492+ROW()/10000000,""))</f>
        <v/>
      </c>
    </row>
    <row r="493" ht="18" customHeight="1">
      <c r="A493" s="18" t="n"/>
      <c r="B493" s="26" t="n"/>
      <c r="C493" s="18" t="n"/>
      <c r="D493" s="20">
        <f>IF($W493="","",IF($W493="なし","※得意先にないコード",INDEX('得意先'!$C$5:$C$104,$W493)&amp;""))</f>
        <v/>
      </c>
      <c r="E493" s="26" t="n"/>
      <c r="F493" s="19" t="n"/>
      <c r="G493" s="27" t="n"/>
      <c r="H493" s="27" t="n"/>
      <c r="I493" s="27" t="n"/>
      <c r="J493" s="28">
        <f>IF($A493="","",IF('設定'!$B$10="四捨五入",ROUND(IF('設定'!$B$9="税込",N($G493)*10/110,N($G493)*10/100),0),IF('設定'!$B$10="切り上げ",ROUNDUP(IF('設定'!$B$9="税込",N($G493)*10/110,N($G493)*10/100),0),ROUNDDOWN(IF('設定'!$B$9="税込",N($G493)*10/110,N($G493)*10/100),0))))</f>
        <v/>
      </c>
      <c r="K493" s="28">
        <f>IF($A493="","",IF('設定'!$B$10="四捨五入",ROUND(IF('設定'!$B$9="税込",N($H493)*8/108,N($H493)*8/100),0),IF('設定'!$B$10="切り上げ",ROUNDUP(IF('設定'!$B$9="税込",N($H493)*8/108,N($H493)*8/100),0),ROUNDDOWN(IF('設定'!$B$9="税込",N($H493)*8/108,N($H493)*8/100),0))))</f>
        <v/>
      </c>
      <c r="L493" s="28">
        <f>IF($A493="","",N($G493)+N($H493)+N($I493)+IF('設定'!$B$9="税込",0,$J493+$K493))</f>
        <v/>
      </c>
      <c r="M493" s="29">
        <f>IF(OR($A493="",NOT(ISNUMBER($W493)),NOT(ISNUMBER($X493))),"",IF(OR(INDEX('得意先'!$D$5:$D$104,$W493)="",INDEX('得意先'!$E$5:$E$104,$W493)="",INDEX('得意先'!$F$5:$F$104,$W493)=""),"",IF(INDEX('得意先'!$F$5:$F$104,$W493)="末",DATE(YEAR($X493),(MONTH($X493)+IF(INDEX('得意先'!$D$5:$D$104,$W493)="末",0,IF(DAY($X493)&lt;=INDEX('得意先'!$D$5:$D$104,$W493),0,1))+N(INDEX('得意先'!$E$5:$E$104,$W493)))+1,0),DATE(YEAR($X493),(MONTH($X493)+IF(INDEX('得意先'!$D$5:$D$104,$W493)="末",0,IF(DAY($X493)&lt;=INDEX('得意先'!$D$5:$D$104,$W493),0,1))+N(INDEX('得意先'!$E$5:$E$104,$W493))),MIN(INDEX('得意先'!$F$5:$F$104,$W493),DAY(DATE(YEAR($X493),(MONTH($X493)+IF(INDEX('得意先'!$D$5:$D$104,$W493)="末",0,IF(DAY($X493)&lt;=INDEX('得意先'!$D$5:$D$104,$W493),0,1))+N(INDEX('得意先'!$E$5:$E$104,$W493)))+1,0)))))))</f>
        <v/>
      </c>
      <c r="N493" s="26" t="n"/>
      <c r="O493" s="29">
        <f>IF($A493="","",IF(ISNUMBER($N493),$N493,$M493))</f>
        <v/>
      </c>
      <c r="P493" s="28">
        <f>IF($A493="","",SUMIF('入金消込'!$F$5:$F$1004,$A493,'入金消込'!$G$5:$G$1004))</f>
        <v/>
      </c>
      <c r="Q493" s="28">
        <f>IF($A493="","",SUMIF('入金消込'!$F$5:$F$1004,$A493,'入金消込'!$H$5:$H$1004)+SUMIF('入金消込'!$F$5:$F$1004,$A493,'入金消込'!$I$5:$I$1004))</f>
        <v/>
      </c>
      <c r="R493" s="28">
        <f>IF($A493="","",$L493-$P493-$Q493)</f>
        <v/>
      </c>
      <c r="S493" s="30">
        <f>IF($A493="","",IF($R493=0,IF($L493=0,"請求額0","回収済"),IF($L493&lt;0,IF($R493&lt;0,"差し引き待ち","差し引きすぎ"),IF($R493&lt;0,"入金が多い",IF($P493+$Q493=0,"未入金","一部入金")))))</f>
        <v/>
      </c>
      <c r="T493" s="31">
        <f>IF(OR($A493="",N($R493)&lt;=0,NOT(ISNUMBER($O493))),"",IF($O493&lt;'設定'!$B$7,'設定'!$B$7-$O493,""))</f>
        <v/>
      </c>
      <c r="U493" s="30">
        <f>IF(OR($A493="",N($R493)&lt;=0),"",IF(NOT(ISNUMBER($O493)),'設定'!$B$22,IF($O493&gt;='設定'!$B$7,'設定'!$B$17,IF('設定'!$B$7-$O493&lt;='設定'!$B$12,'設定'!$B$18,IF('設定'!$B$7-$O493&lt;='設定'!$B$13,'設定'!$B$19,IF('設定'!$B$7-$O493&lt;='設定'!$B$14,'設定'!$B$20,'設定'!$B$21))))))</f>
        <v/>
      </c>
      <c r="V493" s="56" t="n"/>
      <c r="W493" s="32">
        <f>IF($C493="","",IFERROR(MATCH($C493,'得意先'!$B$5:$B$104,0),"なし"))</f>
        <v/>
      </c>
      <c r="X493" s="33">
        <f>IF($A493="","",IF(ISNUMBER($E493),$E493,IF(ISNUMBER($B493),$B493,"")))</f>
        <v/>
      </c>
      <c r="Y493" s="34">
        <f>IF($T493="","",$O493+ROW()/1000000)</f>
        <v/>
      </c>
      <c r="Z493" s="35">
        <f>IF(OR($A493="",$C493="",$C493&lt;&gt;'売掛帳'!$B$3,NOT(ISNUMBER($X493))),"",IF(AND($X493&gt;='売掛帳'!$Q$3,$X493&lt;='売掛帳'!$Q$4),$X493+ROW()/10000000,""))</f>
        <v/>
      </c>
    </row>
    <row r="494" ht="18" customHeight="1">
      <c r="A494" s="18" t="n"/>
      <c r="B494" s="26" t="n"/>
      <c r="C494" s="18" t="n"/>
      <c r="D494" s="20">
        <f>IF($W494="","",IF($W494="なし","※得意先にないコード",INDEX('得意先'!$C$5:$C$104,$W494)&amp;""))</f>
        <v/>
      </c>
      <c r="E494" s="26" t="n"/>
      <c r="F494" s="19" t="n"/>
      <c r="G494" s="27" t="n"/>
      <c r="H494" s="27" t="n"/>
      <c r="I494" s="27" t="n"/>
      <c r="J494" s="28">
        <f>IF($A494="","",IF('設定'!$B$10="四捨五入",ROUND(IF('設定'!$B$9="税込",N($G494)*10/110,N($G494)*10/100),0),IF('設定'!$B$10="切り上げ",ROUNDUP(IF('設定'!$B$9="税込",N($G494)*10/110,N($G494)*10/100),0),ROUNDDOWN(IF('設定'!$B$9="税込",N($G494)*10/110,N($G494)*10/100),0))))</f>
        <v/>
      </c>
      <c r="K494" s="28">
        <f>IF($A494="","",IF('設定'!$B$10="四捨五入",ROUND(IF('設定'!$B$9="税込",N($H494)*8/108,N($H494)*8/100),0),IF('設定'!$B$10="切り上げ",ROUNDUP(IF('設定'!$B$9="税込",N($H494)*8/108,N($H494)*8/100),0),ROUNDDOWN(IF('設定'!$B$9="税込",N($H494)*8/108,N($H494)*8/100),0))))</f>
        <v/>
      </c>
      <c r="L494" s="28">
        <f>IF($A494="","",N($G494)+N($H494)+N($I494)+IF('設定'!$B$9="税込",0,$J494+$K494))</f>
        <v/>
      </c>
      <c r="M494" s="29">
        <f>IF(OR($A494="",NOT(ISNUMBER($W494)),NOT(ISNUMBER($X494))),"",IF(OR(INDEX('得意先'!$D$5:$D$104,$W494)="",INDEX('得意先'!$E$5:$E$104,$W494)="",INDEX('得意先'!$F$5:$F$104,$W494)=""),"",IF(INDEX('得意先'!$F$5:$F$104,$W494)="末",DATE(YEAR($X494),(MONTH($X494)+IF(INDEX('得意先'!$D$5:$D$104,$W494)="末",0,IF(DAY($X494)&lt;=INDEX('得意先'!$D$5:$D$104,$W494),0,1))+N(INDEX('得意先'!$E$5:$E$104,$W494)))+1,0),DATE(YEAR($X494),(MONTH($X494)+IF(INDEX('得意先'!$D$5:$D$104,$W494)="末",0,IF(DAY($X494)&lt;=INDEX('得意先'!$D$5:$D$104,$W494),0,1))+N(INDEX('得意先'!$E$5:$E$104,$W494))),MIN(INDEX('得意先'!$F$5:$F$104,$W494),DAY(DATE(YEAR($X494),(MONTH($X494)+IF(INDEX('得意先'!$D$5:$D$104,$W494)="末",0,IF(DAY($X494)&lt;=INDEX('得意先'!$D$5:$D$104,$W494),0,1))+N(INDEX('得意先'!$E$5:$E$104,$W494)))+1,0)))))))</f>
        <v/>
      </c>
      <c r="N494" s="26" t="n"/>
      <c r="O494" s="29">
        <f>IF($A494="","",IF(ISNUMBER($N494),$N494,$M494))</f>
        <v/>
      </c>
      <c r="P494" s="28">
        <f>IF($A494="","",SUMIF('入金消込'!$F$5:$F$1004,$A494,'入金消込'!$G$5:$G$1004))</f>
        <v/>
      </c>
      <c r="Q494" s="28">
        <f>IF($A494="","",SUMIF('入金消込'!$F$5:$F$1004,$A494,'入金消込'!$H$5:$H$1004)+SUMIF('入金消込'!$F$5:$F$1004,$A494,'入金消込'!$I$5:$I$1004))</f>
        <v/>
      </c>
      <c r="R494" s="28">
        <f>IF($A494="","",$L494-$P494-$Q494)</f>
        <v/>
      </c>
      <c r="S494" s="30">
        <f>IF($A494="","",IF($R494=0,IF($L494=0,"請求額0","回収済"),IF($L494&lt;0,IF($R494&lt;0,"差し引き待ち","差し引きすぎ"),IF($R494&lt;0,"入金が多い",IF($P494+$Q494=0,"未入金","一部入金")))))</f>
        <v/>
      </c>
      <c r="T494" s="31">
        <f>IF(OR($A494="",N($R494)&lt;=0,NOT(ISNUMBER($O494))),"",IF($O494&lt;'設定'!$B$7,'設定'!$B$7-$O494,""))</f>
        <v/>
      </c>
      <c r="U494" s="30">
        <f>IF(OR($A494="",N($R494)&lt;=0),"",IF(NOT(ISNUMBER($O494)),'設定'!$B$22,IF($O494&gt;='設定'!$B$7,'設定'!$B$17,IF('設定'!$B$7-$O494&lt;='設定'!$B$12,'設定'!$B$18,IF('設定'!$B$7-$O494&lt;='設定'!$B$13,'設定'!$B$19,IF('設定'!$B$7-$O494&lt;='設定'!$B$14,'設定'!$B$20,'設定'!$B$21))))))</f>
        <v/>
      </c>
      <c r="V494" s="56" t="n"/>
      <c r="W494" s="32">
        <f>IF($C494="","",IFERROR(MATCH($C494,'得意先'!$B$5:$B$104,0),"なし"))</f>
        <v/>
      </c>
      <c r="X494" s="33">
        <f>IF($A494="","",IF(ISNUMBER($E494),$E494,IF(ISNUMBER($B494),$B494,"")))</f>
        <v/>
      </c>
      <c r="Y494" s="34">
        <f>IF($T494="","",$O494+ROW()/1000000)</f>
        <v/>
      </c>
      <c r="Z494" s="35">
        <f>IF(OR($A494="",$C494="",$C494&lt;&gt;'売掛帳'!$B$3,NOT(ISNUMBER($X494))),"",IF(AND($X494&gt;='売掛帳'!$Q$3,$X494&lt;='売掛帳'!$Q$4),$X494+ROW()/10000000,""))</f>
        <v/>
      </c>
    </row>
    <row r="495" ht="18" customHeight="1">
      <c r="A495" s="18" t="n"/>
      <c r="B495" s="26" t="n"/>
      <c r="C495" s="18" t="n"/>
      <c r="D495" s="20">
        <f>IF($W495="","",IF($W495="なし","※得意先にないコード",INDEX('得意先'!$C$5:$C$104,$W495)&amp;""))</f>
        <v/>
      </c>
      <c r="E495" s="26" t="n"/>
      <c r="F495" s="19" t="n"/>
      <c r="G495" s="27" t="n"/>
      <c r="H495" s="27" t="n"/>
      <c r="I495" s="27" t="n"/>
      <c r="J495" s="28">
        <f>IF($A495="","",IF('設定'!$B$10="四捨五入",ROUND(IF('設定'!$B$9="税込",N($G495)*10/110,N($G495)*10/100),0),IF('設定'!$B$10="切り上げ",ROUNDUP(IF('設定'!$B$9="税込",N($G495)*10/110,N($G495)*10/100),0),ROUNDDOWN(IF('設定'!$B$9="税込",N($G495)*10/110,N($G495)*10/100),0))))</f>
        <v/>
      </c>
      <c r="K495" s="28">
        <f>IF($A495="","",IF('設定'!$B$10="四捨五入",ROUND(IF('設定'!$B$9="税込",N($H495)*8/108,N($H495)*8/100),0),IF('設定'!$B$10="切り上げ",ROUNDUP(IF('設定'!$B$9="税込",N($H495)*8/108,N($H495)*8/100),0),ROUNDDOWN(IF('設定'!$B$9="税込",N($H495)*8/108,N($H495)*8/100),0))))</f>
        <v/>
      </c>
      <c r="L495" s="28">
        <f>IF($A495="","",N($G495)+N($H495)+N($I495)+IF('設定'!$B$9="税込",0,$J495+$K495))</f>
        <v/>
      </c>
      <c r="M495" s="29">
        <f>IF(OR($A495="",NOT(ISNUMBER($W495)),NOT(ISNUMBER($X495))),"",IF(OR(INDEX('得意先'!$D$5:$D$104,$W495)="",INDEX('得意先'!$E$5:$E$104,$W495)="",INDEX('得意先'!$F$5:$F$104,$W495)=""),"",IF(INDEX('得意先'!$F$5:$F$104,$W495)="末",DATE(YEAR($X495),(MONTH($X495)+IF(INDEX('得意先'!$D$5:$D$104,$W495)="末",0,IF(DAY($X495)&lt;=INDEX('得意先'!$D$5:$D$104,$W495),0,1))+N(INDEX('得意先'!$E$5:$E$104,$W495)))+1,0),DATE(YEAR($X495),(MONTH($X495)+IF(INDEX('得意先'!$D$5:$D$104,$W495)="末",0,IF(DAY($X495)&lt;=INDEX('得意先'!$D$5:$D$104,$W495),0,1))+N(INDEX('得意先'!$E$5:$E$104,$W495))),MIN(INDEX('得意先'!$F$5:$F$104,$W495),DAY(DATE(YEAR($X495),(MONTH($X495)+IF(INDEX('得意先'!$D$5:$D$104,$W495)="末",0,IF(DAY($X495)&lt;=INDEX('得意先'!$D$5:$D$104,$W495),0,1))+N(INDEX('得意先'!$E$5:$E$104,$W495)))+1,0)))))))</f>
        <v/>
      </c>
      <c r="N495" s="26" t="n"/>
      <c r="O495" s="29">
        <f>IF($A495="","",IF(ISNUMBER($N495),$N495,$M495))</f>
        <v/>
      </c>
      <c r="P495" s="28">
        <f>IF($A495="","",SUMIF('入金消込'!$F$5:$F$1004,$A495,'入金消込'!$G$5:$G$1004))</f>
        <v/>
      </c>
      <c r="Q495" s="28">
        <f>IF($A495="","",SUMIF('入金消込'!$F$5:$F$1004,$A495,'入金消込'!$H$5:$H$1004)+SUMIF('入金消込'!$F$5:$F$1004,$A495,'入金消込'!$I$5:$I$1004))</f>
        <v/>
      </c>
      <c r="R495" s="28">
        <f>IF($A495="","",$L495-$P495-$Q495)</f>
        <v/>
      </c>
      <c r="S495" s="30">
        <f>IF($A495="","",IF($R495=0,IF($L495=0,"請求額0","回収済"),IF($L495&lt;0,IF($R495&lt;0,"差し引き待ち","差し引きすぎ"),IF($R495&lt;0,"入金が多い",IF($P495+$Q495=0,"未入金","一部入金")))))</f>
        <v/>
      </c>
      <c r="T495" s="31">
        <f>IF(OR($A495="",N($R495)&lt;=0,NOT(ISNUMBER($O495))),"",IF($O495&lt;'設定'!$B$7,'設定'!$B$7-$O495,""))</f>
        <v/>
      </c>
      <c r="U495" s="30">
        <f>IF(OR($A495="",N($R495)&lt;=0),"",IF(NOT(ISNUMBER($O495)),'設定'!$B$22,IF($O495&gt;='設定'!$B$7,'設定'!$B$17,IF('設定'!$B$7-$O495&lt;='設定'!$B$12,'設定'!$B$18,IF('設定'!$B$7-$O495&lt;='設定'!$B$13,'設定'!$B$19,IF('設定'!$B$7-$O495&lt;='設定'!$B$14,'設定'!$B$20,'設定'!$B$21))))))</f>
        <v/>
      </c>
      <c r="V495" s="56" t="n"/>
      <c r="W495" s="32">
        <f>IF($C495="","",IFERROR(MATCH($C495,'得意先'!$B$5:$B$104,0),"なし"))</f>
        <v/>
      </c>
      <c r="X495" s="33">
        <f>IF($A495="","",IF(ISNUMBER($E495),$E495,IF(ISNUMBER($B495),$B495,"")))</f>
        <v/>
      </c>
      <c r="Y495" s="34">
        <f>IF($T495="","",$O495+ROW()/1000000)</f>
        <v/>
      </c>
      <c r="Z495" s="35">
        <f>IF(OR($A495="",$C495="",$C495&lt;&gt;'売掛帳'!$B$3,NOT(ISNUMBER($X495))),"",IF(AND($X495&gt;='売掛帳'!$Q$3,$X495&lt;='売掛帳'!$Q$4),$X495+ROW()/10000000,""))</f>
        <v/>
      </c>
    </row>
    <row r="496" ht="18" customHeight="1">
      <c r="A496" s="18" t="n"/>
      <c r="B496" s="26" t="n"/>
      <c r="C496" s="18" t="n"/>
      <c r="D496" s="20">
        <f>IF($W496="","",IF($W496="なし","※得意先にないコード",INDEX('得意先'!$C$5:$C$104,$W496)&amp;""))</f>
        <v/>
      </c>
      <c r="E496" s="26" t="n"/>
      <c r="F496" s="19" t="n"/>
      <c r="G496" s="27" t="n"/>
      <c r="H496" s="27" t="n"/>
      <c r="I496" s="27" t="n"/>
      <c r="J496" s="28">
        <f>IF($A496="","",IF('設定'!$B$10="四捨五入",ROUND(IF('設定'!$B$9="税込",N($G496)*10/110,N($G496)*10/100),0),IF('設定'!$B$10="切り上げ",ROUNDUP(IF('設定'!$B$9="税込",N($G496)*10/110,N($G496)*10/100),0),ROUNDDOWN(IF('設定'!$B$9="税込",N($G496)*10/110,N($G496)*10/100),0))))</f>
        <v/>
      </c>
      <c r="K496" s="28">
        <f>IF($A496="","",IF('設定'!$B$10="四捨五入",ROUND(IF('設定'!$B$9="税込",N($H496)*8/108,N($H496)*8/100),0),IF('設定'!$B$10="切り上げ",ROUNDUP(IF('設定'!$B$9="税込",N($H496)*8/108,N($H496)*8/100),0),ROUNDDOWN(IF('設定'!$B$9="税込",N($H496)*8/108,N($H496)*8/100),0))))</f>
        <v/>
      </c>
      <c r="L496" s="28">
        <f>IF($A496="","",N($G496)+N($H496)+N($I496)+IF('設定'!$B$9="税込",0,$J496+$K496))</f>
        <v/>
      </c>
      <c r="M496" s="29">
        <f>IF(OR($A496="",NOT(ISNUMBER($W496)),NOT(ISNUMBER($X496))),"",IF(OR(INDEX('得意先'!$D$5:$D$104,$W496)="",INDEX('得意先'!$E$5:$E$104,$W496)="",INDEX('得意先'!$F$5:$F$104,$W496)=""),"",IF(INDEX('得意先'!$F$5:$F$104,$W496)="末",DATE(YEAR($X496),(MONTH($X496)+IF(INDEX('得意先'!$D$5:$D$104,$W496)="末",0,IF(DAY($X496)&lt;=INDEX('得意先'!$D$5:$D$104,$W496),0,1))+N(INDEX('得意先'!$E$5:$E$104,$W496)))+1,0),DATE(YEAR($X496),(MONTH($X496)+IF(INDEX('得意先'!$D$5:$D$104,$W496)="末",0,IF(DAY($X496)&lt;=INDEX('得意先'!$D$5:$D$104,$W496),0,1))+N(INDEX('得意先'!$E$5:$E$104,$W496))),MIN(INDEX('得意先'!$F$5:$F$104,$W496),DAY(DATE(YEAR($X496),(MONTH($X496)+IF(INDEX('得意先'!$D$5:$D$104,$W496)="末",0,IF(DAY($X496)&lt;=INDEX('得意先'!$D$5:$D$104,$W496),0,1))+N(INDEX('得意先'!$E$5:$E$104,$W496)))+1,0)))))))</f>
        <v/>
      </c>
      <c r="N496" s="26" t="n"/>
      <c r="O496" s="29">
        <f>IF($A496="","",IF(ISNUMBER($N496),$N496,$M496))</f>
        <v/>
      </c>
      <c r="P496" s="28">
        <f>IF($A496="","",SUMIF('入金消込'!$F$5:$F$1004,$A496,'入金消込'!$G$5:$G$1004))</f>
        <v/>
      </c>
      <c r="Q496" s="28">
        <f>IF($A496="","",SUMIF('入金消込'!$F$5:$F$1004,$A496,'入金消込'!$H$5:$H$1004)+SUMIF('入金消込'!$F$5:$F$1004,$A496,'入金消込'!$I$5:$I$1004))</f>
        <v/>
      </c>
      <c r="R496" s="28">
        <f>IF($A496="","",$L496-$P496-$Q496)</f>
        <v/>
      </c>
      <c r="S496" s="30">
        <f>IF($A496="","",IF($R496=0,IF($L496=0,"請求額0","回収済"),IF($L496&lt;0,IF($R496&lt;0,"差し引き待ち","差し引きすぎ"),IF($R496&lt;0,"入金が多い",IF($P496+$Q496=0,"未入金","一部入金")))))</f>
        <v/>
      </c>
      <c r="T496" s="31">
        <f>IF(OR($A496="",N($R496)&lt;=0,NOT(ISNUMBER($O496))),"",IF($O496&lt;'設定'!$B$7,'設定'!$B$7-$O496,""))</f>
        <v/>
      </c>
      <c r="U496" s="30">
        <f>IF(OR($A496="",N($R496)&lt;=0),"",IF(NOT(ISNUMBER($O496)),'設定'!$B$22,IF($O496&gt;='設定'!$B$7,'設定'!$B$17,IF('設定'!$B$7-$O496&lt;='設定'!$B$12,'設定'!$B$18,IF('設定'!$B$7-$O496&lt;='設定'!$B$13,'設定'!$B$19,IF('設定'!$B$7-$O496&lt;='設定'!$B$14,'設定'!$B$20,'設定'!$B$21))))))</f>
        <v/>
      </c>
      <c r="V496" s="56" t="n"/>
      <c r="W496" s="32">
        <f>IF($C496="","",IFERROR(MATCH($C496,'得意先'!$B$5:$B$104,0),"なし"))</f>
        <v/>
      </c>
      <c r="X496" s="33">
        <f>IF($A496="","",IF(ISNUMBER($E496),$E496,IF(ISNUMBER($B496),$B496,"")))</f>
        <v/>
      </c>
      <c r="Y496" s="34">
        <f>IF($T496="","",$O496+ROW()/1000000)</f>
        <v/>
      </c>
      <c r="Z496" s="35">
        <f>IF(OR($A496="",$C496="",$C496&lt;&gt;'売掛帳'!$B$3,NOT(ISNUMBER($X496))),"",IF(AND($X496&gt;='売掛帳'!$Q$3,$X496&lt;='売掛帳'!$Q$4),$X496+ROW()/10000000,""))</f>
        <v/>
      </c>
    </row>
    <row r="497" ht="18" customHeight="1">
      <c r="A497" s="18" t="n"/>
      <c r="B497" s="26" t="n"/>
      <c r="C497" s="18" t="n"/>
      <c r="D497" s="20">
        <f>IF($W497="","",IF($W497="なし","※得意先にないコード",INDEX('得意先'!$C$5:$C$104,$W497)&amp;""))</f>
        <v/>
      </c>
      <c r="E497" s="26" t="n"/>
      <c r="F497" s="19" t="n"/>
      <c r="G497" s="27" t="n"/>
      <c r="H497" s="27" t="n"/>
      <c r="I497" s="27" t="n"/>
      <c r="J497" s="28">
        <f>IF($A497="","",IF('設定'!$B$10="四捨五入",ROUND(IF('設定'!$B$9="税込",N($G497)*10/110,N($G497)*10/100),0),IF('設定'!$B$10="切り上げ",ROUNDUP(IF('設定'!$B$9="税込",N($G497)*10/110,N($G497)*10/100),0),ROUNDDOWN(IF('設定'!$B$9="税込",N($G497)*10/110,N($G497)*10/100),0))))</f>
        <v/>
      </c>
      <c r="K497" s="28">
        <f>IF($A497="","",IF('設定'!$B$10="四捨五入",ROUND(IF('設定'!$B$9="税込",N($H497)*8/108,N($H497)*8/100),0),IF('設定'!$B$10="切り上げ",ROUNDUP(IF('設定'!$B$9="税込",N($H497)*8/108,N($H497)*8/100),0),ROUNDDOWN(IF('設定'!$B$9="税込",N($H497)*8/108,N($H497)*8/100),0))))</f>
        <v/>
      </c>
      <c r="L497" s="28">
        <f>IF($A497="","",N($G497)+N($H497)+N($I497)+IF('設定'!$B$9="税込",0,$J497+$K497))</f>
        <v/>
      </c>
      <c r="M497" s="29">
        <f>IF(OR($A497="",NOT(ISNUMBER($W497)),NOT(ISNUMBER($X497))),"",IF(OR(INDEX('得意先'!$D$5:$D$104,$W497)="",INDEX('得意先'!$E$5:$E$104,$W497)="",INDEX('得意先'!$F$5:$F$104,$W497)=""),"",IF(INDEX('得意先'!$F$5:$F$104,$W497)="末",DATE(YEAR($X497),(MONTH($X497)+IF(INDEX('得意先'!$D$5:$D$104,$W497)="末",0,IF(DAY($X497)&lt;=INDEX('得意先'!$D$5:$D$104,$W497),0,1))+N(INDEX('得意先'!$E$5:$E$104,$W497)))+1,0),DATE(YEAR($X497),(MONTH($X497)+IF(INDEX('得意先'!$D$5:$D$104,$W497)="末",0,IF(DAY($X497)&lt;=INDEX('得意先'!$D$5:$D$104,$W497),0,1))+N(INDEX('得意先'!$E$5:$E$104,$W497))),MIN(INDEX('得意先'!$F$5:$F$104,$W497),DAY(DATE(YEAR($X497),(MONTH($X497)+IF(INDEX('得意先'!$D$5:$D$104,$W497)="末",0,IF(DAY($X497)&lt;=INDEX('得意先'!$D$5:$D$104,$W497),0,1))+N(INDEX('得意先'!$E$5:$E$104,$W497)))+1,0)))))))</f>
        <v/>
      </c>
      <c r="N497" s="26" t="n"/>
      <c r="O497" s="29">
        <f>IF($A497="","",IF(ISNUMBER($N497),$N497,$M497))</f>
        <v/>
      </c>
      <c r="P497" s="28">
        <f>IF($A497="","",SUMIF('入金消込'!$F$5:$F$1004,$A497,'入金消込'!$G$5:$G$1004))</f>
        <v/>
      </c>
      <c r="Q497" s="28">
        <f>IF($A497="","",SUMIF('入金消込'!$F$5:$F$1004,$A497,'入金消込'!$H$5:$H$1004)+SUMIF('入金消込'!$F$5:$F$1004,$A497,'入金消込'!$I$5:$I$1004))</f>
        <v/>
      </c>
      <c r="R497" s="28">
        <f>IF($A497="","",$L497-$P497-$Q497)</f>
        <v/>
      </c>
      <c r="S497" s="30">
        <f>IF($A497="","",IF($R497=0,IF($L497=0,"請求額0","回収済"),IF($L497&lt;0,IF($R497&lt;0,"差し引き待ち","差し引きすぎ"),IF($R497&lt;0,"入金が多い",IF($P497+$Q497=0,"未入金","一部入金")))))</f>
        <v/>
      </c>
      <c r="T497" s="31">
        <f>IF(OR($A497="",N($R497)&lt;=0,NOT(ISNUMBER($O497))),"",IF($O497&lt;'設定'!$B$7,'設定'!$B$7-$O497,""))</f>
        <v/>
      </c>
      <c r="U497" s="30">
        <f>IF(OR($A497="",N($R497)&lt;=0),"",IF(NOT(ISNUMBER($O497)),'設定'!$B$22,IF($O497&gt;='設定'!$B$7,'設定'!$B$17,IF('設定'!$B$7-$O497&lt;='設定'!$B$12,'設定'!$B$18,IF('設定'!$B$7-$O497&lt;='設定'!$B$13,'設定'!$B$19,IF('設定'!$B$7-$O497&lt;='設定'!$B$14,'設定'!$B$20,'設定'!$B$21))))))</f>
        <v/>
      </c>
      <c r="V497" s="56" t="n"/>
      <c r="W497" s="32">
        <f>IF($C497="","",IFERROR(MATCH($C497,'得意先'!$B$5:$B$104,0),"なし"))</f>
        <v/>
      </c>
      <c r="X497" s="33">
        <f>IF($A497="","",IF(ISNUMBER($E497),$E497,IF(ISNUMBER($B497),$B497,"")))</f>
        <v/>
      </c>
      <c r="Y497" s="34">
        <f>IF($T497="","",$O497+ROW()/1000000)</f>
        <v/>
      </c>
      <c r="Z497" s="35">
        <f>IF(OR($A497="",$C497="",$C497&lt;&gt;'売掛帳'!$B$3,NOT(ISNUMBER($X497))),"",IF(AND($X497&gt;='売掛帳'!$Q$3,$X497&lt;='売掛帳'!$Q$4),$X497+ROW()/10000000,""))</f>
        <v/>
      </c>
    </row>
    <row r="498" ht="18" customHeight="1">
      <c r="A498" s="18" t="n"/>
      <c r="B498" s="26" t="n"/>
      <c r="C498" s="18" t="n"/>
      <c r="D498" s="20">
        <f>IF($W498="","",IF($W498="なし","※得意先にないコード",INDEX('得意先'!$C$5:$C$104,$W498)&amp;""))</f>
        <v/>
      </c>
      <c r="E498" s="26" t="n"/>
      <c r="F498" s="19" t="n"/>
      <c r="G498" s="27" t="n"/>
      <c r="H498" s="27" t="n"/>
      <c r="I498" s="27" t="n"/>
      <c r="J498" s="28">
        <f>IF($A498="","",IF('設定'!$B$10="四捨五入",ROUND(IF('設定'!$B$9="税込",N($G498)*10/110,N($G498)*10/100),0),IF('設定'!$B$10="切り上げ",ROUNDUP(IF('設定'!$B$9="税込",N($G498)*10/110,N($G498)*10/100),0),ROUNDDOWN(IF('設定'!$B$9="税込",N($G498)*10/110,N($G498)*10/100),0))))</f>
        <v/>
      </c>
      <c r="K498" s="28">
        <f>IF($A498="","",IF('設定'!$B$10="四捨五入",ROUND(IF('設定'!$B$9="税込",N($H498)*8/108,N($H498)*8/100),0),IF('設定'!$B$10="切り上げ",ROUNDUP(IF('設定'!$B$9="税込",N($H498)*8/108,N($H498)*8/100),0),ROUNDDOWN(IF('設定'!$B$9="税込",N($H498)*8/108,N($H498)*8/100),0))))</f>
        <v/>
      </c>
      <c r="L498" s="28">
        <f>IF($A498="","",N($G498)+N($H498)+N($I498)+IF('設定'!$B$9="税込",0,$J498+$K498))</f>
        <v/>
      </c>
      <c r="M498" s="29">
        <f>IF(OR($A498="",NOT(ISNUMBER($W498)),NOT(ISNUMBER($X498))),"",IF(OR(INDEX('得意先'!$D$5:$D$104,$W498)="",INDEX('得意先'!$E$5:$E$104,$W498)="",INDEX('得意先'!$F$5:$F$104,$W498)=""),"",IF(INDEX('得意先'!$F$5:$F$104,$W498)="末",DATE(YEAR($X498),(MONTH($X498)+IF(INDEX('得意先'!$D$5:$D$104,$W498)="末",0,IF(DAY($X498)&lt;=INDEX('得意先'!$D$5:$D$104,$W498),0,1))+N(INDEX('得意先'!$E$5:$E$104,$W498)))+1,0),DATE(YEAR($X498),(MONTH($X498)+IF(INDEX('得意先'!$D$5:$D$104,$W498)="末",0,IF(DAY($X498)&lt;=INDEX('得意先'!$D$5:$D$104,$W498),0,1))+N(INDEX('得意先'!$E$5:$E$104,$W498))),MIN(INDEX('得意先'!$F$5:$F$104,$W498),DAY(DATE(YEAR($X498),(MONTH($X498)+IF(INDEX('得意先'!$D$5:$D$104,$W498)="末",0,IF(DAY($X498)&lt;=INDEX('得意先'!$D$5:$D$104,$W498),0,1))+N(INDEX('得意先'!$E$5:$E$104,$W498)))+1,0)))))))</f>
        <v/>
      </c>
      <c r="N498" s="26" t="n"/>
      <c r="O498" s="29">
        <f>IF($A498="","",IF(ISNUMBER($N498),$N498,$M498))</f>
        <v/>
      </c>
      <c r="P498" s="28">
        <f>IF($A498="","",SUMIF('入金消込'!$F$5:$F$1004,$A498,'入金消込'!$G$5:$G$1004))</f>
        <v/>
      </c>
      <c r="Q498" s="28">
        <f>IF($A498="","",SUMIF('入金消込'!$F$5:$F$1004,$A498,'入金消込'!$H$5:$H$1004)+SUMIF('入金消込'!$F$5:$F$1004,$A498,'入金消込'!$I$5:$I$1004))</f>
        <v/>
      </c>
      <c r="R498" s="28">
        <f>IF($A498="","",$L498-$P498-$Q498)</f>
        <v/>
      </c>
      <c r="S498" s="30">
        <f>IF($A498="","",IF($R498=0,IF($L498=0,"請求額0","回収済"),IF($L498&lt;0,IF($R498&lt;0,"差し引き待ち","差し引きすぎ"),IF($R498&lt;0,"入金が多い",IF($P498+$Q498=0,"未入金","一部入金")))))</f>
        <v/>
      </c>
      <c r="T498" s="31">
        <f>IF(OR($A498="",N($R498)&lt;=0,NOT(ISNUMBER($O498))),"",IF($O498&lt;'設定'!$B$7,'設定'!$B$7-$O498,""))</f>
        <v/>
      </c>
      <c r="U498" s="30">
        <f>IF(OR($A498="",N($R498)&lt;=0),"",IF(NOT(ISNUMBER($O498)),'設定'!$B$22,IF($O498&gt;='設定'!$B$7,'設定'!$B$17,IF('設定'!$B$7-$O498&lt;='設定'!$B$12,'設定'!$B$18,IF('設定'!$B$7-$O498&lt;='設定'!$B$13,'設定'!$B$19,IF('設定'!$B$7-$O498&lt;='設定'!$B$14,'設定'!$B$20,'設定'!$B$21))))))</f>
        <v/>
      </c>
      <c r="V498" s="56" t="n"/>
      <c r="W498" s="32">
        <f>IF($C498="","",IFERROR(MATCH($C498,'得意先'!$B$5:$B$104,0),"なし"))</f>
        <v/>
      </c>
      <c r="X498" s="33">
        <f>IF($A498="","",IF(ISNUMBER($E498),$E498,IF(ISNUMBER($B498),$B498,"")))</f>
        <v/>
      </c>
      <c r="Y498" s="34">
        <f>IF($T498="","",$O498+ROW()/1000000)</f>
        <v/>
      </c>
      <c r="Z498" s="35">
        <f>IF(OR($A498="",$C498="",$C498&lt;&gt;'売掛帳'!$B$3,NOT(ISNUMBER($X498))),"",IF(AND($X498&gt;='売掛帳'!$Q$3,$X498&lt;='売掛帳'!$Q$4),$X498+ROW()/10000000,""))</f>
        <v/>
      </c>
    </row>
    <row r="499" ht="18" customHeight="1">
      <c r="A499" s="18" t="n"/>
      <c r="B499" s="26" t="n"/>
      <c r="C499" s="18" t="n"/>
      <c r="D499" s="20">
        <f>IF($W499="","",IF($W499="なし","※得意先にないコード",INDEX('得意先'!$C$5:$C$104,$W499)&amp;""))</f>
        <v/>
      </c>
      <c r="E499" s="26" t="n"/>
      <c r="F499" s="19" t="n"/>
      <c r="G499" s="27" t="n"/>
      <c r="H499" s="27" t="n"/>
      <c r="I499" s="27" t="n"/>
      <c r="J499" s="28">
        <f>IF($A499="","",IF('設定'!$B$10="四捨五入",ROUND(IF('設定'!$B$9="税込",N($G499)*10/110,N($G499)*10/100),0),IF('設定'!$B$10="切り上げ",ROUNDUP(IF('設定'!$B$9="税込",N($G499)*10/110,N($G499)*10/100),0),ROUNDDOWN(IF('設定'!$B$9="税込",N($G499)*10/110,N($G499)*10/100),0))))</f>
        <v/>
      </c>
      <c r="K499" s="28">
        <f>IF($A499="","",IF('設定'!$B$10="四捨五入",ROUND(IF('設定'!$B$9="税込",N($H499)*8/108,N($H499)*8/100),0),IF('設定'!$B$10="切り上げ",ROUNDUP(IF('設定'!$B$9="税込",N($H499)*8/108,N($H499)*8/100),0),ROUNDDOWN(IF('設定'!$B$9="税込",N($H499)*8/108,N($H499)*8/100),0))))</f>
        <v/>
      </c>
      <c r="L499" s="28">
        <f>IF($A499="","",N($G499)+N($H499)+N($I499)+IF('設定'!$B$9="税込",0,$J499+$K499))</f>
        <v/>
      </c>
      <c r="M499" s="29">
        <f>IF(OR($A499="",NOT(ISNUMBER($W499)),NOT(ISNUMBER($X499))),"",IF(OR(INDEX('得意先'!$D$5:$D$104,$W499)="",INDEX('得意先'!$E$5:$E$104,$W499)="",INDEX('得意先'!$F$5:$F$104,$W499)=""),"",IF(INDEX('得意先'!$F$5:$F$104,$W499)="末",DATE(YEAR($X499),(MONTH($X499)+IF(INDEX('得意先'!$D$5:$D$104,$W499)="末",0,IF(DAY($X499)&lt;=INDEX('得意先'!$D$5:$D$104,$W499),0,1))+N(INDEX('得意先'!$E$5:$E$104,$W499)))+1,0),DATE(YEAR($X499),(MONTH($X499)+IF(INDEX('得意先'!$D$5:$D$104,$W499)="末",0,IF(DAY($X499)&lt;=INDEX('得意先'!$D$5:$D$104,$W499),0,1))+N(INDEX('得意先'!$E$5:$E$104,$W499))),MIN(INDEX('得意先'!$F$5:$F$104,$W499),DAY(DATE(YEAR($X499),(MONTH($X499)+IF(INDEX('得意先'!$D$5:$D$104,$W499)="末",0,IF(DAY($X499)&lt;=INDEX('得意先'!$D$5:$D$104,$W499),0,1))+N(INDEX('得意先'!$E$5:$E$104,$W499)))+1,0)))))))</f>
        <v/>
      </c>
      <c r="N499" s="26" t="n"/>
      <c r="O499" s="29">
        <f>IF($A499="","",IF(ISNUMBER($N499),$N499,$M499))</f>
        <v/>
      </c>
      <c r="P499" s="28">
        <f>IF($A499="","",SUMIF('入金消込'!$F$5:$F$1004,$A499,'入金消込'!$G$5:$G$1004))</f>
        <v/>
      </c>
      <c r="Q499" s="28">
        <f>IF($A499="","",SUMIF('入金消込'!$F$5:$F$1004,$A499,'入金消込'!$H$5:$H$1004)+SUMIF('入金消込'!$F$5:$F$1004,$A499,'入金消込'!$I$5:$I$1004))</f>
        <v/>
      </c>
      <c r="R499" s="28">
        <f>IF($A499="","",$L499-$P499-$Q499)</f>
        <v/>
      </c>
      <c r="S499" s="30">
        <f>IF($A499="","",IF($R499=0,IF($L499=0,"請求額0","回収済"),IF($L499&lt;0,IF($R499&lt;0,"差し引き待ち","差し引きすぎ"),IF($R499&lt;0,"入金が多い",IF($P499+$Q499=0,"未入金","一部入金")))))</f>
        <v/>
      </c>
      <c r="T499" s="31">
        <f>IF(OR($A499="",N($R499)&lt;=0,NOT(ISNUMBER($O499))),"",IF($O499&lt;'設定'!$B$7,'設定'!$B$7-$O499,""))</f>
        <v/>
      </c>
      <c r="U499" s="30">
        <f>IF(OR($A499="",N($R499)&lt;=0),"",IF(NOT(ISNUMBER($O499)),'設定'!$B$22,IF($O499&gt;='設定'!$B$7,'設定'!$B$17,IF('設定'!$B$7-$O499&lt;='設定'!$B$12,'設定'!$B$18,IF('設定'!$B$7-$O499&lt;='設定'!$B$13,'設定'!$B$19,IF('設定'!$B$7-$O499&lt;='設定'!$B$14,'設定'!$B$20,'設定'!$B$21))))))</f>
        <v/>
      </c>
      <c r="V499" s="56" t="n"/>
      <c r="W499" s="32">
        <f>IF($C499="","",IFERROR(MATCH($C499,'得意先'!$B$5:$B$104,0),"なし"))</f>
        <v/>
      </c>
      <c r="X499" s="33">
        <f>IF($A499="","",IF(ISNUMBER($E499),$E499,IF(ISNUMBER($B499),$B499,"")))</f>
        <v/>
      </c>
      <c r="Y499" s="34">
        <f>IF($T499="","",$O499+ROW()/1000000)</f>
        <v/>
      </c>
      <c r="Z499" s="35">
        <f>IF(OR($A499="",$C499="",$C499&lt;&gt;'売掛帳'!$B$3,NOT(ISNUMBER($X499))),"",IF(AND($X499&gt;='売掛帳'!$Q$3,$X499&lt;='売掛帳'!$Q$4),$X499+ROW()/10000000,""))</f>
        <v/>
      </c>
    </row>
    <row r="500" ht="18" customHeight="1">
      <c r="A500" s="18" t="n"/>
      <c r="B500" s="26" t="n"/>
      <c r="C500" s="18" t="n"/>
      <c r="D500" s="20">
        <f>IF($W500="","",IF($W500="なし","※得意先にないコード",INDEX('得意先'!$C$5:$C$104,$W500)&amp;""))</f>
        <v/>
      </c>
      <c r="E500" s="26" t="n"/>
      <c r="F500" s="19" t="n"/>
      <c r="G500" s="27" t="n"/>
      <c r="H500" s="27" t="n"/>
      <c r="I500" s="27" t="n"/>
      <c r="J500" s="28">
        <f>IF($A500="","",IF('設定'!$B$10="四捨五入",ROUND(IF('設定'!$B$9="税込",N($G500)*10/110,N($G500)*10/100),0),IF('設定'!$B$10="切り上げ",ROUNDUP(IF('設定'!$B$9="税込",N($G500)*10/110,N($G500)*10/100),0),ROUNDDOWN(IF('設定'!$B$9="税込",N($G500)*10/110,N($G500)*10/100),0))))</f>
        <v/>
      </c>
      <c r="K500" s="28">
        <f>IF($A500="","",IF('設定'!$B$10="四捨五入",ROUND(IF('設定'!$B$9="税込",N($H500)*8/108,N($H500)*8/100),0),IF('設定'!$B$10="切り上げ",ROUNDUP(IF('設定'!$B$9="税込",N($H500)*8/108,N($H500)*8/100),0),ROUNDDOWN(IF('設定'!$B$9="税込",N($H500)*8/108,N($H500)*8/100),0))))</f>
        <v/>
      </c>
      <c r="L500" s="28">
        <f>IF($A500="","",N($G500)+N($H500)+N($I500)+IF('設定'!$B$9="税込",0,$J500+$K500))</f>
        <v/>
      </c>
      <c r="M500" s="29">
        <f>IF(OR($A500="",NOT(ISNUMBER($W500)),NOT(ISNUMBER($X500))),"",IF(OR(INDEX('得意先'!$D$5:$D$104,$W500)="",INDEX('得意先'!$E$5:$E$104,$W500)="",INDEX('得意先'!$F$5:$F$104,$W500)=""),"",IF(INDEX('得意先'!$F$5:$F$104,$W500)="末",DATE(YEAR($X500),(MONTH($X500)+IF(INDEX('得意先'!$D$5:$D$104,$W500)="末",0,IF(DAY($X500)&lt;=INDEX('得意先'!$D$5:$D$104,$W500),0,1))+N(INDEX('得意先'!$E$5:$E$104,$W500)))+1,0),DATE(YEAR($X500),(MONTH($X500)+IF(INDEX('得意先'!$D$5:$D$104,$W500)="末",0,IF(DAY($X500)&lt;=INDEX('得意先'!$D$5:$D$104,$W500),0,1))+N(INDEX('得意先'!$E$5:$E$104,$W500))),MIN(INDEX('得意先'!$F$5:$F$104,$W500),DAY(DATE(YEAR($X500),(MONTH($X500)+IF(INDEX('得意先'!$D$5:$D$104,$W500)="末",0,IF(DAY($X500)&lt;=INDEX('得意先'!$D$5:$D$104,$W500),0,1))+N(INDEX('得意先'!$E$5:$E$104,$W500)))+1,0)))))))</f>
        <v/>
      </c>
      <c r="N500" s="26" t="n"/>
      <c r="O500" s="29">
        <f>IF($A500="","",IF(ISNUMBER($N500),$N500,$M500))</f>
        <v/>
      </c>
      <c r="P500" s="28">
        <f>IF($A500="","",SUMIF('入金消込'!$F$5:$F$1004,$A500,'入金消込'!$G$5:$G$1004))</f>
        <v/>
      </c>
      <c r="Q500" s="28">
        <f>IF($A500="","",SUMIF('入金消込'!$F$5:$F$1004,$A500,'入金消込'!$H$5:$H$1004)+SUMIF('入金消込'!$F$5:$F$1004,$A500,'入金消込'!$I$5:$I$1004))</f>
        <v/>
      </c>
      <c r="R500" s="28">
        <f>IF($A500="","",$L500-$P500-$Q500)</f>
        <v/>
      </c>
      <c r="S500" s="30">
        <f>IF($A500="","",IF($R500=0,IF($L500=0,"請求額0","回収済"),IF($L500&lt;0,IF($R500&lt;0,"差し引き待ち","差し引きすぎ"),IF($R500&lt;0,"入金が多い",IF($P500+$Q500=0,"未入金","一部入金")))))</f>
        <v/>
      </c>
      <c r="T500" s="31">
        <f>IF(OR($A500="",N($R500)&lt;=0,NOT(ISNUMBER($O500))),"",IF($O500&lt;'設定'!$B$7,'設定'!$B$7-$O500,""))</f>
        <v/>
      </c>
      <c r="U500" s="30">
        <f>IF(OR($A500="",N($R500)&lt;=0),"",IF(NOT(ISNUMBER($O500)),'設定'!$B$22,IF($O500&gt;='設定'!$B$7,'設定'!$B$17,IF('設定'!$B$7-$O500&lt;='設定'!$B$12,'設定'!$B$18,IF('設定'!$B$7-$O500&lt;='設定'!$B$13,'設定'!$B$19,IF('設定'!$B$7-$O500&lt;='設定'!$B$14,'設定'!$B$20,'設定'!$B$21))))))</f>
        <v/>
      </c>
      <c r="V500" s="56" t="n"/>
      <c r="W500" s="32">
        <f>IF($C500="","",IFERROR(MATCH($C500,'得意先'!$B$5:$B$104,0),"なし"))</f>
        <v/>
      </c>
      <c r="X500" s="33">
        <f>IF($A500="","",IF(ISNUMBER($E500),$E500,IF(ISNUMBER($B500),$B500,"")))</f>
        <v/>
      </c>
      <c r="Y500" s="34">
        <f>IF($T500="","",$O500+ROW()/1000000)</f>
        <v/>
      </c>
      <c r="Z500" s="35">
        <f>IF(OR($A500="",$C500="",$C500&lt;&gt;'売掛帳'!$B$3,NOT(ISNUMBER($X500))),"",IF(AND($X500&gt;='売掛帳'!$Q$3,$X500&lt;='売掛帳'!$Q$4),$X500+ROW()/10000000,""))</f>
        <v/>
      </c>
    </row>
    <row r="501" ht="18" customHeight="1">
      <c r="A501" s="18" t="n"/>
      <c r="B501" s="26" t="n"/>
      <c r="C501" s="18" t="n"/>
      <c r="D501" s="20">
        <f>IF($W501="","",IF($W501="なし","※得意先にないコード",INDEX('得意先'!$C$5:$C$104,$W501)&amp;""))</f>
        <v/>
      </c>
      <c r="E501" s="26" t="n"/>
      <c r="F501" s="19" t="n"/>
      <c r="G501" s="27" t="n"/>
      <c r="H501" s="27" t="n"/>
      <c r="I501" s="27" t="n"/>
      <c r="J501" s="28">
        <f>IF($A501="","",IF('設定'!$B$10="四捨五入",ROUND(IF('設定'!$B$9="税込",N($G501)*10/110,N($G501)*10/100),0),IF('設定'!$B$10="切り上げ",ROUNDUP(IF('設定'!$B$9="税込",N($G501)*10/110,N($G501)*10/100),0),ROUNDDOWN(IF('設定'!$B$9="税込",N($G501)*10/110,N($G501)*10/100),0))))</f>
        <v/>
      </c>
      <c r="K501" s="28">
        <f>IF($A501="","",IF('設定'!$B$10="四捨五入",ROUND(IF('設定'!$B$9="税込",N($H501)*8/108,N($H501)*8/100),0),IF('設定'!$B$10="切り上げ",ROUNDUP(IF('設定'!$B$9="税込",N($H501)*8/108,N($H501)*8/100),0),ROUNDDOWN(IF('設定'!$B$9="税込",N($H501)*8/108,N($H501)*8/100),0))))</f>
        <v/>
      </c>
      <c r="L501" s="28">
        <f>IF($A501="","",N($G501)+N($H501)+N($I501)+IF('設定'!$B$9="税込",0,$J501+$K501))</f>
        <v/>
      </c>
      <c r="M501" s="29">
        <f>IF(OR($A501="",NOT(ISNUMBER($W501)),NOT(ISNUMBER($X501))),"",IF(OR(INDEX('得意先'!$D$5:$D$104,$W501)="",INDEX('得意先'!$E$5:$E$104,$W501)="",INDEX('得意先'!$F$5:$F$104,$W501)=""),"",IF(INDEX('得意先'!$F$5:$F$104,$W501)="末",DATE(YEAR($X501),(MONTH($X501)+IF(INDEX('得意先'!$D$5:$D$104,$W501)="末",0,IF(DAY($X501)&lt;=INDEX('得意先'!$D$5:$D$104,$W501),0,1))+N(INDEX('得意先'!$E$5:$E$104,$W501)))+1,0),DATE(YEAR($X501),(MONTH($X501)+IF(INDEX('得意先'!$D$5:$D$104,$W501)="末",0,IF(DAY($X501)&lt;=INDEX('得意先'!$D$5:$D$104,$W501),0,1))+N(INDEX('得意先'!$E$5:$E$104,$W501))),MIN(INDEX('得意先'!$F$5:$F$104,$W501),DAY(DATE(YEAR($X501),(MONTH($X501)+IF(INDEX('得意先'!$D$5:$D$104,$W501)="末",0,IF(DAY($X501)&lt;=INDEX('得意先'!$D$5:$D$104,$W501),0,1))+N(INDEX('得意先'!$E$5:$E$104,$W501)))+1,0)))))))</f>
        <v/>
      </c>
      <c r="N501" s="26" t="n"/>
      <c r="O501" s="29">
        <f>IF($A501="","",IF(ISNUMBER($N501),$N501,$M501))</f>
        <v/>
      </c>
      <c r="P501" s="28">
        <f>IF($A501="","",SUMIF('入金消込'!$F$5:$F$1004,$A501,'入金消込'!$G$5:$G$1004))</f>
        <v/>
      </c>
      <c r="Q501" s="28">
        <f>IF($A501="","",SUMIF('入金消込'!$F$5:$F$1004,$A501,'入金消込'!$H$5:$H$1004)+SUMIF('入金消込'!$F$5:$F$1004,$A501,'入金消込'!$I$5:$I$1004))</f>
        <v/>
      </c>
      <c r="R501" s="28">
        <f>IF($A501="","",$L501-$P501-$Q501)</f>
        <v/>
      </c>
      <c r="S501" s="30">
        <f>IF($A501="","",IF($R501=0,IF($L501=0,"請求額0","回収済"),IF($L501&lt;0,IF($R501&lt;0,"差し引き待ち","差し引きすぎ"),IF($R501&lt;0,"入金が多い",IF($P501+$Q501=0,"未入金","一部入金")))))</f>
        <v/>
      </c>
      <c r="T501" s="31">
        <f>IF(OR($A501="",N($R501)&lt;=0,NOT(ISNUMBER($O501))),"",IF($O501&lt;'設定'!$B$7,'設定'!$B$7-$O501,""))</f>
        <v/>
      </c>
      <c r="U501" s="30">
        <f>IF(OR($A501="",N($R501)&lt;=0),"",IF(NOT(ISNUMBER($O501)),'設定'!$B$22,IF($O501&gt;='設定'!$B$7,'設定'!$B$17,IF('設定'!$B$7-$O501&lt;='設定'!$B$12,'設定'!$B$18,IF('設定'!$B$7-$O501&lt;='設定'!$B$13,'設定'!$B$19,IF('設定'!$B$7-$O501&lt;='設定'!$B$14,'設定'!$B$20,'設定'!$B$21))))))</f>
        <v/>
      </c>
      <c r="V501" s="56" t="n"/>
      <c r="W501" s="32">
        <f>IF($C501="","",IFERROR(MATCH($C501,'得意先'!$B$5:$B$104,0),"なし"))</f>
        <v/>
      </c>
      <c r="X501" s="33">
        <f>IF($A501="","",IF(ISNUMBER($E501),$E501,IF(ISNUMBER($B501),$B501,"")))</f>
        <v/>
      </c>
      <c r="Y501" s="34">
        <f>IF($T501="","",$O501+ROW()/1000000)</f>
        <v/>
      </c>
      <c r="Z501" s="35">
        <f>IF(OR($A501="",$C501="",$C501&lt;&gt;'売掛帳'!$B$3,NOT(ISNUMBER($X501))),"",IF(AND($X501&gt;='売掛帳'!$Q$3,$X501&lt;='売掛帳'!$Q$4),$X501+ROW()/10000000,""))</f>
        <v/>
      </c>
    </row>
    <row r="502" ht="18" customHeight="1">
      <c r="A502" s="18" t="n"/>
      <c r="B502" s="26" t="n"/>
      <c r="C502" s="18" t="n"/>
      <c r="D502" s="20">
        <f>IF($W502="","",IF($W502="なし","※得意先にないコード",INDEX('得意先'!$C$5:$C$104,$W502)&amp;""))</f>
        <v/>
      </c>
      <c r="E502" s="26" t="n"/>
      <c r="F502" s="19" t="n"/>
      <c r="G502" s="27" t="n"/>
      <c r="H502" s="27" t="n"/>
      <c r="I502" s="27" t="n"/>
      <c r="J502" s="28">
        <f>IF($A502="","",IF('設定'!$B$10="四捨五入",ROUND(IF('設定'!$B$9="税込",N($G502)*10/110,N($G502)*10/100),0),IF('設定'!$B$10="切り上げ",ROUNDUP(IF('設定'!$B$9="税込",N($G502)*10/110,N($G502)*10/100),0),ROUNDDOWN(IF('設定'!$B$9="税込",N($G502)*10/110,N($G502)*10/100),0))))</f>
        <v/>
      </c>
      <c r="K502" s="28">
        <f>IF($A502="","",IF('設定'!$B$10="四捨五入",ROUND(IF('設定'!$B$9="税込",N($H502)*8/108,N($H502)*8/100),0),IF('設定'!$B$10="切り上げ",ROUNDUP(IF('設定'!$B$9="税込",N($H502)*8/108,N($H502)*8/100),0),ROUNDDOWN(IF('設定'!$B$9="税込",N($H502)*8/108,N($H502)*8/100),0))))</f>
        <v/>
      </c>
      <c r="L502" s="28">
        <f>IF($A502="","",N($G502)+N($H502)+N($I502)+IF('設定'!$B$9="税込",0,$J502+$K502))</f>
        <v/>
      </c>
      <c r="M502" s="29">
        <f>IF(OR($A502="",NOT(ISNUMBER($W502)),NOT(ISNUMBER($X502))),"",IF(OR(INDEX('得意先'!$D$5:$D$104,$W502)="",INDEX('得意先'!$E$5:$E$104,$W502)="",INDEX('得意先'!$F$5:$F$104,$W502)=""),"",IF(INDEX('得意先'!$F$5:$F$104,$W502)="末",DATE(YEAR($X502),(MONTH($X502)+IF(INDEX('得意先'!$D$5:$D$104,$W502)="末",0,IF(DAY($X502)&lt;=INDEX('得意先'!$D$5:$D$104,$W502),0,1))+N(INDEX('得意先'!$E$5:$E$104,$W502)))+1,0),DATE(YEAR($X502),(MONTH($X502)+IF(INDEX('得意先'!$D$5:$D$104,$W502)="末",0,IF(DAY($X502)&lt;=INDEX('得意先'!$D$5:$D$104,$W502),0,1))+N(INDEX('得意先'!$E$5:$E$104,$W502))),MIN(INDEX('得意先'!$F$5:$F$104,$W502),DAY(DATE(YEAR($X502),(MONTH($X502)+IF(INDEX('得意先'!$D$5:$D$104,$W502)="末",0,IF(DAY($X502)&lt;=INDEX('得意先'!$D$5:$D$104,$W502),0,1))+N(INDEX('得意先'!$E$5:$E$104,$W502)))+1,0)))))))</f>
        <v/>
      </c>
      <c r="N502" s="26" t="n"/>
      <c r="O502" s="29">
        <f>IF($A502="","",IF(ISNUMBER($N502),$N502,$M502))</f>
        <v/>
      </c>
      <c r="P502" s="28">
        <f>IF($A502="","",SUMIF('入金消込'!$F$5:$F$1004,$A502,'入金消込'!$G$5:$G$1004))</f>
        <v/>
      </c>
      <c r="Q502" s="28">
        <f>IF($A502="","",SUMIF('入金消込'!$F$5:$F$1004,$A502,'入金消込'!$H$5:$H$1004)+SUMIF('入金消込'!$F$5:$F$1004,$A502,'入金消込'!$I$5:$I$1004))</f>
        <v/>
      </c>
      <c r="R502" s="28">
        <f>IF($A502="","",$L502-$P502-$Q502)</f>
        <v/>
      </c>
      <c r="S502" s="30">
        <f>IF($A502="","",IF($R502=0,IF($L502=0,"請求額0","回収済"),IF($L502&lt;0,IF($R502&lt;0,"差し引き待ち","差し引きすぎ"),IF($R502&lt;0,"入金が多い",IF($P502+$Q502=0,"未入金","一部入金")))))</f>
        <v/>
      </c>
      <c r="T502" s="31">
        <f>IF(OR($A502="",N($R502)&lt;=0,NOT(ISNUMBER($O502))),"",IF($O502&lt;'設定'!$B$7,'設定'!$B$7-$O502,""))</f>
        <v/>
      </c>
      <c r="U502" s="30">
        <f>IF(OR($A502="",N($R502)&lt;=0),"",IF(NOT(ISNUMBER($O502)),'設定'!$B$22,IF($O502&gt;='設定'!$B$7,'設定'!$B$17,IF('設定'!$B$7-$O502&lt;='設定'!$B$12,'設定'!$B$18,IF('設定'!$B$7-$O502&lt;='設定'!$B$13,'設定'!$B$19,IF('設定'!$B$7-$O502&lt;='設定'!$B$14,'設定'!$B$20,'設定'!$B$21))))))</f>
        <v/>
      </c>
      <c r="V502" s="56" t="n"/>
      <c r="W502" s="32">
        <f>IF($C502="","",IFERROR(MATCH($C502,'得意先'!$B$5:$B$104,0),"なし"))</f>
        <v/>
      </c>
      <c r="X502" s="33">
        <f>IF($A502="","",IF(ISNUMBER($E502),$E502,IF(ISNUMBER($B502),$B502,"")))</f>
        <v/>
      </c>
      <c r="Y502" s="34">
        <f>IF($T502="","",$O502+ROW()/1000000)</f>
        <v/>
      </c>
      <c r="Z502" s="35">
        <f>IF(OR($A502="",$C502="",$C502&lt;&gt;'売掛帳'!$B$3,NOT(ISNUMBER($X502))),"",IF(AND($X502&gt;='売掛帳'!$Q$3,$X502&lt;='売掛帳'!$Q$4),$X502+ROW()/10000000,""))</f>
        <v/>
      </c>
    </row>
    <row r="503" ht="18" customHeight="1">
      <c r="A503" s="18" t="n"/>
      <c r="B503" s="26" t="n"/>
      <c r="C503" s="18" t="n"/>
      <c r="D503" s="20">
        <f>IF($W503="","",IF($W503="なし","※得意先にないコード",INDEX('得意先'!$C$5:$C$104,$W503)&amp;""))</f>
        <v/>
      </c>
      <c r="E503" s="26" t="n"/>
      <c r="F503" s="19" t="n"/>
      <c r="G503" s="27" t="n"/>
      <c r="H503" s="27" t="n"/>
      <c r="I503" s="27" t="n"/>
      <c r="J503" s="28">
        <f>IF($A503="","",IF('設定'!$B$10="四捨五入",ROUND(IF('設定'!$B$9="税込",N($G503)*10/110,N($G503)*10/100),0),IF('設定'!$B$10="切り上げ",ROUNDUP(IF('設定'!$B$9="税込",N($G503)*10/110,N($G503)*10/100),0),ROUNDDOWN(IF('設定'!$B$9="税込",N($G503)*10/110,N($G503)*10/100),0))))</f>
        <v/>
      </c>
      <c r="K503" s="28">
        <f>IF($A503="","",IF('設定'!$B$10="四捨五入",ROUND(IF('設定'!$B$9="税込",N($H503)*8/108,N($H503)*8/100),0),IF('設定'!$B$10="切り上げ",ROUNDUP(IF('設定'!$B$9="税込",N($H503)*8/108,N($H503)*8/100),0),ROUNDDOWN(IF('設定'!$B$9="税込",N($H503)*8/108,N($H503)*8/100),0))))</f>
        <v/>
      </c>
      <c r="L503" s="28">
        <f>IF($A503="","",N($G503)+N($H503)+N($I503)+IF('設定'!$B$9="税込",0,$J503+$K503))</f>
        <v/>
      </c>
      <c r="M503" s="29">
        <f>IF(OR($A503="",NOT(ISNUMBER($W503)),NOT(ISNUMBER($X503))),"",IF(OR(INDEX('得意先'!$D$5:$D$104,$W503)="",INDEX('得意先'!$E$5:$E$104,$W503)="",INDEX('得意先'!$F$5:$F$104,$W503)=""),"",IF(INDEX('得意先'!$F$5:$F$104,$W503)="末",DATE(YEAR($X503),(MONTH($X503)+IF(INDEX('得意先'!$D$5:$D$104,$W503)="末",0,IF(DAY($X503)&lt;=INDEX('得意先'!$D$5:$D$104,$W503),0,1))+N(INDEX('得意先'!$E$5:$E$104,$W503)))+1,0),DATE(YEAR($X503),(MONTH($X503)+IF(INDEX('得意先'!$D$5:$D$104,$W503)="末",0,IF(DAY($X503)&lt;=INDEX('得意先'!$D$5:$D$104,$W503),0,1))+N(INDEX('得意先'!$E$5:$E$104,$W503))),MIN(INDEX('得意先'!$F$5:$F$104,$W503),DAY(DATE(YEAR($X503),(MONTH($X503)+IF(INDEX('得意先'!$D$5:$D$104,$W503)="末",0,IF(DAY($X503)&lt;=INDEX('得意先'!$D$5:$D$104,$W503),0,1))+N(INDEX('得意先'!$E$5:$E$104,$W503)))+1,0)))))))</f>
        <v/>
      </c>
      <c r="N503" s="26" t="n"/>
      <c r="O503" s="29">
        <f>IF($A503="","",IF(ISNUMBER($N503),$N503,$M503))</f>
        <v/>
      </c>
      <c r="P503" s="28">
        <f>IF($A503="","",SUMIF('入金消込'!$F$5:$F$1004,$A503,'入金消込'!$G$5:$G$1004))</f>
        <v/>
      </c>
      <c r="Q503" s="28">
        <f>IF($A503="","",SUMIF('入金消込'!$F$5:$F$1004,$A503,'入金消込'!$H$5:$H$1004)+SUMIF('入金消込'!$F$5:$F$1004,$A503,'入金消込'!$I$5:$I$1004))</f>
        <v/>
      </c>
      <c r="R503" s="28">
        <f>IF($A503="","",$L503-$P503-$Q503)</f>
        <v/>
      </c>
      <c r="S503" s="30">
        <f>IF($A503="","",IF($R503=0,IF($L503=0,"請求額0","回収済"),IF($L503&lt;0,IF($R503&lt;0,"差し引き待ち","差し引きすぎ"),IF($R503&lt;0,"入金が多い",IF($P503+$Q503=0,"未入金","一部入金")))))</f>
        <v/>
      </c>
      <c r="T503" s="31">
        <f>IF(OR($A503="",N($R503)&lt;=0,NOT(ISNUMBER($O503))),"",IF($O503&lt;'設定'!$B$7,'設定'!$B$7-$O503,""))</f>
        <v/>
      </c>
      <c r="U503" s="30">
        <f>IF(OR($A503="",N($R503)&lt;=0),"",IF(NOT(ISNUMBER($O503)),'設定'!$B$22,IF($O503&gt;='設定'!$B$7,'設定'!$B$17,IF('設定'!$B$7-$O503&lt;='設定'!$B$12,'設定'!$B$18,IF('設定'!$B$7-$O503&lt;='設定'!$B$13,'設定'!$B$19,IF('設定'!$B$7-$O503&lt;='設定'!$B$14,'設定'!$B$20,'設定'!$B$21))))))</f>
        <v/>
      </c>
      <c r="V503" s="56" t="n"/>
      <c r="W503" s="32">
        <f>IF($C503="","",IFERROR(MATCH($C503,'得意先'!$B$5:$B$104,0),"なし"))</f>
        <v/>
      </c>
      <c r="X503" s="33">
        <f>IF($A503="","",IF(ISNUMBER($E503),$E503,IF(ISNUMBER($B503),$B503,"")))</f>
        <v/>
      </c>
      <c r="Y503" s="34">
        <f>IF($T503="","",$O503+ROW()/1000000)</f>
        <v/>
      </c>
      <c r="Z503" s="35">
        <f>IF(OR($A503="",$C503="",$C503&lt;&gt;'売掛帳'!$B$3,NOT(ISNUMBER($X503))),"",IF(AND($X503&gt;='売掛帳'!$Q$3,$X503&lt;='売掛帳'!$Q$4),$X503+ROW()/10000000,""))</f>
        <v/>
      </c>
    </row>
    <row r="504" ht="18" customHeight="1">
      <c r="A504" s="18" t="n"/>
      <c r="B504" s="26" t="n"/>
      <c r="C504" s="18" t="n"/>
      <c r="D504" s="20">
        <f>IF($W504="","",IF($W504="なし","※得意先にないコード",INDEX('得意先'!$C$5:$C$104,$W504)&amp;""))</f>
        <v/>
      </c>
      <c r="E504" s="26" t="n"/>
      <c r="F504" s="19" t="n"/>
      <c r="G504" s="27" t="n"/>
      <c r="H504" s="27" t="n"/>
      <c r="I504" s="27" t="n"/>
      <c r="J504" s="28">
        <f>IF($A504="","",IF('設定'!$B$10="四捨五入",ROUND(IF('設定'!$B$9="税込",N($G504)*10/110,N($G504)*10/100),0),IF('設定'!$B$10="切り上げ",ROUNDUP(IF('設定'!$B$9="税込",N($G504)*10/110,N($G504)*10/100),0),ROUNDDOWN(IF('設定'!$B$9="税込",N($G504)*10/110,N($G504)*10/100),0))))</f>
        <v/>
      </c>
      <c r="K504" s="28">
        <f>IF($A504="","",IF('設定'!$B$10="四捨五入",ROUND(IF('設定'!$B$9="税込",N($H504)*8/108,N($H504)*8/100),0),IF('設定'!$B$10="切り上げ",ROUNDUP(IF('設定'!$B$9="税込",N($H504)*8/108,N($H504)*8/100),0),ROUNDDOWN(IF('設定'!$B$9="税込",N($H504)*8/108,N($H504)*8/100),0))))</f>
        <v/>
      </c>
      <c r="L504" s="28">
        <f>IF($A504="","",N($G504)+N($H504)+N($I504)+IF('設定'!$B$9="税込",0,$J504+$K504))</f>
        <v/>
      </c>
      <c r="M504" s="29">
        <f>IF(OR($A504="",NOT(ISNUMBER($W504)),NOT(ISNUMBER($X504))),"",IF(OR(INDEX('得意先'!$D$5:$D$104,$W504)="",INDEX('得意先'!$E$5:$E$104,$W504)="",INDEX('得意先'!$F$5:$F$104,$W504)=""),"",IF(INDEX('得意先'!$F$5:$F$104,$W504)="末",DATE(YEAR($X504),(MONTH($X504)+IF(INDEX('得意先'!$D$5:$D$104,$W504)="末",0,IF(DAY($X504)&lt;=INDEX('得意先'!$D$5:$D$104,$W504),0,1))+N(INDEX('得意先'!$E$5:$E$104,$W504)))+1,0),DATE(YEAR($X504),(MONTH($X504)+IF(INDEX('得意先'!$D$5:$D$104,$W504)="末",0,IF(DAY($X504)&lt;=INDEX('得意先'!$D$5:$D$104,$W504),0,1))+N(INDEX('得意先'!$E$5:$E$104,$W504))),MIN(INDEX('得意先'!$F$5:$F$104,$W504),DAY(DATE(YEAR($X504),(MONTH($X504)+IF(INDEX('得意先'!$D$5:$D$104,$W504)="末",0,IF(DAY($X504)&lt;=INDEX('得意先'!$D$5:$D$104,$W504),0,1))+N(INDEX('得意先'!$E$5:$E$104,$W504)))+1,0)))))))</f>
        <v/>
      </c>
      <c r="N504" s="26" t="n"/>
      <c r="O504" s="29">
        <f>IF($A504="","",IF(ISNUMBER($N504),$N504,$M504))</f>
        <v/>
      </c>
      <c r="P504" s="28">
        <f>IF($A504="","",SUMIF('入金消込'!$F$5:$F$1004,$A504,'入金消込'!$G$5:$G$1004))</f>
        <v/>
      </c>
      <c r="Q504" s="28">
        <f>IF($A504="","",SUMIF('入金消込'!$F$5:$F$1004,$A504,'入金消込'!$H$5:$H$1004)+SUMIF('入金消込'!$F$5:$F$1004,$A504,'入金消込'!$I$5:$I$1004))</f>
        <v/>
      </c>
      <c r="R504" s="28">
        <f>IF($A504="","",$L504-$P504-$Q504)</f>
        <v/>
      </c>
      <c r="S504" s="30">
        <f>IF($A504="","",IF($R504=0,IF($L504=0,"請求額0","回収済"),IF($L504&lt;0,IF($R504&lt;0,"差し引き待ち","差し引きすぎ"),IF($R504&lt;0,"入金が多い",IF($P504+$Q504=0,"未入金","一部入金")))))</f>
        <v/>
      </c>
      <c r="T504" s="31">
        <f>IF(OR($A504="",N($R504)&lt;=0,NOT(ISNUMBER($O504))),"",IF($O504&lt;'設定'!$B$7,'設定'!$B$7-$O504,""))</f>
        <v/>
      </c>
      <c r="U504" s="30">
        <f>IF(OR($A504="",N($R504)&lt;=0),"",IF(NOT(ISNUMBER($O504)),'設定'!$B$22,IF($O504&gt;='設定'!$B$7,'設定'!$B$17,IF('設定'!$B$7-$O504&lt;='設定'!$B$12,'設定'!$B$18,IF('設定'!$B$7-$O504&lt;='設定'!$B$13,'設定'!$B$19,IF('設定'!$B$7-$O504&lt;='設定'!$B$14,'設定'!$B$20,'設定'!$B$21))))))</f>
        <v/>
      </c>
      <c r="V504" s="56" t="n"/>
      <c r="W504" s="32">
        <f>IF($C504="","",IFERROR(MATCH($C504,'得意先'!$B$5:$B$104,0),"なし"))</f>
        <v/>
      </c>
      <c r="X504" s="33">
        <f>IF($A504="","",IF(ISNUMBER($E504),$E504,IF(ISNUMBER($B504),$B504,"")))</f>
        <v/>
      </c>
      <c r="Y504" s="34">
        <f>IF($T504="","",$O504+ROW()/1000000)</f>
        <v/>
      </c>
      <c r="Z504" s="35">
        <f>IF(OR($A504="",$C504="",$C504&lt;&gt;'売掛帳'!$B$3,NOT(ISNUMBER($X504))),"",IF(AND($X504&gt;='売掛帳'!$Q$3,$X504&lt;='売掛帳'!$Q$4),$X504+ROW()/10000000,""))</f>
        <v/>
      </c>
    </row>
    <row r="505" ht="18" customHeight="1">
      <c r="A505" s="18" t="n"/>
      <c r="B505" s="26" t="n"/>
      <c r="C505" s="18" t="n"/>
      <c r="D505" s="20">
        <f>IF($W505="","",IF($W505="なし","※得意先にないコード",INDEX('得意先'!$C$5:$C$104,$W505)&amp;""))</f>
        <v/>
      </c>
      <c r="E505" s="26" t="n"/>
      <c r="F505" s="19" t="n"/>
      <c r="G505" s="27" t="n"/>
      <c r="H505" s="27" t="n"/>
      <c r="I505" s="27" t="n"/>
      <c r="J505" s="28">
        <f>IF($A505="","",IF('設定'!$B$10="四捨五入",ROUND(IF('設定'!$B$9="税込",N($G505)*10/110,N($G505)*10/100),0),IF('設定'!$B$10="切り上げ",ROUNDUP(IF('設定'!$B$9="税込",N($G505)*10/110,N($G505)*10/100),0),ROUNDDOWN(IF('設定'!$B$9="税込",N($G505)*10/110,N($G505)*10/100),0))))</f>
        <v/>
      </c>
      <c r="K505" s="28">
        <f>IF($A505="","",IF('設定'!$B$10="四捨五入",ROUND(IF('設定'!$B$9="税込",N($H505)*8/108,N($H505)*8/100),0),IF('設定'!$B$10="切り上げ",ROUNDUP(IF('設定'!$B$9="税込",N($H505)*8/108,N($H505)*8/100),0),ROUNDDOWN(IF('設定'!$B$9="税込",N($H505)*8/108,N($H505)*8/100),0))))</f>
        <v/>
      </c>
      <c r="L505" s="28">
        <f>IF($A505="","",N($G505)+N($H505)+N($I505)+IF('設定'!$B$9="税込",0,$J505+$K505))</f>
        <v/>
      </c>
      <c r="M505" s="29">
        <f>IF(OR($A505="",NOT(ISNUMBER($W505)),NOT(ISNUMBER($X505))),"",IF(OR(INDEX('得意先'!$D$5:$D$104,$W505)="",INDEX('得意先'!$E$5:$E$104,$W505)="",INDEX('得意先'!$F$5:$F$104,$W505)=""),"",IF(INDEX('得意先'!$F$5:$F$104,$W505)="末",DATE(YEAR($X505),(MONTH($X505)+IF(INDEX('得意先'!$D$5:$D$104,$W505)="末",0,IF(DAY($X505)&lt;=INDEX('得意先'!$D$5:$D$104,$W505),0,1))+N(INDEX('得意先'!$E$5:$E$104,$W505)))+1,0),DATE(YEAR($X505),(MONTH($X505)+IF(INDEX('得意先'!$D$5:$D$104,$W505)="末",0,IF(DAY($X505)&lt;=INDEX('得意先'!$D$5:$D$104,$W505),0,1))+N(INDEX('得意先'!$E$5:$E$104,$W505))),MIN(INDEX('得意先'!$F$5:$F$104,$W505),DAY(DATE(YEAR($X505),(MONTH($X505)+IF(INDEX('得意先'!$D$5:$D$104,$W505)="末",0,IF(DAY($X505)&lt;=INDEX('得意先'!$D$5:$D$104,$W505),0,1))+N(INDEX('得意先'!$E$5:$E$104,$W505)))+1,0)))))))</f>
        <v/>
      </c>
      <c r="N505" s="26" t="n"/>
      <c r="O505" s="29">
        <f>IF($A505="","",IF(ISNUMBER($N505),$N505,$M505))</f>
        <v/>
      </c>
      <c r="P505" s="28">
        <f>IF($A505="","",SUMIF('入金消込'!$F$5:$F$1004,$A505,'入金消込'!$G$5:$G$1004))</f>
        <v/>
      </c>
      <c r="Q505" s="28">
        <f>IF($A505="","",SUMIF('入金消込'!$F$5:$F$1004,$A505,'入金消込'!$H$5:$H$1004)+SUMIF('入金消込'!$F$5:$F$1004,$A505,'入金消込'!$I$5:$I$1004))</f>
        <v/>
      </c>
      <c r="R505" s="28">
        <f>IF($A505="","",$L505-$P505-$Q505)</f>
        <v/>
      </c>
      <c r="S505" s="30">
        <f>IF($A505="","",IF($R505=0,IF($L505=0,"請求額0","回収済"),IF($L505&lt;0,IF($R505&lt;0,"差し引き待ち","差し引きすぎ"),IF($R505&lt;0,"入金が多い",IF($P505+$Q505=0,"未入金","一部入金")))))</f>
        <v/>
      </c>
      <c r="T505" s="31">
        <f>IF(OR($A505="",N($R505)&lt;=0,NOT(ISNUMBER($O505))),"",IF($O505&lt;'設定'!$B$7,'設定'!$B$7-$O505,""))</f>
        <v/>
      </c>
      <c r="U505" s="30">
        <f>IF(OR($A505="",N($R505)&lt;=0),"",IF(NOT(ISNUMBER($O505)),'設定'!$B$22,IF($O505&gt;='設定'!$B$7,'設定'!$B$17,IF('設定'!$B$7-$O505&lt;='設定'!$B$12,'設定'!$B$18,IF('設定'!$B$7-$O505&lt;='設定'!$B$13,'設定'!$B$19,IF('設定'!$B$7-$O505&lt;='設定'!$B$14,'設定'!$B$20,'設定'!$B$21))))))</f>
        <v/>
      </c>
      <c r="V505" s="56" t="n"/>
      <c r="W505" s="32">
        <f>IF($C505="","",IFERROR(MATCH($C505,'得意先'!$B$5:$B$104,0),"なし"))</f>
        <v/>
      </c>
      <c r="X505" s="33">
        <f>IF($A505="","",IF(ISNUMBER($E505),$E505,IF(ISNUMBER($B505),$B505,"")))</f>
        <v/>
      </c>
      <c r="Y505" s="34">
        <f>IF($T505="","",$O505+ROW()/1000000)</f>
        <v/>
      </c>
      <c r="Z505" s="35">
        <f>IF(OR($A505="",$C505="",$C505&lt;&gt;'売掛帳'!$B$3,NOT(ISNUMBER($X505))),"",IF(AND($X505&gt;='売掛帳'!$Q$3,$X505&lt;='売掛帳'!$Q$4),$X505+ROW()/10000000,""))</f>
        <v/>
      </c>
    </row>
    <row r="506" ht="18" customHeight="1">
      <c r="A506" s="18" t="n"/>
      <c r="B506" s="26" t="n"/>
      <c r="C506" s="18" t="n"/>
      <c r="D506" s="20">
        <f>IF($W506="","",IF($W506="なし","※得意先にないコード",INDEX('得意先'!$C$5:$C$104,$W506)&amp;""))</f>
        <v/>
      </c>
      <c r="E506" s="26" t="n"/>
      <c r="F506" s="19" t="n"/>
      <c r="G506" s="27" t="n"/>
      <c r="H506" s="27" t="n"/>
      <c r="I506" s="27" t="n"/>
      <c r="J506" s="28">
        <f>IF($A506="","",IF('設定'!$B$10="四捨五入",ROUND(IF('設定'!$B$9="税込",N($G506)*10/110,N($G506)*10/100),0),IF('設定'!$B$10="切り上げ",ROUNDUP(IF('設定'!$B$9="税込",N($G506)*10/110,N($G506)*10/100),0),ROUNDDOWN(IF('設定'!$B$9="税込",N($G506)*10/110,N($G506)*10/100),0))))</f>
        <v/>
      </c>
      <c r="K506" s="28">
        <f>IF($A506="","",IF('設定'!$B$10="四捨五入",ROUND(IF('設定'!$B$9="税込",N($H506)*8/108,N($H506)*8/100),0),IF('設定'!$B$10="切り上げ",ROUNDUP(IF('設定'!$B$9="税込",N($H506)*8/108,N($H506)*8/100),0),ROUNDDOWN(IF('設定'!$B$9="税込",N($H506)*8/108,N($H506)*8/100),0))))</f>
        <v/>
      </c>
      <c r="L506" s="28">
        <f>IF($A506="","",N($G506)+N($H506)+N($I506)+IF('設定'!$B$9="税込",0,$J506+$K506))</f>
        <v/>
      </c>
      <c r="M506" s="29">
        <f>IF(OR($A506="",NOT(ISNUMBER($W506)),NOT(ISNUMBER($X506))),"",IF(OR(INDEX('得意先'!$D$5:$D$104,$W506)="",INDEX('得意先'!$E$5:$E$104,$W506)="",INDEX('得意先'!$F$5:$F$104,$W506)=""),"",IF(INDEX('得意先'!$F$5:$F$104,$W506)="末",DATE(YEAR($X506),(MONTH($X506)+IF(INDEX('得意先'!$D$5:$D$104,$W506)="末",0,IF(DAY($X506)&lt;=INDEX('得意先'!$D$5:$D$104,$W506),0,1))+N(INDEX('得意先'!$E$5:$E$104,$W506)))+1,0),DATE(YEAR($X506),(MONTH($X506)+IF(INDEX('得意先'!$D$5:$D$104,$W506)="末",0,IF(DAY($X506)&lt;=INDEX('得意先'!$D$5:$D$104,$W506),0,1))+N(INDEX('得意先'!$E$5:$E$104,$W506))),MIN(INDEX('得意先'!$F$5:$F$104,$W506),DAY(DATE(YEAR($X506),(MONTH($X506)+IF(INDEX('得意先'!$D$5:$D$104,$W506)="末",0,IF(DAY($X506)&lt;=INDEX('得意先'!$D$5:$D$104,$W506),0,1))+N(INDEX('得意先'!$E$5:$E$104,$W506)))+1,0)))))))</f>
        <v/>
      </c>
      <c r="N506" s="26" t="n"/>
      <c r="O506" s="29">
        <f>IF($A506="","",IF(ISNUMBER($N506),$N506,$M506))</f>
        <v/>
      </c>
      <c r="P506" s="28">
        <f>IF($A506="","",SUMIF('入金消込'!$F$5:$F$1004,$A506,'入金消込'!$G$5:$G$1004))</f>
        <v/>
      </c>
      <c r="Q506" s="28">
        <f>IF($A506="","",SUMIF('入金消込'!$F$5:$F$1004,$A506,'入金消込'!$H$5:$H$1004)+SUMIF('入金消込'!$F$5:$F$1004,$A506,'入金消込'!$I$5:$I$1004))</f>
        <v/>
      </c>
      <c r="R506" s="28">
        <f>IF($A506="","",$L506-$P506-$Q506)</f>
        <v/>
      </c>
      <c r="S506" s="30">
        <f>IF($A506="","",IF($R506=0,IF($L506=0,"請求額0","回収済"),IF($L506&lt;0,IF($R506&lt;0,"差し引き待ち","差し引きすぎ"),IF($R506&lt;0,"入金が多い",IF($P506+$Q506=0,"未入金","一部入金")))))</f>
        <v/>
      </c>
      <c r="T506" s="31">
        <f>IF(OR($A506="",N($R506)&lt;=0,NOT(ISNUMBER($O506))),"",IF($O506&lt;'設定'!$B$7,'設定'!$B$7-$O506,""))</f>
        <v/>
      </c>
      <c r="U506" s="30">
        <f>IF(OR($A506="",N($R506)&lt;=0),"",IF(NOT(ISNUMBER($O506)),'設定'!$B$22,IF($O506&gt;='設定'!$B$7,'設定'!$B$17,IF('設定'!$B$7-$O506&lt;='設定'!$B$12,'設定'!$B$18,IF('設定'!$B$7-$O506&lt;='設定'!$B$13,'設定'!$B$19,IF('設定'!$B$7-$O506&lt;='設定'!$B$14,'設定'!$B$20,'設定'!$B$21))))))</f>
        <v/>
      </c>
      <c r="V506" s="56" t="n"/>
      <c r="W506" s="32">
        <f>IF($C506="","",IFERROR(MATCH($C506,'得意先'!$B$5:$B$104,0),"なし"))</f>
        <v/>
      </c>
      <c r="X506" s="33">
        <f>IF($A506="","",IF(ISNUMBER($E506),$E506,IF(ISNUMBER($B506),$B506,"")))</f>
        <v/>
      </c>
      <c r="Y506" s="34">
        <f>IF($T506="","",$O506+ROW()/1000000)</f>
        <v/>
      </c>
      <c r="Z506" s="35">
        <f>IF(OR($A506="",$C506="",$C506&lt;&gt;'売掛帳'!$B$3,NOT(ISNUMBER($X506))),"",IF(AND($X506&gt;='売掛帳'!$Q$3,$X506&lt;='売掛帳'!$Q$4),$X506+ROW()/10000000,""))</f>
        <v/>
      </c>
    </row>
    <row r="507" ht="18" customHeight="1">
      <c r="A507" s="18" t="n"/>
      <c r="B507" s="26" t="n"/>
      <c r="C507" s="18" t="n"/>
      <c r="D507" s="20">
        <f>IF($W507="","",IF($W507="なし","※得意先にないコード",INDEX('得意先'!$C$5:$C$104,$W507)&amp;""))</f>
        <v/>
      </c>
      <c r="E507" s="26" t="n"/>
      <c r="F507" s="19" t="n"/>
      <c r="G507" s="27" t="n"/>
      <c r="H507" s="27" t="n"/>
      <c r="I507" s="27" t="n"/>
      <c r="J507" s="28">
        <f>IF($A507="","",IF('設定'!$B$10="四捨五入",ROUND(IF('設定'!$B$9="税込",N($G507)*10/110,N($G507)*10/100),0),IF('設定'!$B$10="切り上げ",ROUNDUP(IF('設定'!$B$9="税込",N($G507)*10/110,N($G507)*10/100),0),ROUNDDOWN(IF('設定'!$B$9="税込",N($G507)*10/110,N($G507)*10/100),0))))</f>
        <v/>
      </c>
      <c r="K507" s="28">
        <f>IF($A507="","",IF('設定'!$B$10="四捨五入",ROUND(IF('設定'!$B$9="税込",N($H507)*8/108,N($H507)*8/100),0),IF('設定'!$B$10="切り上げ",ROUNDUP(IF('設定'!$B$9="税込",N($H507)*8/108,N($H507)*8/100),0),ROUNDDOWN(IF('設定'!$B$9="税込",N($H507)*8/108,N($H507)*8/100),0))))</f>
        <v/>
      </c>
      <c r="L507" s="28">
        <f>IF($A507="","",N($G507)+N($H507)+N($I507)+IF('設定'!$B$9="税込",0,$J507+$K507))</f>
        <v/>
      </c>
      <c r="M507" s="29">
        <f>IF(OR($A507="",NOT(ISNUMBER($W507)),NOT(ISNUMBER($X507))),"",IF(OR(INDEX('得意先'!$D$5:$D$104,$W507)="",INDEX('得意先'!$E$5:$E$104,$W507)="",INDEX('得意先'!$F$5:$F$104,$W507)=""),"",IF(INDEX('得意先'!$F$5:$F$104,$W507)="末",DATE(YEAR($X507),(MONTH($X507)+IF(INDEX('得意先'!$D$5:$D$104,$W507)="末",0,IF(DAY($X507)&lt;=INDEX('得意先'!$D$5:$D$104,$W507),0,1))+N(INDEX('得意先'!$E$5:$E$104,$W507)))+1,0),DATE(YEAR($X507),(MONTH($X507)+IF(INDEX('得意先'!$D$5:$D$104,$W507)="末",0,IF(DAY($X507)&lt;=INDEX('得意先'!$D$5:$D$104,$W507),0,1))+N(INDEX('得意先'!$E$5:$E$104,$W507))),MIN(INDEX('得意先'!$F$5:$F$104,$W507),DAY(DATE(YEAR($X507),(MONTH($X507)+IF(INDEX('得意先'!$D$5:$D$104,$W507)="末",0,IF(DAY($X507)&lt;=INDEX('得意先'!$D$5:$D$104,$W507),0,1))+N(INDEX('得意先'!$E$5:$E$104,$W507)))+1,0)))))))</f>
        <v/>
      </c>
      <c r="N507" s="26" t="n"/>
      <c r="O507" s="29">
        <f>IF($A507="","",IF(ISNUMBER($N507),$N507,$M507))</f>
        <v/>
      </c>
      <c r="P507" s="28">
        <f>IF($A507="","",SUMIF('入金消込'!$F$5:$F$1004,$A507,'入金消込'!$G$5:$G$1004))</f>
        <v/>
      </c>
      <c r="Q507" s="28">
        <f>IF($A507="","",SUMIF('入金消込'!$F$5:$F$1004,$A507,'入金消込'!$H$5:$H$1004)+SUMIF('入金消込'!$F$5:$F$1004,$A507,'入金消込'!$I$5:$I$1004))</f>
        <v/>
      </c>
      <c r="R507" s="28">
        <f>IF($A507="","",$L507-$P507-$Q507)</f>
        <v/>
      </c>
      <c r="S507" s="30">
        <f>IF($A507="","",IF($R507=0,IF($L507=0,"請求額0","回収済"),IF($L507&lt;0,IF($R507&lt;0,"差し引き待ち","差し引きすぎ"),IF($R507&lt;0,"入金が多い",IF($P507+$Q507=0,"未入金","一部入金")))))</f>
        <v/>
      </c>
      <c r="T507" s="31">
        <f>IF(OR($A507="",N($R507)&lt;=0,NOT(ISNUMBER($O507))),"",IF($O507&lt;'設定'!$B$7,'設定'!$B$7-$O507,""))</f>
        <v/>
      </c>
      <c r="U507" s="30">
        <f>IF(OR($A507="",N($R507)&lt;=0),"",IF(NOT(ISNUMBER($O507)),'設定'!$B$22,IF($O507&gt;='設定'!$B$7,'設定'!$B$17,IF('設定'!$B$7-$O507&lt;='設定'!$B$12,'設定'!$B$18,IF('設定'!$B$7-$O507&lt;='設定'!$B$13,'設定'!$B$19,IF('設定'!$B$7-$O507&lt;='設定'!$B$14,'設定'!$B$20,'設定'!$B$21))))))</f>
        <v/>
      </c>
      <c r="V507" s="56" t="n"/>
      <c r="W507" s="32">
        <f>IF($C507="","",IFERROR(MATCH($C507,'得意先'!$B$5:$B$104,0),"なし"))</f>
        <v/>
      </c>
      <c r="X507" s="33">
        <f>IF($A507="","",IF(ISNUMBER($E507),$E507,IF(ISNUMBER($B507),$B507,"")))</f>
        <v/>
      </c>
      <c r="Y507" s="34">
        <f>IF($T507="","",$O507+ROW()/1000000)</f>
        <v/>
      </c>
      <c r="Z507" s="35">
        <f>IF(OR($A507="",$C507="",$C507&lt;&gt;'売掛帳'!$B$3,NOT(ISNUMBER($X507))),"",IF(AND($X507&gt;='売掛帳'!$Q$3,$X507&lt;='売掛帳'!$Q$4),$X507+ROW()/10000000,""))</f>
        <v/>
      </c>
    </row>
    <row r="508" ht="18" customHeight="1">
      <c r="A508" s="18" t="n"/>
      <c r="B508" s="26" t="n"/>
      <c r="C508" s="18" t="n"/>
      <c r="D508" s="20">
        <f>IF($W508="","",IF($W508="なし","※得意先にないコード",INDEX('得意先'!$C$5:$C$104,$W508)&amp;""))</f>
        <v/>
      </c>
      <c r="E508" s="26" t="n"/>
      <c r="F508" s="19" t="n"/>
      <c r="G508" s="27" t="n"/>
      <c r="H508" s="27" t="n"/>
      <c r="I508" s="27" t="n"/>
      <c r="J508" s="28">
        <f>IF($A508="","",IF('設定'!$B$10="四捨五入",ROUND(IF('設定'!$B$9="税込",N($G508)*10/110,N($G508)*10/100),0),IF('設定'!$B$10="切り上げ",ROUNDUP(IF('設定'!$B$9="税込",N($G508)*10/110,N($G508)*10/100),0),ROUNDDOWN(IF('設定'!$B$9="税込",N($G508)*10/110,N($G508)*10/100),0))))</f>
        <v/>
      </c>
      <c r="K508" s="28">
        <f>IF($A508="","",IF('設定'!$B$10="四捨五入",ROUND(IF('設定'!$B$9="税込",N($H508)*8/108,N($H508)*8/100),0),IF('設定'!$B$10="切り上げ",ROUNDUP(IF('設定'!$B$9="税込",N($H508)*8/108,N($H508)*8/100),0),ROUNDDOWN(IF('設定'!$B$9="税込",N($H508)*8/108,N($H508)*8/100),0))))</f>
        <v/>
      </c>
      <c r="L508" s="28">
        <f>IF($A508="","",N($G508)+N($H508)+N($I508)+IF('設定'!$B$9="税込",0,$J508+$K508))</f>
        <v/>
      </c>
      <c r="M508" s="29">
        <f>IF(OR($A508="",NOT(ISNUMBER($W508)),NOT(ISNUMBER($X508))),"",IF(OR(INDEX('得意先'!$D$5:$D$104,$W508)="",INDEX('得意先'!$E$5:$E$104,$W508)="",INDEX('得意先'!$F$5:$F$104,$W508)=""),"",IF(INDEX('得意先'!$F$5:$F$104,$W508)="末",DATE(YEAR($X508),(MONTH($X508)+IF(INDEX('得意先'!$D$5:$D$104,$W508)="末",0,IF(DAY($X508)&lt;=INDEX('得意先'!$D$5:$D$104,$W508),0,1))+N(INDEX('得意先'!$E$5:$E$104,$W508)))+1,0),DATE(YEAR($X508),(MONTH($X508)+IF(INDEX('得意先'!$D$5:$D$104,$W508)="末",0,IF(DAY($X508)&lt;=INDEX('得意先'!$D$5:$D$104,$W508),0,1))+N(INDEX('得意先'!$E$5:$E$104,$W508))),MIN(INDEX('得意先'!$F$5:$F$104,$W508),DAY(DATE(YEAR($X508),(MONTH($X508)+IF(INDEX('得意先'!$D$5:$D$104,$W508)="末",0,IF(DAY($X508)&lt;=INDEX('得意先'!$D$5:$D$104,$W508),0,1))+N(INDEX('得意先'!$E$5:$E$104,$W508)))+1,0)))))))</f>
        <v/>
      </c>
      <c r="N508" s="26" t="n"/>
      <c r="O508" s="29">
        <f>IF($A508="","",IF(ISNUMBER($N508),$N508,$M508))</f>
        <v/>
      </c>
      <c r="P508" s="28">
        <f>IF($A508="","",SUMIF('入金消込'!$F$5:$F$1004,$A508,'入金消込'!$G$5:$G$1004))</f>
        <v/>
      </c>
      <c r="Q508" s="28">
        <f>IF($A508="","",SUMIF('入金消込'!$F$5:$F$1004,$A508,'入金消込'!$H$5:$H$1004)+SUMIF('入金消込'!$F$5:$F$1004,$A508,'入金消込'!$I$5:$I$1004))</f>
        <v/>
      </c>
      <c r="R508" s="28">
        <f>IF($A508="","",$L508-$P508-$Q508)</f>
        <v/>
      </c>
      <c r="S508" s="30">
        <f>IF($A508="","",IF($R508=0,IF($L508=0,"請求額0","回収済"),IF($L508&lt;0,IF($R508&lt;0,"差し引き待ち","差し引きすぎ"),IF($R508&lt;0,"入金が多い",IF($P508+$Q508=0,"未入金","一部入金")))))</f>
        <v/>
      </c>
      <c r="T508" s="31">
        <f>IF(OR($A508="",N($R508)&lt;=0,NOT(ISNUMBER($O508))),"",IF($O508&lt;'設定'!$B$7,'設定'!$B$7-$O508,""))</f>
        <v/>
      </c>
      <c r="U508" s="30">
        <f>IF(OR($A508="",N($R508)&lt;=0),"",IF(NOT(ISNUMBER($O508)),'設定'!$B$22,IF($O508&gt;='設定'!$B$7,'設定'!$B$17,IF('設定'!$B$7-$O508&lt;='設定'!$B$12,'設定'!$B$18,IF('設定'!$B$7-$O508&lt;='設定'!$B$13,'設定'!$B$19,IF('設定'!$B$7-$O508&lt;='設定'!$B$14,'設定'!$B$20,'設定'!$B$21))))))</f>
        <v/>
      </c>
      <c r="V508" s="56" t="n"/>
      <c r="W508" s="32">
        <f>IF($C508="","",IFERROR(MATCH($C508,'得意先'!$B$5:$B$104,0),"なし"))</f>
        <v/>
      </c>
      <c r="X508" s="33">
        <f>IF($A508="","",IF(ISNUMBER($E508),$E508,IF(ISNUMBER($B508),$B508,"")))</f>
        <v/>
      </c>
      <c r="Y508" s="34">
        <f>IF($T508="","",$O508+ROW()/1000000)</f>
        <v/>
      </c>
      <c r="Z508" s="35">
        <f>IF(OR($A508="",$C508="",$C508&lt;&gt;'売掛帳'!$B$3,NOT(ISNUMBER($X508))),"",IF(AND($X508&gt;='売掛帳'!$Q$3,$X508&lt;='売掛帳'!$Q$4),$X508+ROW()/10000000,""))</f>
        <v/>
      </c>
    </row>
    <row r="509" ht="18" customHeight="1">
      <c r="A509" s="18" t="n"/>
      <c r="B509" s="26" t="n"/>
      <c r="C509" s="18" t="n"/>
      <c r="D509" s="20">
        <f>IF($W509="","",IF($W509="なし","※得意先にないコード",INDEX('得意先'!$C$5:$C$104,$W509)&amp;""))</f>
        <v/>
      </c>
      <c r="E509" s="26" t="n"/>
      <c r="F509" s="19" t="n"/>
      <c r="G509" s="27" t="n"/>
      <c r="H509" s="27" t="n"/>
      <c r="I509" s="27" t="n"/>
      <c r="J509" s="28">
        <f>IF($A509="","",IF('設定'!$B$10="四捨五入",ROUND(IF('設定'!$B$9="税込",N($G509)*10/110,N($G509)*10/100),0),IF('設定'!$B$10="切り上げ",ROUNDUP(IF('設定'!$B$9="税込",N($G509)*10/110,N($G509)*10/100),0),ROUNDDOWN(IF('設定'!$B$9="税込",N($G509)*10/110,N($G509)*10/100),0))))</f>
        <v/>
      </c>
      <c r="K509" s="28">
        <f>IF($A509="","",IF('設定'!$B$10="四捨五入",ROUND(IF('設定'!$B$9="税込",N($H509)*8/108,N($H509)*8/100),0),IF('設定'!$B$10="切り上げ",ROUNDUP(IF('設定'!$B$9="税込",N($H509)*8/108,N($H509)*8/100),0),ROUNDDOWN(IF('設定'!$B$9="税込",N($H509)*8/108,N($H509)*8/100),0))))</f>
        <v/>
      </c>
      <c r="L509" s="28">
        <f>IF($A509="","",N($G509)+N($H509)+N($I509)+IF('設定'!$B$9="税込",0,$J509+$K509))</f>
        <v/>
      </c>
      <c r="M509" s="29">
        <f>IF(OR($A509="",NOT(ISNUMBER($W509)),NOT(ISNUMBER($X509))),"",IF(OR(INDEX('得意先'!$D$5:$D$104,$W509)="",INDEX('得意先'!$E$5:$E$104,$W509)="",INDEX('得意先'!$F$5:$F$104,$W509)=""),"",IF(INDEX('得意先'!$F$5:$F$104,$W509)="末",DATE(YEAR($X509),(MONTH($X509)+IF(INDEX('得意先'!$D$5:$D$104,$W509)="末",0,IF(DAY($X509)&lt;=INDEX('得意先'!$D$5:$D$104,$W509),0,1))+N(INDEX('得意先'!$E$5:$E$104,$W509)))+1,0),DATE(YEAR($X509),(MONTH($X509)+IF(INDEX('得意先'!$D$5:$D$104,$W509)="末",0,IF(DAY($X509)&lt;=INDEX('得意先'!$D$5:$D$104,$W509),0,1))+N(INDEX('得意先'!$E$5:$E$104,$W509))),MIN(INDEX('得意先'!$F$5:$F$104,$W509),DAY(DATE(YEAR($X509),(MONTH($X509)+IF(INDEX('得意先'!$D$5:$D$104,$W509)="末",0,IF(DAY($X509)&lt;=INDEX('得意先'!$D$5:$D$104,$W509),0,1))+N(INDEX('得意先'!$E$5:$E$104,$W509)))+1,0)))))))</f>
        <v/>
      </c>
      <c r="N509" s="26" t="n"/>
      <c r="O509" s="29">
        <f>IF($A509="","",IF(ISNUMBER($N509),$N509,$M509))</f>
        <v/>
      </c>
      <c r="P509" s="28">
        <f>IF($A509="","",SUMIF('入金消込'!$F$5:$F$1004,$A509,'入金消込'!$G$5:$G$1004))</f>
        <v/>
      </c>
      <c r="Q509" s="28">
        <f>IF($A509="","",SUMIF('入金消込'!$F$5:$F$1004,$A509,'入金消込'!$H$5:$H$1004)+SUMIF('入金消込'!$F$5:$F$1004,$A509,'入金消込'!$I$5:$I$1004))</f>
        <v/>
      </c>
      <c r="R509" s="28">
        <f>IF($A509="","",$L509-$P509-$Q509)</f>
        <v/>
      </c>
      <c r="S509" s="30">
        <f>IF($A509="","",IF($R509=0,IF($L509=0,"請求額0","回収済"),IF($L509&lt;0,IF($R509&lt;0,"差し引き待ち","差し引きすぎ"),IF($R509&lt;0,"入金が多い",IF($P509+$Q509=0,"未入金","一部入金")))))</f>
        <v/>
      </c>
      <c r="T509" s="31">
        <f>IF(OR($A509="",N($R509)&lt;=0,NOT(ISNUMBER($O509))),"",IF($O509&lt;'設定'!$B$7,'設定'!$B$7-$O509,""))</f>
        <v/>
      </c>
      <c r="U509" s="30">
        <f>IF(OR($A509="",N($R509)&lt;=0),"",IF(NOT(ISNUMBER($O509)),'設定'!$B$22,IF($O509&gt;='設定'!$B$7,'設定'!$B$17,IF('設定'!$B$7-$O509&lt;='設定'!$B$12,'設定'!$B$18,IF('設定'!$B$7-$O509&lt;='設定'!$B$13,'設定'!$B$19,IF('設定'!$B$7-$O509&lt;='設定'!$B$14,'設定'!$B$20,'設定'!$B$21))))))</f>
        <v/>
      </c>
      <c r="V509" s="56" t="n"/>
      <c r="W509" s="32">
        <f>IF($C509="","",IFERROR(MATCH($C509,'得意先'!$B$5:$B$104,0),"なし"))</f>
        <v/>
      </c>
      <c r="X509" s="33">
        <f>IF($A509="","",IF(ISNUMBER($E509),$E509,IF(ISNUMBER($B509),$B509,"")))</f>
        <v/>
      </c>
      <c r="Y509" s="34">
        <f>IF($T509="","",$O509+ROW()/1000000)</f>
        <v/>
      </c>
      <c r="Z509" s="35">
        <f>IF(OR($A509="",$C509="",$C509&lt;&gt;'売掛帳'!$B$3,NOT(ISNUMBER($X509))),"",IF(AND($X509&gt;='売掛帳'!$Q$3,$X509&lt;='売掛帳'!$Q$4),$X509+ROW()/10000000,""))</f>
        <v/>
      </c>
    </row>
    <row r="510" ht="18" customHeight="1">
      <c r="A510" s="18" t="n"/>
      <c r="B510" s="26" t="n"/>
      <c r="C510" s="18" t="n"/>
      <c r="D510" s="20">
        <f>IF($W510="","",IF($W510="なし","※得意先にないコード",INDEX('得意先'!$C$5:$C$104,$W510)&amp;""))</f>
        <v/>
      </c>
      <c r="E510" s="26" t="n"/>
      <c r="F510" s="19" t="n"/>
      <c r="G510" s="27" t="n"/>
      <c r="H510" s="27" t="n"/>
      <c r="I510" s="27" t="n"/>
      <c r="J510" s="28">
        <f>IF($A510="","",IF('設定'!$B$10="四捨五入",ROUND(IF('設定'!$B$9="税込",N($G510)*10/110,N($G510)*10/100),0),IF('設定'!$B$10="切り上げ",ROUNDUP(IF('設定'!$B$9="税込",N($G510)*10/110,N($G510)*10/100),0),ROUNDDOWN(IF('設定'!$B$9="税込",N($G510)*10/110,N($G510)*10/100),0))))</f>
        <v/>
      </c>
      <c r="K510" s="28">
        <f>IF($A510="","",IF('設定'!$B$10="四捨五入",ROUND(IF('設定'!$B$9="税込",N($H510)*8/108,N($H510)*8/100),0),IF('設定'!$B$10="切り上げ",ROUNDUP(IF('設定'!$B$9="税込",N($H510)*8/108,N($H510)*8/100),0),ROUNDDOWN(IF('設定'!$B$9="税込",N($H510)*8/108,N($H510)*8/100),0))))</f>
        <v/>
      </c>
      <c r="L510" s="28">
        <f>IF($A510="","",N($G510)+N($H510)+N($I510)+IF('設定'!$B$9="税込",0,$J510+$K510))</f>
        <v/>
      </c>
      <c r="M510" s="29">
        <f>IF(OR($A510="",NOT(ISNUMBER($W510)),NOT(ISNUMBER($X510))),"",IF(OR(INDEX('得意先'!$D$5:$D$104,$W510)="",INDEX('得意先'!$E$5:$E$104,$W510)="",INDEX('得意先'!$F$5:$F$104,$W510)=""),"",IF(INDEX('得意先'!$F$5:$F$104,$W510)="末",DATE(YEAR($X510),(MONTH($X510)+IF(INDEX('得意先'!$D$5:$D$104,$W510)="末",0,IF(DAY($X510)&lt;=INDEX('得意先'!$D$5:$D$104,$W510),0,1))+N(INDEX('得意先'!$E$5:$E$104,$W510)))+1,0),DATE(YEAR($X510),(MONTH($X510)+IF(INDEX('得意先'!$D$5:$D$104,$W510)="末",0,IF(DAY($X510)&lt;=INDEX('得意先'!$D$5:$D$104,$W510),0,1))+N(INDEX('得意先'!$E$5:$E$104,$W510))),MIN(INDEX('得意先'!$F$5:$F$104,$W510),DAY(DATE(YEAR($X510),(MONTH($X510)+IF(INDEX('得意先'!$D$5:$D$104,$W510)="末",0,IF(DAY($X510)&lt;=INDEX('得意先'!$D$5:$D$104,$W510),0,1))+N(INDEX('得意先'!$E$5:$E$104,$W510)))+1,0)))))))</f>
        <v/>
      </c>
      <c r="N510" s="26" t="n"/>
      <c r="O510" s="29">
        <f>IF($A510="","",IF(ISNUMBER($N510),$N510,$M510))</f>
        <v/>
      </c>
      <c r="P510" s="28">
        <f>IF($A510="","",SUMIF('入金消込'!$F$5:$F$1004,$A510,'入金消込'!$G$5:$G$1004))</f>
        <v/>
      </c>
      <c r="Q510" s="28">
        <f>IF($A510="","",SUMIF('入金消込'!$F$5:$F$1004,$A510,'入金消込'!$H$5:$H$1004)+SUMIF('入金消込'!$F$5:$F$1004,$A510,'入金消込'!$I$5:$I$1004))</f>
        <v/>
      </c>
      <c r="R510" s="28">
        <f>IF($A510="","",$L510-$P510-$Q510)</f>
        <v/>
      </c>
      <c r="S510" s="30">
        <f>IF($A510="","",IF($R510=0,IF($L510=0,"請求額0","回収済"),IF($L510&lt;0,IF($R510&lt;0,"差し引き待ち","差し引きすぎ"),IF($R510&lt;0,"入金が多い",IF($P510+$Q510=0,"未入金","一部入金")))))</f>
        <v/>
      </c>
      <c r="T510" s="31">
        <f>IF(OR($A510="",N($R510)&lt;=0,NOT(ISNUMBER($O510))),"",IF($O510&lt;'設定'!$B$7,'設定'!$B$7-$O510,""))</f>
        <v/>
      </c>
      <c r="U510" s="30">
        <f>IF(OR($A510="",N($R510)&lt;=0),"",IF(NOT(ISNUMBER($O510)),'設定'!$B$22,IF($O510&gt;='設定'!$B$7,'設定'!$B$17,IF('設定'!$B$7-$O510&lt;='設定'!$B$12,'設定'!$B$18,IF('設定'!$B$7-$O510&lt;='設定'!$B$13,'設定'!$B$19,IF('設定'!$B$7-$O510&lt;='設定'!$B$14,'設定'!$B$20,'設定'!$B$21))))))</f>
        <v/>
      </c>
      <c r="V510" s="56" t="n"/>
      <c r="W510" s="32">
        <f>IF($C510="","",IFERROR(MATCH($C510,'得意先'!$B$5:$B$104,0),"なし"))</f>
        <v/>
      </c>
      <c r="X510" s="33">
        <f>IF($A510="","",IF(ISNUMBER($E510),$E510,IF(ISNUMBER($B510),$B510,"")))</f>
        <v/>
      </c>
      <c r="Y510" s="34">
        <f>IF($T510="","",$O510+ROW()/1000000)</f>
        <v/>
      </c>
      <c r="Z510" s="35">
        <f>IF(OR($A510="",$C510="",$C510&lt;&gt;'売掛帳'!$B$3,NOT(ISNUMBER($X510))),"",IF(AND($X510&gt;='売掛帳'!$Q$3,$X510&lt;='売掛帳'!$Q$4),$X510+ROW()/10000000,""))</f>
        <v/>
      </c>
    </row>
    <row r="511" ht="18" customHeight="1">
      <c r="A511" s="18" t="n"/>
      <c r="B511" s="26" t="n"/>
      <c r="C511" s="18" t="n"/>
      <c r="D511" s="20">
        <f>IF($W511="","",IF($W511="なし","※得意先にないコード",INDEX('得意先'!$C$5:$C$104,$W511)&amp;""))</f>
        <v/>
      </c>
      <c r="E511" s="26" t="n"/>
      <c r="F511" s="19" t="n"/>
      <c r="G511" s="27" t="n"/>
      <c r="H511" s="27" t="n"/>
      <c r="I511" s="27" t="n"/>
      <c r="J511" s="28">
        <f>IF($A511="","",IF('設定'!$B$10="四捨五入",ROUND(IF('設定'!$B$9="税込",N($G511)*10/110,N($G511)*10/100),0),IF('設定'!$B$10="切り上げ",ROUNDUP(IF('設定'!$B$9="税込",N($G511)*10/110,N($G511)*10/100),0),ROUNDDOWN(IF('設定'!$B$9="税込",N($G511)*10/110,N($G511)*10/100),0))))</f>
        <v/>
      </c>
      <c r="K511" s="28">
        <f>IF($A511="","",IF('設定'!$B$10="四捨五入",ROUND(IF('設定'!$B$9="税込",N($H511)*8/108,N($H511)*8/100),0),IF('設定'!$B$10="切り上げ",ROUNDUP(IF('設定'!$B$9="税込",N($H511)*8/108,N($H511)*8/100),0),ROUNDDOWN(IF('設定'!$B$9="税込",N($H511)*8/108,N($H511)*8/100),0))))</f>
        <v/>
      </c>
      <c r="L511" s="28">
        <f>IF($A511="","",N($G511)+N($H511)+N($I511)+IF('設定'!$B$9="税込",0,$J511+$K511))</f>
        <v/>
      </c>
      <c r="M511" s="29">
        <f>IF(OR($A511="",NOT(ISNUMBER($W511)),NOT(ISNUMBER($X511))),"",IF(OR(INDEX('得意先'!$D$5:$D$104,$W511)="",INDEX('得意先'!$E$5:$E$104,$W511)="",INDEX('得意先'!$F$5:$F$104,$W511)=""),"",IF(INDEX('得意先'!$F$5:$F$104,$W511)="末",DATE(YEAR($X511),(MONTH($X511)+IF(INDEX('得意先'!$D$5:$D$104,$W511)="末",0,IF(DAY($X511)&lt;=INDEX('得意先'!$D$5:$D$104,$W511),0,1))+N(INDEX('得意先'!$E$5:$E$104,$W511)))+1,0),DATE(YEAR($X511),(MONTH($X511)+IF(INDEX('得意先'!$D$5:$D$104,$W511)="末",0,IF(DAY($X511)&lt;=INDEX('得意先'!$D$5:$D$104,$W511),0,1))+N(INDEX('得意先'!$E$5:$E$104,$W511))),MIN(INDEX('得意先'!$F$5:$F$104,$W511),DAY(DATE(YEAR($X511),(MONTH($X511)+IF(INDEX('得意先'!$D$5:$D$104,$W511)="末",0,IF(DAY($X511)&lt;=INDEX('得意先'!$D$5:$D$104,$W511),0,1))+N(INDEX('得意先'!$E$5:$E$104,$W511)))+1,0)))))))</f>
        <v/>
      </c>
      <c r="N511" s="26" t="n"/>
      <c r="O511" s="29">
        <f>IF($A511="","",IF(ISNUMBER($N511),$N511,$M511))</f>
        <v/>
      </c>
      <c r="P511" s="28">
        <f>IF($A511="","",SUMIF('入金消込'!$F$5:$F$1004,$A511,'入金消込'!$G$5:$G$1004))</f>
        <v/>
      </c>
      <c r="Q511" s="28">
        <f>IF($A511="","",SUMIF('入金消込'!$F$5:$F$1004,$A511,'入金消込'!$H$5:$H$1004)+SUMIF('入金消込'!$F$5:$F$1004,$A511,'入金消込'!$I$5:$I$1004))</f>
        <v/>
      </c>
      <c r="R511" s="28">
        <f>IF($A511="","",$L511-$P511-$Q511)</f>
        <v/>
      </c>
      <c r="S511" s="30">
        <f>IF($A511="","",IF($R511=0,IF($L511=0,"請求額0","回収済"),IF($L511&lt;0,IF($R511&lt;0,"差し引き待ち","差し引きすぎ"),IF($R511&lt;0,"入金が多い",IF($P511+$Q511=0,"未入金","一部入金")))))</f>
        <v/>
      </c>
      <c r="T511" s="31">
        <f>IF(OR($A511="",N($R511)&lt;=0,NOT(ISNUMBER($O511))),"",IF($O511&lt;'設定'!$B$7,'設定'!$B$7-$O511,""))</f>
        <v/>
      </c>
      <c r="U511" s="30">
        <f>IF(OR($A511="",N($R511)&lt;=0),"",IF(NOT(ISNUMBER($O511)),'設定'!$B$22,IF($O511&gt;='設定'!$B$7,'設定'!$B$17,IF('設定'!$B$7-$O511&lt;='設定'!$B$12,'設定'!$B$18,IF('設定'!$B$7-$O511&lt;='設定'!$B$13,'設定'!$B$19,IF('設定'!$B$7-$O511&lt;='設定'!$B$14,'設定'!$B$20,'設定'!$B$21))))))</f>
        <v/>
      </c>
      <c r="V511" s="56" t="n"/>
      <c r="W511" s="32">
        <f>IF($C511="","",IFERROR(MATCH($C511,'得意先'!$B$5:$B$104,0),"なし"))</f>
        <v/>
      </c>
      <c r="X511" s="33">
        <f>IF($A511="","",IF(ISNUMBER($E511),$E511,IF(ISNUMBER($B511),$B511,"")))</f>
        <v/>
      </c>
      <c r="Y511" s="34">
        <f>IF($T511="","",$O511+ROW()/1000000)</f>
        <v/>
      </c>
      <c r="Z511" s="35">
        <f>IF(OR($A511="",$C511="",$C511&lt;&gt;'売掛帳'!$B$3,NOT(ISNUMBER($X511))),"",IF(AND($X511&gt;='売掛帳'!$Q$3,$X511&lt;='売掛帳'!$Q$4),$X511+ROW()/10000000,""))</f>
        <v/>
      </c>
    </row>
    <row r="512" ht="18" customHeight="1">
      <c r="A512" s="18" t="n"/>
      <c r="B512" s="26" t="n"/>
      <c r="C512" s="18" t="n"/>
      <c r="D512" s="20">
        <f>IF($W512="","",IF($W512="なし","※得意先にないコード",INDEX('得意先'!$C$5:$C$104,$W512)&amp;""))</f>
        <v/>
      </c>
      <c r="E512" s="26" t="n"/>
      <c r="F512" s="19" t="n"/>
      <c r="G512" s="27" t="n"/>
      <c r="H512" s="27" t="n"/>
      <c r="I512" s="27" t="n"/>
      <c r="J512" s="28">
        <f>IF($A512="","",IF('設定'!$B$10="四捨五入",ROUND(IF('設定'!$B$9="税込",N($G512)*10/110,N($G512)*10/100),0),IF('設定'!$B$10="切り上げ",ROUNDUP(IF('設定'!$B$9="税込",N($G512)*10/110,N($G512)*10/100),0),ROUNDDOWN(IF('設定'!$B$9="税込",N($G512)*10/110,N($G512)*10/100),0))))</f>
        <v/>
      </c>
      <c r="K512" s="28">
        <f>IF($A512="","",IF('設定'!$B$10="四捨五入",ROUND(IF('設定'!$B$9="税込",N($H512)*8/108,N($H512)*8/100),0),IF('設定'!$B$10="切り上げ",ROUNDUP(IF('設定'!$B$9="税込",N($H512)*8/108,N($H512)*8/100),0),ROUNDDOWN(IF('設定'!$B$9="税込",N($H512)*8/108,N($H512)*8/100),0))))</f>
        <v/>
      </c>
      <c r="L512" s="28">
        <f>IF($A512="","",N($G512)+N($H512)+N($I512)+IF('設定'!$B$9="税込",0,$J512+$K512))</f>
        <v/>
      </c>
      <c r="M512" s="29">
        <f>IF(OR($A512="",NOT(ISNUMBER($W512)),NOT(ISNUMBER($X512))),"",IF(OR(INDEX('得意先'!$D$5:$D$104,$W512)="",INDEX('得意先'!$E$5:$E$104,$W512)="",INDEX('得意先'!$F$5:$F$104,$W512)=""),"",IF(INDEX('得意先'!$F$5:$F$104,$W512)="末",DATE(YEAR($X512),(MONTH($X512)+IF(INDEX('得意先'!$D$5:$D$104,$W512)="末",0,IF(DAY($X512)&lt;=INDEX('得意先'!$D$5:$D$104,$W512),0,1))+N(INDEX('得意先'!$E$5:$E$104,$W512)))+1,0),DATE(YEAR($X512),(MONTH($X512)+IF(INDEX('得意先'!$D$5:$D$104,$W512)="末",0,IF(DAY($X512)&lt;=INDEX('得意先'!$D$5:$D$104,$W512),0,1))+N(INDEX('得意先'!$E$5:$E$104,$W512))),MIN(INDEX('得意先'!$F$5:$F$104,$W512),DAY(DATE(YEAR($X512),(MONTH($X512)+IF(INDEX('得意先'!$D$5:$D$104,$W512)="末",0,IF(DAY($X512)&lt;=INDEX('得意先'!$D$5:$D$104,$W512),0,1))+N(INDEX('得意先'!$E$5:$E$104,$W512)))+1,0)))))))</f>
        <v/>
      </c>
      <c r="N512" s="26" t="n"/>
      <c r="O512" s="29">
        <f>IF($A512="","",IF(ISNUMBER($N512),$N512,$M512))</f>
        <v/>
      </c>
      <c r="P512" s="28">
        <f>IF($A512="","",SUMIF('入金消込'!$F$5:$F$1004,$A512,'入金消込'!$G$5:$G$1004))</f>
        <v/>
      </c>
      <c r="Q512" s="28">
        <f>IF($A512="","",SUMIF('入金消込'!$F$5:$F$1004,$A512,'入金消込'!$H$5:$H$1004)+SUMIF('入金消込'!$F$5:$F$1004,$A512,'入金消込'!$I$5:$I$1004))</f>
        <v/>
      </c>
      <c r="R512" s="28">
        <f>IF($A512="","",$L512-$P512-$Q512)</f>
        <v/>
      </c>
      <c r="S512" s="30">
        <f>IF($A512="","",IF($R512=0,IF($L512=0,"請求額0","回収済"),IF($L512&lt;0,IF($R512&lt;0,"差し引き待ち","差し引きすぎ"),IF($R512&lt;0,"入金が多い",IF($P512+$Q512=0,"未入金","一部入金")))))</f>
        <v/>
      </c>
      <c r="T512" s="31">
        <f>IF(OR($A512="",N($R512)&lt;=0,NOT(ISNUMBER($O512))),"",IF($O512&lt;'設定'!$B$7,'設定'!$B$7-$O512,""))</f>
        <v/>
      </c>
      <c r="U512" s="30">
        <f>IF(OR($A512="",N($R512)&lt;=0),"",IF(NOT(ISNUMBER($O512)),'設定'!$B$22,IF($O512&gt;='設定'!$B$7,'設定'!$B$17,IF('設定'!$B$7-$O512&lt;='設定'!$B$12,'設定'!$B$18,IF('設定'!$B$7-$O512&lt;='設定'!$B$13,'設定'!$B$19,IF('設定'!$B$7-$O512&lt;='設定'!$B$14,'設定'!$B$20,'設定'!$B$21))))))</f>
        <v/>
      </c>
      <c r="V512" s="56" t="n"/>
      <c r="W512" s="32">
        <f>IF($C512="","",IFERROR(MATCH($C512,'得意先'!$B$5:$B$104,0),"なし"))</f>
        <v/>
      </c>
      <c r="X512" s="33">
        <f>IF($A512="","",IF(ISNUMBER($E512),$E512,IF(ISNUMBER($B512),$B512,"")))</f>
        <v/>
      </c>
      <c r="Y512" s="34">
        <f>IF($T512="","",$O512+ROW()/1000000)</f>
        <v/>
      </c>
      <c r="Z512" s="35">
        <f>IF(OR($A512="",$C512="",$C512&lt;&gt;'売掛帳'!$B$3,NOT(ISNUMBER($X512))),"",IF(AND($X512&gt;='売掛帳'!$Q$3,$X512&lt;='売掛帳'!$Q$4),$X512+ROW()/10000000,""))</f>
        <v/>
      </c>
    </row>
    <row r="513" ht="18" customHeight="1">
      <c r="A513" s="18" t="n"/>
      <c r="B513" s="26" t="n"/>
      <c r="C513" s="18" t="n"/>
      <c r="D513" s="20">
        <f>IF($W513="","",IF($W513="なし","※得意先にないコード",INDEX('得意先'!$C$5:$C$104,$W513)&amp;""))</f>
        <v/>
      </c>
      <c r="E513" s="26" t="n"/>
      <c r="F513" s="19" t="n"/>
      <c r="G513" s="27" t="n"/>
      <c r="H513" s="27" t="n"/>
      <c r="I513" s="27" t="n"/>
      <c r="J513" s="28">
        <f>IF($A513="","",IF('設定'!$B$10="四捨五入",ROUND(IF('設定'!$B$9="税込",N($G513)*10/110,N($G513)*10/100),0),IF('設定'!$B$10="切り上げ",ROUNDUP(IF('設定'!$B$9="税込",N($G513)*10/110,N($G513)*10/100),0),ROUNDDOWN(IF('設定'!$B$9="税込",N($G513)*10/110,N($G513)*10/100),0))))</f>
        <v/>
      </c>
      <c r="K513" s="28">
        <f>IF($A513="","",IF('設定'!$B$10="四捨五入",ROUND(IF('設定'!$B$9="税込",N($H513)*8/108,N($H513)*8/100),0),IF('設定'!$B$10="切り上げ",ROUNDUP(IF('設定'!$B$9="税込",N($H513)*8/108,N($H513)*8/100),0),ROUNDDOWN(IF('設定'!$B$9="税込",N($H513)*8/108,N($H513)*8/100),0))))</f>
        <v/>
      </c>
      <c r="L513" s="28">
        <f>IF($A513="","",N($G513)+N($H513)+N($I513)+IF('設定'!$B$9="税込",0,$J513+$K513))</f>
        <v/>
      </c>
      <c r="M513" s="29">
        <f>IF(OR($A513="",NOT(ISNUMBER($W513)),NOT(ISNUMBER($X513))),"",IF(OR(INDEX('得意先'!$D$5:$D$104,$W513)="",INDEX('得意先'!$E$5:$E$104,$W513)="",INDEX('得意先'!$F$5:$F$104,$W513)=""),"",IF(INDEX('得意先'!$F$5:$F$104,$W513)="末",DATE(YEAR($X513),(MONTH($X513)+IF(INDEX('得意先'!$D$5:$D$104,$W513)="末",0,IF(DAY($X513)&lt;=INDEX('得意先'!$D$5:$D$104,$W513),0,1))+N(INDEX('得意先'!$E$5:$E$104,$W513)))+1,0),DATE(YEAR($X513),(MONTH($X513)+IF(INDEX('得意先'!$D$5:$D$104,$W513)="末",0,IF(DAY($X513)&lt;=INDEX('得意先'!$D$5:$D$104,$W513),0,1))+N(INDEX('得意先'!$E$5:$E$104,$W513))),MIN(INDEX('得意先'!$F$5:$F$104,$W513),DAY(DATE(YEAR($X513),(MONTH($X513)+IF(INDEX('得意先'!$D$5:$D$104,$W513)="末",0,IF(DAY($X513)&lt;=INDEX('得意先'!$D$5:$D$104,$W513),0,1))+N(INDEX('得意先'!$E$5:$E$104,$W513)))+1,0)))))))</f>
        <v/>
      </c>
      <c r="N513" s="26" t="n"/>
      <c r="O513" s="29">
        <f>IF($A513="","",IF(ISNUMBER($N513),$N513,$M513))</f>
        <v/>
      </c>
      <c r="P513" s="28">
        <f>IF($A513="","",SUMIF('入金消込'!$F$5:$F$1004,$A513,'入金消込'!$G$5:$G$1004))</f>
        <v/>
      </c>
      <c r="Q513" s="28">
        <f>IF($A513="","",SUMIF('入金消込'!$F$5:$F$1004,$A513,'入金消込'!$H$5:$H$1004)+SUMIF('入金消込'!$F$5:$F$1004,$A513,'入金消込'!$I$5:$I$1004))</f>
        <v/>
      </c>
      <c r="R513" s="28">
        <f>IF($A513="","",$L513-$P513-$Q513)</f>
        <v/>
      </c>
      <c r="S513" s="30">
        <f>IF($A513="","",IF($R513=0,IF($L513=0,"請求額0","回収済"),IF($L513&lt;0,IF($R513&lt;0,"差し引き待ち","差し引きすぎ"),IF($R513&lt;0,"入金が多い",IF($P513+$Q513=0,"未入金","一部入金")))))</f>
        <v/>
      </c>
      <c r="T513" s="31">
        <f>IF(OR($A513="",N($R513)&lt;=0,NOT(ISNUMBER($O513))),"",IF($O513&lt;'設定'!$B$7,'設定'!$B$7-$O513,""))</f>
        <v/>
      </c>
      <c r="U513" s="30">
        <f>IF(OR($A513="",N($R513)&lt;=0),"",IF(NOT(ISNUMBER($O513)),'設定'!$B$22,IF($O513&gt;='設定'!$B$7,'設定'!$B$17,IF('設定'!$B$7-$O513&lt;='設定'!$B$12,'設定'!$B$18,IF('設定'!$B$7-$O513&lt;='設定'!$B$13,'設定'!$B$19,IF('設定'!$B$7-$O513&lt;='設定'!$B$14,'設定'!$B$20,'設定'!$B$21))))))</f>
        <v/>
      </c>
      <c r="V513" s="56" t="n"/>
      <c r="W513" s="32">
        <f>IF($C513="","",IFERROR(MATCH($C513,'得意先'!$B$5:$B$104,0),"なし"))</f>
        <v/>
      </c>
      <c r="X513" s="33">
        <f>IF($A513="","",IF(ISNUMBER($E513),$E513,IF(ISNUMBER($B513),$B513,"")))</f>
        <v/>
      </c>
      <c r="Y513" s="34">
        <f>IF($T513="","",$O513+ROW()/1000000)</f>
        <v/>
      </c>
      <c r="Z513" s="35">
        <f>IF(OR($A513="",$C513="",$C513&lt;&gt;'売掛帳'!$B$3,NOT(ISNUMBER($X513))),"",IF(AND($X513&gt;='売掛帳'!$Q$3,$X513&lt;='売掛帳'!$Q$4),$X513+ROW()/10000000,""))</f>
        <v/>
      </c>
    </row>
    <row r="514" ht="18" customHeight="1">
      <c r="A514" s="18" t="n"/>
      <c r="B514" s="26" t="n"/>
      <c r="C514" s="18" t="n"/>
      <c r="D514" s="20">
        <f>IF($W514="","",IF($W514="なし","※得意先にないコード",INDEX('得意先'!$C$5:$C$104,$W514)&amp;""))</f>
        <v/>
      </c>
      <c r="E514" s="26" t="n"/>
      <c r="F514" s="19" t="n"/>
      <c r="G514" s="27" t="n"/>
      <c r="H514" s="27" t="n"/>
      <c r="I514" s="27" t="n"/>
      <c r="J514" s="28">
        <f>IF($A514="","",IF('設定'!$B$10="四捨五入",ROUND(IF('設定'!$B$9="税込",N($G514)*10/110,N($G514)*10/100),0),IF('設定'!$B$10="切り上げ",ROUNDUP(IF('設定'!$B$9="税込",N($G514)*10/110,N($G514)*10/100),0),ROUNDDOWN(IF('設定'!$B$9="税込",N($G514)*10/110,N($G514)*10/100),0))))</f>
        <v/>
      </c>
      <c r="K514" s="28">
        <f>IF($A514="","",IF('設定'!$B$10="四捨五入",ROUND(IF('設定'!$B$9="税込",N($H514)*8/108,N($H514)*8/100),0),IF('設定'!$B$10="切り上げ",ROUNDUP(IF('設定'!$B$9="税込",N($H514)*8/108,N($H514)*8/100),0),ROUNDDOWN(IF('設定'!$B$9="税込",N($H514)*8/108,N($H514)*8/100),0))))</f>
        <v/>
      </c>
      <c r="L514" s="28">
        <f>IF($A514="","",N($G514)+N($H514)+N($I514)+IF('設定'!$B$9="税込",0,$J514+$K514))</f>
        <v/>
      </c>
      <c r="M514" s="29">
        <f>IF(OR($A514="",NOT(ISNUMBER($W514)),NOT(ISNUMBER($X514))),"",IF(OR(INDEX('得意先'!$D$5:$D$104,$W514)="",INDEX('得意先'!$E$5:$E$104,$W514)="",INDEX('得意先'!$F$5:$F$104,$W514)=""),"",IF(INDEX('得意先'!$F$5:$F$104,$W514)="末",DATE(YEAR($X514),(MONTH($X514)+IF(INDEX('得意先'!$D$5:$D$104,$W514)="末",0,IF(DAY($X514)&lt;=INDEX('得意先'!$D$5:$D$104,$W514),0,1))+N(INDEX('得意先'!$E$5:$E$104,$W514)))+1,0),DATE(YEAR($X514),(MONTH($X514)+IF(INDEX('得意先'!$D$5:$D$104,$W514)="末",0,IF(DAY($X514)&lt;=INDEX('得意先'!$D$5:$D$104,$W514),0,1))+N(INDEX('得意先'!$E$5:$E$104,$W514))),MIN(INDEX('得意先'!$F$5:$F$104,$W514),DAY(DATE(YEAR($X514),(MONTH($X514)+IF(INDEX('得意先'!$D$5:$D$104,$W514)="末",0,IF(DAY($X514)&lt;=INDEX('得意先'!$D$5:$D$104,$W514),0,1))+N(INDEX('得意先'!$E$5:$E$104,$W514)))+1,0)))))))</f>
        <v/>
      </c>
      <c r="N514" s="26" t="n"/>
      <c r="O514" s="29">
        <f>IF($A514="","",IF(ISNUMBER($N514),$N514,$M514))</f>
        <v/>
      </c>
      <c r="P514" s="28">
        <f>IF($A514="","",SUMIF('入金消込'!$F$5:$F$1004,$A514,'入金消込'!$G$5:$G$1004))</f>
        <v/>
      </c>
      <c r="Q514" s="28">
        <f>IF($A514="","",SUMIF('入金消込'!$F$5:$F$1004,$A514,'入金消込'!$H$5:$H$1004)+SUMIF('入金消込'!$F$5:$F$1004,$A514,'入金消込'!$I$5:$I$1004))</f>
        <v/>
      </c>
      <c r="R514" s="28">
        <f>IF($A514="","",$L514-$P514-$Q514)</f>
        <v/>
      </c>
      <c r="S514" s="30">
        <f>IF($A514="","",IF($R514=0,IF($L514=0,"請求額0","回収済"),IF($L514&lt;0,IF($R514&lt;0,"差し引き待ち","差し引きすぎ"),IF($R514&lt;0,"入金が多い",IF($P514+$Q514=0,"未入金","一部入金")))))</f>
        <v/>
      </c>
      <c r="T514" s="31">
        <f>IF(OR($A514="",N($R514)&lt;=0,NOT(ISNUMBER($O514))),"",IF($O514&lt;'設定'!$B$7,'設定'!$B$7-$O514,""))</f>
        <v/>
      </c>
      <c r="U514" s="30">
        <f>IF(OR($A514="",N($R514)&lt;=0),"",IF(NOT(ISNUMBER($O514)),'設定'!$B$22,IF($O514&gt;='設定'!$B$7,'設定'!$B$17,IF('設定'!$B$7-$O514&lt;='設定'!$B$12,'設定'!$B$18,IF('設定'!$B$7-$O514&lt;='設定'!$B$13,'設定'!$B$19,IF('設定'!$B$7-$O514&lt;='設定'!$B$14,'設定'!$B$20,'設定'!$B$21))))))</f>
        <v/>
      </c>
      <c r="V514" s="56" t="n"/>
      <c r="W514" s="32">
        <f>IF($C514="","",IFERROR(MATCH($C514,'得意先'!$B$5:$B$104,0),"なし"))</f>
        <v/>
      </c>
      <c r="X514" s="33">
        <f>IF($A514="","",IF(ISNUMBER($E514),$E514,IF(ISNUMBER($B514),$B514,"")))</f>
        <v/>
      </c>
      <c r="Y514" s="34">
        <f>IF($T514="","",$O514+ROW()/1000000)</f>
        <v/>
      </c>
      <c r="Z514" s="35">
        <f>IF(OR($A514="",$C514="",$C514&lt;&gt;'売掛帳'!$B$3,NOT(ISNUMBER($X514))),"",IF(AND($X514&gt;='売掛帳'!$Q$3,$X514&lt;='売掛帳'!$Q$4),$X514+ROW()/10000000,""))</f>
        <v/>
      </c>
    </row>
    <row r="515" ht="18" customHeight="1">
      <c r="A515" s="18" t="n"/>
      <c r="B515" s="26" t="n"/>
      <c r="C515" s="18" t="n"/>
      <c r="D515" s="20">
        <f>IF($W515="","",IF($W515="なし","※得意先にないコード",INDEX('得意先'!$C$5:$C$104,$W515)&amp;""))</f>
        <v/>
      </c>
      <c r="E515" s="26" t="n"/>
      <c r="F515" s="19" t="n"/>
      <c r="G515" s="27" t="n"/>
      <c r="H515" s="27" t="n"/>
      <c r="I515" s="27" t="n"/>
      <c r="J515" s="28">
        <f>IF($A515="","",IF('設定'!$B$10="四捨五入",ROUND(IF('設定'!$B$9="税込",N($G515)*10/110,N($G515)*10/100),0),IF('設定'!$B$10="切り上げ",ROUNDUP(IF('設定'!$B$9="税込",N($G515)*10/110,N($G515)*10/100),0),ROUNDDOWN(IF('設定'!$B$9="税込",N($G515)*10/110,N($G515)*10/100),0))))</f>
        <v/>
      </c>
      <c r="K515" s="28">
        <f>IF($A515="","",IF('設定'!$B$10="四捨五入",ROUND(IF('設定'!$B$9="税込",N($H515)*8/108,N($H515)*8/100),0),IF('設定'!$B$10="切り上げ",ROUNDUP(IF('設定'!$B$9="税込",N($H515)*8/108,N($H515)*8/100),0),ROUNDDOWN(IF('設定'!$B$9="税込",N($H515)*8/108,N($H515)*8/100),0))))</f>
        <v/>
      </c>
      <c r="L515" s="28">
        <f>IF($A515="","",N($G515)+N($H515)+N($I515)+IF('設定'!$B$9="税込",0,$J515+$K515))</f>
        <v/>
      </c>
      <c r="M515" s="29">
        <f>IF(OR($A515="",NOT(ISNUMBER($W515)),NOT(ISNUMBER($X515))),"",IF(OR(INDEX('得意先'!$D$5:$D$104,$W515)="",INDEX('得意先'!$E$5:$E$104,$W515)="",INDEX('得意先'!$F$5:$F$104,$W515)=""),"",IF(INDEX('得意先'!$F$5:$F$104,$W515)="末",DATE(YEAR($X515),(MONTH($X515)+IF(INDEX('得意先'!$D$5:$D$104,$W515)="末",0,IF(DAY($X515)&lt;=INDEX('得意先'!$D$5:$D$104,$W515),0,1))+N(INDEX('得意先'!$E$5:$E$104,$W515)))+1,0),DATE(YEAR($X515),(MONTH($X515)+IF(INDEX('得意先'!$D$5:$D$104,$W515)="末",0,IF(DAY($X515)&lt;=INDEX('得意先'!$D$5:$D$104,$W515),0,1))+N(INDEX('得意先'!$E$5:$E$104,$W515))),MIN(INDEX('得意先'!$F$5:$F$104,$W515),DAY(DATE(YEAR($X515),(MONTH($X515)+IF(INDEX('得意先'!$D$5:$D$104,$W515)="末",0,IF(DAY($X515)&lt;=INDEX('得意先'!$D$5:$D$104,$W515),0,1))+N(INDEX('得意先'!$E$5:$E$104,$W515)))+1,0)))))))</f>
        <v/>
      </c>
      <c r="N515" s="26" t="n"/>
      <c r="O515" s="29">
        <f>IF($A515="","",IF(ISNUMBER($N515),$N515,$M515))</f>
        <v/>
      </c>
      <c r="P515" s="28">
        <f>IF($A515="","",SUMIF('入金消込'!$F$5:$F$1004,$A515,'入金消込'!$G$5:$G$1004))</f>
        <v/>
      </c>
      <c r="Q515" s="28">
        <f>IF($A515="","",SUMIF('入金消込'!$F$5:$F$1004,$A515,'入金消込'!$H$5:$H$1004)+SUMIF('入金消込'!$F$5:$F$1004,$A515,'入金消込'!$I$5:$I$1004))</f>
        <v/>
      </c>
      <c r="R515" s="28">
        <f>IF($A515="","",$L515-$P515-$Q515)</f>
        <v/>
      </c>
      <c r="S515" s="30">
        <f>IF($A515="","",IF($R515=0,IF($L515=0,"請求額0","回収済"),IF($L515&lt;0,IF($R515&lt;0,"差し引き待ち","差し引きすぎ"),IF($R515&lt;0,"入金が多い",IF($P515+$Q515=0,"未入金","一部入金")))))</f>
        <v/>
      </c>
      <c r="T515" s="31">
        <f>IF(OR($A515="",N($R515)&lt;=0,NOT(ISNUMBER($O515))),"",IF($O515&lt;'設定'!$B$7,'設定'!$B$7-$O515,""))</f>
        <v/>
      </c>
      <c r="U515" s="30">
        <f>IF(OR($A515="",N($R515)&lt;=0),"",IF(NOT(ISNUMBER($O515)),'設定'!$B$22,IF($O515&gt;='設定'!$B$7,'設定'!$B$17,IF('設定'!$B$7-$O515&lt;='設定'!$B$12,'設定'!$B$18,IF('設定'!$B$7-$O515&lt;='設定'!$B$13,'設定'!$B$19,IF('設定'!$B$7-$O515&lt;='設定'!$B$14,'設定'!$B$20,'設定'!$B$21))))))</f>
        <v/>
      </c>
      <c r="V515" s="56" t="n"/>
      <c r="W515" s="32">
        <f>IF($C515="","",IFERROR(MATCH($C515,'得意先'!$B$5:$B$104,0),"なし"))</f>
        <v/>
      </c>
      <c r="X515" s="33">
        <f>IF($A515="","",IF(ISNUMBER($E515),$E515,IF(ISNUMBER($B515),$B515,"")))</f>
        <v/>
      </c>
      <c r="Y515" s="34">
        <f>IF($T515="","",$O515+ROW()/1000000)</f>
        <v/>
      </c>
      <c r="Z515" s="35">
        <f>IF(OR($A515="",$C515="",$C515&lt;&gt;'売掛帳'!$B$3,NOT(ISNUMBER($X515))),"",IF(AND($X515&gt;='売掛帳'!$Q$3,$X515&lt;='売掛帳'!$Q$4),$X515+ROW()/10000000,""))</f>
        <v/>
      </c>
    </row>
    <row r="516" ht="18" customHeight="1">
      <c r="A516" s="18" t="n"/>
      <c r="B516" s="26" t="n"/>
      <c r="C516" s="18" t="n"/>
      <c r="D516" s="20">
        <f>IF($W516="","",IF($W516="なし","※得意先にないコード",INDEX('得意先'!$C$5:$C$104,$W516)&amp;""))</f>
        <v/>
      </c>
      <c r="E516" s="26" t="n"/>
      <c r="F516" s="19" t="n"/>
      <c r="G516" s="27" t="n"/>
      <c r="H516" s="27" t="n"/>
      <c r="I516" s="27" t="n"/>
      <c r="J516" s="28">
        <f>IF($A516="","",IF('設定'!$B$10="四捨五入",ROUND(IF('設定'!$B$9="税込",N($G516)*10/110,N($G516)*10/100),0),IF('設定'!$B$10="切り上げ",ROUNDUP(IF('設定'!$B$9="税込",N($G516)*10/110,N($G516)*10/100),0),ROUNDDOWN(IF('設定'!$B$9="税込",N($G516)*10/110,N($G516)*10/100),0))))</f>
        <v/>
      </c>
      <c r="K516" s="28">
        <f>IF($A516="","",IF('設定'!$B$10="四捨五入",ROUND(IF('設定'!$B$9="税込",N($H516)*8/108,N($H516)*8/100),0),IF('設定'!$B$10="切り上げ",ROUNDUP(IF('設定'!$B$9="税込",N($H516)*8/108,N($H516)*8/100),0),ROUNDDOWN(IF('設定'!$B$9="税込",N($H516)*8/108,N($H516)*8/100),0))))</f>
        <v/>
      </c>
      <c r="L516" s="28">
        <f>IF($A516="","",N($G516)+N($H516)+N($I516)+IF('設定'!$B$9="税込",0,$J516+$K516))</f>
        <v/>
      </c>
      <c r="M516" s="29">
        <f>IF(OR($A516="",NOT(ISNUMBER($W516)),NOT(ISNUMBER($X516))),"",IF(OR(INDEX('得意先'!$D$5:$D$104,$W516)="",INDEX('得意先'!$E$5:$E$104,$W516)="",INDEX('得意先'!$F$5:$F$104,$W516)=""),"",IF(INDEX('得意先'!$F$5:$F$104,$W516)="末",DATE(YEAR($X516),(MONTH($X516)+IF(INDEX('得意先'!$D$5:$D$104,$W516)="末",0,IF(DAY($X516)&lt;=INDEX('得意先'!$D$5:$D$104,$W516),0,1))+N(INDEX('得意先'!$E$5:$E$104,$W516)))+1,0),DATE(YEAR($X516),(MONTH($X516)+IF(INDEX('得意先'!$D$5:$D$104,$W516)="末",0,IF(DAY($X516)&lt;=INDEX('得意先'!$D$5:$D$104,$W516),0,1))+N(INDEX('得意先'!$E$5:$E$104,$W516))),MIN(INDEX('得意先'!$F$5:$F$104,$W516),DAY(DATE(YEAR($X516),(MONTH($X516)+IF(INDEX('得意先'!$D$5:$D$104,$W516)="末",0,IF(DAY($X516)&lt;=INDEX('得意先'!$D$5:$D$104,$W516),0,1))+N(INDEX('得意先'!$E$5:$E$104,$W516)))+1,0)))))))</f>
        <v/>
      </c>
      <c r="N516" s="26" t="n"/>
      <c r="O516" s="29">
        <f>IF($A516="","",IF(ISNUMBER($N516),$N516,$M516))</f>
        <v/>
      </c>
      <c r="P516" s="28">
        <f>IF($A516="","",SUMIF('入金消込'!$F$5:$F$1004,$A516,'入金消込'!$G$5:$G$1004))</f>
        <v/>
      </c>
      <c r="Q516" s="28">
        <f>IF($A516="","",SUMIF('入金消込'!$F$5:$F$1004,$A516,'入金消込'!$H$5:$H$1004)+SUMIF('入金消込'!$F$5:$F$1004,$A516,'入金消込'!$I$5:$I$1004))</f>
        <v/>
      </c>
      <c r="R516" s="28">
        <f>IF($A516="","",$L516-$P516-$Q516)</f>
        <v/>
      </c>
      <c r="S516" s="30">
        <f>IF($A516="","",IF($R516=0,IF($L516=0,"請求額0","回収済"),IF($L516&lt;0,IF($R516&lt;0,"差し引き待ち","差し引きすぎ"),IF($R516&lt;0,"入金が多い",IF($P516+$Q516=0,"未入金","一部入金")))))</f>
        <v/>
      </c>
      <c r="T516" s="31">
        <f>IF(OR($A516="",N($R516)&lt;=0,NOT(ISNUMBER($O516))),"",IF($O516&lt;'設定'!$B$7,'設定'!$B$7-$O516,""))</f>
        <v/>
      </c>
      <c r="U516" s="30">
        <f>IF(OR($A516="",N($R516)&lt;=0),"",IF(NOT(ISNUMBER($O516)),'設定'!$B$22,IF($O516&gt;='設定'!$B$7,'設定'!$B$17,IF('設定'!$B$7-$O516&lt;='設定'!$B$12,'設定'!$B$18,IF('設定'!$B$7-$O516&lt;='設定'!$B$13,'設定'!$B$19,IF('設定'!$B$7-$O516&lt;='設定'!$B$14,'設定'!$B$20,'設定'!$B$21))))))</f>
        <v/>
      </c>
      <c r="V516" s="56" t="n"/>
      <c r="W516" s="32">
        <f>IF($C516="","",IFERROR(MATCH($C516,'得意先'!$B$5:$B$104,0),"なし"))</f>
        <v/>
      </c>
      <c r="X516" s="33">
        <f>IF($A516="","",IF(ISNUMBER($E516),$E516,IF(ISNUMBER($B516),$B516,"")))</f>
        <v/>
      </c>
      <c r="Y516" s="34">
        <f>IF($T516="","",$O516+ROW()/1000000)</f>
        <v/>
      </c>
      <c r="Z516" s="35">
        <f>IF(OR($A516="",$C516="",$C516&lt;&gt;'売掛帳'!$B$3,NOT(ISNUMBER($X516))),"",IF(AND($X516&gt;='売掛帳'!$Q$3,$X516&lt;='売掛帳'!$Q$4),$X516+ROW()/10000000,""))</f>
        <v/>
      </c>
    </row>
    <row r="517" ht="18" customHeight="1">
      <c r="A517" s="18" t="n"/>
      <c r="B517" s="26" t="n"/>
      <c r="C517" s="18" t="n"/>
      <c r="D517" s="20">
        <f>IF($W517="","",IF($W517="なし","※得意先にないコード",INDEX('得意先'!$C$5:$C$104,$W517)&amp;""))</f>
        <v/>
      </c>
      <c r="E517" s="26" t="n"/>
      <c r="F517" s="19" t="n"/>
      <c r="G517" s="27" t="n"/>
      <c r="H517" s="27" t="n"/>
      <c r="I517" s="27" t="n"/>
      <c r="J517" s="28">
        <f>IF($A517="","",IF('設定'!$B$10="四捨五入",ROUND(IF('設定'!$B$9="税込",N($G517)*10/110,N($G517)*10/100),0),IF('設定'!$B$10="切り上げ",ROUNDUP(IF('設定'!$B$9="税込",N($G517)*10/110,N($G517)*10/100),0),ROUNDDOWN(IF('設定'!$B$9="税込",N($G517)*10/110,N($G517)*10/100),0))))</f>
        <v/>
      </c>
      <c r="K517" s="28">
        <f>IF($A517="","",IF('設定'!$B$10="四捨五入",ROUND(IF('設定'!$B$9="税込",N($H517)*8/108,N($H517)*8/100),0),IF('設定'!$B$10="切り上げ",ROUNDUP(IF('設定'!$B$9="税込",N($H517)*8/108,N($H517)*8/100),0),ROUNDDOWN(IF('設定'!$B$9="税込",N($H517)*8/108,N($H517)*8/100),0))))</f>
        <v/>
      </c>
      <c r="L517" s="28">
        <f>IF($A517="","",N($G517)+N($H517)+N($I517)+IF('設定'!$B$9="税込",0,$J517+$K517))</f>
        <v/>
      </c>
      <c r="M517" s="29">
        <f>IF(OR($A517="",NOT(ISNUMBER($W517)),NOT(ISNUMBER($X517))),"",IF(OR(INDEX('得意先'!$D$5:$D$104,$W517)="",INDEX('得意先'!$E$5:$E$104,$W517)="",INDEX('得意先'!$F$5:$F$104,$W517)=""),"",IF(INDEX('得意先'!$F$5:$F$104,$W517)="末",DATE(YEAR($X517),(MONTH($X517)+IF(INDEX('得意先'!$D$5:$D$104,$W517)="末",0,IF(DAY($X517)&lt;=INDEX('得意先'!$D$5:$D$104,$W517),0,1))+N(INDEX('得意先'!$E$5:$E$104,$W517)))+1,0),DATE(YEAR($X517),(MONTH($X517)+IF(INDEX('得意先'!$D$5:$D$104,$W517)="末",0,IF(DAY($X517)&lt;=INDEX('得意先'!$D$5:$D$104,$W517),0,1))+N(INDEX('得意先'!$E$5:$E$104,$W517))),MIN(INDEX('得意先'!$F$5:$F$104,$W517),DAY(DATE(YEAR($X517),(MONTH($X517)+IF(INDEX('得意先'!$D$5:$D$104,$W517)="末",0,IF(DAY($X517)&lt;=INDEX('得意先'!$D$5:$D$104,$W517),0,1))+N(INDEX('得意先'!$E$5:$E$104,$W517)))+1,0)))))))</f>
        <v/>
      </c>
      <c r="N517" s="26" t="n"/>
      <c r="O517" s="29">
        <f>IF($A517="","",IF(ISNUMBER($N517),$N517,$M517))</f>
        <v/>
      </c>
      <c r="P517" s="28">
        <f>IF($A517="","",SUMIF('入金消込'!$F$5:$F$1004,$A517,'入金消込'!$G$5:$G$1004))</f>
        <v/>
      </c>
      <c r="Q517" s="28">
        <f>IF($A517="","",SUMIF('入金消込'!$F$5:$F$1004,$A517,'入金消込'!$H$5:$H$1004)+SUMIF('入金消込'!$F$5:$F$1004,$A517,'入金消込'!$I$5:$I$1004))</f>
        <v/>
      </c>
      <c r="R517" s="28">
        <f>IF($A517="","",$L517-$P517-$Q517)</f>
        <v/>
      </c>
      <c r="S517" s="30">
        <f>IF($A517="","",IF($R517=0,IF($L517=0,"請求額0","回収済"),IF($L517&lt;0,IF($R517&lt;0,"差し引き待ち","差し引きすぎ"),IF($R517&lt;0,"入金が多い",IF($P517+$Q517=0,"未入金","一部入金")))))</f>
        <v/>
      </c>
      <c r="T517" s="31">
        <f>IF(OR($A517="",N($R517)&lt;=0,NOT(ISNUMBER($O517))),"",IF($O517&lt;'設定'!$B$7,'設定'!$B$7-$O517,""))</f>
        <v/>
      </c>
      <c r="U517" s="30">
        <f>IF(OR($A517="",N($R517)&lt;=0),"",IF(NOT(ISNUMBER($O517)),'設定'!$B$22,IF($O517&gt;='設定'!$B$7,'設定'!$B$17,IF('設定'!$B$7-$O517&lt;='設定'!$B$12,'設定'!$B$18,IF('設定'!$B$7-$O517&lt;='設定'!$B$13,'設定'!$B$19,IF('設定'!$B$7-$O517&lt;='設定'!$B$14,'設定'!$B$20,'設定'!$B$21))))))</f>
        <v/>
      </c>
      <c r="V517" s="56" t="n"/>
      <c r="W517" s="32">
        <f>IF($C517="","",IFERROR(MATCH($C517,'得意先'!$B$5:$B$104,0),"なし"))</f>
        <v/>
      </c>
      <c r="X517" s="33">
        <f>IF($A517="","",IF(ISNUMBER($E517),$E517,IF(ISNUMBER($B517),$B517,"")))</f>
        <v/>
      </c>
      <c r="Y517" s="34">
        <f>IF($T517="","",$O517+ROW()/1000000)</f>
        <v/>
      </c>
      <c r="Z517" s="35">
        <f>IF(OR($A517="",$C517="",$C517&lt;&gt;'売掛帳'!$B$3,NOT(ISNUMBER($X517))),"",IF(AND($X517&gt;='売掛帳'!$Q$3,$X517&lt;='売掛帳'!$Q$4),$X517+ROW()/10000000,""))</f>
        <v/>
      </c>
    </row>
    <row r="518" ht="18" customHeight="1">
      <c r="A518" s="18" t="n"/>
      <c r="B518" s="26" t="n"/>
      <c r="C518" s="18" t="n"/>
      <c r="D518" s="20">
        <f>IF($W518="","",IF($W518="なし","※得意先にないコード",INDEX('得意先'!$C$5:$C$104,$W518)&amp;""))</f>
        <v/>
      </c>
      <c r="E518" s="26" t="n"/>
      <c r="F518" s="19" t="n"/>
      <c r="G518" s="27" t="n"/>
      <c r="H518" s="27" t="n"/>
      <c r="I518" s="27" t="n"/>
      <c r="J518" s="28">
        <f>IF($A518="","",IF('設定'!$B$10="四捨五入",ROUND(IF('設定'!$B$9="税込",N($G518)*10/110,N($G518)*10/100),0),IF('設定'!$B$10="切り上げ",ROUNDUP(IF('設定'!$B$9="税込",N($G518)*10/110,N($G518)*10/100),0),ROUNDDOWN(IF('設定'!$B$9="税込",N($G518)*10/110,N($G518)*10/100),0))))</f>
        <v/>
      </c>
      <c r="K518" s="28">
        <f>IF($A518="","",IF('設定'!$B$10="四捨五入",ROUND(IF('設定'!$B$9="税込",N($H518)*8/108,N($H518)*8/100),0),IF('設定'!$B$10="切り上げ",ROUNDUP(IF('設定'!$B$9="税込",N($H518)*8/108,N($H518)*8/100),0),ROUNDDOWN(IF('設定'!$B$9="税込",N($H518)*8/108,N($H518)*8/100),0))))</f>
        <v/>
      </c>
      <c r="L518" s="28">
        <f>IF($A518="","",N($G518)+N($H518)+N($I518)+IF('設定'!$B$9="税込",0,$J518+$K518))</f>
        <v/>
      </c>
      <c r="M518" s="29">
        <f>IF(OR($A518="",NOT(ISNUMBER($W518)),NOT(ISNUMBER($X518))),"",IF(OR(INDEX('得意先'!$D$5:$D$104,$W518)="",INDEX('得意先'!$E$5:$E$104,$W518)="",INDEX('得意先'!$F$5:$F$104,$W518)=""),"",IF(INDEX('得意先'!$F$5:$F$104,$W518)="末",DATE(YEAR($X518),(MONTH($X518)+IF(INDEX('得意先'!$D$5:$D$104,$W518)="末",0,IF(DAY($X518)&lt;=INDEX('得意先'!$D$5:$D$104,$W518),0,1))+N(INDEX('得意先'!$E$5:$E$104,$W518)))+1,0),DATE(YEAR($X518),(MONTH($X518)+IF(INDEX('得意先'!$D$5:$D$104,$W518)="末",0,IF(DAY($X518)&lt;=INDEX('得意先'!$D$5:$D$104,$W518),0,1))+N(INDEX('得意先'!$E$5:$E$104,$W518))),MIN(INDEX('得意先'!$F$5:$F$104,$W518),DAY(DATE(YEAR($X518),(MONTH($X518)+IF(INDEX('得意先'!$D$5:$D$104,$W518)="末",0,IF(DAY($X518)&lt;=INDEX('得意先'!$D$5:$D$104,$W518),0,1))+N(INDEX('得意先'!$E$5:$E$104,$W518)))+1,0)))))))</f>
        <v/>
      </c>
      <c r="N518" s="26" t="n"/>
      <c r="O518" s="29">
        <f>IF($A518="","",IF(ISNUMBER($N518),$N518,$M518))</f>
        <v/>
      </c>
      <c r="P518" s="28">
        <f>IF($A518="","",SUMIF('入金消込'!$F$5:$F$1004,$A518,'入金消込'!$G$5:$G$1004))</f>
        <v/>
      </c>
      <c r="Q518" s="28">
        <f>IF($A518="","",SUMIF('入金消込'!$F$5:$F$1004,$A518,'入金消込'!$H$5:$H$1004)+SUMIF('入金消込'!$F$5:$F$1004,$A518,'入金消込'!$I$5:$I$1004))</f>
        <v/>
      </c>
      <c r="R518" s="28">
        <f>IF($A518="","",$L518-$P518-$Q518)</f>
        <v/>
      </c>
      <c r="S518" s="30">
        <f>IF($A518="","",IF($R518=0,IF($L518=0,"請求額0","回収済"),IF($L518&lt;0,IF($R518&lt;0,"差し引き待ち","差し引きすぎ"),IF($R518&lt;0,"入金が多い",IF($P518+$Q518=0,"未入金","一部入金")))))</f>
        <v/>
      </c>
      <c r="T518" s="31">
        <f>IF(OR($A518="",N($R518)&lt;=0,NOT(ISNUMBER($O518))),"",IF($O518&lt;'設定'!$B$7,'設定'!$B$7-$O518,""))</f>
        <v/>
      </c>
      <c r="U518" s="30">
        <f>IF(OR($A518="",N($R518)&lt;=0),"",IF(NOT(ISNUMBER($O518)),'設定'!$B$22,IF($O518&gt;='設定'!$B$7,'設定'!$B$17,IF('設定'!$B$7-$O518&lt;='設定'!$B$12,'設定'!$B$18,IF('設定'!$B$7-$O518&lt;='設定'!$B$13,'設定'!$B$19,IF('設定'!$B$7-$O518&lt;='設定'!$B$14,'設定'!$B$20,'設定'!$B$21))))))</f>
        <v/>
      </c>
      <c r="V518" s="56" t="n"/>
      <c r="W518" s="32">
        <f>IF($C518="","",IFERROR(MATCH($C518,'得意先'!$B$5:$B$104,0),"なし"))</f>
        <v/>
      </c>
      <c r="X518" s="33">
        <f>IF($A518="","",IF(ISNUMBER($E518),$E518,IF(ISNUMBER($B518),$B518,"")))</f>
        <v/>
      </c>
      <c r="Y518" s="34">
        <f>IF($T518="","",$O518+ROW()/1000000)</f>
        <v/>
      </c>
      <c r="Z518" s="35">
        <f>IF(OR($A518="",$C518="",$C518&lt;&gt;'売掛帳'!$B$3,NOT(ISNUMBER($X518))),"",IF(AND($X518&gt;='売掛帳'!$Q$3,$X518&lt;='売掛帳'!$Q$4),$X518+ROW()/10000000,""))</f>
        <v/>
      </c>
    </row>
    <row r="519" ht="18" customHeight="1">
      <c r="A519" s="18" t="n"/>
      <c r="B519" s="26" t="n"/>
      <c r="C519" s="18" t="n"/>
      <c r="D519" s="20">
        <f>IF($W519="","",IF($W519="なし","※得意先にないコード",INDEX('得意先'!$C$5:$C$104,$W519)&amp;""))</f>
        <v/>
      </c>
      <c r="E519" s="26" t="n"/>
      <c r="F519" s="19" t="n"/>
      <c r="G519" s="27" t="n"/>
      <c r="H519" s="27" t="n"/>
      <c r="I519" s="27" t="n"/>
      <c r="J519" s="28">
        <f>IF($A519="","",IF('設定'!$B$10="四捨五入",ROUND(IF('設定'!$B$9="税込",N($G519)*10/110,N($G519)*10/100),0),IF('設定'!$B$10="切り上げ",ROUNDUP(IF('設定'!$B$9="税込",N($G519)*10/110,N($G519)*10/100),0),ROUNDDOWN(IF('設定'!$B$9="税込",N($G519)*10/110,N($G519)*10/100),0))))</f>
        <v/>
      </c>
      <c r="K519" s="28">
        <f>IF($A519="","",IF('設定'!$B$10="四捨五入",ROUND(IF('設定'!$B$9="税込",N($H519)*8/108,N($H519)*8/100),0),IF('設定'!$B$10="切り上げ",ROUNDUP(IF('設定'!$B$9="税込",N($H519)*8/108,N($H519)*8/100),0),ROUNDDOWN(IF('設定'!$B$9="税込",N($H519)*8/108,N($H519)*8/100),0))))</f>
        <v/>
      </c>
      <c r="L519" s="28">
        <f>IF($A519="","",N($G519)+N($H519)+N($I519)+IF('設定'!$B$9="税込",0,$J519+$K519))</f>
        <v/>
      </c>
      <c r="M519" s="29">
        <f>IF(OR($A519="",NOT(ISNUMBER($W519)),NOT(ISNUMBER($X519))),"",IF(OR(INDEX('得意先'!$D$5:$D$104,$W519)="",INDEX('得意先'!$E$5:$E$104,$W519)="",INDEX('得意先'!$F$5:$F$104,$W519)=""),"",IF(INDEX('得意先'!$F$5:$F$104,$W519)="末",DATE(YEAR($X519),(MONTH($X519)+IF(INDEX('得意先'!$D$5:$D$104,$W519)="末",0,IF(DAY($X519)&lt;=INDEX('得意先'!$D$5:$D$104,$W519),0,1))+N(INDEX('得意先'!$E$5:$E$104,$W519)))+1,0),DATE(YEAR($X519),(MONTH($X519)+IF(INDEX('得意先'!$D$5:$D$104,$W519)="末",0,IF(DAY($X519)&lt;=INDEX('得意先'!$D$5:$D$104,$W519),0,1))+N(INDEX('得意先'!$E$5:$E$104,$W519))),MIN(INDEX('得意先'!$F$5:$F$104,$W519),DAY(DATE(YEAR($X519),(MONTH($X519)+IF(INDEX('得意先'!$D$5:$D$104,$W519)="末",0,IF(DAY($X519)&lt;=INDEX('得意先'!$D$5:$D$104,$W519),0,1))+N(INDEX('得意先'!$E$5:$E$104,$W519)))+1,0)))))))</f>
        <v/>
      </c>
      <c r="N519" s="26" t="n"/>
      <c r="O519" s="29">
        <f>IF($A519="","",IF(ISNUMBER($N519),$N519,$M519))</f>
        <v/>
      </c>
      <c r="P519" s="28">
        <f>IF($A519="","",SUMIF('入金消込'!$F$5:$F$1004,$A519,'入金消込'!$G$5:$G$1004))</f>
        <v/>
      </c>
      <c r="Q519" s="28">
        <f>IF($A519="","",SUMIF('入金消込'!$F$5:$F$1004,$A519,'入金消込'!$H$5:$H$1004)+SUMIF('入金消込'!$F$5:$F$1004,$A519,'入金消込'!$I$5:$I$1004))</f>
        <v/>
      </c>
      <c r="R519" s="28">
        <f>IF($A519="","",$L519-$P519-$Q519)</f>
        <v/>
      </c>
      <c r="S519" s="30">
        <f>IF($A519="","",IF($R519=0,IF($L519=0,"請求額0","回収済"),IF($L519&lt;0,IF($R519&lt;0,"差し引き待ち","差し引きすぎ"),IF($R519&lt;0,"入金が多い",IF($P519+$Q519=0,"未入金","一部入金")))))</f>
        <v/>
      </c>
      <c r="T519" s="31">
        <f>IF(OR($A519="",N($R519)&lt;=0,NOT(ISNUMBER($O519))),"",IF($O519&lt;'設定'!$B$7,'設定'!$B$7-$O519,""))</f>
        <v/>
      </c>
      <c r="U519" s="30">
        <f>IF(OR($A519="",N($R519)&lt;=0),"",IF(NOT(ISNUMBER($O519)),'設定'!$B$22,IF($O519&gt;='設定'!$B$7,'設定'!$B$17,IF('設定'!$B$7-$O519&lt;='設定'!$B$12,'設定'!$B$18,IF('設定'!$B$7-$O519&lt;='設定'!$B$13,'設定'!$B$19,IF('設定'!$B$7-$O519&lt;='設定'!$B$14,'設定'!$B$20,'設定'!$B$21))))))</f>
        <v/>
      </c>
      <c r="V519" s="56" t="n"/>
      <c r="W519" s="32">
        <f>IF($C519="","",IFERROR(MATCH($C519,'得意先'!$B$5:$B$104,0),"なし"))</f>
        <v/>
      </c>
      <c r="X519" s="33">
        <f>IF($A519="","",IF(ISNUMBER($E519),$E519,IF(ISNUMBER($B519),$B519,"")))</f>
        <v/>
      </c>
      <c r="Y519" s="34">
        <f>IF($T519="","",$O519+ROW()/1000000)</f>
        <v/>
      </c>
      <c r="Z519" s="35">
        <f>IF(OR($A519="",$C519="",$C519&lt;&gt;'売掛帳'!$B$3,NOT(ISNUMBER($X519))),"",IF(AND($X519&gt;='売掛帳'!$Q$3,$X519&lt;='売掛帳'!$Q$4),$X519+ROW()/10000000,""))</f>
        <v/>
      </c>
    </row>
    <row r="520" ht="18" customHeight="1">
      <c r="A520" s="18" t="n"/>
      <c r="B520" s="26" t="n"/>
      <c r="C520" s="18" t="n"/>
      <c r="D520" s="20">
        <f>IF($W520="","",IF($W520="なし","※得意先にないコード",INDEX('得意先'!$C$5:$C$104,$W520)&amp;""))</f>
        <v/>
      </c>
      <c r="E520" s="26" t="n"/>
      <c r="F520" s="19" t="n"/>
      <c r="G520" s="27" t="n"/>
      <c r="H520" s="27" t="n"/>
      <c r="I520" s="27" t="n"/>
      <c r="J520" s="28">
        <f>IF($A520="","",IF('設定'!$B$10="四捨五入",ROUND(IF('設定'!$B$9="税込",N($G520)*10/110,N($G520)*10/100),0),IF('設定'!$B$10="切り上げ",ROUNDUP(IF('設定'!$B$9="税込",N($G520)*10/110,N($G520)*10/100),0),ROUNDDOWN(IF('設定'!$B$9="税込",N($G520)*10/110,N($G520)*10/100),0))))</f>
        <v/>
      </c>
      <c r="K520" s="28">
        <f>IF($A520="","",IF('設定'!$B$10="四捨五入",ROUND(IF('設定'!$B$9="税込",N($H520)*8/108,N($H520)*8/100),0),IF('設定'!$B$10="切り上げ",ROUNDUP(IF('設定'!$B$9="税込",N($H520)*8/108,N($H520)*8/100),0),ROUNDDOWN(IF('設定'!$B$9="税込",N($H520)*8/108,N($H520)*8/100),0))))</f>
        <v/>
      </c>
      <c r="L520" s="28">
        <f>IF($A520="","",N($G520)+N($H520)+N($I520)+IF('設定'!$B$9="税込",0,$J520+$K520))</f>
        <v/>
      </c>
      <c r="M520" s="29">
        <f>IF(OR($A520="",NOT(ISNUMBER($W520)),NOT(ISNUMBER($X520))),"",IF(OR(INDEX('得意先'!$D$5:$D$104,$W520)="",INDEX('得意先'!$E$5:$E$104,$W520)="",INDEX('得意先'!$F$5:$F$104,$W520)=""),"",IF(INDEX('得意先'!$F$5:$F$104,$W520)="末",DATE(YEAR($X520),(MONTH($X520)+IF(INDEX('得意先'!$D$5:$D$104,$W520)="末",0,IF(DAY($X520)&lt;=INDEX('得意先'!$D$5:$D$104,$W520),0,1))+N(INDEX('得意先'!$E$5:$E$104,$W520)))+1,0),DATE(YEAR($X520),(MONTH($X520)+IF(INDEX('得意先'!$D$5:$D$104,$W520)="末",0,IF(DAY($X520)&lt;=INDEX('得意先'!$D$5:$D$104,$W520),0,1))+N(INDEX('得意先'!$E$5:$E$104,$W520))),MIN(INDEX('得意先'!$F$5:$F$104,$W520),DAY(DATE(YEAR($X520),(MONTH($X520)+IF(INDEX('得意先'!$D$5:$D$104,$W520)="末",0,IF(DAY($X520)&lt;=INDEX('得意先'!$D$5:$D$104,$W520),0,1))+N(INDEX('得意先'!$E$5:$E$104,$W520)))+1,0)))))))</f>
        <v/>
      </c>
      <c r="N520" s="26" t="n"/>
      <c r="O520" s="29">
        <f>IF($A520="","",IF(ISNUMBER($N520),$N520,$M520))</f>
        <v/>
      </c>
      <c r="P520" s="28">
        <f>IF($A520="","",SUMIF('入金消込'!$F$5:$F$1004,$A520,'入金消込'!$G$5:$G$1004))</f>
        <v/>
      </c>
      <c r="Q520" s="28">
        <f>IF($A520="","",SUMIF('入金消込'!$F$5:$F$1004,$A520,'入金消込'!$H$5:$H$1004)+SUMIF('入金消込'!$F$5:$F$1004,$A520,'入金消込'!$I$5:$I$1004))</f>
        <v/>
      </c>
      <c r="R520" s="28">
        <f>IF($A520="","",$L520-$P520-$Q520)</f>
        <v/>
      </c>
      <c r="S520" s="30">
        <f>IF($A520="","",IF($R520=0,IF($L520=0,"請求額0","回収済"),IF($L520&lt;0,IF($R520&lt;0,"差し引き待ち","差し引きすぎ"),IF($R520&lt;0,"入金が多い",IF($P520+$Q520=0,"未入金","一部入金")))))</f>
        <v/>
      </c>
      <c r="T520" s="31">
        <f>IF(OR($A520="",N($R520)&lt;=0,NOT(ISNUMBER($O520))),"",IF($O520&lt;'設定'!$B$7,'設定'!$B$7-$O520,""))</f>
        <v/>
      </c>
      <c r="U520" s="30">
        <f>IF(OR($A520="",N($R520)&lt;=0),"",IF(NOT(ISNUMBER($O520)),'設定'!$B$22,IF($O520&gt;='設定'!$B$7,'設定'!$B$17,IF('設定'!$B$7-$O520&lt;='設定'!$B$12,'設定'!$B$18,IF('設定'!$B$7-$O520&lt;='設定'!$B$13,'設定'!$B$19,IF('設定'!$B$7-$O520&lt;='設定'!$B$14,'設定'!$B$20,'設定'!$B$21))))))</f>
        <v/>
      </c>
      <c r="V520" s="56" t="n"/>
      <c r="W520" s="32">
        <f>IF($C520="","",IFERROR(MATCH($C520,'得意先'!$B$5:$B$104,0),"なし"))</f>
        <v/>
      </c>
      <c r="X520" s="33">
        <f>IF($A520="","",IF(ISNUMBER($E520),$E520,IF(ISNUMBER($B520),$B520,"")))</f>
        <v/>
      </c>
      <c r="Y520" s="34">
        <f>IF($T520="","",$O520+ROW()/1000000)</f>
        <v/>
      </c>
      <c r="Z520" s="35">
        <f>IF(OR($A520="",$C520="",$C520&lt;&gt;'売掛帳'!$B$3,NOT(ISNUMBER($X520))),"",IF(AND($X520&gt;='売掛帳'!$Q$3,$X520&lt;='売掛帳'!$Q$4),$X520+ROW()/10000000,""))</f>
        <v/>
      </c>
    </row>
    <row r="521" ht="18" customHeight="1">
      <c r="A521" s="18" t="n"/>
      <c r="B521" s="26" t="n"/>
      <c r="C521" s="18" t="n"/>
      <c r="D521" s="20">
        <f>IF($W521="","",IF($W521="なし","※得意先にないコード",INDEX('得意先'!$C$5:$C$104,$W521)&amp;""))</f>
        <v/>
      </c>
      <c r="E521" s="26" t="n"/>
      <c r="F521" s="19" t="n"/>
      <c r="G521" s="27" t="n"/>
      <c r="H521" s="27" t="n"/>
      <c r="I521" s="27" t="n"/>
      <c r="J521" s="28">
        <f>IF($A521="","",IF('設定'!$B$10="四捨五入",ROUND(IF('設定'!$B$9="税込",N($G521)*10/110,N($G521)*10/100),0),IF('設定'!$B$10="切り上げ",ROUNDUP(IF('設定'!$B$9="税込",N($G521)*10/110,N($G521)*10/100),0),ROUNDDOWN(IF('設定'!$B$9="税込",N($G521)*10/110,N($G521)*10/100),0))))</f>
        <v/>
      </c>
      <c r="K521" s="28">
        <f>IF($A521="","",IF('設定'!$B$10="四捨五入",ROUND(IF('設定'!$B$9="税込",N($H521)*8/108,N($H521)*8/100),0),IF('設定'!$B$10="切り上げ",ROUNDUP(IF('設定'!$B$9="税込",N($H521)*8/108,N($H521)*8/100),0),ROUNDDOWN(IF('設定'!$B$9="税込",N($H521)*8/108,N($H521)*8/100),0))))</f>
        <v/>
      </c>
      <c r="L521" s="28">
        <f>IF($A521="","",N($G521)+N($H521)+N($I521)+IF('設定'!$B$9="税込",0,$J521+$K521))</f>
        <v/>
      </c>
      <c r="M521" s="29">
        <f>IF(OR($A521="",NOT(ISNUMBER($W521)),NOT(ISNUMBER($X521))),"",IF(OR(INDEX('得意先'!$D$5:$D$104,$W521)="",INDEX('得意先'!$E$5:$E$104,$W521)="",INDEX('得意先'!$F$5:$F$104,$W521)=""),"",IF(INDEX('得意先'!$F$5:$F$104,$W521)="末",DATE(YEAR($X521),(MONTH($X521)+IF(INDEX('得意先'!$D$5:$D$104,$W521)="末",0,IF(DAY($X521)&lt;=INDEX('得意先'!$D$5:$D$104,$W521),0,1))+N(INDEX('得意先'!$E$5:$E$104,$W521)))+1,0),DATE(YEAR($X521),(MONTH($X521)+IF(INDEX('得意先'!$D$5:$D$104,$W521)="末",0,IF(DAY($X521)&lt;=INDEX('得意先'!$D$5:$D$104,$W521),0,1))+N(INDEX('得意先'!$E$5:$E$104,$W521))),MIN(INDEX('得意先'!$F$5:$F$104,$W521),DAY(DATE(YEAR($X521),(MONTH($X521)+IF(INDEX('得意先'!$D$5:$D$104,$W521)="末",0,IF(DAY($X521)&lt;=INDEX('得意先'!$D$5:$D$104,$W521),0,1))+N(INDEX('得意先'!$E$5:$E$104,$W521)))+1,0)))))))</f>
        <v/>
      </c>
      <c r="N521" s="26" t="n"/>
      <c r="O521" s="29">
        <f>IF($A521="","",IF(ISNUMBER($N521),$N521,$M521))</f>
        <v/>
      </c>
      <c r="P521" s="28">
        <f>IF($A521="","",SUMIF('入金消込'!$F$5:$F$1004,$A521,'入金消込'!$G$5:$G$1004))</f>
        <v/>
      </c>
      <c r="Q521" s="28">
        <f>IF($A521="","",SUMIF('入金消込'!$F$5:$F$1004,$A521,'入金消込'!$H$5:$H$1004)+SUMIF('入金消込'!$F$5:$F$1004,$A521,'入金消込'!$I$5:$I$1004))</f>
        <v/>
      </c>
      <c r="R521" s="28">
        <f>IF($A521="","",$L521-$P521-$Q521)</f>
        <v/>
      </c>
      <c r="S521" s="30">
        <f>IF($A521="","",IF($R521=0,IF($L521=0,"請求額0","回収済"),IF($L521&lt;0,IF($R521&lt;0,"差し引き待ち","差し引きすぎ"),IF($R521&lt;0,"入金が多い",IF($P521+$Q521=0,"未入金","一部入金")))))</f>
        <v/>
      </c>
      <c r="T521" s="31">
        <f>IF(OR($A521="",N($R521)&lt;=0,NOT(ISNUMBER($O521))),"",IF($O521&lt;'設定'!$B$7,'設定'!$B$7-$O521,""))</f>
        <v/>
      </c>
      <c r="U521" s="30">
        <f>IF(OR($A521="",N($R521)&lt;=0),"",IF(NOT(ISNUMBER($O521)),'設定'!$B$22,IF($O521&gt;='設定'!$B$7,'設定'!$B$17,IF('設定'!$B$7-$O521&lt;='設定'!$B$12,'設定'!$B$18,IF('設定'!$B$7-$O521&lt;='設定'!$B$13,'設定'!$B$19,IF('設定'!$B$7-$O521&lt;='設定'!$B$14,'設定'!$B$20,'設定'!$B$21))))))</f>
        <v/>
      </c>
      <c r="V521" s="56" t="n"/>
      <c r="W521" s="32">
        <f>IF($C521="","",IFERROR(MATCH($C521,'得意先'!$B$5:$B$104,0),"なし"))</f>
        <v/>
      </c>
      <c r="X521" s="33">
        <f>IF($A521="","",IF(ISNUMBER($E521),$E521,IF(ISNUMBER($B521),$B521,"")))</f>
        <v/>
      </c>
      <c r="Y521" s="34">
        <f>IF($T521="","",$O521+ROW()/1000000)</f>
        <v/>
      </c>
      <c r="Z521" s="35">
        <f>IF(OR($A521="",$C521="",$C521&lt;&gt;'売掛帳'!$B$3,NOT(ISNUMBER($X521))),"",IF(AND($X521&gt;='売掛帳'!$Q$3,$X521&lt;='売掛帳'!$Q$4),$X521+ROW()/10000000,""))</f>
        <v/>
      </c>
    </row>
    <row r="522" ht="18" customHeight="1">
      <c r="A522" s="18" t="n"/>
      <c r="B522" s="26" t="n"/>
      <c r="C522" s="18" t="n"/>
      <c r="D522" s="20">
        <f>IF($W522="","",IF($W522="なし","※得意先にないコード",INDEX('得意先'!$C$5:$C$104,$W522)&amp;""))</f>
        <v/>
      </c>
      <c r="E522" s="26" t="n"/>
      <c r="F522" s="19" t="n"/>
      <c r="G522" s="27" t="n"/>
      <c r="H522" s="27" t="n"/>
      <c r="I522" s="27" t="n"/>
      <c r="J522" s="28">
        <f>IF($A522="","",IF('設定'!$B$10="四捨五入",ROUND(IF('設定'!$B$9="税込",N($G522)*10/110,N($G522)*10/100),0),IF('設定'!$B$10="切り上げ",ROUNDUP(IF('設定'!$B$9="税込",N($G522)*10/110,N($G522)*10/100),0),ROUNDDOWN(IF('設定'!$B$9="税込",N($G522)*10/110,N($G522)*10/100),0))))</f>
        <v/>
      </c>
      <c r="K522" s="28">
        <f>IF($A522="","",IF('設定'!$B$10="四捨五入",ROUND(IF('設定'!$B$9="税込",N($H522)*8/108,N($H522)*8/100),0),IF('設定'!$B$10="切り上げ",ROUNDUP(IF('設定'!$B$9="税込",N($H522)*8/108,N($H522)*8/100),0),ROUNDDOWN(IF('設定'!$B$9="税込",N($H522)*8/108,N($H522)*8/100),0))))</f>
        <v/>
      </c>
      <c r="L522" s="28">
        <f>IF($A522="","",N($G522)+N($H522)+N($I522)+IF('設定'!$B$9="税込",0,$J522+$K522))</f>
        <v/>
      </c>
      <c r="M522" s="29">
        <f>IF(OR($A522="",NOT(ISNUMBER($W522)),NOT(ISNUMBER($X522))),"",IF(OR(INDEX('得意先'!$D$5:$D$104,$W522)="",INDEX('得意先'!$E$5:$E$104,$W522)="",INDEX('得意先'!$F$5:$F$104,$W522)=""),"",IF(INDEX('得意先'!$F$5:$F$104,$W522)="末",DATE(YEAR($X522),(MONTH($X522)+IF(INDEX('得意先'!$D$5:$D$104,$W522)="末",0,IF(DAY($X522)&lt;=INDEX('得意先'!$D$5:$D$104,$W522),0,1))+N(INDEX('得意先'!$E$5:$E$104,$W522)))+1,0),DATE(YEAR($X522),(MONTH($X522)+IF(INDEX('得意先'!$D$5:$D$104,$W522)="末",0,IF(DAY($X522)&lt;=INDEX('得意先'!$D$5:$D$104,$W522),0,1))+N(INDEX('得意先'!$E$5:$E$104,$W522))),MIN(INDEX('得意先'!$F$5:$F$104,$W522),DAY(DATE(YEAR($X522),(MONTH($X522)+IF(INDEX('得意先'!$D$5:$D$104,$W522)="末",0,IF(DAY($X522)&lt;=INDEX('得意先'!$D$5:$D$104,$W522),0,1))+N(INDEX('得意先'!$E$5:$E$104,$W522)))+1,0)))))))</f>
        <v/>
      </c>
      <c r="N522" s="26" t="n"/>
      <c r="O522" s="29">
        <f>IF($A522="","",IF(ISNUMBER($N522),$N522,$M522))</f>
        <v/>
      </c>
      <c r="P522" s="28">
        <f>IF($A522="","",SUMIF('入金消込'!$F$5:$F$1004,$A522,'入金消込'!$G$5:$G$1004))</f>
        <v/>
      </c>
      <c r="Q522" s="28">
        <f>IF($A522="","",SUMIF('入金消込'!$F$5:$F$1004,$A522,'入金消込'!$H$5:$H$1004)+SUMIF('入金消込'!$F$5:$F$1004,$A522,'入金消込'!$I$5:$I$1004))</f>
        <v/>
      </c>
      <c r="R522" s="28">
        <f>IF($A522="","",$L522-$P522-$Q522)</f>
        <v/>
      </c>
      <c r="S522" s="30">
        <f>IF($A522="","",IF($R522=0,IF($L522=0,"請求額0","回収済"),IF($L522&lt;0,IF($R522&lt;0,"差し引き待ち","差し引きすぎ"),IF($R522&lt;0,"入金が多い",IF($P522+$Q522=0,"未入金","一部入金")))))</f>
        <v/>
      </c>
      <c r="T522" s="31">
        <f>IF(OR($A522="",N($R522)&lt;=0,NOT(ISNUMBER($O522))),"",IF($O522&lt;'設定'!$B$7,'設定'!$B$7-$O522,""))</f>
        <v/>
      </c>
      <c r="U522" s="30">
        <f>IF(OR($A522="",N($R522)&lt;=0),"",IF(NOT(ISNUMBER($O522)),'設定'!$B$22,IF($O522&gt;='設定'!$B$7,'設定'!$B$17,IF('設定'!$B$7-$O522&lt;='設定'!$B$12,'設定'!$B$18,IF('設定'!$B$7-$O522&lt;='設定'!$B$13,'設定'!$B$19,IF('設定'!$B$7-$O522&lt;='設定'!$B$14,'設定'!$B$20,'設定'!$B$21))))))</f>
        <v/>
      </c>
      <c r="V522" s="56" t="n"/>
      <c r="W522" s="32">
        <f>IF($C522="","",IFERROR(MATCH($C522,'得意先'!$B$5:$B$104,0),"なし"))</f>
        <v/>
      </c>
      <c r="X522" s="33">
        <f>IF($A522="","",IF(ISNUMBER($E522),$E522,IF(ISNUMBER($B522),$B522,"")))</f>
        <v/>
      </c>
      <c r="Y522" s="34">
        <f>IF($T522="","",$O522+ROW()/1000000)</f>
        <v/>
      </c>
      <c r="Z522" s="35">
        <f>IF(OR($A522="",$C522="",$C522&lt;&gt;'売掛帳'!$B$3,NOT(ISNUMBER($X522))),"",IF(AND($X522&gt;='売掛帳'!$Q$3,$X522&lt;='売掛帳'!$Q$4),$X522+ROW()/10000000,""))</f>
        <v/>
      </c>
    </row>
    <row r="523" ht="18" customHeight="1">
      <c r="A523" s="18" t="n"/>
      <c r="B523" s="26" t="n"/>
      <c r="C523" s="18" t="n"/>
      <c r="D523" s="20">
        <f>IF($W523="","",IF($W523="なし","※得意先にないコード",INDEX('得意先'!$C$5:$C$104,$W523)&amp;""))</f>
        <v/>
      </c>
      <c r="E523" s="26" t="n"/>
      <c r="F523" s="19" t="n"/>
      <c r="G523" s="27" t="n"/>
      <c r="H523" s="27" t="n"/>
      <c r="I523" s="27" t="n"/>
      <c r="J523" s="28">
        <f>IF($A523="","",IF('設定'!$B$10="四捨五入",ROUND(IF('設定'!$B$9="税込",N($G523)*10/110,N($G523)*10/100),0),IF('設定'!$B$10="切り上げ",ROUNDUP(IF('設定'!$B$9="税込",N($G523)*10/110,N($G523)*10/100),0),ROUNDDOWN(IF('設定'!$B$9="税込",N($G523)*10/110,N($G523)*10/100),0))))</f>
        <v/>
      </c>
      <c r="K523" s="28">
        <f>IF($A523="","",IF('設定'!$B$10="四捨五入",ROUND(IF('設定'!$B$9="税込",N($H523)*8/108,N($H523)*8/100),0),IF('設定'!$B$10="切り上げ",ROUNDUP(IF('設定'!$B$9="税込",N($H523)*8/108,N($H523)*8/100),0),ROUNDDOWN(IF('設定'!$B$9="税込",N($H523)*8/108,N($H523)*8/100),0))))</f>
        <v/>
      </c>
      <c r="L523" s="28">
        <f>IF($A523="","",N($G523)+N($H523)+N($I523)+IF('設定'!$B$9="税込",0,$J523+$K523))</f>
        <v/>
      </c>
      <c r="M523" s="29">
        <f>IF(OR($A523="",NOT(ISNUMBER($W523)),NOT(ISNUMBER($X523))),"",IF(OR(INDEX('得意先'!$D$5:$D$104,$W523)="",INDEX('得意先'!$E$5:$E$104,$W523)="",INDEX('得意先'!$F$5:$F$104,$W523)=""),"",IF(INDEX('得意先'!$F$5:$F$104,$W523)="末",DATE(YEAR($X523),(MONTH($X523)+IF(INDEX('得意先'!$D$5:$D$104,$W523)="末",0,IF(DAY($X523)&lt;=INDEX('得意先'!$D$5:$D$104,$W523),0,1))+N(INDEX('得意先'!$E$5:$E$104,$W523)))+1,0),DATE(YEAR($X523),(MONTH($X523)+IF(INDEX('得意先'!$D$5:$D$104,$W523)="末",0,IF(DAY($X523)&lt;=INDEX('得意先'!$D$5:$D$104,$W523),0,1))+N(INDEX('得意先'!$E$5:$E$104,$W523))),MIN(INDEX('得意先'!$F$5:$F$104,$W523),DAY(DATE(YEAR($X523),(MONTH($X523)+IF(INDEX('得意先'!$D$5:$D$104,$W523)="末",0,IF(DAY($X523)&lt;=INDEX('得意先'!$D$5:$D$104,$W523),0,1))+N(INDEX('得意先'!$E$5:$E$104,$W523)))+1,0)))))))</f>
        <v/>
      </c>
      <c r="N523" s="26" t="n"/>
      <c r="O523" s="29">
        <f>IF($A523="","",IF(ISNUMBER($N523),$N523,$M523))</f>
        <v/>
      </c>
      <c r="P523" s="28">
        <f>IF($A523="","",SUMIF('入金消込'!$F$5:$F$1004,$A523,'入金消込'!$G$5:$G$1004))</f>
        <v/>
      </c>
      <c r="Q523" s="28">
        <f>IF($A523="","",SUMIF('入金消込'!$F$5:$F$1004,$A523,'入金消込'!$H$5:$H$1004)+SUMIF('入金消込'!$F$5:$F$1004,$A523,'入金消込'!$I$5:$I$1004))</f>
        <v/>
      </c>
      <c r="R523" s="28">
        <f>IF($A523="","",$L523-$P523-$Q523)</f>
        <v/>
      </c>
      <c r="S523" s="30">
        <f>IF($A523="","",IF($R523=0,IF($L523=0,"請求額0","回収済"),IF($L523&lt;0,IF($R523&lt;0,"差し引き待ち","差し引きすぎ"),IF($R523&lt;0,"入金が多い",IF($P523+$Q523=0,"未入金","一部入金")))))</f>
        <v/>
      </c>
      <c r="T523" s="31">
        <f>IF(OR($A523="",N($R523)&lt;=0,NOT(ISNUMBER($O523))),"",IF($O523&lt;'設定'!$B$7,'設定'!$B$7-$O523,""))</f>
        <v/>
      </c>
      <c r="U523" s="30">
        <f>IF(OR($A523="",N($R523)&lt;=0),"",IF(NOT(ISNUMBER($O523)),'設定'!$B$22,IF($O523&gt;='設定'!$B$7,'設定'!$B$17,IF('設定'!$B$7-$O523&lt;='設定'!$B$12,'設定'!$B$18,IF('設定'!$B$7-$O523&lt;='設定'!$B$13,'設定'!$B$19,IF('設定'!$B$7-$O523&lt;='設定'!$B$14,'設定'!$B$20,'設定'!$B$21))))))</f>
        <v/>
      </c>
      <c r="V523" s="56" t="n"/>
      <c r="W523" s="32">
        <f>IF($C523="","",IFERROR(MATCH($C523,'得意先'!$B$5:$B$104,0),"なし"))</f>
        <v/>
      </c>
      <c r="X523" s="33">
        <f>IF($A523="","",IF(ISNUMBER($E523),$E523,IF(ISNUMBER($B523),$B523,"")))</f>
        <v/>
      </c>
      <c r="Y523" s="34">
        <f>IF($T523="","",$O523+ROW()/1000000)</f>
        <v/>
      </c>
      <c r="Z523" s="35">
        <f>IF(OR($A523="",$C523="",$C523&lt;&gt;'売掛帳'!$B$3,NOT(ISNUMBER($X523))),"",IF(AND($X523&gt;='売掛帳'!$Q$3,$X523&lt;='売掛帳'!$Q$4),$X523+ROW()/10000000,""))</f>
        <v/>
      </c>
    </row>
    <row r="524" ht="18" customHeight="1">
      <c r="A524" s="18" t="n"/>
      <c r="B524" s="26" t="n"/>
      <c r="C524" s="18" t="n"/>
      <c r="D524" s="20">
        <f>IF($W524="","",IF($W524="なし","※得意先にないコード",INDEX('得意先'!$C$5:$C$104,$W524)&amp;""))</f>
        <v/>
      </c>
      <c r="E524" s="26" t="n"/>
      <c r="F524" s="19" t="n"/>
      <c r="G524" s="27" t="n"/>
      <c r="H524" s="27" t="n"/>
      <c r="I524" s="27" t="n"/>
      <c r="J524" s="28">
        <f>IF($A524="","",IF('設定'!$B$10="四捨五入",ROUND(IF('設定'!$B$9="税込",N($G524)*10/110,N($G524)*10/100),0),IF('設定'!$B$10="切り上げ",ROUNDUP(IF('設定'!$B$9="税込",N($G524)*10/110,N($G524)*10/100),0),ROUNDDOWN(IF('設定'!$B$9="税込",N($G524)*10/110,N($G524)*10/100),0))))</f>
        <v/>
      </c>
      <c r="K524" s="28">
        <f>IF($A524="","",IF('設定'!$B$10="四捨五入",ROUND(IF('設定'!$B$9="税込",N($H524)*8/108,N($H524)*8/100),0),IF('設定'!$B$10="切り上げ",ROUNDUP(IF('設定'!$B$9="税込",N($H524)*8/108,N($H524)*8/100),0),ROUNDDOWN(IF('設定'!$B$9="税込",N($H524)*8/108,N($H524)*8/100),0))))</f>
        <v/>
      </c>
      <c r="L524" s="28">
        <f>IF($A524="","",N($G524)+N($H524)+N($I524)+IF('設定'!$B$9="税込",0,$J524+$K524))</f>
        <v/>
      </c>
      <c r="M524" s="29">
        <f>IF(OR($A524="",NOT(ISNUMBER($W524)),NOT(ISNUMBER($X524))),"",IF(OR(INDEX('得意先'!$D$5:$D$104,$W524)="",INDEX('得意先'!$E$5:$E$104,$W524)="",INDEX('得意先'!$F$5:$F$104,$W524)=""),"",IF(INDEX('得意先'!$F$5:$F$104,$W524)="末",DATE(YEAR($X524),(MONTH($X524)+IF(INDEX('得意先'!$D$5:$D$104,$W524)="末",0,IF(DAY($X524)&lt;=INDEX('得意先'!$D$5:$D$104,$W524),0,1))+N(INDEX('得意先'!$E$5:$E$104,$W524)))+1,0),DATE(YEAR($X524),(MONTH($X524)+IF(INDEX('得意先'!$D$5:$D$104,$W524)="末",0,IF(DAY($X524)&lt;=INDEX('得意先'!$D$5:$D$104,$W524),0,1))+N(INDEX('得意先'!$E$5:$E$104,$W524))),MIN(INDEX('得意先'!$F$5:$F$104,$W524),DAY(DATE(YEAR($X524),(MONTH($X524)+IF(INDEX('得意先'!$D$5:$D$104,$W524)="末",0,IF(DAY($X524)&lt;=INDEX('得意先'!$D$5:$D$104,$W524),0,1))+N(INDEX('得意先'!$E$5:$E$104,$W524)))+1,0)))))))</f>
        <v/>
      </c>
      <c r="N524" s="26" t="n"/>
      <c r="O524" s="29">
        <f>IF($A524="","",IF(ISNUMBER($N524),$N524,$M524))</f>
        <v/>
      </c>
      <c r="P524" s="28">
        <f>IF($A524="","",SUMIF('入金消込'!$F$5:$F$1004,$A524,'入金消込'!$G$5:$G$1004))</f>
        <v/>
      </c>
      <c r="Q524" s="28">
        <f>IF($A524="","",SUMIF('入金消込'!$F$5:$F$1004,$A524,'入金消込'!$H$5:$H$1004)+SUMIF('入金消込'!$F$5:$F$1004,$A524,'入金消込'!$I$5:$I$1004))</f>
        <v/>
      </c>
      <c r="R524" s="28">
        <f>IF($A524="","",$L524-$P524-$Q524)</f>
        <v/>
      </c>
      <c r="S524" s="30">
        <f>IF($A524="","",IF($R524=0,IF($L524=0,"請求額0","回収済"),IF($L524&lt;0,IF($R524&lt;0,"差し引き待ち","差し引きすぎ"),IF($R524&lt;0,"入金が多い",IF($P524+$Q524=0,"未入金","一部入金")))))</f>
        <v/>
      </c>
      <c r="T524" s="31">
        <f>IF(OR($A524="",N($R524)&lt;=0,NOT(ISNUMBER($O524))),"",IF($O524&lt;'設定'!$B$7,'設定'!$B$7-$O524,""))</f>
        <v/>
      </c>
      <c r="U524" s="30">
        <f>IF(OR($A524="",N($R524)&lt;=0),"",IF(NOT(ISNUMBER($O524)),'設定'!$B$22,IF($O524&gt;='設定'!$B$7,'設定'!$B$17,IF('設定'!$B$7-$O524&lt;='設定'!$B$12,'設定'!$B$18,IF('設定'!$B$7-$O524&lt;='設定'!$B$13,'設定'!$B$19,IF('設定'!$B$7-$O524&lt;='設定'!$B$14,'設定'!$B$20,'設定'!$B$21))))))</f>
        <v/>
      </c>
      <c r="V524" s="56" t="n"/>
      <c r="W524" s="32">
        <f>IF($C524="","",IFERROR(MATCH($C524,'得意先'!$B$5:$B$104,0),"なし"))</f>
        <v/>
      </c>
      <c r="X524" s="33">
        <f>IF($A524="","",IF(ISNUMBER($E524),$E524,IF(ISNUMBER($B524),$B524,"")))</f>
        <v/>
      </c>
      <c r="Y524" s="34">
        <f>IF($T524="","",$O524+ROW()/1000000)</f>
        <v/>
      </c>
      <c r="Z524" s="35">
        <f>IF(OR($A524="",$C524="",$C524&lt;&gt;'売掛帳'!$B$3,NOT(ISNUMBER($X524))),"",IF(AND($X524&gt;='売掛帳'!$Q$3,$X524&lt;='売掛帳'!$Q$4),$X524+ROW()/10000000,""))</f>
        <v/>
      </c>
    </row>
    <row r="525" ht="18" customHeight="1">
      <c r="A525" s="18" t="n"/>
      <c r="B525" s="26" t="n"/>
      <c r="C525" s="18" t="n"/>
      <c r="D525" s="20">
        <f>IF($W525="","",IF($W525="なし","※得意先にないコード",INDEX('得意先'!$C$5:$C$104,$W525)&amp;""))</f>
        <v/>
      </c>
      <c r="E525" s="26" t="n"/>
      <c r="F525" s="19" t="n"/>
      <c r="G525" s="27" t="n"/>
      <c r="H525" s="27" t="n"/>
      <c r="I525" s="27" t="n"/>
      <c r="J525" s="28">
        <f>IF($A525="","",IF('設定'!$B$10="四捨五入",ROUND(IF('設定'!$B$9="税込",N($G525)*10/110,N($G525)*10/100),0),IF('設定'!$B$10="切り上げ",ROUNDUP(IF('設定'!$B$9="税込",N($G525)*10/110,N($G525)*10/100),0),ROUNDDOWN(IF('設定'!$B$9="税込",N($G525)*10/110,N($G525)*10/100),0))))</f>
        <v/>
      </c>
      <c r="K525" s="28">
        <f>IF($A525="","",IF('設定'!$B$10="四捨五入",ROUND(IF('設定'!$B$9="税込",N($H525)*8/108,N($H525)*8/100),0),IF('設定'!$B$10="切り上げ",ROUNDUP(IF('設定'!$B$9="税込",N($H525)*8/108,N($H525)*8/100),0),ROUNDDOWN(IF('設定'!$B$9="税込",N($H525)*8/108,N($H525)*8/100),0))))</f>
        <v/>
      </c>
      <c r="L525" s="28">
        <f>IF($A525="","",N($G525)+N($H525)+N($I525)+IF('設定'!$B$9="税込",0,$J525+$K525))</f>
        <v/>
      </c>
      <c r="M525" s="29">
        <f>IF(OR($A525="",NOT(ISNUMBER($W525)),NOT(ISNUMBER($X525))),"",IF(OR(INDEX('得意先'!$D$5:$D$104,$W525)="",INDEX('得意先'!$E$5:$E$104,$W525)="",INDEX('得意先'!$F$5:$F$104,$W525)=""),"",IF(INDEX('得意先'!$F$5:$F$104,$W525)="末",DATE(YEAR($X525),(MONTH($X525)+IF(INDEX('得意先'!$D$5:$D$104,$W525)="末",0,IF(DAY($X525)&lt;=INDEX('得意先'!$D$5:$D$104,$W525),0,1))+N(INDEX('得意先'!$E$5:$E$104,$W525)))+1,0),DATE(YEAR($X525),(MONTH($X525)+IF(INDEX('得意先'!$D$5:$D$104,$W525)="末",0,IF(DAY($X525)&lt;=INDEX('得意先'!$D$5:$D$104,$W525),0,1))+N(INDEX('得意先'!$E$5:$E$104,$W525))),MIN(INDEX('得意先'!$F$5:$F$104,$W525),DAY(DATE(YEAR($X525),(MONTH($X525)+IF(INDEX('得意先'!$D$5:$D$104,$W525)="末",0,IF(DAY($X525)&lt;=INDEX('得意先'!$D$5:$D$104,$W525),0,1))+N(INDEX('得意先'!$E$5:$E$104,$W525)))+1,0)))))))</f>
        <v/>
      </c>
      <c r="N525" s="26" t="n"/>
      <c r="O525" s="29">
        <f>IF($A525="","",IF(ISNUMBER($N525),$N525,$M525))</f>
        <v/>
      </c>
      <c r="P525" s="28">
        <f>IF($A525="","",SUMIF('入金消込'!$F$5:$F$1004,$A525,'入金消込'!$G$5:$G$1004))</f>
        <v/>
      </c>
      <c r="Q525" s="28">
        <f>IF($A525="","",SUMIF('入金消込'!$F$5:$F$1004,$A525,'入金消込'!$H$5:$H$1004)+SUMIF('入金消込'!$F$5:$F$1004,$A525,'入金消込'!$I$5:$I$1004))</f>
        <v/>
      </c>
      <c r="R525" s="28">
        <f>IF($A525="","",$L525-$P525-$Q525)</f>
        <v/>
      </c>
      <c r="S525" s="30">
        <f>IF($A525="","",IF($R525=0,IF($L525=0,"請求額0","回収済"),IF($L525&lt;0,IF($R525&lt;0,"差し引き待ち","差し引きすぎ"),IF($R525&lt;0,"入金が多い",IF($P525+$Q525=0,"未入金","一部入金")))))</f>
        <v/>
      </c>
      <c r="T525" s="31">
        <f>IF(OR($A525="",N($R525)&lt;=0,NOT(ISNUMBER($O525))),"",IF($O525&lt;'設定'!$B$7,'設定'!$B$7-$O525,""))</f>
        <v/>
      </c>
      <c r="U525" s="30">
        <f>IF(OR($A525="",N($R525)&lt;=0),"",IF(NOT(ISNUMBER($O525)),'設定'!$B$22,IF($O525&gt;='設定'!$B$7,'設定'!$B$17,IF('設定'!$B$7-$O525&lt;='設定'!$B$12,'設定'!$B$18,IF('設定'!$B$7-$O525&lt;='設定'!$B$13,'設定'!$B$19,IF('設定'!$B$7-$O525&lt;='設定'!$B$14,'設定'!$B$20,'設定'!$B$21))))))</f>
        <v/>
      </c>
      <c r="V525" s="56" t="n"/>
      <c r="W525" s="32">
        <f>IF($C525="","",IFERROR(MATCH($C525,'得意先'!$B$5:$B$104,0),"なし"))</f>
        <v/>
      </c>
      <c r="X525" s="33">
        <f>IF($A525="","",IF(ISNUMBER($E525),$E525,IF(ISNUMBER($B525),$B525,"")))</f>
        <v/>
      </c>
      <c r="Y525" s="34">
        <f>IF($T525="","",$O525+ROW()/1000000)</f>
        <v/>
      </c>
      <c r="Z525" s="35">
        <f>IF(OR($A525="",$C525="",$C525&lt;&gt;'売掛帳'!$B$3,NOT(ISNUMBER($X525))),"",IF(AND($X525&gt;='売掛帳'!$Q$3,$X525&lt;='売掛帳'!$Q$4),$X525+ROW()/10000000,""))</f>
        <v/>
      </c>
    </row>
    <row r="526" ht="18" customHeight="1">
      <c r="A526" s="18" t="n"/>
      <c r="B526" s="26" t="n"/>
      <c r="C526" s="18" t="n"/>
      <c r="D526" s="20">
        <f>IF($W526="","",IF($W526="なし","※得意先にないコード",INDEX('得意先'!$C$5:$C$104,$W526)&amp;""))</f>
        <v/>
      </c>
      <c r="E526" s="26" t="n"/>
      <c r="F526" s="19" t="n"/>
      <c r="G526" s="27" t="n"/>
      <c r="H526" s="27" t="n"/>
      <c r="I526" s="27" t="n"/>
      <c r="J526" s="28">
        <f>IF($A526="","",IF('設定'!$B$10="四捨五入",ROUND(IF('設定'!$B$9="税込",N($G526)*10/110,N($G526)*10/100),0),IF('設定'!$B$10="切り上げ",ROUNDUP(IF('設定'!$B$9="税込",N($G526)*10/110,N($G526)*10/100),0),ROUNDDOWN(IF('設定'!$B$9="税込",N($G526)*10/110,N($G526)*10/100),0))))</f>
        <v/>
      </c>
      <c r="K526" s="28">
        <f>IF($A526="","",IF('設定'!$B$10="四捨五入",ROUND(IF('設定'!$B$9="税込",N($H526)*8/108,N($H526)*8/100),0),IF('設定'!$B$10="切り上げ",ROUNDUP(IF('設定'!$B$9="税込",N($H526)*8/108,N($H526)*8/100),0),ROUNDDOWN(IF('設定'!$B$9="税込",N($H526)*8/108,N($H526)*8/100),0))))</f>
        <v/>
      </c>
      <c r="L526" s="28">
        <f>IF($A526="","",N($G526)+N($H526)+N($I526)+IF('設定'!$B$9="税込",0,$J526+$K526))</f>
        <v/>
      </c>
      <c r="M526" s="29">
        <f>IF(OR($A526="",NOT(ISNUMBER($W526)),NOT(ISNUMBER($X526))),"",IF(OR(INDEX('得意先'!$D$5:$D$104,$W526)="",INDEX('得意先'!$E$5:$E$104,$W526)="",INDEX('得意先'!$F$5:$F$104,$W526)=""),"",IF(INDEX('得意先'!$F$5:$F$104,$W526)="末",DATE(YEAR($X526),(MONTH($X526)+IF(INDEX('得意先'!$D$5:$D$104,$W526)="末",0,IF(DAY($X526)&lt;=INDEX('得意先'!$D$5:$D$104,$W526),0,1))+N(INDEX('得意先'!$E$5:$E$104,$W526)))+1,0),DATE(YEAR($X526),(MONTH($X526)+IF(INDEX('得意先'!$D$5:$D$104,$W526)="末",0,IF(DAY($X526)&lt;=INDEX('得意先'!$D$5:$D$104,$W526),0,1))+N(INDEX('得意先'!$E$5:$E$104,$W526))),MIN(INDEX('得意先'!$F$5:$F$104,$W526),DAY(DATE(YEAR($X526),(MONTH($X526)+IF(INDEX('得意先'!$D$5:$D$104,$W526)="末",0,IF(DAY($X526)&lt;=INDEX('得意先'!$D$5:$D$104,$W526),0,1))+N(INDEX('得意先'!$E$5:$E$104,$W526)))+1,0)))))))</f>
        <v/>
      </c>
      <c r="N526" s="26" t="n"/>
      <c r="O526" s="29">
        <f>IF($A526="","",IF(ISNUMBER($N526),$N526,$M526))</f>
        <v/>
      </c>
      <c r="P526" s="28">
        <f>IF($A526="","",SUMIF('入金消込'!$F$5:$F$1004,$A526,'入金消込'!$G$5:$G$1004))</f>
        <v/>
      </c>
      <c r="Q526" s="28">
        <f>IF($A526="","",SUMIF('入金消込'!$F$5:$F$1004,$A526,'入金消込'!$H$5:$H$1004)+SUMIF('入金消込'!$F$5:$F$1004,$A526,'入金消込'!$I$5:$I$1004))</f>
        <v/>
      </c>
      <c r="R526" s="28">
        <f>IF($A526="","",$L526-$P526-$Q526)</f>
        <v/>
      </c>
      <c r="S526" s="30">
        <f>IF($A526="","",IF($R526=0,IF($L526=0,"請求額0","回収済"),IF($L526&lt;0,IF($R526&lt;0,"差し引き待ち","差し引きすぎ"),IF($R526&lt;0,"入金が多い",IF($P526+$Q526=0,"未入金","一部入金")))))</f>
        <v/>
      </c>
      <c r="T526" s="31">
        <f>IF(OR($A526="",N($R526)&lt;=0,NOT(ISNUMBER($O526))),"",IF($O526&lt;'設定'!$B$7,'設定'!$B$7-$O526,""))</f>
        <v/>
      </c>
      <c r="U526" s="30">
        <f>IF(OR($A526="",N($R526)&lt;=0),"",IF(NOT(ISNUMBER($O526)),'設定'!$B$22,IF($O526&gt;='設定'!$B$7,'設定'!$B$17,IF('設定'!$B$7-$O526&lt;='設定'!$B$12,'設定'!$B$18,IF('設定'!$B$7-$O526&lt;='設定'!$B$13,'設定'!$B$19,IF('設定'!$B$7-$O526&lt;='設定'!$B$14,'設定'!$B$20,'設定'!$B$21))))))</f>
        <v/>
      </c>
      <c r="V526" s="56" t="n"/>
      <c r="W526" s="32">
        <f>IF($C526="","",IFERROR(MATCH($C526,'得意先'!$B$5:$B$104,0),"なし"))</f>
        <v/>
      </c>
      <c r="X526" s="33">
        <f>IF($A526="","",IF(ISNUMBER($E526),$E526,IF(ISNUMBER($B526),$B526,"")))</f>
        <v/>
      </c>
      <c r="Y526" s="34">
        <f>IF($T526="","",$O526+ROW()/1000000)</f>
        <v/>
      </c>
      <c r="Z526" s="35">
        <f>IF(OR($A526="",$C526="",$C526&lt;&gt;'売掛帳'!$B$3,NOT(ISNUMBER($X526))),"",IF(AND($X526&gt;='売掛帳'!$Q$3,$X526&lt;='売掛帳'!$Q$4),$X526+ROW()/10000000,""))</f>
        <v/>
      </c>
    </row>
    <row r="527" ht="18" customHeight="1">
      <c r="A527" s="18" t="n"/>
      <c r="B527" s="26" t="n"/>
      <c r="C527" s="18" t="n"/>
      <c r="D527" s="20">
        <f>IF($W527="","",IF($W527="なし","※得意先にないコード",INDEX('得意先'!$C$5:$C$104,$W527)&amp;""))</f>
        <v/>
      </c>
      <c r="E527" s="26" t="n"/>
      <c r="F527" s="19" t="n"/>
      <c r="G527" s="27" t="n"/>
      <c r="H527" s="27" t="n"/>
      <c r="I527" s="27" t="n"/>
      <c r="J527" s="28">
        <f>IF($A527="","",IF('設定'!$B$10="四捨五入",ROUND(IF('設定'!$B$9="税込",N($G527)*10/110,N($G527)*10/100),0),IF('設定'!$B$10="切り上げ",ROUNDUP(IF('設定'!$B$9="税込",N($G527)*10/110,N($G527)*10/100),0),ROUNDDOWN(IF('設定'!$B$9="税込",N($G527)*10/110,N($G527)*10/100),0))))</f>
        <v/>
      </c>
      <c r="K527" s="28">
        <f>IF($A527="","",IF('設定'!$B$10="四捨五入",ROUND(IF('設定'!$B$9="税込",N($H527)*8/108,N($H527)*8/100),0),IF('設定'!$B$10="切り上げ",ROUNDUP(IF('設定'!$B$9="税込",N($H527)*8/108,N($H527)*8/100),0),ROUNDDOWN(IF('設定'!$B$9="税込",N($H527)*8/108,N($H527)*8/100),0))))</f>
        <v/>
      </c>
      <c r="L527" s="28">
        <f>IF($A527="","",N($G527)+N($H527)+N($I527)+IF('設定'!$B$9="税込",0,$J527+$K527))</f>
        <v/>
      </c>
      <c r="M527" s="29">
        <f>IF(OR($A527="",NOT(ISNUMBER($W527)),NOT(ISNUMBER($X527))),"",IF(OR(INDEX('得意先'!$D$5:$D$104,$W527)="",INDEX('得意先'!$E$5:$E$104,$W527)="",INDEX('得意先'!$F$5:$F$104,$W527)=""),"",IF(INDEX('得意先'!$F$5:$F$104,$W527)="末",DATE(YEAR($X527),(MONTH($X527)+IF(INDEX('得意先'!$D$5:$D$104,$W527)="末",0,IF(DAY($X527)&lt;=INDEX('得意先'!$D$5:$D$104,$W527),0,1))+N(INDEX('得意先'!$E$5:$E$104,$W527)))+1,0),DATE(YEAR($X527),(MONTH($X527)+IF(INDEX('得意先'!$D$5:$D$104,$W527)="末",0,IF(DAY($X527)&lt;=INDEX('得意先'!$D$5:$D$104,$W527),0,1))+N(INDEX('得意先'!$E$5:$E$104,$W527))),MIN(INDEX('得意先'!$F$5:$F$104,$W527),DAY(DATE(YEAR($X527),(MONTH($X527)+IF(INDEX('得意先'!$D$5:$D$104,$W527)="末",0,IF(DAY($X527)&lt;=INDEX('得意先'!$D$5:$D$104,$W527),0,1))+N(INDEX('得意先'!$E$5:$E$104,$W527)))+1,0)))))))</f>
        <v/>
      </c>
      <c r="N527" s="26" t="n"/>
      <c r="O527" s="29">
        <f>IF($A527="","",IF(ISNUMBER($N527),$N527,$M527))</f>
        <v/>
      </c>
      <c r="P527" s="28">
        <f>IF($A527="","",SUMIF('入金消込'!$F$5:$F$1004,$A527,'入金消込'!$G$5:$G$1004))</f>
        <v/>
      </c>
      <c r="Q527" s="28">
        <f>IF($A527="","",SUMIF('入金消込'!$F$5:$F$1004,$A527,'入金消込'!$H$5:$H$1004)+SUMIF('入金消込'!$F$5:$F$1004,$A527,'入金消込'!$I$5:$I$1004))</f>
        <v/>
      </c>
      <c r="R527" s="28">
        <f>IF($A527="","",$L527-$P527-$Q527)</f>
        <v/>
      </c>
      <c r="S527" s="30">
        <f>IF($A527="","",IF($R527=0,IF($L527=0,"請求額0","回収済"),IF($L527&lt;0,IF($R527&lt;0,"差し引き待ち","差し引きすぎ"),IF($R527&lt;0,"入金が多い",IF($P527+$Q527=0,"未入金","一部入金")))))</f>
        <v/>
      </c>
      <c r="T527" s="31">
        <f>IF(OR($A527="",N($R527)&lt;=0,NOT(ISNUMBER($O527))),"",IF($O527&lt;'設定'!$B$7,'設定'!$B$7-$O527,""))</f>
        <v/>
      </c>
      <c r="U527" s="30">
        <f>IF(OR($A527="",N($R527)&lt;=0),"",IF(NOT(ISNUMBER($O527)),'設定'!$B$22,IF($O527&gt;='設定'!$B$7,'設定'!$B$17,IF('設定'!$B$7-$O527&lt;='設定'!$B$12,'設定'!$B$18,IF('設定'!$B$7-$O527&lt;='設定'!$B$13,'設定'!$B$19,IF('設定'!$B$7-$O527&lt;='設定'!$B$14,'設定'!$B$20,'設定'!$B$21))))))</f>
        <v/>
      </c>
      <c r="V527" s="56" t="n"/>
      <c r="W527" s="32">
        <f>IF($C527="","",IFERROR(MATCH($C527,'得意先'!$B$5:$B$104,0),"なし"))</f>
        <v/>
      </c>
      <c r="X527" s="33">
        <f>IF($A527="","",IF(ISNUMBER($E527),$E527,IF(ISNUMBER($B527),$B527,"")))</f>
        <v/>
      </c>
      <c r="Y527" s="34">
        <f>IF($T527="","",$O527+ROW()/1000000)</f>
        <v/>
      </c>
      <c r="Z527" s="35">
        <f>IF(OR($A527="",$C527="",$C527&lt;&gt;'売掛帳'!$B$3,NOT(ISNUMBER($X527))),"",IF(AND($X527&gt;='売掛帳'!$Q$3,$X527&lt;='売掛帳'!$Q$4),$X527+ROW()/10000000,""))</f>
        <v/>
      </c>
    </row>
    <row r="528" ht="18" customHeight="1">
      <c r="A528" s="18" t="n"/>
      <c r="B528" s="26" t="n"/>
      <c r="C528" s="18" t="n"/>
      <c r="D528" s="20">
        <f>IF($W528="","",IF($W528="なし","※得意先にないコード",INDEX('得意先'!$C$5:$C$104,$W528)&amp;""))</f>
        <v/>
      </c>
      <c r="E528" s="26" t="n"/>
      <c r="F528" s="19" t="n"/>
      <c r="G528" s="27" t="n"/>
      <c r="H528" s="27" t="n"/>
      <c r="I528" s="27" t="n"/>
      <c r="J528" s="28">
        <f>IF($A528="","",IF('設定'!$B$10="四捨五入",ROUND(IF('設定'!$B$9="税込",N($G528)*10/110,N($G528)*10/100),0),IF('設定'!$B$10="切り上げ",ROUNDUP(IF('設定'!$B$9="税込",N($G528)*10/110,N($G528)*10/100),0),ROUNDDOWN(IF('設定'!$B$9="税込",N($G528)*10/110,N($G528)*10/100),0))))</f>
        <v/>
      </c>
      <c r="K528" s="28">
        <f>IF($A528="","",IF('設定'!$B$10="四捨五入",ROUND(IF('設定'!$B$9="税込",N($H528)*8/108,N($H528)*8/100),0),IF('設定'!$B$10="切り上げ",ROUNDUP(IF('設定'!$B$9="税込",N($H528)*8/108,N($H528)*8/100),0),ROUNDDOWN(IF('設定'!$B$9="税込",N($H528)*8/108,N($H528)*8/100),0))))</f>
        <v/>
      </c>
      <c r="L528" s="28">
        <f>IF($A528="","",N($G528)+N($H528)+N($I528)+IF('設定'!$B$9="税込",0,$J528+$K528))</f>
        <v/>
      </c>
      <c r="M528" s="29">
        <f>IF(OR($A528="",NOT(ISNUMBER($W528)),NOT(ISNUMBER($X528))),"",IF(OR(INDEX('得意先'!$D$5:$D$104,$W528)="",INDEX('得意先'!$E$5:$E$104,$W528)="",INDEX('得意先'!$F$5:$F$104,$W528)=""),"",IF(INDEX('得意先'!$F$5:$F$104,$W528)="末",DATE(YEAR($X528),(MONTH($X528)+IF(INDEX('得意先'!$D$5:$D$104,$W528)="末",0,IF(DAY($X528)&lt;=INDEX('得意先'!$D$5:$D$104,$W528),0,1))+N(INDEX('得意先'!$E$5:$E$104,$W528)))+1,0),DATE(YEAR($X528),(MONTH($X528)+IF(INDEX('得意先'!$D$5:$D$104,$W528)="末",0,IF(DAY($X528)&lt;=INDEX('得意先'!$D$5:$D$104,$W528),0,1))+N(INDEX('得意先'!$E$5:$E$104,$W528))),MIN(INDEX('得意先'!$F$5:$F$104,$W528),DAY(DATE(YEAR($X528),(MONTH($X528)+IF(INDEX('得意先'!$D$5:$D$104,$W528)="末",0,IF(DAY($X528)&lt;=INDEX('得意先'!$D$5:$D$104,$W528),0,1))+N(INDEX('得意先'!$E$5:$E$104,$W528)))+1,0)))))))</f>
        <v/>
      </c>
      <c r="N528" s="26" t="n"/>
      <c r="O528" s="29">
        <f>IF($A528="","",IF(ISNUMBER($N528),$N528,$M528))</f>
        <v/>
      </c>
      <c r="P528" s="28">
        <f>IF($A528="","",SUMIF('入金消込'!$F$5:$F$1004,$A528,'入金消込'!$G$5:$G$1004))</f>
        <v/>
      </c>
      <c r="Q528" s="28">
        <f>IF($A528="","",SUMIF('入金消込'!$F$5:$F$1004,$A528,'入金消込'!$H$5:$H$1004)+SUMIF('入金消込'!$F$5:$F$1004,$A528,'入金消込'!$I$5:$I$1004))</f>
        <v/>
      </c>
      <c r="R528" s="28">
        <f>IF($A528="","",$L528-$P528-$Q528)</f>
        <v/>
      </c>
      <c r="S528" s="30">
        <f>IF($A528="","",IF($R528=0,IF($L528=0,"請求額0","回収済"),IF($L528&lt;0,IF($R528&lt;0,"差し引き待ち","差し引きすぎ"),IF($R528&lt;0,"入金が多い",IF($P528+$Q528=0,"未入金","一部入金")))))</f>
        <v/>
      </c>
      <c r="T528" s="31">
        <f>IF(OR($A528="",N($R528)&lt;=0,NOT(ISNUMBER($O528))),"",IF($O528&lt;'設定'!$B$7,'設定'!$B$7-$O528,""))</f>
        <v/>
      </c>
      <c r="U528" s="30">
        <f>IF(OR($A528="",N($R528)&lt;=0),"",IF(NOT(ISNUMBER($O528)),'設定'!$B$22,IF($O528&gt;='設定'!$B$7,'設定'!$B$17,IF('設定'!$B$7-$O528&lt;='設定'!$B$12,'設定'!$B$18,IF('設定'!$B$7-$O528&lt;='設定'!$B$13,'設定'!$B$19,IF('設定'!$B$7-$O528&lt;='設定'!$B$14,'設定'!$B$20,'設定'!$B$21))))))</f>
        <v/>
      </c>
      <c r="V528" s="56" t="n"/>
      <c r="W528" s="32">
        <f>IF($C528="","",IFERROR(MATCH($C528,'得意先'!$B$5:$B$104,0),"なし"))</f>
        <v/>
      </c>
      <c r="X528" s="33">
        <f>IF($A528="","",IF(ISNUMBER($E528),$E528,IF(ISNUMBER($B528),$B528,"")))</f>
        <v/>
      </c>
      <c r="Y528" s="34">
        <f>IF($T528="","",$O528+ROW()/1000000)</f>
        <v/>
      </c>
      <c r="Z528" s="35">
        <f>IF(OR($A528="",$C528="",$C528&lt;&gt;'売掛帳'!$B$3,NOT(ISNUMBER($X528))),"",IF(AND($X528&gt;='売掛帳'!$Q$3,$X528&lt;='売掛帳'!$Q$4),$X528+ROW()/10000000,""))</f>
        <v/>
      </c>
    </row>
    <row r="529" ht="18" customHeight="1">
      <c r="A529" s="18" t="n"/>
      <c r="B529" s="26" t="n"/>
      <c r="C529" s="18" t="n"/>
      <c r="D529" s="20">
        <f>IF($W529="","",IF($W529="なし","※得意先にないコード",INDEX('得意先'!$C$5:$C$104,$W529)&amp;""))</f>
        <v/>
      </c>
      <c r="E529" s="26" t="n"/>
      <c r="F529" s="19" t="n"/>
      <c r="G529" s="27" t="n"/>
      <c r="H529" s="27" t="n"/>
      <c r="I529" s="27" t="n"/>
      <c r="J529" s="28">
        <f>IF($A529="","",IF('設定'!$B$10="四捨五入",ROUND(IF('設定'!$B$9="税込",N($G529)*10/110,N($G529)*10/100),0),IF('設定'!$B$10="切り上げ",ROUNDUP(IF('設定'!$B$9="税込",N($G529)*10/110,N($G529)*10/100),0),ROUNDDOWN(IF('設定'!$B$9="税込",N($G529)*10/110,N($G529)*10/100),0))))</f>
        <v/>
      </c>
      <c r="K529" s="28">
        <f>IF($A529="","",IF('設定'!$B$10="四捨五入",ROUND(IF('設定'!$B$9="税込",N($H529)*8/108,N($H529)*8/100),0),IF('設定'!$B$10="切り上げ",ROUNDUP(IF('設定'!$B$9="税込",N($H529)*8/108,N($H529)*8/100),0),ROUNDDOWN(IF('設定'!$B$9="税込",N($H529)*8/108,N($H529)*8/100),0))))</f>
        <v/>
      </c>
      <c r="L529" s="28">
        <f>IF($A529="","",N($G529)+N($H529)+N($I529)+IF('設定'!$B$9="税込",0,$J529+$K529))</f>
        <v/>
      </c>
      <c r="M529" s="29">
        <f>IF(OR($A529="",NOT(ISNUMBER($W529)),NOT(ISNUMBER($X529))),"",IF(OR(INDEX('得意先'!$D$5:$D$104,$W529)="",INDEX('得意先'!$E$5:$E$104,$W529)="",INDEX('得意先'!$F$5:$F$104,$W529)=""),"",IF(INDEX('得意先'!$F$5:$F$104,$W529)="末",DATE(YEAR($X529),(MONTH($X529)+IF(INDEX('得意先'!$D$5:$D$104,$W529)="末",0,IF(DAY($X529)&lt;=INDEX('得意先'!$D$5:$D$104,$W529),0,1))+N(INDEX('得意先'!$E$5:$E$104,$W529)))+1,0),DATE(YEAR($X529),(MONTH($X529)+IF(INDEX('得意先'!$D$5:$D$104,$W529)="末",0,IF(DAY($X529)&lt;=INDEX('得意先'!$D$5:$D$104,$W529),0,1))+N(INDEX('得意先'!$E$5:$E$104,$W529))),MIN(INDEX('得意先'!$F$5:$F$104,$W529),DAY(DATE(YEAR($X529),(MONTH($X529)+IF(INDEX('得意先'!$D$5:$D$104,$W529)="末",0,IF(DAY($X529)&lt;=INDEX('得意先'!$D$5:$D$104,$W529),0,1))+N(INDEX('得意先'!$E$5:$E$104,$W529)))+1,0)))))))</f>
        <v/>
      </c>
      <c r="N529" s="26" t="n"/>
      <c r="O529" s="29">
        <f>IF($A529="","",IF(ISNUMBER($N529),$N529,$M529))</f>
        <v/>
      </c>
      <c r="P529" s="28">
        <f>IF($A529="","",SUMIF('入金消込'!$F$5:$F$1004,$A529,'入金消込'!$G$5:$G$1004))</f>
        <v/>
      </c>
      <c r="Q529" s="28">
        <f>IF($A529="","",SUMIF('入金消込'!$F$5:$F$1004,$A529,'入金消込'!$H$5:$H$1004)+SUMIF('入金消込'!$F$5:$F$1004,$A529,'入金消込'!$I$5:$I$1004))</f>
        <v/>
      </c>
      <c r="R529" s="28">
        <f>IF($A529="","",$L529-$P529-$Q529)</f>
        <v/>
      </c>
      <c r="S529" s="30">
        <f>IF($A529="","",IF($R529=0,IF($L529=0,"請求額0","回収済"),IF($L529&lt;0,IF($R529&lt;0,"差し引き待ち","差し引きすぎ"),IF($R529&lt;0,"入金が多い",IF($P529+$Q529=0,"未入金","一部入金")))))</f>
        <v/>
      </c>
      <c r="T529" s="31">
        <f>IF(OR($A529="",N($R529)&lt;=0,NOT(ISNUMBER($O529))),"",IF($O529&lt;'設定'!$B$7,'設定'!$B$7-$O529,""))</f>
        <v/>
      </c>
      <c r="U529" s="30">
        <f>IF(OR($A529="",N($R529)&lt;=0),"",IF(NOT(ISNUMBER($O529)),'設定'!$B$22,IF($O529&gt;='設定'!$B$7,'設定'!$B$17,IF('設定'!$B$7-$O529&lt;='設定'!$B$12,'設定'!$B$18,IF('設定'!$B$7-$O529&lt;='設定'!$B$13,'設定'!$B$19,IF('設定'!$B$7-$O529&lt;='設定'!$B$14,'設定'!$B$20,'設定'!$B$21))))))</f>
        <v/>
      </c>
      <c r="V529" s="56" t="n"/>
      <c r="W529" s="32">
        <f>IF($C529="","",IFERROR(MATCH($C529,'得意先'!$B$5:$B$104,0),"なし"))</f>
        <v/>
      </c>
      <c r="X529" s="33">
        <f>IF($A529="","",IF(ISNUMBER($E529),$E529,IF(ISNUMBER($B529),$B529,"")))</f>
        <v/>
      </c>
      <c r="Y529" s="34">
        <f>IF($T529="","",$O529+ROW()/1000000)</f>
        <v/>
      </c>
      <c r="Z529" s="35">
        <f>IF(OR($A529="",$C529="",$C529&lt;&gt;'売掛帳'!$B$3,NOT(ISNUMBER($X529))),"",IF(AND($X529&gt;='売掛帳'!$Q$3,$X529&lt;='売掛帳'!$Q$4),$X529+ROW()/10000000,""))</f>
        <v/>
      </c>
    </row>
    <row r="530" ht="18" customHeight="1">
      <c r="A530" s="18" t="n"/>
      <c r="B530" s="26" t="n"/>
      <c r="C530" s="18" t="n"/>
      <c r="D530" s="20">
        <f>IF($W530="","",IF($W530="なし","※得意先にないコード",INDEX('得意先'!$C$5:$C$104,$W530)&amp;""))</f>
        <v/>
      </c>
      <c r="E530" s="26" t="n"/>
      <c r="F530" s="19" t="n"/>
      <c r="G530" s="27" t="n"/>
      <c r="H530" s="27" t="n"/>
      <c r="I530" s="27" t="n"/>
      <c r="J530" s="28">
        <f>IF($A530="","",IF('設定'!$B$10="四捨五入",ROUND(IF('設定'!$B$9="税込",N($G530)*10/110,N($G530)*10/100),0),IF('設定'!$B$10="切り上げ",ROUNDUP(IF('設定'!$B$9="税込",N($G530)*10/110,N($G530)*10/100),0),ROUNDDOWN(IF('設定'!$B$9="税込",N($G530)*10/110,N($G530)*10/100),0))))</f>
        <v/>
      </c>
      <c r="K530" s="28">
        <f>IF($A530="","",IF('設定'!$B$10="四捨五入",ROUND(IF('設定'!$B$9="税込",N($H530)*8/108,N($H530)*8/100),0),IF('設定'!$B$10="切り上げ",ROUNDUP(IF('設定'!$B$9="税込",N($H530)*8/108,N($H530)*8/100),0),ROUNDDOWN(IF('設定'!$B$9="税込",N($H530)*8/108,N($H530)*8/100),0))))</f>
        <v/>
      </c>
      <c r="L530" s="28">
        <f>IF($A530="","",N($G530)+N($H530)+N($I530)+IF('設定'!$B$9="税込",0,$J530+$K530))</f>
        <v/>
      </c>
      <c r="M530" s="29">
        <f>IF(OR($A530="",NOT(ISNUMBER($W530)),NOT(ISNUMBER($X530))),"",IF(OR(INDEX('得意先'!$D$5:$D$104,$W530)="",INDEX('得意先'!$E$5:$E$104,$W530)="",INDEX('得意先'!$F$5:$F$104,$W530)=""),"",IF(INDEX('得意先'!$F$5:$F$104,$W530)="末",DATE(YEAR($X530),(MONTH($X530)+IF(INDEX('得意先'!$D$5:$D$104,$W530)="末",0,IF(DAY($X530)&lt;=INDEX('得意先'!$D$5:$D$104,$W530),0,1))+N(INDEX('得意先'!$E$5:$E$104,$W530)))+1,0),DATE(YEAR($X530),(MONTH($X530)+IF(INDEX('得意先'!$D$5:$D$104,$W530)="末",0,IF(DAY($X530)&lt;=INDEX('得意先'!$D$5:$D$104,$W530),0,1))+N(INDEX('得意先'!$E$5:$E$104,$W530))),MIN(INDEX('得意先'!$F$5:$F$104,$W530),DAY(DATE(YEAR($X530),(MONTH($X530)+IF(INDEX('得意先'!$D$5:$D$104,$W530)="末",0,IF(DAY($X530)&lt;=INDEX('得意先'!$D$5:$D$104,$W530),0,1))+N(INDEX('得意先'!$E$5:$E$104,$W530)))+1,0)))))))</f>
        <v/>
      </c>
      <c r="N530" s="26" t="n"/>
      <c r="O530" s="29">
        <f>IF($A530="","",IF(ISNUMBER($N530),$N530,$M530))</f>
        <v/>
      </c>
      <c r="P530" s="28">
        <f>IF($A530="","",SUMIF('入金消込'!$F$5:$F$1004,$A530,'入金消込'!$G$5:$G$1004))</f>
        <v/>
      </c>
      <c r="Q530" s="28">
        <f>IF($A530="","",SUMIF('入金消込'!$F$5:$F$1004,$A530,'入金消込'!$H$5:$H$1004)+SUMIF('入金消込'!$F$5:$F$1004,$A530,'入金消込'!$I$5:$I$1004))</f>
        <v/>
      </c>
      <c r="R530" s="28">
        <f>IF($A530="","",$L530-$P530-$Q530)</f>
        <v/>
      </c>
      <c r="S530" s="30">
        <f>IF($A530="","",IF($R530=0,IF($L530=0,"請求額0","回収済"),IF($L530&lt;0,IF($R530&lt;0,"差し引き待ち","差し引きすぎ"),IF($R530&lt;0,"入金が多い",IF($P530+$Q530=0,"未入金","一部入金")))))</f>
        <v/>
      </c>
      <c r="T530" s="31">
        <f>IF(OR($A530="",N($R530)&lt;=0,NOT(ISNUMBER($O530))),"",IF($O530&lt;'設定'!$B$7,'設定'!$B$7-$O530,""))</f>
        <v/>
      </c>
      <c r="U530" s="30">
        <f>IF(OR($A530="",N($R530)&lt;=0),"",IF(NOT(ISNUMBER($O530)),'設定'!$B$22,IF($O530&gt;='設定'!$B$7,'設定'!$B$17,IF('設定'!$B$7-$O530&lt;='設定'!$B$12,'設定'!$B$18,IF('設定'!$B$7-$O530&lt;='設定'!$B$13,'設定'!$B$19,IF('設定'!$B$7-$O530&lt;='設定'!$B$14,'設定'!$B$20,'設定'!$B$21))))))</f>
        <v/>
      </c>
      <c r="V530" s="56" t="n"/>
      <c r="W530" s="32">
        <f>IF($C530="","",IFERROR(MATCH($C530,'得意先'!$B$5:$B$104,0),"なし"))</f>
        <v/>
      </c>
      <c r="X530" s="33">
        <f>IF($A530="","",IF(ISNUMBER($E530),$E530,IF(ISNUMBER($B530),$B530,"")))</f>
        <v/>
      </c>
      <c r="Y530" s="34">
        <f>IF($T530="","",$O530+ROW()/1000000)</f>
        <v/>
      </c>
      <c r="Z530" s="35">
        <f>IF(OR($A530="",$C530="",$C530&lt;&gt;'売掛帳'!$B$3,NOT(ISNUMBER($X530))),"",IF(AND($X530&gt;='売掛帳'!$Q$3,$X530&lt;='売掛帳'!$Q$4),$X530+ROW()/10000000,""))</f>
        <v/>
      </c>
    </row>
    <row r="531" ht="18" customHeight="1">
      <c r="A531" s="18" t="n"/>
      <c r="B531" s="26" t="n"/>
      <c r="C531" s="18" t="n"/>
      <c r="D531" s="20">
        <f>IF($W531="","",IF($W531="なし","※得意先にないコード",INDEX('得意先'!$C$5:$C$104,$W531)&amp;""))</f>
        <v/>
      </c>
      <c r="E531" s="26" t="n"/>
      <c r="F531" s="19" t="n"/>
      <c r="G531" s="27" t="n"/>
      <c r="H531" s="27" t="n"/>
      <c r="I531" s="27" t="n"/>
      <c r="J531" s="28">
        <f>IF($A531="","",IF('設定'!$B$10="四捨五入",ROUND(IF('設定'!$B$9="税込",N($G531)*10/110,N($G531)*10/100),0),IF('設定'!$B$10="切り上げ",ROUNDUP(IF('設定'!$B$9="税込",N($G531)*10/110,N($G531)*10/100),0),ROUNDDOWN(IF('設定'!$B$9="税込",N($G531)*10/110,N($G531)*10/100),0))))</f>
        <v/>
      </c>
      <c r="K531" s="28">
        <f>IF($A531="","",IF('設定'!$B$10="四捨五入",ROUND(IF('設定'!$B$9="税込",N($H531)*8/108,N($H531)*8/100),0),IF('設定'!$B$10="切り上げ",ROUNDUP(IF('設定'!$B$9="税込",N($H531)*8/108,N($H531)*8/100),0),ROUNDDOWN(IF('設定'!$B$9="税込",N($H531)*8/108,N($H531)*8/100),0))))</f>
        <v/>
      </c>
      <c r="L531" s="28">
        <f>IF($A531="","",N($G531)+N($H531)+N($I531)+IF('設定'!$B$9="税込",0,$J531+$K531))</f>
        <v/>
      </c>
      <c r="M531" s="29">
        <f>IF(OR($A531="",NOT(ISNUMBER($W531)),NOT(ISNUMBER($X531))),"",IF(OR(INDEX('得意先'!$D$5:$D$104,$W531)="",INDEX('得意先'!$E$5:$E$104,$W531)="",INDEX('得意先'!$F$5:$F$104,$W531)=""),"",IF(INDEX('得意先'!$F$5:$F$104,$W531)="末",DATE(YEAR($X531),(MONTH($X531)+IF(INDEX('得意先'!$D$5:$D$104,$W531)="末",0,IF(DAY($X531)&lt;=INDEX('得意先'!$D$5:$D$104,$W531),0,1))+N(INDEX('得意先'!$E$5:$E$104,$W531)))+1,0),DATE(YEAR($X531),(MONTH($X531)+IF(INDEX('得意先'!$D$5:$D$104,$W531)="末",0,IF(DAY($X531)&lt;=INDEX('得意先'!$D$5:$D$104,$W531),0,1))+N(INDEX('得意先'!$E$5:$E$104,$W531))),MIN(INDEX('得意先'!$F$5:$F$104,$W531),DAY(DATE(YEAR($X531),(MONTH($X531)+IF(INDEX('得意先'!$D$5:$D$104,$W531)="末",0,IF(DAY($X531)&lt;=INDEX('得意先'!$D$5:$D$104,$W531),0,1))+N(INDEX('得意先'!$E$5:$E$104,$W531)))+1,0)))))))</f>
        <v/>
      </c>
      <c r="N531" s="26" t="n"/>
      <c r="O531" s="29">
        <f>IF($A531="","",IF(ISNUMBER($N531),$N531,$M531))</f>
        <v/>
      </c>
      <c r="P531" s="28">
        <f>IF($A531="","",SUMIF('入金消込'!$F$5:$F$1004,$A531,'入金消込'!$G$5:$G$1004))</f>
        <v/>
      </c>
      <c r="Q531" s="28">
        <f>IF($A531="","",SUMIF('入金消込'!$F$5:$F$1004,$A531,'入金消込'!$H$5:$H$1004)+SUMIF('入金消込'!$F$5:$F$1004,$A531,'入金消込'!$I$5:$I$1004))</f>
        <v/>
      </c>
      <c r="R531" s="28">
        <f>IF($A531="","",$L531-$P531-$Q531)</f>
        <v/>
      </c>
      <c r="S531" s="30">
        <f>IF($A531="","",IF($R531=0,IF($L531=0,"請求額0","回収済"),IF($L531&lt;0,IF($R531&lt;0,"差し引き待ち","差し引きすぎ"),IF($R531&lt;0,"入金が多い",IF($P531+$Q531=0,"未入金","一部入金")))))</f>
        <v/>
      </c>
      <c r="T531" s="31">
        <f>IF(OR($A531="",N($R531)&lt;=0,NOT(ISNUMBER($O531))),"",IF($O531&lt;'設定'!$B$7,'設定'!$B$7-$O531,""))</f>
        <v/>
      </c>
      <c r="U531" s="30">
        <f>IF(OR($A531="",N($R531)&lt;=0),"",IF(NOT(ISNUMBER($O531)),'設定'!$B$22,IF($O531&gt;='設定'!$B$7,'設定'!$B$17,IF('設定'!$B$7-$O531&lt;='設定'!$B$12,'設定'!$B$18,IF('設定'!$B$7-$O531&lt;='設定'!$B$13,'設定'!$B$19,IF('設定'!$B$7-$O531&lt;='設定'!$B$14,'設定'!$B$20,'設定'!$B$21))))))</f>
        <v/>
      </c>
      <c r="V531" s="56" t="n"/>
      <c r="W531" s="32">
        <f>IF($C531="","",IFERROR(MATCH($C531,'得意先'!$B$5:$B$104,0),"なし"))</f>
        <v/>
      </c>
      <c r="X531" s="33">
        <f>IF($A531="","",IF(ISNUMBER($E531),$E531,IF(ISNUMBER($B531),$B531,"")))</f>
        <v/>
      </c>
      <c r="Y531" s="34">
        <f>IF($T531="","",$O531+ROW()/1000000)</f>
        <v/>
      </c>
      <c r="Z531" s="35">
        <f>IF(OR($A531="",$C531="",$C531&lt;&gt;'売掛帳'!$B$3,NOT(ISNUMBER($X531))),"",IF(AND($X531&gt;='売掛帳'!$Q$3,$X531&lt;='売掛帳'!$Q$4),$X531+ROW()/10000000,""))</f>
        <v/>
      </c>
    </row>
    <row r="532" ht="18" customHeight="1">
      <c r="A532" s="18" t="n"/>
      <c r="B532" s="26" t="n"/>
      <c r="C532" s="18" t="n"/>
      <c r="D532" s="20">
        <f>IF($W532="","",IF($W532="なし","※得意先にないコード",INDEX('得意先'!$C$5:$C$104,$W532)&amp;""))</f>
        <v/>
      </c>
      <c r="E532" s="26" t="n"/>
      <c r="F532" s="19" t="n"/>
      <c r="G532" s="27" t="n"/>
      <c r="H532" s="27" t="n"/>
      <c r="I532" s="27" t="n"/>
      <c r="J532" s="28">
        <f>IF($A532="","",IF('設定'!$B$10="四捨五入",ROUND(IF('設定'!$B$9="税込",N($G532)*10/110,N($G532)*10/100),0),IF('設定'!$B$10="切り上げ",ROUNDUP(IF('設定'!$B$9="税込",N($G532)*10/110,N($G532)*10/100),0),ROUNDDOWN(IF('設定'!$B$9="税込",N($G532)*10/110,N($G532)*10/100),0))))</f>
        <v/>
      </c>
      <c r="K532" s="28">
        <f>IF($A532="","",IF('設定'!$B$10="四捨五入",ROUND(IF('設定'!$B$9="税込",N($H532)*8/108,N($H532)*8/100),0),IF('設定'!$B$10="切り上げ",ROUNDUP(IF('設定'!$B$9="税込",N($H532)*8/108,N($H532)*8/100),0),ROUNDDOWN(IF('設定'!$B$9="税込",N($H532)*8/108,N($H532)*8/100),0))))</f>
        <v/>
      </c>
      <c r="L532" s="28">
        <f>IF($A532="","",N($G532)+N($H532)+N($I532)+IF('設定'!$B$9="税込",0,$J532+$K532))</f>
        <v/>
      </c>
      <c r="M532" s="29">
        <f>IF(OR($A532="",NOT(ISNUMBER($W532)),NOT(ISNUMBER($X532))),"",IF(OR(INDEX('得意先'!$D$5:$D$104,$W532)="",INDEX('得意先'!$E$5:$E$104,$W532)="",INDEX('得意先'!$F$5:$F$104,$W532)=""),"",IF(INDEX('得意先'!$F$5:$F$104,$W532)="末",DATE(YEAR($X532),(MONTH($X532)+IF(INDEX('得意先'!$D$5:$D$104,$W532)="末",0,IF(DAY($X532)&lt;=INDEX('得意先'!$D$5:$D$104,$W532),0,1))+N(INDEX('得意先'!$E$5:$E$104,$W532)))+1,0),DATE(YEAR($X532),(MONTH($X532)+IF(INDEX('得意先'!$D$5:$D$104,$W532)="末",0,IF(DAY($X532)&lt;=INDEX('得意先'!$D$5:$D$104,$W532),0,1))+N(INDEX('得意先'!$E$5:$E$104,$W532))),MIN(INDEX('得意先'!$F$5:$F$104,$W532),DAY(DATE(YEAR($X532),(MONTH($X532)+IF(INDEX('得意先'!$D$5:$D$104,$W532)="末",0,IF(DAY($X532)&lt;=INDEX('得意先'!$D$5:$D$104,$W532),0,1))+N(INDEX('得意先'!$E$5:$E$104,$W532)))+1,0)))))))</f>
        <v/>
      </c>
      <c r="N532" s="26" t="n"/>
      <c r="O532" s="29">
        <f>IF($A532="","",IF(ISNUMBER($N532),$N532,$M532))</f>
        <v/>
      </c>
      <c r="P532" s="28">
        <f>IF($A532="","",SUMIF('入金消込'!$F$5:$F$1004,$A532,'入金消込'!$G$5:$G$1004))</f>
        <v/>
      </c>
      <c r="Q532" s="28">
        <f>IF($A532="","",SUMIF('入金消込'!$F$5:$F$1004,$A532,'入金消込'!$H$5:$H$1004)+SUMIF('入金消込'!$F$5:$F$1004,$A532,'入金消込'!$I$5:$I$1004))</f>
        <v/>
      </c>
      <c r="R532" s="28">
        <f>IF($A532="","",$L532-$P532-$Q532)</f>
        <v/>
      </c>
      <c r="S532" s="30">
        <f>IF($A532="","",IF($R532=0,IF($L532=0,"請求額0","回収済"),IF($L532&lt;0,IF($R532&lt;0,"差し引き待ち","差し引きすぎ"),IF($R532&lt;0,"入金が多い",IF($P532+$Q532=0,"未入金","一部入金")))))</f>
        <v/>
      </c>
      <c r="T532" s="31">
        <f>IF(OR($A532="",N($R532)&lt;=0,NOT(ISNUMBER($O532))),"",IF($O532&lt;'設定'!$B$7,'設定'!$B$7-$O532,""))</f>
        <v/>
      </c>
      <c r="U532" s="30">
        <f>IF(OR($A532="",N($R532)&lt;=0),"",IF(NOT(ISNUMBER($O532)),'設定'!$B$22,IF($O532&gt;='設定'!$B$7,'設定'!$B$17,IF('設定'!$B$7-$O532&lt;='設定'!$B$12,'設定'!$B$18,IF('設定'!$B$7-$O532&lt;='設定'!$B$13,'設定'!$B$19,IF('設定'!$B$7-$O532&lt;='設定'!$B$14,'設定'!$B$20,'設定'!$B$21))))))</f>
        <v/>
      </c>
      <c r="V532" s="56" t="n"/>
      <c r="W532" s="32">
        <f>IF($C532="","",IFERROR(MATCH($C532,'得意先'!$B$5:$B$104,0),"なし"))</f>
        <v/>
      </c>
      <c r="X532" s="33">
        <f>IF($A532="","",IF(ISNUMBER($E532),$E532,IF(ISNUMBER($B532),$B532,"")))</f>
        <v/>
      </c>
      <c r="Y532" s="34">
        <f>IF($T532="","",$O532+ROW()/1000000)</f>
        <v/>
      </c>
      <c r="Z532" s="35">
        <f>IF(OR($A532="",$C532="",$C532&lt;&gt;'売掛帳'!$B$3,NOT(ISNUMBER($X532))),"",IF(AND($X532&gt;='売掛帳'!$Q$3,$X532&lt;='売掛帳'!$Q$4),$X532+ROW()/10000000,""))</f>
        <v/>
      </c>
    </row>
    <row r="533" ht="18" customHeight="1">
      <c r="A533" s="18" t="n"/>
      <c r="B533" s="26" t="n"/>
      <c r="C533" s="18" t="n"/>
      <c r="D533" s="20">
        <f>IF($W533="","",IF($W533="なし","※得意先にないコード",INDEX('得意先'!$C$5:$C$104,$W533)&amp;""))</f>
        <v/>
      </c>
      <c r="E533" s="26" t="n"/>
      <c r="F533" s="19" t="n"/>
      <c r="G533" s="27" t="n"/>
      <c r="H533" s="27" t="n"/>
      <c r="I533" s="27" t="n"/>
      <c r="J533" s="28">
        <f>IF($A533="","",IF('設定'!$B$10="四捨五入",ROUND(IF('設定'!$B$9="税込",N($G533)*10/110,N($G533)*10/100),0),IF('設定'!$B$10="切り上げ",ROUNDUP(IF('設定'!$B$9="税込",N($G533)*10/110,N($G533)*10/100),0),ROUNDDOWN(IF('設定'!$B$9="税込",N($G533)*10/110,N($G533)*10/100),0))))</f>
        <v/>
      </c>
      <c r="K533" s="28">
        <f>IF($A533="","",IF('設定'!$B$10="四捨五入",ROUND(IF('設定'!$B$9="税込",N($H533)*8/108,N($H533)*8/100),0),IF('設定'!$B$10="切り上げ",ROUNDUP(IF('設定'!$B$9="税込",N($H533)*8/108,N($H533)*8/100),0),ROUNDDOWN(IF('設定'!$B$9="税込",N($H533)*8/108,N($H533)*8/100),0))))</f>
        <v/>
      </c>
      <c r="L533" s="28">
        <f>IF($A533="","",N($G533)+N($H533)+N($I533)+IF('設定'!$B$9="税込",0,$J533+$K533))</f>
        <v/>
      </c>
      <c r="M533" s="29">
        <f>IF(OR($A533="",NOT(ISNUMBER($W533)),NOT(ISNUMBER($X533))),"",IF(OR(INDEX('得意先'!$D$5:$D$104,$W533)="",INDEX('得意先'!$E$5:$E$104,$W533)="",INDEX('得意先'!$F$5:$F$104,$W533)=""),"",IF(INDEX('得意先'!$F$5:$F$104,$W533)="末",DATE(YEAR($X533),(MONTH($X533)+IF(INDEX('得意先'!$D$5:$D$104,$W533)="末",0,IF(DAY($X533)&lt;=INDEX('得意先'!$D$5:$D$104,$W533),0,1))+N(INDEX('得意先'!$E$5:$E$104,$W533)))+1,0),DATE(YEAR($X533),(MONTH($X533)+IF(INDEX('得意先'!$D$5:$D$104,$W533)="末",0,IF(DAY($X533)&lt;=INDEX('得意先'!$D$5:$D$104,$W533),0,1))+N(INDEX('得意先'!$E$5:$E$104,$W533))),MIN(INDEX('得意先'!$F$5:$F$104,$W533),DAY(DATE(YEAR($X533),(MONTH($X533)+IF(INDEX('得意先'!$D$5:$D$104,$W533)="末",0,IF(DAY($X533)&lt;=INDEX('得意先'!$D$5:$D$104,$W533),0,1))+N(INDEX('得意先'!$E$5:$E$104,$W533)))+1,0)))))))</f>
        <v/>
      </c>
      <c r="N533" s="26" t="n"/>
      <c r="O533" s="29">
        <f>IF($A533="","",IF(ISNUMBER($N533),$N533,$M533))</f>
        <v/>
      </c>
      <c r="P533" s="28">
        <f>IF($A533="","",SUMIF('入金消込'!$F$5:$F$1004,$A533,'入金消込'!$G$5:$G$1004))</f>
        <v/>
      </c>
      <c r="Q533" s="28">
        <f>IF($A533="","",SUMIF('入金消込'!$F$5:$F$1004,$A533,'入金消込'!$H$5:$H$1004)+SUMIF('入金消込'!$F$5:$F$1004,$A533,'入金消込'!$I$5:$I$1004))</f>
        <v/>
      </c>
      <c r="R533" s="28">
        <f>IF($A533="","",$L533-$P533-$Q533)</f>
        <v/>
      </c>
      <c r="S533" s="30">
        <f>IF($A533="","",IF($R533=0,IF($L533=0,"請求額0","回収済"),IF($L533&lt;0,IF($R533&lt;0,"差し引き待ち","差し引きすぎ"),IF($R533&lt;0,"入金が多い",IF($P533+$Q533=0,"未入金","一部入金")))))</f>
        <v/>
      </c>
      <c r="T533" s="31">
        <f>IF(OR($A533="",N($R533)&lt;=0,NOT(ISNUMBER($O533))),"",IF($O533&lt;'設定'!$B$7,'設定'!$B$7-$O533,""))</f>
        <v/>
      </c>
      <c r="U533" s="30">
        <f>IF(OR($A533="",N($R533)&lt;=0),"",IF(NOT(ISNUMBER($O533)),'設定'!$B$22,IF($O533&gt;='設定'!$B$7,'設定'!$B$17,IF('設定'!$B$7-$O533&lt;='設定'!$B$12,'設定'!$B$18,IF('設定'!$B$7-$O533&lt;='設定'!$B$13,'設定'!$B$19,IF('設定'!$B$7-$O533&lt;='設定'!$B$14,'設定'!$B$20,'設定'!$B$21))))))</f>
        <v/>
      </c>
      <c r="V533" s="56" t="n"/>
      <c r="W533" s="32">
        <f>IF($C533="","",IFERROR(MATCH($C533,'得意先'!$B$5:$B$104,0),"なし"))</f>
        <v/>
      </c>
      <c r="X533" s="33">
        <f>IF($A533="","",IF(ISNUMBER($E533),$E533,IF(ISNUMBER($B533),$B533,"")))</f>
        <v/>
      </c>
      <c r="Y533" s="34">
        <f>IF($T533="","",$O533+ROW()/1000000)</f>
        <v/>
      </c>
      <c r="Z533" s="35">
        <f>IF(OR($A533="",$C533="",$C533&lt;&gt;'売掛帳'!$B$3,NOT(ISNUMBER($X533))),"",IF(AND($X533&gt;='売掛帳'!$Q$3,$X533&lt;='売掛帳'!$Q$4),$X533+ROW()/10000000,""))</f>
        <v/>
      </c>
    </row>
    <row r="534" ht="18" customHeight="1">
      <c r="A534" s="18" t="n"/>
      <c r="B534" s="26" t="n"/>
      <c r="C534" s="18" t="n"/>
      <c r="D534" s="20">
        <f>IF($W534="","",IF($W534="なし","※得意先にないコード",INDEX('得意先'!$C$5:$C$104,$W534)&amp;""))</f>
        <v/>
      </c>
      <c r="E534" s="26" t="n"/>
      <c r="F534" s="19" t="n"/>
      <c r="G534" s="27" t="n"/>
      <c r="H534" s="27" t="n"/>
      <c r="I534" s="27" t="n"/>
      <c r="J534" s="28">
        <f>IF($A534="","",IF('設定'!$B$10="四捨五入",ROUND(IF('設定'!$B$9="税込",N($G534)*10/110,N($G534)*10/100),0),IF('設定'!$B$10="切り上げ",ROUNDUP(IF('設定'!$B$9="税込",N($G534)*10/110,N($G534)*10/100),0),ROUNDDOWN(IF('設定'!$B$9="税込",N($G534)*10/110,N($G534)*10/100),0))))</f>
        <v/>
      </c>
      <c r="K534" s="28">
        <f>IF($A534="","",IF('設定'!$B$10="四捨五入",ROUND(IF('設定'!$B$9="税込",N($H534)*8/108,N($H534)*8/100),0),IF('設定'!$B$10="切り上げ",ROUNDUP(IF('設定'!$B$9="税込",N($H534)*8/108,N($H534)*8/100),0),ROUNDDOWN(IF('設定'!$B$9="税込",N($H534)*8/108,N($H534)*8/100),0))))</f>
        <v/>
      </c>
      <c r="L534" s="28">
        <f>IF($A534="","",N($G534)+N($H534)+N($I534)+IF('設定'!$B$9="税込",0,$J534+$K534))</f>
        <v/>
      </c>
      <c r="M534" s="29">
        <f>IF(OR($A534="",NOT(ISNUMBER($W534)),NOT(ISNUMBER($X534))),"",IF(OR(INDEX('得意先'!$D$5:$D$104,$W534)="",INDEX('得意先'!$E$5:$E$104,$W534)="",INDEX('得意先'!$F$5:$F$104,$W534)=""),"",IF(INDEX('得意先'!$F$5:$F$104,$W534)="末",DATE(YEAR($X534),(MONTH($X534)+IF(INDEX('得意先'!$D$5:$D$104,$W534)="末",0,IF(DAY($X534)&lt;=INDEX('得意先'!$D$5:$D$104,$W534),0,1))+N(INDEX('得意先'!$E$5:$E$104,$W534)))+1,0),DATE(YEAR($X534),(MONTH($X534)+IF(INDEX('得意先'!$D$5:$D$104,$W534)="末",0,IF(DAY($X534)&lt;=INDEX('得意先'!$D$5:$D$104,$W534),0,1))+N(INDEX('得意先'!$E$5:$E$104,$W534))),MIN(INDEX('得意先'!$F$5:$F$104,$W534),DAY(DATE(YEAR($X534),(MONTH($X534)+IF(INDEX('得意先'!$D$5:$D$104,$W534)="末",0,IF(DAY($X534)&lt;=INDEX('得意先'!$D$5:$D$104,$W534),0,1))+N(INDEX('得意先'!$E$5:$E$104,$W534)))+1,0)))))))</f>
        <v/>
      </c>
      <c r="N534" s="26" t="n"/>
      <c r="O534" s="29">
        <f>IF($A534="","",IF(ISNUMBER($N534),$N534,$M534))</f>
        <v/>
      </c>
      <c r="P534" s="28">
        <f>IF($A534="","",SUMIF('入金消込'!$F$5:$F$1004,$A534,'入金消込'!$G$5:$G$1004))</f>
        <v/>
      </c>
      <c r="Q534" s="28">
        <f>IF($A534="","",SUMIF('入金消込'!$F$5:$F$1004,$A534,'入金消込'!$H$5:$H$1004)+SUMIF('入金消込'!$F$5:$F$1004,$A534,'入金消込'!$I$5:$I$1004))</f>
        <v/>
      </c>
      <c r="R534" s="28">
        <f>IF($A534="","",$L534-$P534-$Q534)</f>
        <v/>
      </c>
      <c r="S534" s="30">
        <f>IF($A534="","",IF($R534=0,IF($L534=0,"請求額0","回収済"),IF($L534&lt;0,IF($R534&lt;0,"差し引き待ち","差し引きすぎ"),IF($R534&lt;0,"入金が多い",IF($P534+$Q534=0,"未入金","一部入金")))))</f>
        <v/>
      </c>
      <c r="T534" s="31">
        <f>IF(OR($A534="",N($R534)&lt;=0,NOT(ISNUMBER($O534))),"",IF($O534&lt;'設定'!$B$7,'設定'!$B$7-$O534,""))</f>
        <v/>
      </c>
      <c r="U534" s="30">
        <f>IF(OR($A534="",N($R534)&lt;=0),"",IF(NOT(ISNUMBER($O534)),'設定'!$B$22,IF($O534&gt;='設定'!$B$7,'設定'!$B$17,IF('設定'!$B$7-$O534&lt;='設定'!$B$12,'設定'!$B$18,IF('設定'!$B$7-$O534&lt;='設定'!$B$13,'設定'!$B$19,IF('設定'!$B$7-$O534&lt;='設定'!$B$14,'設定'!$B$20,'設定'!$B$21))))))</f>
        <v/>
      </c>
      <c r="V534" s="56" t="n"/>
      <c r="W534" s="32">
        <f>IF($C534="","",IFERROR(MATCH($C534,'得意先'!$B$5:$B$104,0),"なし"))</f>
        <v/>
      </c>
      <c r="X534" s="33">
        <f>IF($A534="","",IF(ISNUMBER($E534),$E534,IF(ISNUMBER($B534),$B534,"")))</f>
        <v/>
      </c>
      <c r="Y534" s="34">
        <f>IF($T534="","",$O534+ROW()/1000000)</f>
        <v/>
      </c>
      <c r="Z534" s="35">
        <f>IF(OR($A534="",$C534="",$C534&lt;&gt;'売掛帳'!$B$3,NOT(ISNUMBER($X534))),"",IF(AND($X534&gt;='売掛帳'!$Q$3,$X534&lt;='売掛帳'!$Q$4),$X534+ROW()/10000000,""))</f>
        <v/>
      </c>
    </row>
    <row r="535" ht="18" customHeight="1">
      <c r="A535" s="18" t="n"/>
      <c r="B535" s="26" t="n"/>
      <c r="C535" s="18" t="n"/>
      <c r="D535" s="20">
        <f>IF($W535="","",IF($W535="なし","※得意先にないコード",INDEX('得意先'!$C$5:$C$104,$W535)&amp;""))</f>
        <v/>
      </c>
      <c r="E535" s="26" t="n"/>
      <c r="F535" s="19" t="n"/>
      <c r="G535" s="27" t="n"/>
      <c r="H535" s="27" t="n"/>
      <c r="I535" s="27" t="n"/>
      <c r="J535" s="28">
        <f>IF($A535="","",IF('設定'!$B$10="四捨五入",ROUND(IF('設定'!$B$9="税込",N($G535)*10/110,N($G535)*10/100),0),IF('設定'!$B$10="切り上げ",ROUNDUP(IF('設定'!$B$9="税込",N($G535)*10/110,N($G535)*10/100),0),ROUNDDOWN(IF('設定'!$B$9="税込",N($G535)*10/110,N($G535)*10/100),0))))</f>
        <v/>
      </c>
      <c r="K535" s="28">
        <f>IF($A535="","",IF('設定'!$B$10="四捨五入",ROUND(IF('設定'!$B$9="税込",N($H535)*8/108,N($H535)*8/100),0),IF('設定'!$B$10="切り上げ",ROUNDUP(IF('設定'!$B$9="税込",N($H535)*8/108,N($H535)*8/100),0),ROUNDDOWN(IF('設定'!$B$9="税込",N($H535)*8/108,N($H535)*8/100),0))))</f>
        <v/>
      </c>
      <c r="L535" s="28">
        <f>IF($A535="","",N($G535)+N($H535)+N($I535)+IF('設定'!$B$9="税込",0,$J535+$K535))</f>
        <v/>
      </c>
      <c r="M535" s="29">
        <f>IF(OR($A535="",NOT(ISNUMBER($W535)),NOT(ISNUMBER($X535))),"",IF(OR(INDEX('得意先'!$D$5:$D$104,$W535)="",INDEX('得意先'!$E$5:$E$104,$W535)="",INDEX('得意先'!$F$5:$F$104,$W535)=""),"",IF(INDEX('得意先'!$F$5:$F$104,$W535)="末",DATE(YEAR($X535),(MONTH($X535)+IF(INDEX('得意先'!$D$5:$D$104,$W535)="末",0,IF(DAY($X535)&lt;=INDEX('得意先'!$D$5:$D$104,$W535),0,1))+N(INDEX('得意先'!$E$5:$E$104,$W535)))+1,0),DATE(YEAR($X535),(MONTH($X535)+IF(INDEX('得意先'!$D$5:$D$104,$W535)="末",0,IF(DAY($X535)&lt;=INDEX('得意先'!$D$5:$D$104,$W535),0,1))+N(INDEX('得意先'!$E$5:$E$104,$W535))),MIN(INDEX('得意先'!$F$5:$F$104,$W535),DAY(DATE(YEAR($X535),(MONTH($X535)+IF(INDEX('得意先'!$D$5:$D$104,$W535)="末",0,IF(DAY($X535)&lt;=INDEX('得意先'!$D$5:$D$104,$W535),0,1))+N(INDEX('得意先'!$E$5:$E$104,$W535)))+1,0)))))))</f>
        <v/>
      </c>
      <c r="N535" s="26" t="n"/>
      <c r="O535" s="29">
        <f>IF($A535="","",IF(ISNUMBER($N535),$N535,$M535))</f>
        <v/>
      </c>
      <c r="P535" s="28">
        <f>IF($A535="","",SUMIF('入金消込'!$F$5:$F$1004,$A535,'入金消込'!$G$5:$G$1004))</f>
        <v/>
      </c>
      <c r="Q535" s="28">
        <f>IF($A535="","",SUMIF('入金消込'!$F$5:$F$1004,$A535,'入金消込'!$H$5:$H$1004)+SUMIF('入金消込'!$F$5:$F$1004,$A535,'入金消込'!$I$5:$I$1004))</f>
        <v/>
      </c>
      <c r="R535" s="28">
        <f>IF($A535="","",$L535-$P535-$Q535)</f>
        <v/>
      </c>
      <c r="S535" s="30">
        <f>IF($A535="","",IF($R535=0,IF($L535=0,"請求額0","回収済"),IF($L535&lt;0,IF($R535&lt;0,"差し引き待ち","差し引きすぎ"),IF($R535&lt;0,"入金が多い",IF($P535+$Q535=0,"未入金","一部入金")))))</f>
        <v/>
      </c>
      <c r="T535" s="31">
        <f>IF(OR($A535="",N($R535)&lt;=0,NOT(ISNUMBER($O535))),"",IF($O535&lt;'設定'!$B$7,'設定'!$B$7-$O535,""))</f>
        <v/>
      </c>
      <c r="U535" s="30">
        <f>IF(OR($A535="",N($R535)&lt;=0),"",IF(NOT(ISNUMBER($O535)),'設定'!$B$22,IF($O535&gt;='設定'!$B$7,'設定'!$B$17,IF('設定'!$B$7-$O535&lt;='設定'!$B$12,'設定'!$B$18,IF('設定'!$B$7-$O535&lt;='設定'!$B$13,'設定'!$B$19,IF('設定'!$B$7-$O535&lt;='設定'!$B$14,'設定'!$B$20,'設定'!$B$21))))))</f>
        <v/>
      </c>
      <c r="V535" s="56" t="n"/>
      <c r="W535" s="32">
        <f>IF($C535="","",IFERROR(MATCH($C535,'得意先'!$B$5:$B$104,0),"なし"))</f>
        <v/>
      </c>
      <c r="X535" s="33">
        <f>IF($A535="","",IF(ISNUMBER($E535),$E535,IF(ISNUMBER($B535),$B535,"")))</f>
        <v/>
      </c>
      <c r="Y535" s="34">
        <f>IF($T535="","",$O535+ROW()/1000000)</f>
        <v/>
      </c>
      <c r="Z535" s="35">
        <f>IF(OR($A535="",$C535="",$C535&lt;&gt;'売掛帳'!$B$3,NOT(ISNUMBER($X535))),"",IF(AND($X535&gt;='売掛帳'!$Q$3,$X535&lt;='売掛帳'!$Q$4),$X535+ROW()/10000000,""))</f>
        <v/>
      </c>
    </row>
    <row r="536" ht="18" customHeight="1">
      <c r="A536" s="18" t="n"/>
      <c r="B536" s="26" t="n"/>
      <c r="C536" s="18" t="n"/>
      <c r="D536" s="20">
        <f>IF($W536="","",IF($W536="なし","※得意先にないコード",INDEX('得意先'!$C$5:$C$104,$W536)&amp;""))</f>
        <v/>
      </c>
      <c r="E536" s="26" t="n"/>
      <c r="F536" s="19" t="n"/>
      <c r="G536" s="27" t="n"/>
      <c r="H536" s="27" t="n"/>
      <c r="I536" s="27" t="n"/>
      <c r="J536" s="28">
        <f>IF($A536="","",IF('設定'!$B$10="四捨五入",ROUND(IF('設定'!$B$9="税込",N($G536)*10/110,N($G536)*10/100),0),IF('設定'!$B$10="切り上げ",ROUNDUP(IF('設定'!$B$9="税込",N($G536)*10/110,N($G536)*10/100),0),ROUNDDOWN(IF('設定'!$B$9="税込",N($G536)*10/110,N($G536)*10/100),0))))</f>
        <v/>
      </c>
      <c r="K536" s="28">
        <f>IF($A536="","",IF('設定'!$B$10="四捨五入",ROUND(IF('設定'!$B$9="税込",N($H536)*8/108,N($H536)*8/100),0),IF('設定'!$B$10="切り上げ",ROUNDUP(IF('設定'!$B$9="税込",N($H536)*8/108,N($H536)*8/100),0),ROUNDDOWN(IF('設定'!$B$9="税込",N($H536)*8/108,N($H536)*8/100),0))))</f>
        <v/>
      </c>
      <c r="L536" s="28">
        <f>IF($A536="","",N($G536)+N($H536)+N($I536)+IF('設定'!$B$9="税込",0,$J536+$K536))</f>
        <v/>
      </c>
      <c r="M536" s="29">
        <f>IF(OR($A536="",NOT(ISNUMBER($W536)),NOT(ISNUMBER($X536))),"",IF(OR(INDEX('得意先'!$D$5:$D$104,$W536)="",INDEX('得意先'!$E$5:$E$104,$W536)="",INDEX('得意先'!$F$5:$F$104,$W536)=""),"",IF(INDEX('得意先'!$F$5:$F$104,$W536)="末",DATE(YEAR($X536),(MONTH($X536)+IF(INDEX('得意先'!$D$5:$D$104,$W536)="末",0,IF(DAY($X536)&lt;=INDEX('得意先'!$D$5:$D$104,$W536),0,1))+N(INDEX('得意先'!$E$5:$E$104,$W536)))+1,0),DATE(YEAR($X536),(MONTH($X536)+IF(INDEX('得意先'!$D$5:$D$104,$W536)="末",0,IF(DAY($X536)&lt;=INDEX('得意先'!$D$5:$D$104,$W536),0,1))+N(INDEX('得意先'!$E$5:$E$104,$W536))),MIN(INDEX('得意先'!$F$5:$F$104,$W536),DAY(DATE(YEAR($X536),(MONTH($X536)+IF(INDEX('得意先'!$D$5:$D$104,$W536)="末",0,IF(DAY($X536)&lt;=INDEX('得意先'!$D$5:$D$104,$W536),0,1))+N(INDEX('得意先'!$E$5:$E$104,$W536)))+1,0)))))))</f>
        <v/>
      </c>
      <c r="N536" s="26" t="n"/>
      <c r="O536" s="29">
        <f>IF($A536="","",IF(ISNUMBER($N536),$N536,$M536))</f>
        <v/>
      </c>
      <c r="P536" s="28">
        <f>IF($A536="","",SUMIF('入金消込'!$F$5:$F$1004,$A536,'入金消込'!$G$5:$G$1004))</f>
        <v/>
      </c>
      <c r="Q536" s="28">
        <f>IF($A536="","",SUMIF('入金消込'!$F$5:$F$1004,$A536,'入金消込'!$H$5:$H$1004)+SUMIF('入金消込'!$F$5:$F$1004,$A536,'入金消込'!$I$5:$I$1004))</f>
        <v/>
      </c>
      <c r="R536" s="28">
        <f>IF($A536="","",$L536-$P536-$Q536)</f>
        <v/>
      </c>
      <c r="S536" s="30">
        <f>IF($A536="","",IF($R536=0,IF($L536=0,"請求額0","回収済"),IF($L536&lt;0,IF($R536&lt;0,"差し引き待ち","差し引きすぎ"),IF($R536&lt;0,"入金が多い",IF($P536+$Q536=0,"未入金","一部入金")))))</f>
        <v/>
      </c>
      <c r="T536" s="31">
        <f>IF(OR($A536="",N($R536)&lt;=0,NOT(ISNUMBER($O536))),"",IF($O536&lt;'設定'!$B$7,'設定'!$B$7-$O536,""))</f>
        <v/>
      </c>
      <c r="U536" s="30">
        <f>IF(OR($A536="",N($R536)&lt;=0),"",IF(NOT(ISNUMBER($O536)),'設定'!$B$22,IF($O536&gt;='設定'!$B$7,'設定'!$B$17,IF('設定'!$B$7-$O536&lt;='設定'!$B$12,'設定'!$B$18,IF('設定'!$B$7-$O536&lt;='設定'!$B$13,'設定'!$B$19,IF('設定'!$B$7-$O536&lt;='設定'!$B$14,'設定'!$B$20,'設定'!$B$21))))))</f>
        <v/>
      </c>
      <c r="V536" s="56" t="n"/>
      <c r="W536" s="32">
        <f>IF($C536="","",IFERROR(MATCH($C536,'得意先'!$B$5:$B$104,0),"なし"))</f>
        <v/>
      </c>
      <c r="X536" s="33">
        <f>IF($A536="","",IF(ISNUMBER($E536),$E536,IF(ISNUMBER($B536),$B536,"")))</f>
        <v/>
      </c>
      <c r="Y536" s="34">
        <f>IF($T536="","",$O536+ROW()/1000000)</f>
        <v/>
      </c>
      <c r="Z536" s="35">
        <f>IF(OR($A536="",$C536="",$C536&lt;&gt;'売掛帳'!$B$3,NOT(ISNUMBER($X536))),"",IF(AND($X536&gt;='売掛帳'!$Q$3,$X536&lt;='売掛帳'!$Q$4),$X536+ROW()/10000000,""))</f>
        <v/>
      </c>
    </row>
    <row r="537" ht="18" customHeight="1">
      <c r="A537" s="18" t="n"/>
      <c r="B537" s="26" t="n"/>
      <c r="C537" s="18" t="n"/>
      <c r="D537" s="20">
        <f>IF($W537="","",IF($W537="なし","※得意先にないコード",INDEX('得意先'!$C$5:$C$104,$W537)&amp;""))</f>
        <v/>
      </c>
      <c r="E537" s="26" t="n"/>
      <c r="F537" s="19" t="n"/>
      <c r="G537" s="27" t="n"/>
      <c r="H537" s="27" t="n"/>
      <c r="I537" s="27" t="n"/>
      <c r="J537" s="28">
        <f>IF($A537="","",IF('設定'!$B$10="四捨五入",ROUND(IF('設定'!$B$9="税込",N($G537)*10/110,N($G537)*10/100),0),IF('設定'!$B$10="切り上げ",ROUNDUP(IF('設定'!$B$9="税込",N($G537)*10/110,N($G537)*10/100),0),ROUNDDOWN(IF('設定'!$B$9="税込",N($G537)*10/110,N($G537)*10/100),0))))</f>
        <v/>
      </c>
      <c r="K537" s="28">
        <f>IF($A537="","",IF('設定'!$B$10="四捨五入",ROUND(IF('設定'!$B$9="税込",N($H537)*8/108,N($H537)*8/100),0),IF('設定'!$B$10="切り上げ",ROUNDUP(IF('設定'!$B$9="税込",N($H537)*8/108,N($H537)*8/100),0),ROUNDDOWN(IF('設定'!$B$9="税込",N($H537)*8/108,N($H537)*8/100),0))))</f>
        <v/>
      </c>
      <c r="L537" s="28">
        <f>IF($A537="","",N($G537)+N($H537)+N($I537)+IF('設定'!$B$9="税込",0,$J537+$K537))</f>
        <v/>
      </c>
      <c r="M537" s="29">
        <f>IF(OR($A537="",NOT(ISNUMBER($W537)),NOT(ISNUMBER($X537))),"",IF(OR(INDEX('得意先'!$D$5:$D$104,$W537)="",INDEX('得意先'!$E$5:$E$104,$W537)="",INDEX('得意先'!$F$5:$F$104,$W537)=""),"",IF(INDEX('得意先'!$F$5:$F$104,$W537)="末",DATE(YEAR($X537),(MONTH($X537)+IF(INDEX('得意先'!$D$5:$D$104,$W537)="末",0,IF(DAY($X537)&lt;=INDEX('得意先'!$D$5:$D$104,$W537),0,1))+N(INDEX('得意先'!$E$5:$E$104,$W537)))+1,0),DATE(YEAR($X537),(MONTH($X537)+IF(INDEX('得意先'!$D$5:$D$104,$W537)="末",0,IF(DAY($X537)&lt;=INDEX('得意先'!$D$5:$D$104,$W537),0,1))+N(INDEX('得意先'!$E$5:$E$104,$W537))),MIN(INDEX('得意先'!$F$5:$F$104,$W537),DAY(DATE(YEAR($X537),(MONTH($X537)+IF(INDEX('得意先'!$D$5:$D$104,$W537)="末",0,IF(DAY($X537)&lt;=INDEX('得意先'!$D$5:$D$104,$W537),0,1))+N(INDEX('得意先'!$E$5:$E$104,$W537)))+1,0)))))))</f>
        <v/>
      </c>
      <c r="N537" s="26" t="n"/>
      <c r="O537" s="29">
        <f>IF($A537="","",IF(ISNUMBER($N537),$N537,$M537))</f>
        <v/>
      </c>
      <c r="P537" s="28">
        <f>IF($A537="","",SUMIF('入金消込'!$F$5:$F$1004,$A537,'入金消込'!$G$5:$G$1004))</f>
        <v/>
      </c>
      <c r="Q537" s="28">
        <f>IF($A537="","",SUMIF('入金消込'!$F$5:$F$1004,$A537,'入金消込'!$H$5:$H$1004)+SUMIF('入金消込'!$F$5:$F$1004,$A537,'入金消込'!$I$5:$I$1004))</f>
        <v/>
      </c>
      <c r="R537" s="28">
        <f>IF($A537="","",$L537-$P537-$Q537)</f>
        <v/>
      </c>
      <c r="S537" s="30">
        <f>IF($A537="","",IF($R537=0,IF($L537=0,"請求額0","回収済"),IF($L537&lt;0,IF($R537&lt;0,"差し引き待ち","差し引きすぎ"),IF($R537&lt;0,"入金が多い",IF($P537+$Q537=0,"未入金","一部入金")))))</f>
        <v/>
      </c>
      <c r="T537" s="31">
        <f>IF(OR($A537="",N($R537)&lt;=0,NOT(ISNUMBER($O537))),"",IF($O537&lt;'設定'!$B$7,'設定'!$B$7-$O537,""))</f>
        <v/>
      </c>
      <c r="U537" s="30">
        <f>IF(OR($A537="",N($R537)&lt;=0),"",IF(NOT(ISNUMBER($O537)),'設定'!$B$22,IF($O537&gt;='設定'!$B$7,'設定'!$B$17,IF('設定'!$B$7-$O537&lt;='設定'!$B$12,'設定'!$B$18,IF('設定'!$B$7-$O537&lt;='設定'!$B$13,'設定'!$B$19,IF('設定'!$B$7-$O537&lt;='設定'!$B$14,'設定'!$B$20,'設定'!$B$21))))))</f>
        <v/>
      </c>
      <c r="V537" s="56" t="n"/>
      <c r="W537" s="32">
        <f>IF($C537="","",IFERROR(MATCH($C537,'得意先'!$B$5:$B$104,0),"なし"))</f>
        <v/>
      </c>
      <c r="X537" s="33">
        <f>IF($A537="","",IF(ISNUMBER($E537),$E537,IF(ISNUMBER($B537),$B537,"")))</f>
        <v/>
      </c>
      <c r="Y537" s="34">
        <f>IF($T537="","",$O537+ROW()/1000000)</f>
        <v/>
      </c>
      <c r="Z537" s="35">
        <f>IF(OR($A537="",$C537="",$C537&lt;&gt;'売掛帳'!$B$3,NOT(ISNUMBER($X537))),"",IF(AND($X537&gt;='売掛帳'!$Q$3,$X537&lt;='売掛帳'!$Q$4),$X537+ROW()/10000000,""))</f>
        <v/>
      </c>
    </row>
    <row r="538" ht="18" customHeight="1">
      <c r="A538" s="18" t="n"/>
      <c r="B538" s="26" t="n"/>
      <c r="C538" s="18" t="n"/>
      <c r="D538" s="20">
        <f>IF($W538="","",IF($W538="なし","※得意先にないコード",INDEX('得意先'!$C$5:$C$104,$W538)&amp;""))</f>
        <v/>
      </c>
      <c r="E538" s="26" t="n"/>
      <c r="F538" s="19" t="n"/>
      <c r="G538" s="27" t="n"/>
      <c r="H538" s="27" t="n"/>
      <c r="I538" s="27" t="n"/>
      <c r="J538" s="28">
        <f>IF($A538="","",IF('設定'!$B$10="四捨五入",ROUND(IF('設定'!$B$9="税込",N($G538)*10/110,N($G538)*10/100),0),IF('設定'!$B$10="切り上げ",ROUNDUP(IF('設定'!$B$9="税込",N($G538)*10/110,N($G538)*10/100),0),ROUNDDOWN(IF('設定'!$B$9="税込",N($G538)*10/110,N($G538)*10/100),0))))</f>
        <v/>
      </c>
      <c r="K538" s="28">
        <f>IF($A538="","",IF('設定'!$B$10="四捨五入",ROUND(IF('設定'!$B$9="税込",N($H538)*8/108,N($H538)*8/100),0),IF('設定'!$B$10="切り上げ",ROUNDUP(IF('設定'!$B$9="税込",N($H538)*8/108,N($H538)*8/100),0),ROUNDDOWN(IF('設定'!$B$9="税込",N($H538)*8/108,N($H538)*8/100),0))))</f>
        <v/>
      </c>
      <c r="L538" s="28">
        <f>IF($A538="","",N($G538)+N($H538)+N($I538)+IF('設定'!$B$9="税込",0,$J538+$K538))</f>
        <v/>
      </c>
      <c r="M538" s="29">
        <f>IF(OR($A538="",NOT(ISNUMBER($W538)),NOT(ISNUMBER($X538))),"",IF(OR(INDEX('得意先'!$D$5:$D$104,$W538)="",INDEX('得意先'!$E$5:$E$104,$W538)="",INDEX('得意先'!$F$5:$F$104,$W538)=""),"",IF(INDEX('得意先'!$F$5:$F$104,$W538)="末",DATE(YEAR($X538),(MONTH($X538)+IF(INDEX('得意先'!$D$5:$D$104,$W538)="末",0,IF(DAY($X538)&lt;=INDEX('得意先'!$D$5:$D$104,$W538),0,1))+N(INDEX('得意先'!$E$5:$E$104,$W538)))+1,0),DATE(YEAR($X538),(MONTH($X538)+IF(INDEX('得意先'!$D$5:$D$104,$W538)="末",0,IF(DAY($X538)&lt;=INDEX('得意先'!$D$5:$D$104,$W538),0,1))+N(INDEX('得意先'!$E$5:$E$104,$W538))),MIN(INDEX('得意先'!$F$5:$F$104,$W538),DAY(DATE(YEAR($X538),(MONTH($X538)+IF(INDEX('得意先'!$D$5:$D$104,$W538)="末",0,IF(DAY($X538)&lt;=INDEX('得意先'!$D$5:$D$104,$W538),0,1))+N(INDEX('得意先'!$E$5:$E$104,$W538)))+1,0)))))))</f>
        <v/>
      </c>
      <c r="N538" s="26" t="n"/>
      <c r="O538" s="29">
        <f>IF($A538="","",IF(ISNUMBER($N538),$N538,$M538))</f>
        <v/>
      </c>
      <c r="P538" s="28">
        <f>IF($A538="","",SUMIF('入金消込'!$F$5:$F$1004,$A538,'入金消込'!$G$5:$G$1004))</f>
        <v/>
      </c>
      <c r="Q538" s="28">
        <f>IF($A538="","",SUMIF('入金消込'!$F$5:$F$1004,$A538,'入金消込'!$H$5:$H$1004)+SUMIF('入金消込'!$F$5:$F$1004,$A538,'入金消込'!$I$5:$I$1004))</f>
        <v/>
      </c>
      <c r="R538" s="28">
        <f>IF($A538="","",$L538-$P538-$Q538)</f>
        <v/>
      </c>
      <c r="S538" s="30">
        <f>IF($A538="","",IF($R538=0,IF($L538=0,"請求額0","回収済"),IF($L538&lt;0,IF($R538&lt;0,"差し引き待ち","差し引きすぎ"),IF($R538&lt;0,"入金が多い",IF($P538+$Q538=0,"未入金","一部入金")))))</f>
        <v/>
      </c>
      <c r="T538" s="31">
        <f>IF(OR($A538="",N($R538)&lt;=0,NOT(ISNUMBER($O538))),"",IF($O538&lt;'設定'!$B$7,'設定'!$B$7-$O538,""))</f>
        <v/>
      </c>
      <c r="U538" s="30">
        <f>IF(OR($A538="",N($R538)&lt;=0),"",IF(NOT(ISNUMBER($O538)),'設定'!$B$22,IF($O538&gt;='設定'!$B$7,'設定'!$B$17,IF('設定'!$B$7-$O538&lt;='設定'!$B$12,'設定'!$B$18,IF('設定'!$B$7-$O538&lt;='設定'!$B$13,'設定'!$B$19,IF('設定'!$B$7-$O538&lt;='設定'!$B$14,'設定'!$B$20,'設定'!$B$21))))))</f>
        <v/>
      </c>
      <c r="V538" s="56" t="n"/>
      <c r="W538" s="32">
        <f>IF($C538="","",IFERROR(MATCH($C538,'得意先'!$B$5:$B$104,0),"なし"))</f>
        <v/>
      </c>
      <c r="X538" s="33">
        <f>IF($A538="","",IF(ISNUMBER($E538),$E538,IF(ISNUMBER($B538),$B538,"")))</f>
        <v/>
      </c>
      <c r="Y538" s="34">
        <f>IF($T538="","",$O538+ROW()/1000000)</f>
        <v/>
      </c>
      <c r="Z538" s="35">
        <f>IF(OR($A538="",$C538="",$C538&lt;&gt;'売掛帳'!$B$3,NOT(ISNUMBER($X538))),"",IF(AND($X538&gt;='売掛帳'!$Q$3,$X538&lt;='売掛帳'!$Q$4),$X538+ROW()/10000000,""))</f>
        <v/>
      </c>
    </row>
    <row r="539" ht="18" customHeight="1">
      <c r="A539" s="18" t="n"/>
      <c r="B539" s="26" t="n"/>
      <c r="C539" s="18" t="n"/>
      <c r="D539" s="20">
        <f>IF($W539="","",IF($W539="なし","※得意先にないコード",INDEX('得意先'!$C$5:$C$104,$W539)&amp;""))</f>
        <v/>
      </c>
      <c r="E539" s="26" t="n"/>
      <c r="F539" s="19" t="n"/>
      <c r="G539" s="27" t="n"/>
      <c r="H539" s="27" t="n"/>
      <c r="I539" s="27" t="n"/>
      <c r="J539" s="28">
        <f>IF($A539="","",IF('設定'!$B$10="四捨五入",ROUND(IF('設定'!$B$9="税込",N($G539)*10/110,N($G539)*10/100),0),IF('設定'!$B$10="切り上げ",ROUNDUP(IF('設定'!$B$9="税込",N($G539)*10/110,N($G539)*10/100),0),ROUNDDOWN(IF('設定'!$B$9="税込",N($G539)*10/110,N($G539)*10/100),0))))</f>
        <v/>
      </c>
      <c r="K539" s="28">
        <f>IF($A539="","",IF('設定'!$B$10="四捨五入",ROUND(IF('設定'!$B$9="税込",N($H539)*8/108,N($H539)*8/100),0),IF('設定'!$B$10="切り上げ",ROUNDUP(IF('設定'!$B$9="税込",N($H539)*8/108,N($H539)*8/100),0),ROUNDDOWN(IF('設定'!$B$9="税込",N($H539)*8/108,N($H539)*8/100),0))))</f>
        <v/>
      </c>
      <c r="L539" s="28">
        <f>IF($A539="","",N($G539)+N($H539)+N($I539)+IF('設定'!$B$9="税込",0,$J539+$K539))</f>
        <v/>
      </c>
      <c r="M539" s="29">
        <f>IF(OR($A539="",NOT(ISNUMBER($W539)),NOT(ISNUMBER($X539))),"",IF(OR(INDEX('得意先'!$D$5:$D$104,$W539)="",INDEX('得意先'!$E$5:$E$104,$W539)="",INDEX('得意先'!$F$5:$F$104,$W539)=""),"",IF(INDEX('得意先'!$F$5:$F$104,$W539)="末",DATE(YEAR($X539),(MONTH($X539)+IF(INDEX('得意先'!$D$5:$D$104,$W539)="末",0,IF(DAY($X539)&lt;=INDEX('得意先'!$D$5:$D$104,$W539),0,1))+N(INDEX('得意先'!$E$5:$E$104,$W539)))+1,0),DATE(YEAR($X539),(MONTH($X539)+IF(INDEX('得意先'!$D$5:$D$104,$W539)="末",0,IF(DAY($X539)&lt;=INDEX('得意先'!$D$5:$D$104,$W539),0,1))+N(INDEX('得意先'!$E$5:$E$104,$W539))),MIN(INDEX('得意先'!$F$5:$F$104,$W539),DAY(DATE(YEAR($X539),(MONTH($X539)+IF(INDEX('得意先'!$D$5:$D$104,$W539)="末",0,IF(DAY($X539)&lt;=INDEX('得意先'!$D$5:$D$104,$W539),0,1))+N(INDEX('得意先'!$E$5:$E$104,$W539)))+1,0)))))))</f>
        <v/>
      </c>
      <c r="N539" s="26" t="n"/>
      <c r="O539" s="29">
        <f>IF($A539="","",IF(ISNUMBER($N539),$N539,$M539))</f>
        <v/>
      </c>
      <c r="P539" s="28">
        <f>IF($A539="","",SUMIF('入金消込'!$F$5:$F$1004,$A539,'入金消込'!$G$5:$G$1004))</f>
        <v/>
      </c>
      <c r="Q539" s="28">
        <f>IF($A539="","",SUMIF('入金消込'!$F$5:$F$1004,$A539,'入金消込'!$H$5:$H$1004)+SUMIF('入金消込'!$F$5:$F$1004,$A539,'入金消込'!$I$5:$I$1004))</f>
        <v/>
      </c>
      <c r="R539" s="28">
        <f>IF($A539="","",$L539-$P539-$Q539)</f>
        <v/>
      </c>
      <c r="S539" s="30">
        <f>IF($A539="","",IF($R539=0,IF($L539=0,"請求額0","回収済"),IF($L539&lt;0,IF($R539&lt;0,"差し引き待ち","差し引きすぎ"),IF($R539&lt;0,"入金が多い",IF($P539+$Q539=0,"未入金","一部入金")))))</f>
        <v/>
      </c>
      <c r="T539" s="31">
        <f>IF(OR($A539="",N($R539)&lt;=0,NOT(ISNUMBER($O539))),"",IF($O539&lt;'設定'!$B$7,'設定'!$B$7-$O539,""))</f>
        <v/>
      </c>
      <c r="U539" s="30">
        <f>IF(OR($A539="",N($R539)&lt;=0),"",IF(NOT(ISNUMBER($O539)),'設定'!$B$22,IF($O539&gt;='設定'!$B$7,'設定'!$B$17,IF('設定'!$B$7-$O539&lt;='設定'!$B$12,'設定'!$B$18,IF('設定'!$B$7-$O539&lt;='設定'!$B$13,'設定'!$B$19,IF('設定'!$B$7-$O539&lt;='設定'!$B$14,'設定'!$B$20,'設定'!$B$21))))))</f>
        <v/>
      </c>
      <c r="V539" s="56" t="n"/>
      <c r="W539" s="32">
        <f>IF($C539="","",IFERROR(MATCH($C539,'得意先'!$B$5:$B$104,0),"なし"))</f>
        <v/>
      </c>
      <c r="X539" s="33">
        <f>IF($A539="","",IF(ISNUMBER($E539),$E539,IF(ISNUMBER($B539),$B539,"")))</f>
        <v/>
      </c>
      <c r="Y539" s="34">
        <f>IF($T539="","",$O539+ROW()/1000000)</f>
        <v/>
      </c>
      <c r="Z539" s="35">
        <f>IF(OR($A539="",$C539="",$C539&lt;&gt;'売掛帳'!$B$3,NOT(ISNUMBER($X539))),"",IF(AND($X539&gt;='売掛帳'!$Q$3,$X539&lt;='売掛帳'!$Q$4),$X539+ROW()/10000000,""))</f>
        <v/>
      </c>
    </row>
    <row r="540" ht="18" customHeight="1">
      <c r="A540" s="18" t="n"/>
      <c r="B540" s="26" t="n"/>
      <c r="C540" s="18" t="n"/>
      <c r="D540" s="20">
        <f>IF($W540="","",IF($W540="なし","※得意先にないコード",INDEX('得意先'!$C$5:$C$104,$W540)&amp;""))</f>
        <v/>
      </c>
      <c r="E540" s="26" t="n"/>
      <c r="F540" s="19" t="n"/>
      <c r="G540" s="27" t="n"/>
      <c r="H540" s="27" t="n"/>
      <c r="I540" s="27" t="n"/>
      <c r="J540" s="28">
        <f>IF($A540="","",IF('設定'!$B$10="四捨五入",ROUND(IF('設定'!$B$9="税込",N($G540)*10/110,N($G540)*10/100),0),IF('設定'!$B$10="切り上げ",ROUNDUP(IF('設定'!$B$9="税込",N($G540)*10/110,N($G540)*10/100),0),ROUNDDOWN(IF('設定'!$B$9="税込",N($G540)*10/110,N($G540)*10/100),0))))</f>
        <v/>
      </c>
      <c r="K540" s="28">
        <f>IF($A540="","",IF('設定'!$B$10="四捨五入",ROUND(IF('設定'!$B$9="税込",N($H540)*8/108,N($H540)*8/100),0),IF('設定'!$B$10="切り上げ",ROUNDUP(IF('設定'!$B$9="税込",N($H540)*8/108,N($H540)*8/100),0),ROUNDDOWN(IF('設定'!$B$9="税込",N($H540)*8/108,N($H540)*8/100),0))))</f>
        <v/>
      </c>
      <c r="L540" s="28">
        <f>IF($A540="","",N($G540)+N($H540)+N($I540)+IF('設定'!$B$9="税込",0,$J540+$K540))</f>
        <v/>
      </c>
      <c r="M540" s="29">
        <f>IF(OR($A540="",NOT(ISNUMBER($W540)),NOT(ISNUMBER($X540))),"",IF(OR(INDEX('得意先'!$D$5:$D$104,$W540)="",INDEX('得意先'!$E$5:$E$104,$W540)="",INDEX('得意先'!$F$5:$F$104,$W540)=""),"",IF(INDEX('得意先'!$F$5:$F$104,$W540)="末",DATE(YEAR($X540),(MONTH($X540)+IF(INDEX('得意先'!$D$5:$D$104,$W540)="末",0,IF(DAY($X540)&lt;=INDEX('得意先'!$D$5:$D$104,$W540),0,1))+N(INDEX('得意先'!$E$5:$E$104,$W540)))+1,0),DATE(YEAR($X540),(MONTH($X540)+IF(INDEX('得意先'!$D$5:$D$104,$W540)="末",0,IF(DAY($X540)&lt;=INDEX('得意先'!$D$5:$D$104,$W540),0,1))+N(INDEX('得意先'!$E$5:$E$104,$W540))),MIN(INDEX('得意先'!$F$5:$F$104,$W540),DAY(DATE(YEAR($X540),(MONTH($X540)+IF(INDEX('得意先'!$D$5:$D$104,$W540)="末",0,IF(DAY($X540)&lt;=INDEX('得意先'!$D$5:$D$104,$W540),0,1))+N(INDEX('得意先'!$E$5:$E$104,$W540)))+1,0)))))))</f>
        <v/>
      </c>
      <c r="N540" s="26" t="n"/>
      <c r="O540" s="29">
        <f>IF($A540="","",IF(ISNUMBER($N540),$N540,$M540))</f>
        <v/>
      </c>
      <c r="P540" s="28">
        <f>IF($A540="","",SUMIF('入金消込'!$F$5:$F$1004,$A540,'入金消込'!$G$5:$G$1004))</f>
        <v/>
      </c>
      <c r="Q540" s="28">
        <f>IF($A540="","",SUMIF('入金消込'!$F$5:$F$1004,$A540,'入金消込'!$H$5:$H$1004)+SUMIF('入金消込'!$F$5:$F$1004,$A540,'入金消込'!$I$5:$I$1004))</f>
        <v/>
      </c>
      <c r="R540" s="28">
        <f>IF($A540="","",$L540-$P540-$Q540)</f>
        <v/>
      </c>
      <c r="S540" s="30">
        <f>IF($A540="","",IF($R540=0,IF($L540=0,"請求額0","回収済"),IF($L540&lt;0,IF($R540&lt;0,"差し引き待ち","差し引きすぎ"),IF($R540&lt;0,"入金が多い",IF($P540+$Q540=0,"未入金","一部入金")))))</f>
        <v/>
      </c>
      <c r="T540" s="31">
        <f>IF(OR($A540="",N($R540)&lt;=0,NOT(ISNUMBER($O540))),"",IF($O540&lt;'設定'!$B$7,'設定'!$B$7-$O540,""))</f>
        <v/>
      </c>
      <c r="U540" s="30">
        <f>IF(OR($A540="",N($R540)&lt;=0),"",IF(NOT(ISNUMBER($O540)),'設定'!$B$22,IF($O540&gt;='設定'!$B$7,'設定'!$B$17,IF('設定'!$B$7-$O540&lt;='設定'!$B$12,'設定'!$B$18,IF('設定'!$B$7-$O540&lt;='設定'!$B$13,'設定'!$B$19,IF('設定'!$B$7-$O540&lt;='設定'!$B$14,'設定'!$B$20,'設定'!$B$21))))))</f>
        <v/>
      </c>
      <c r="V540" s="56" t="n"/>
      <c r="W540" s="32">
        <f>IF($C540="","",IFERROR(MATCH($C540,'得意先'!$B$5:$B$104,0),"なし"))</f>
        <v/>
      </c>
      <c r="X540" s="33">
        <f>IF($A540="","",IF(ISNUMBER($E540),$E540,IF(ISNUMBER($B540),$B540,"")))</f>
        <v/>
      </c>
      <c r="Y540" s="34">
        <f>IF($T540="","",$O540+ROW()/1000000)</f>
        <v/>
      </c>
      <c r="Z540" s="35">
        <f>IF(OR($A540="",$C540="",$C540&lt;&gt;'売掛帳'!$B$3,NOT(ISNUMBER($X540))),"",IF(AND($X540&gt;='売掛帳'!$Q$3,$X540&lt;='売掛帳'!$Q$4),$X540+ROW()/10000000,""))</f>
        <v/>
      </c>
    </row>
    <row r="541" ht="18" customHeight="1">
      <c r="A541" s="18" t="n"/>
      <c r="B541" s="26" t="n"/>
      <c r="C541" s="18" t="n"/>
      <c r="D541" s="20">
        <f>IF($W541="","",IF($W541="なし","※得意先にないコード",INDEX('得意先'!$C$5:$C$104,$W541)&amp;""))</f>
        <v/>
      </c>
      <c r="E541" s="26" t="n"/>
      <c r="F541" s="19" t="n"/>
      <c r="G541" s="27" t="n"/>
      <c r="H541" s="27" t="n"/>
      <c r="I541" s="27" t="n"/>
      <c r="J541" s="28">
        <f>IF($A541="","",IF('設定'!$B$10="四捨五入",ROUND(IF('設定'!$B$9="税込",N($G541)*10/110,N($G541)*10/100),0),IF('設定'!$B$10="切り上げ",ROUNDUP(IF('設定'!$B$9="税込",N($G541)*10/110,N($G541)*10/100),0),ROUNDDOWN(IF('設定'!$B$9="税込",N($G541)*10/110,N($G541)*10/100),0))))</f>
        <v/>
      </c>
      <c r="K541" s="28">
        <f>IF($A541="","",IF('設定'!$B$10="四捨五入",ROUND(IF('設定'!$B$9="税込",N($H541)*8/108,N($H541)*8/100),0),IF('設定'!$B$10="切り上げ",ROUNDUP(IF('設定'!$B$9="税込",N($H541)*8/108,N($H541)*8/100),0),ROUNDDOWN(IF('設定'!$B$9="税込",N($H541)*8/108,N($H541)*8/100),0))))</f>
        <v/>
      </c>
      <c r="L541" s="28">
        <f>IF($A541="","",N($G541)+N($H541)+N($I541)+IF('設定'!$B$9="税込",0,$J541+$K541))</f>
        <v/>
      </c>
      <c r="M541" s="29">
        <f>IF(OR($A541="",NOT(ISNUMBER($W541)),NOT(ISNUMBER($X541))),"",IF(OR(INDEX('得意先'!$D$5:$D$104,$W541)="",INDEX('得意先'!$E$5:$E$104,$W541)="",INDEX('得意先'!$F$5:$F$104,$W541)=""),"",IF(INDEX('得意先'!$F$5:$F$104,$W541)="末",DATE(YEAR($X541),(MONTH($X541)+IF(INDEX('得意先'!$D$5:$D$104,$W541)="末",0,IF(DAY($X541)&lt;=INDEX('得意先'!$D$5:$D$104,$W541),0,1))+N(INDEX('得意先'!$E$5:$E$104,$W541)))+1,0),DATE(YEAR($X541),(MONTH($X541)+IF(INDEX('得意先'!$D$5:$D$104,$W541)="末",0,IF(DAY($X541)&lt;=INDEX('得意先'!$D$5:$D$104,$W541),0,1))+N(INDEX('得意先'!$E$5:$E$104,$W541))),MIN(INDEX('得意先'!$F$5:$F$104,$W541),DAY(DATE(YEAR($X541),(MONTH($X541)+IF(INDEX('得意先'!$D$5:$D$104,$W541)="末",0,IF(DAY($X541)&lt;=INDEX('得意先'!$D$5:$D$104,$W541),0,1))+N(INDEX('得意先'!$E$5:$E$104,$W541)))+1,0)))))))</f>
        <v/>
      </c>
      <c r="N541" s="26" t="n"/>
      <c r="O541" s="29">
        <f>IF($A541="","",IF(ISNUMBER($N541),$N541,$M541))</f>
        <v/>
      </c>
      <c r="P541" s="28">
        <f>IF($A541="","",SUMIF('入金消込'!$F$5:$F$1004,$A541,'入金消込'!$G$5:$G$1004))</f>
        <v/>
      </c>
      <c r="Q541" s="28">
        <f>IF($A541="","",SUMIF('入金消込'!$F$5:$F$1004,$A541,'入金消込'!$H$5:$H$1004)+SUMIF('入金消込'!$F$5:$F$1004,$A541,'入金消込'!$I$5:$I$1004))</f>
        <v/>
      </c>
      <c r="R541" s="28">
        <f>IF($A541="","",$L541-$P541-$Q541)</f>
        <v/>
      </c>
      <c r="S541" s="30">
        <f>IF($A541="","",IF($R541=0,IF($L541=0,"請求額0","回収済"),IF($L541&lt;0,IF($R541&lt;0,"差し引き待ち","差し引きすぎ"),IF($R541&lt;0,"入金が多い",IF($P541+$Q541=0,"未入金","一部入金")))))</f>
        <v/>
      </c>
      <c r="T541" s="31">
        <f>IF(OR($A541="",N($R541)&lt;=0,NOT(ISNUMBER($O541))),"",IF($O541&lt;'設定'!$B$7,'設定'!$B$7-$O541,""))</f>
        <v/>
      </c>
      <c r="U541" s="30">
        <f>IF(OR($A541="",N($R541)&lt;=0),"",IF(NOT(ISNUMBER($O541)),'設定'!$B$22,IF($O541&gt;='設定'!$B$7,'設定'!$B$17,IF('設定'!$B$7-$O541&lt;='設定'!$B$12,'設定'!$B$18,IF('設定'!$B$7-$O541&lt;='設定'!$B$13,'設定'!$B$19,IF('設定'!$B$7-$O541&lt;='設定'!$B$14,'設定'!$B$20,'設定'!$B$21))))))</f>
        <v/>
      </c>
      <c r="V541" s="56" t="n"/>
      <c r="W541" s="32">
        <f>IF($C541="","",IFERROR(MATCH($C541,'得意先'!$B$5:$B$104,0),"なし"))</f>
        <v/>
      </c>
      <c r="X541" s="33">
        <f>IF($A541="","",IF(ISNUMBER($E541),$E541,IF(ISNUMBER($B541),$B541,"")))</f>
        <v/>
      </c>
      <c r="Y541" s="34">
        <f>IF($T541="","",$O541+ROW()/1000000)</f>
        <v/>
      </c>
      <c r="Z541" s="35">
        <f>IF(OR($A541="",$C541="",$C541&lt;&gt;'売掛帳'!$B$3,NOT(ISNUMBER($X541))),"",IF(AND($X541&gt;='売掛帳'!$Q$3,$X541&lt;='売掛帳'!$Q$4),$X541+ROW()/10000000,""))</f>
        <v/>
      </c>
    </row>
    <row r="542" ht="18" customHeight="1">
      <c r="A542" s="18" t="n"/>
      <c r="B542" s="26" t="n"/>
      <c r="C542" s="18" t="n"/>
      <c r="D542" s="20">
        <f>IF($W542="","",IF($W542="なし","※得意先にないコード",INDEX('得意先'!$C$5:$C$104,$W542)&amp;""))</f>
        <v/>
      </c>
      <c r="E542" s="26" t="n"/>
      <c r="F542" s="19" t="n"/>
      <c r="G542" s="27" t="n"/>
      <c r="H542" s="27" t="n"/>
      <c r="I542" s="27" t="n"/>
      <c r="J542" s="28">
        <f>IF($A542="","",IF('設定'!$B$10="四捨五入",ROUND(IF('設定'!$B$9="税込",N($G542)*10/110,N($G542)*10/100),0),IF('設定'!$B$10="切り上げ",ROUNDUP(IF('設定'!$B$9="税込",N($G542)*10/110,N($G542)*10/100),0),ROUNDDOWN(IF('設定'!$B$9="税込",N($G542)*10/110,N($G542)*10/100),0))))</f>
        <v/>
      </c>
      <c r="K542" s="28">
        <f>IF($A542="","",IF('設定'!$B$10="四捨五入",ROUND(IF('設定'!$B$9="税込",N($H542)*8/108,N($H542)*8/100),0),IF('設定'!$B$10="切り上げ",ROUNDUP(IF('設定'!$B$9="税込",N($H542)*8/108,N($H542)*8/100),0),ROUNDDOWN(IF('設定'!$B$9="税込",N($H542)*8/108,N($H542)*8/100),0))))</f>
        <v/>
      </c>
      <c r="L542" s="28">
        <f>IF($A542="","",N($G542)+N($H542)+N($I542)+IF('設定'!$B$9="税込",0,$J542+$K542))</f>
        <v/>
      </c>
      <c r="M542" s="29">
        <f>IF(OR($A542="",NOT(ISNUMBER($W542)),NOT(ISNUMBER($X542))),"",IF(OR(INDEX('得意先'!$D$5:$D$104,$W542)="",INDEX('得意先'!$E$5:$E$104,$W542)="",INDEX('得意先'!$F$5:$F$104,$W542)=""),"",IF(INDEX('得意先'!$F$5:$F$104,$W542)="末",DATE(YEAR($X542),(MONTH($X542)+IF(INDEX('得意先'!$D$5:$D$104,$W542)="末",0,IF(DAY($X542)&lt;=INDEX('得意先'!$D$5:$D$104,$W542),0,1))+N(INDEX('得意先'!$E$5:$E$104,$W542)))+1,0),DATE(YEAR($X542),(MONTH($X542)+IF(INDEX('得意先'!$D$5:$D$104,$W542)="末",0,IF(DAY($X542)&lt;=INDEX('得意先'!$D$5:$D$104,$W542),0,1))+N(INDEX('得意先'!$E$5:$E$104,$W542))),MIN(INDEX('得意先'!$F$5:$F$104,$W542),DAY(DATE(YEAR($X542),(MONTH($X542)+IF(INDEX('得意先'!$D$5:$D$104,$W542)="末",0,IF(DAY($X542)&lt;=INDEX('得意先'!$D$5:$D$104,$W542),0,1))+N(INDEX('得意先'!$E$5:$E$104,$W542)))+1,0)))))))</f>
        <v/>
      </c>
      <c r="N542" s="26" t="n"/>
      <c r="O542" s="29">
        <f>IF($A542="","",IF(ISNUMBER($N542),$N542,$M542))</f>
        <v/>
      </c>
      <c r="P542" s="28">
        <f>IF($A542="","",SUMIF('入金消込'!$F$5:$F$1004,$A542,'入金消込'!$G$5:$G$1004))</f>
        <v/>
      </c>
      <c r="Q542" s="28">
        <f>IF($A542="","",SUMIF('入金消込'!$F$5:$F$1004,$A542,'入金消込'!$H$5:$H$1004)+SUMIF('入金消込'!$F$5:$F$1004,$A542,'入金消込'!$I$5:$I$1004))</f>
        <v/>
      </c>
      <c r="R542" s="28">
        <f>IF($A542="","",$L542-$P542-$Q542)</f>
        <v/>
      </c>
      <c r="S542" s="30">
        <f>IF($A542="","",IF($R542=0,IF($L542=0,"請求額0","回収済"),IF($L542&lt;0,IF($R542&lt;0,"差し引き待ち","差し引きすぎ"),IF($R542&lt;0,"入金が多い",IF($P542+$Q542=0,"未入金","一部入金")))))</f>
        <v/>
      </c>
      <c r="T542" s="31">
        <f>IF(OR($A542="",N($R542)&lt;=0,NOT(ISNUMBER($O542))),"",IF($O542&lt;'設定'!$B$7,'設定'!$B$7-$O542,""))</f>
        <v/>
      </c>
      <c r="U542" s="30">
        <f>IF(OR($A542="",N($R542)&lt;=0),"",IF(NOT(ISNUMBER($O542)),'設定'!$B$22,IF($O542&gt;='設定'!$B$7,'設定'!$B$17,IF('設定'!$B$7-$O542&lt;='設定'!$B$12,'設定'!$B$18,IF('設定'!$B$7-$O542&lt;='設定'!$B$13,'設定'!$B$19,IF('設定'!$B$7-$O542&lt;='設定'!$B$14,'設定'!$B$20,'設定'!$B$21))))))</f>
        <v/>
      </c>
      <c r="V542" s="56" t="n"/>
      <c r="W542" s="32">
        <f>IF($C542="","",IFERROR(MATCH($C542,'得意先'!$B$5:$B$104,0),"なし"))</f>
        <v/>
      </c>
      <c r="X542" s="33">
        <f>IF($A542="","",IF(ISNUMBER($E542),$E542,IF(ISNUMBER($B542),$B542,"")))</f>
        <v/>
      </c>
      <c r="Y542" s="34">
        <f>IF($T542="","",$O542+ROW()/1000000)</f>
        <v/>
      </c>
      <c r="Z542" s="35">
        <f>IF(OR($A542="",$C542="",$C542&lt;&gt;'売掛帳'!$B$3,NOT(ISNUMBER($X542))),"",IF(AND($X542&gt;='売掛帳'!$Q$3,$X542&lt;='売掛帳'!$Q$4),$X542+ROW()/10000000,""))</f>
        <v/>
      </c>
    </row>
    <row r="543" ht="18" customHeight="1">
      <c r="A543" s="18" t="n"/>
      <c r="B543" s="26" t="n"/>
      <c r="C543" s="18" t="n"/>
      <c r="D543" s="20">
        <f>IF($W543="","",IF($W543="なし","※得意先にないコード",INDEX('得意先'!$C$5:$C$104,$W543)&amp;""))</f>
        <v/>
      </c>
      <c r="E543" s="26" t="n"/>
      <c r="F543" s="19" t="n"/>
      <c r="G543" s="27" t="n"/>
      <c r="H543" s="27" t="n"/>
      <c r="I543" s="27" t="n"/>
      <c r="J543" s="28">
        <f>IF($A543="","",IF('設定'!$B$10="四捨五入",ROUND(IF('設定'!$B$9="税込",N($G543)*10/110,N($G543)*10/100),0),IF('設定'!$B$10="切り上げ",ROUNDUP(IF('設定'!$B$9="税込",N($G543)*10/110,N($G543)*10/100),0),ROUNDDOWN(IF('設定'!$B$9="税込",N($G543)*10/110,N($G543)*10/100),0))))</f>
        <v/>
      </c>
      <c r="K543" s="28">
        <f>IF($A543="","",IF('設定'!$B$10="四捨五入",ROUND(IF('設定'!$B$9="税込",N($H543)*8/108,N($H543)*8/100),0),IF('設定'!$B$10="切り上げ",ROUNDUP(IF('設定'!$B$9="税込",N($H543)*8/108,N($H543)*8/100),0),ROUNDDOWN(IF('設定'!$B$9="税込",N($H543)*8/108,N($H543)*8/100),0))))</f>
        <v/>
      </c>
      <c r="L543" s="28">
        <f>IF($A543="","",N($G543)+N($H543)+N($I543)+IF('設定'!$B$9="税込",0,$J543+$K543))</f>
        <v/>
      </c>
      <c r="M543" s="29">
        <f>IF(OR($A543="",NOT(ISNUMBER($W543)),NOT(ISNUMBER($X543))),"",IF(OR(INDEX('得意先'!$D$5:$D$104,$W543)="",INDEX('得意先'!$E$5:$E$104,$W543)="",INDEX('得意先'!$F$5:$F$104,$W543)=""),"",IF(INDEX('得意先'!$F$5:$F$104,$W543)="末",DATE(YEAR($X543),(MONTH($X543)+IF(INDEX('得意先'!$D$5:$D$104,$W543)="末",0,IF(DAY($X543)&lt;=INDEX('得意先'!$D$5:$D$104,$W543),0,1))+N(INDEX('得意先'!$E$5:$E$104,$W543)))+1,0),DATE(YEAR($X543),(MONTH($X543)+IF(INDEX('得意先'!$D$5:$D$104,$W543)="末",0,IF(DAY($X543)&lt;=INDEX('得意先'!$D$5:$D$104,$W543),0,1))+N(INDEX('得意先'!$E$5:$E$104,$W543))),MIN(INDEX('得意先'!$F$5:$F$104,$W543),DAY(DATE(YEAR($X543),(MONTH($X543)+IF(INDEX('得意先'!$D$5:$D$104,$W543)="末",0,IF(DAY($X543)&lt;=INDEX('得意先'!$D$5:$D$104,$W543),0,1))+N(INDEX('得意先'!$E$5:$E$104,$W543)))+1,0)))))))</f>
        <v/>
      </c>
      <c r="N543" s="26" t="n"/>
      <c r="O543" s="29">
        <f>IF($A543="","",IF(ISNUMBER($N543),$N543,$M543))</f>
        <v/>
      </c>
      <c r="P543" s="28">
        <f>IF($A543="","",SUMIF('入金消込'!$F$5:$F$1004,$A543,'入金消込'!$G$5:$G$1004))</f>
        <v/>
      </c>
      <c r="Q543" s="28">
        <f>IF($A543="","",SUMIF('入金消込'!$F$5:$F$1004,$A543,'入金消込'!$H$5:$H$1004)+SUMIF('入金消込'!$F$5:$F$1004,$A543,'入金消込'!$I$5:$I$1004))</f>
        <v/>
      </c>
      <c r="R543" s="28">
        <f>IF($A543="","",$L543-$P543-$Q543)</f>
        <v/>
      </c>
      <c r="S543" s="30">
        <f>IF($A543="","",IF($R543=0,IF($L543=0,"請求額0","回収済"),IF($L543&lt;0,IF($R543&lt;0,"差し引き待ち","差し引きすぎ"),IF($R543&lt;0,"入金が多い",IF($P543+$Q543=0,"未入金","一部入金")))))</f>
        <v/>
      </c>
      <c r="T543" s="31">
        <f>IF(OR($A543="",N($R543)&lt;=0,NOT(ISNUMBER($O543))),"",IF($O543&lt;'設定'!$B$7,'設定'!$B$7-$O543,""))</f>
        <v/>
      </c>
      <c r="U543" s="30">
        <f>IF(OR($A543="",N($R543)&lt;=0),"",IF(NOT(ISNUMBER($O543)),'設定'!$B$22,IF($O543&gt;='設定'!$B$7,'設定'!$B$17,IF('設定'!$B$7-$O543&lt;='設定'!$B$12,'設定'!$B$18,IF('設定'!$B$7-$O543&lt;='設定'!$B$13,'設定'!$B$19,IF('設定'!$B$7-$O543&lt;='設定'!$B$14,'設定'!$B$20,'設定'!$B$21))))))</f>
        <v/>
      </c>
      <c r="V543" s="56" t="n"/>
      <c r="W543" s="32">
        <f>IF($C543="","",IFERROR(MATCH($C543,'得意先'!$B$5:$B$104,0),"なし"))</f>
        <v/>
      </c>
      <c r="X543" s="33">
        <f>IF($A543="","",IF(ISNUMBER($E543),$E543,IF(ISNUMBER($B543),$B543,"")))</f>
        <v/>
      </c>
      <c r="Y543" s="34">
        <f>IF($T543="","",$O543+ROW()/1000000)</f>
        <v/>
      </c>
      <c r="Z543" s="35">
        <f>IF(OR($A543="",$C543="",$C543&lt;&gt;'売掛帳'!$B$3,NOT(ISNUMBER($X543))),"",IF(AND($X543&gt;='売掛帳'!$Q$3,$X543&lt;='売掛帳'!$Q$4),$X543+ROW()/10000000,""))</f>
        <v/>
      </c>
    </row>
    <row r="544" ht="18" customHeight="1">
      <c r="A544" s="18" t="n"/>
      <c r="B544" s="26" t="n"/>
      <c r="C544" s="18" t="n"/>
      <c r="D544" s="20">
        <f>IF($W544="","",IF($W544="なし","※得意先にないコード",INDEX('得意先'!$C$5:$C$104,$W544)&amp;""))</f>
        <v/>
      </c>
      <c r="E544" s="26" t="n"/>
      <c r="F544" s="19" t="n"/>
      <c r="G544" s="27" t="n"/>
      <c r="H544" s="27" t="n"/>
      <c r="I544" s="27" t="n"/>
      <c r="J544" s="28">
        <f>IF($A544="","",IF('設定'!$B$10="四捨五入",ROUND(IF('設定'!$B$9="税込",N($G544)*10/110,N($G544)*10/100),0),IF('設定'!$B$10="切り上げ",ROUNDUP(IF('設定'!$B$9="税込",N($G544)*10/110,N($G544)*10/100),0),ROUNDDOWN(IF('設定'!$B$9="税込",N($G544)*10/110,N($G544)*10/100),0))))</f>
        <v/>
      </c>
      <c r="K544" s="28">
        <f>IF($A544="","",IF('設定'!$B$10="四捨五入",ROUND(IF('設定'!$B$9="税込",N($H544)*8/108,N($H544)*8/100),0),IF('設定'!$B$10="切り上げ",ROUNDUP(IF('設定'!$B$9="税込",N($H544)*8/108,N($H544)*8/100),0),ROUNDDOWN(IF('設定'!$B$9="税込",N($H544)*8/108,N($H544)*8/100),0))))</f>
        <v/>
      </c>
      <c r="L544" s="28">
        <f>IF($A544="","",N($G544)+N($H544)+N($I544)+IF('設定'!$B$9="税込",0,$J544+$K544))</f>
        <v/>
      </c>
      <c r="M544" s="29">
        <f>IF(OR($A544="",NOT(ISNUMBER($W544)),NOT(ISNUMBER($X544))),"",IF(OR(INDEX('得意先'!$D$5:$D$104,$W544)="",INDEX('得意先'!$E$5:$E$104,$W544)="",INDEX('得意先'!$F$5:$F$104,$W544)=""),"",IF(INDEX('得意先'!$F$5:$F$104,$W544)="末",DATE(YEAR($X544),(MONTH($X544)+IF(INDEX('得意先'!$D$5:$D$104,$W544)="末",0,IF(DAY($X544)&lt;=INDEX('得意先'!$D$5:$D$104,$W544),0,1))+N(INDEX('得意先'!$E$5:$E$104,$W544)))+1,0),DATE(YEAR($X544),(MONTH($X544)+IF(INDEX('得意先'!$D$5:$D$104,$W544)="末",0,IF(DAY($X544)&lt;=INDEX('得意先'!$D$5:$D$104,$W544),0,1))+N(INDEX('得意先'!$E$5:$E$104,$W544))),MIN(INDEX('得意先'!$F$5:$F$104,$W544),DAY(DATE(YEAR($X544),(MONTH($X544)+IF(INDEX('得意先'!$D$5:$D$104,$W544)="末",0,IF(DAY($X544)&lt;=INDEX('得意先'!$D$5:$D$104,$W544),0,1))+N(INDEX('得意先'!$E$5:$E$104,$W544)))+1,0)))))))</f>
        <v/>
      </c>
      <c r="N544" s="26" t="n"/>
      <c r="O544" s="29">
        <f>IF($A544="","",IF(ISNUMBER($N544),$N544,$M544))</f>
        <v/>
      </c>
      <c r="P544" s="28">
        <f>IF($A544="","",SUMIF('入金消込'!$F$5:$F$1004,$A544,'入金消込'!$G$5:$G$1004))</f>
        <v/>
      </c>
      <c r="Q544" s="28">
        <f>IF($A544="","",SUMIF('入金消込'!$F$5:$F$1004,$A544,'入金消込'!$H$5:$H$1004)+SUMIF('入金消込'!$F$5:$F$1004,$A544,'入金消込'!$I$5:$I$1004))</f>
        <v/>
      </c>
      <c r="R544" s="28">
        <f>IF($A544="","",$L544-$P544-$Q544)</f>
        <v/>
      </c>
      <c r="S544" s="30">
        <f>IF($A544="","",IF($R544=0,IF($L544=0,"請求額0","回収済"),IF($L544&lt;0,IF($R544&lt;0,"差し引き待ち","差し引きすぎ"),IF($R544&lt;0,"入金が多い",IF($P544+$Q544=0,"未入金","一部入金")))))</f>
        <v/>
      </c>
      <c r="T544" s="31">
        <f>IF(OR($A544="",N($R544)&lt;=0,NOT(ISNUMBER($O544))),"",IF($O544&lt;'設定'!$B$7,'設定'!$B$7-$O544,""))</f>
        <v/>
      </c>
      <c r="U544" s="30">
        <f>IF(OR($A544="",N($R544)&lt;=0),"",IF(NOT(ISNUMBER($O544)),'設定'!$B$22,IF($O544&gt;='設定'!$B$7,'設定'!$B$17,IF('設定'!$B$7-$O544&lt;='設定'!$B$12,'設定'!$B$18,IF('設定'!$B$7-$O544&lt;='設定'!$B$13,'設定'!$B$19,IF('設定'!$B$7-$O544&lt;='設定'!$B$14,'設定'!$B$20,'設定'!$B$21))))))</f>
        <v/>
      </c>
      <c r="V544" s="56" t="n"/>
      <c r="W544" s="32">
        <f>IF($C544="","",IFERROR(MATCH($C544,'得意先'!$B$5:$B$104,0),"なし"))</f>
        <v/>
      </c>
      <c r="X544" s="33">
        <f>IF($A544="","",IF(ISNUMBER($E544),$E544,IF(ISNUMBER($B544),$B544,"")))</f>
        <v/>
      </c>
      <c r="Y544" s="34">
        <f>IF($T544="","",$O544+ROW()/1000000)</f>
        <v/>
      </c>
      <c r="Z544" s="35">
        <f>IF(OR($A544="",$C544="",$C544&lt;&gt;'売掛帳'!$B$3,NOT(ISNUMBER($X544))),"",IF(AND($X544&gt;='売掛帳'!$Q$3,$X544&lt;='売掛帳'!$Q$4),$X544+ROW()/10000000,""))</f>
        <v/>
      </c>
    </row>
    <row r="545" ht="18" customHeight="1">
      <c r="A545" s="18" t="n"/>
      <c r="B545" s="26" t="n"/>
      <c r="C545" s="18" t="n"/>
      <c r="D545" s="20">
        <f>IF($W545="","",IF($W545="なし","※得意先にないコード",INDEX('得意先'!$C$5:$C$104,$W545)&amp;""))</f>
        <v/>
      </c>
      <c r="E545" s="26" t="n"/>
      <c r="F545" s="19" t="n"/>
      <c r="G545" s="27" t="n"/>
      <c r="H545" s="27" t="n"/>
      <c r="I545" s="27" t="n"/>
      <c r="J545" s="28">
        <f>IF($A545="","",IF('設定'!$B$10="四捨五入",ROUND(IF('設定'!$B$9="税込",N($G545)*10/110,N($G545)*10/100),0),IF('設定'!$B$10="切り上げ",ROUNDUP(IF('設定'!$B$9="税込",N($G545)*10/110,N($G545)*10/100),0),ROUNDDOWN(IF('設定'!$B$9="税込",N($G545)*10/110,N($G545)*10/100),0))))</f>
        <v/>
      </c>
      <c r="K545" s="28">
        <f>IF($A545="","",IF('設定'!$B$10="四捨五入",ROUND(IF('設定'!$B$9="税込",N($H545)*8/108,N($H545)*8/100),0),IF('設定'!$B$10="切り上げ",ROUNDUP(IF('設定'!$B$9="税込",N($H545)*8/108,N($H545)*8/100),0),ROUNDDOWN(IF('設定'!$B$9="税込",N($H545)*8/108,N($H545)*8/100),0))))</f>
        <v/>
      </c>
      <c r="L545" s="28">
        <f>IF($A545="","",N($G545)+N($H545)+N($I545)+IF('設定'!$B$9="税込",0,$J545+$K545))</f>
        <v/>
      </c>
      <c r="M545" s="29">
        <f>IF(OR($A545="",NOT(ISNUMBER($W545)),NOT(ISNUMBER($X545))),"",IF(OR(INDEX('得意先'!$D$5:$D$104,$W545)="",INDEX('得意先'!$E$5:$E$104,$W545)="",INDEX('得意先'!$F$5:$F$104,$W545)=""),"",IF(INDEX('得意先'!$F$5:$F$104,$W545)="末",DATE(YEAR($X545),(MONTH($X545)+IF(INDEX('得意先'!$D$5:$D$104,$W545)="末",0,IF(DAY($X545)&lt;=INDEX('得意先'!$D$5:$D$104,$W545),0,1))+N(INDEX('得意先'!$E$5:$E$104,$W545)))+1,0),DATE(YEAR($X545),(MONTH($X545)+IF(INDEX('得意先'!$D$5:$D$104,$W545)="末",0,IF(DAY($X545)&lt;=INDEX('得意先'!$D$5:$D$104,$W545),0,1))+N(INDEX('得意先'!$E$5:$E$104,$W545))),MIN(INDEX('得意先'!$F$5:$F$104,$W545),DAY(DATE(YEAR($X545),(MONTH($X545)+IF(INDEX('得意先'!$D$5:$D$104,$W545)="末",0,IF(DAY($X545)&lt;=INDEX('得意先'!$D$5:$D$104,$W545),0,1))+N(INDEX('得意先'!$E$5:$E$104,$W545)))+1,0)))))))</f>
        <v/>
      </c>
      <c r="N545" s="26" t="n"/>
      <c r="O545" s="29">
        <f>IF($A545="","",IF(ISNUMBER($N545),$N545,$M545))</f>
        <v/>
      </c>
      <c r="P545" s="28">
        <f>IF($A545="","",SUMIF('入金消込'!$F$5:$F$1004,$A545,'入金消込'!$G$5:$G$1004))</f>
        <v/>
      </c>
      <c r="Q545" s="28">
        <f>IF($A545="","",SUMIF('入金消込'!$F$5:$F$1004,$A545,'入金消込'!$H$5:$H$1004)+SUMIF('入金消込'!$F$5:$F$1004,$A545,'入金消込'!$I$5:$I$1004))</f>
        <v/>
      </c>
      <c r="R545" s="28">
        <f>IF($A545="","",$L545-$P545-$Q545)</f>
        <v/>
      </c>
      <c r="S545" s="30">
        <f>IF($A545="","",IF($R545=0,IF($L545=0,"請求額0","回収済"),IF($L545&lt;0,IF($R545&lt;0,"差し引き待ち","差し引きすぎ"),IF($R545&lt;0,"入金が多い",IF($P545+$Q545=0,"未入金","一部入金")))))</f>
        <v/>
      </c>
      <c r="T545" s="31">
        <f>IF(OR($A545="",N($R545)&lt;=0,NOT(ISNUMBER($O545))),"",IF($O545&lt;'設定'!$B$7,'設定'!$B$7-$O545,""))</f>
        <v/>
      </c>
      <c r="U545" s="30">
        <f>IF(OR($A545="",N($R545)&lt;=0),"",IF(NOT(ISNUMBER($O545)),'設定'!$B$22,IF($O545&gt;='設定'!$B$7,'設定'!$B$17,IF('設定'!$B$7-$O545&lt;='設定'!$B$12,'設定'!$B$18,IF('設定'!$B$7-$O545&lt;='設定'!$B$13,'設定'!$B$19,IF('設定'!$B$7-$O545&lt;='設定'!$B$14,'設定'!$B$20,'設定'!$B$21))))))</f>
        <v/>
      </c>
      <c r="V545" s="56" t="n"/>
      <c r="W545" s="32">
        <f>IF($C545="","",IFERROR(MATCH($C545,'得意先'!$B$5:$B$104,0),"なし"))</f>
        <v/>
      </c>
      <c r="X545" s="33">
        <f>IF($A545="","",IF(ISNUMBER($E545),$E545,IF(ISNUMBER($B545),$B545,"")))</f>
        <v/>
      </c>
      <c r="Y545" s="34">
        <f>IF($T545="","",$O545+ROW()/1000000)</f>
        <v/>
      </c>
      <c r="Z545" s="35">
        <f>IF(OR($A545="",$C545="",$C545&lt;&gt;'売掛帳'!$B$3,NOT(ISNUMBER($X545))),"",IF(AND($X545&gt;='売掛帳'!$Q$3,$X545&lt;='売掛帳'!$Q$4),$X545+ROW()/10000000,""))</f>
        <v/>
      </c>
    </row>
    <row r="546" ht="18" customHeight="1">
      <c r="A546" s="18" t="n"/>
      <c r="B546" s="26" t="n"/>
      <c r="C546" s="18" t="n"/>
      <c r="D546" s="20">
        <f>IF($W546="","",IF($W546="なし","※得意先にないコード",INDEX('得意先'!$C$5:$C$104,$W546)&amp;""))</f>
        <v/>
      </c>
      <c r="E546" s="26" t="n"/>
      <c r="F546" s="19" t="n"/>
      <c r="G546" s="27" t="n"/>
      <c r="H546" s="27" t="n"/>
      <c r="I546" s="27" t="n"/>
      <c r="J546" s="28">
        <f>IF($A546="","",IF('設定'!$B$10="四捨五入",ROUND(IF('設定'!$B$9="税込",N($G546)*10/110,N($G546)*10/100),0),IF('設定'!$B$10="切り上げ",ROUNDUP(IF('設定'!$B$9="税込",N($G546)*10/110,N($G546)*10/100),0),ROUNDDOWN(IF('設定'!$B$9="税込",N($G546)*10/110,N($G546)*10/100),0))))</f>
        <v/>
      </c>
      <c r="K546" s="28">
        <f>IF($A546="","",IF('設定'!$B$10="四捨五入",ROUND(IF('設定'!$B$9="税込",N($H546)*8/108,N($H546)*8/100),0),IF('設定'!$B$10="切り上げ",ROUNDUP(IF('設定'!$B$9="税込",N($H546)*8/108,N($H546)*8/100),0),ROUNDDOWN(IF('設定'!$B$9="税込",N($H546)*8/108,N($H546)*8/100),0))))</f>
        <v/>
      </c>
      <c r="L546" s="28">
        <f>IF($A546="","",N($G546)+N($H546)+N($I546)+IF('設定'!$B$9="税込",0,$J546+$K546))</f>
        <v/>
      </c>
      <c r="M546" s="29">
        <f>IF(OR($A546="",NOT(ISNUMBER($W546)),NOT(ISNUMBER($X546))),"",IF(OR(INDEX('得意先'!$D$5:$D$104,$W546)="",INDEX('得意先'!$E$5:$E$104,$W546)="",INDEX('得意先'!$F$5:$F$104,$W546)=""),"",IF(INDEX('得意先'!$F$5:$F$104,$W546)="末",DATE(YEAR($X546),(MONTH($X546)+IF(INDEX('得意先'!$D$5:$D$104,$W546)="末",0,IF(DAY($X546)&lt;=INDEX('得意先'!$D$5:$D$104,$W546),0,1))+N(INDEX('得意先'!$E$5:$E$104,$W546)))+1,0),DATE(YEAR($X546),(MONTH($X546)+IF(INDEX('得意先'!$D$5:$D$104,$W546)="末",0,IF(DAY($X546)&lt;=INDEX('得意先'!$D$5:$D$104,$W546),0,1))+N(INDEX('得意先'!$E$5:$E$104,$W546))),MIN(INDEX('得意先'!$F$5:$F$104,$W546),DAY(DATE(YEAR($X546),(MONTH($X546)+IF(INDEX('得意先'!$D$5:$D$104,$W546)="末",0,IF(DAY($X546)&lt;=INDEX('得意先'!$D$5:$D$104,$W546),0,1))+N(INDEX('得意先'!$E$5:$E$104,$W546)))+1,0)))))))</f>
        <v/>
      </c>
      <c r="N546" s="26" t="n"/>
      <c r="O546" s="29">
        <f>IF($A546="","",IF(ISNUMBER($N546),$N546,$M546))</f>
        <v/>
      </c>
      <c r="P546" s="28">
        <f>IF($A546="","",SUMIF('入金消込'!$F$5:$F$1004,$A546,'入金消込'!$G$5:$G$1004))</f>
        <v/>
      </c>
      <c r="Q546" s="28">
        <f>IF($A546="","",SUMIF('入金消込'!$F$5:$F$1004,$A546,'入金消込'!$H$5:$H$1004)+SUMIF('入金消込'!$F$5:$F$1004,$A546,'入金消込'!$I$5:$I$1004))</f>
        <v/>
      </c>
      <c r="R546" s="28">
        <f>IF($A546="","",$L546-$P546-$Q546)</f>
        <v/>
      </c>
      <c r="S546" s="30">
        <f>IF($A546="","",IF($R546=0,IF($L546=0,"請求額0","回収済"),IF($L546&lt;0,IF($R546&lt;0,"差し引き待ち","差し引きすぎ"),IF($R546&lt;0,"入金が多い",IF($P546+$Q546=0,"未入金","一部入金")))))</f>
        <v/>
      </c>
      <c r="T546" s="31">
        <f>IF(OR($A546="",N($R546)&lt;=0,NOT(ISNUMBER($O546))),"",IF($O546&lt;'設定'!$B$7,'設定'!$B$7-$O546,""))</f>
        <v/>
      </c>
      <c r="U546" s="30">
        <f>IF(OR($A546="",N($R546)&lt;=0),"",IF(NOT(ISNUMBER($O546)),'設定'!$B$22,IF($O546&gt;='設定'!$B$7,'設定'!$B$17,IF('設定'!$B$7-$O546&lt;='設定'!$B$12,'設定'!$B$18,IF('設定'!$B$7-$O546&lt;='設定'!$B$13,'設定'!$B$19,IF('設定'!$B$7-$O546&lt;='設定'!$B$14,'設定'!$B$20,'設定'!$B$21))))))</f>
        <v/>
      </c>
      <c r="V546" s="56" t="n"/>
      <c r="W546" s="32">
        <f>IF($C546="","",IFERROR(MATCH($C546,'得意先'!$B$5:$B$104,0),"なし"))</f>
        <v/>
      </c>
      <c r="X546" s="33">
        <f>IF($A546="","",IF(ISNUMBER($E546),$E546,IF(ISNUMBER($B546),$B546,"")))</f>
        <v/>
      </c>
      <c r="Y546" s="34">
        <f>IF($T546="","",$O546+ROW()/1000000)</f>
        <v/>
      </c>
      <c r="Z546" s="35">
        <f>IF(OR($A546="",$C546="",$C546&lt;&gt;'売掛帳'!$B$3,NOT(ISNUMBER($X546))),"",IF(AND($X546&gt;='売掛帳'!$Q$3,$X546&lt;='売掛帳'!$Q$4),$X546+ROW()/10000000,""))</f>
        <v/>
      </c>
    </row>
    <row r="547" ht="18" customHeight="1">
      <c r="A547" s="18" t="n"/>
      <c r="B547" s="26" t="n"/>
      <c r="C547" s="18" t="n"/>
      <c r="D547" s="20">
        <f>IF($W547="","",IF($W547="なし","※得意先にないコード",INDEX('得意先'!$C$5:$C$104,$W547)&amp;""))</f>
        <v/>
      </c>
      <c r="E547" s="26" t="n"/>
      <c r="F547" s="19" t="n"/>
      <c r="G547" s="27" t="n"/>
      <c r="H547" s="27" t="n"/>
      <c r="I547" s="27" t="n"/>
      <c r="J547" s="28">
        <f>IF($A547="","",IF('設定'!$B$10="四捨五入",ROUND(IF('設定'!$B$9="税込",N($G547)*10/110,N($G547)*10/100),0),IF('設定'!$B$10="切り上げ",ROUNDUP(IF('設定'!$B$9="税込",N($G547)*10/110,N($G547)*10/100),0),ROUNDDOWN(IF('設定'!$B$9="税込",N($G547)*10/110,N($G547)*10/100),0))))</f>
        <v/>
      </c>
      <c r="K547" s="28">
        <f>IF($A547="","",IF('設定'!$B$10="四捨五入",ROUND(IF('設定'!$B$9="税込",N($H547)*8/108,N($H547)*8/100),0),IF('設定'!$B$10="切り上げ",ROUNDUP(IF('設定'!$B$9="税込",N($H547)*8/108,N($H547)*8/100),0),ROUNDDOWN(IF('設定'!$B$9="税込",N($H547)*8/108,N($H547)*8/100),0))))</f>
        <v/>
      </c>
      <c r="L547" s="28">
        <f>IF($A547="","",N($G547)+N($H547)+N($I547)+IF('設定'!$B$9="税込",0,$J547+$K547))</f>
        <v/>
      </c>
      <c r="M547" s="29">
        <f>IF(OR($A547="",NOT(ISNUMBER($W547)),NOT(ISNUMBER($X547))),"",IF(OR(INDEX('得意先'!$D$5:$D$104,$W547)="",INDEX('得意先'!$E$5:$E$104,$W547)="",INDEX('得意先'!$F$5:$F$104,$W547)=""),"",IF(INDEX('得意先'!$F$5:$F$104,$W547)="末",DATE(YEAR($X547),(MONTH($X547)+IF(INDEX('得意先'!$D$5:$D$104,$W547)="末",0,IF(DAY($X547)&lt;=INDEX('得意先'!$D$5:$D$104,$W547),0,1))+N(INDEX('得意先'!$E$5:$E$104,$W547)))+1,0),DATE(YEAR($X547),(MONTH($X547)+IF(INDEX('得意先'!$D$5:$D$104,$W547)="末",0,IF(DAY($X547)&lt;=INDEX('得意先'!$D$5:$D$104,$W547),0,1))+N(INDEX('得意先'!$E$5:$E$104,$W547))),MIN(INDEX('得意先'!$F$5:$F$104,$W547),DAY(DATE(YEAR($X547),(MONTH($X547)+IF(INDEX('得意先'!$D$5:$D$104,$W547)="末",0,IF(DAY($X547)&lt;=INDEX('得意先'!$D$5:$D$104,$W547),0,1))+N(INDEX('得意先'!$E$5:$E$104,$W547)))+1,0)))))))</f>
        <v/>
      </c>
      <c r="N547" s="26" t="n"/>
      <c r="O547" s="29">
        <f>IF($A547="","",IF(ISNUMBER($N547),$N547,$M547))</f>
        <v/>
      </c>
      <c r="P547" s="28">
        <f>IF($A547="","",SUMIF('入金消込'!$F$5:$F$1004,$A547,'入金消込'!$G$5:$G$1004))</f>
        <v/>
      </c>
      <c r="Q547" s="28">
        <f>IF($A547="","",SUMIF('入金消込'!$F$5:$F$1004,$A547,'入金消込'!$H$5:$H$1004)+SUMIF('入金消込'!$F$5:$F$1004,$A547,'入金消込'!$I$5:$I$1004))</f>
        <v/>
      </c>
      <c r="R547" s="28">
        <f>IF($A547="","",$L547-$P547-$Q547)</f>
        <v/>
      </c>
      <c r="S547" s="30">
        <f>IF($A547="","",IF($R547=0,IF($L547=0,"請求額0","回収済"),IF($L547&lt;0,IF($R547&lt;0,"差し引き待ち","差し引きすぎ"),IF($R547&lt;0,"入金が多い",IF($P547+$Q547=0,"未入金","一部入金")))))</f>
        <v/>
      </c>
      <c r="T547" s="31">
        <f>IF(OR($A547="",N($R547)&lt;=0,NOT(ISNUMBER($O547))),"",IF($O547&lt;'設定'!$B$7,'設定'!$B$7-$O547,""))</f>
        <v/>
      </c>
      <c r="U547" s="30">
        <f>IF(OR($A547="",N($R547)&lt;=0),"",IF(NOT(ISNUMBER($O547)),'設定'!$B$22,IF($O547&gt;='設定'!$B$7,'設定'!$B$17,IF('設定'!$B$7-$O547&lt;='設定'!$B$12,'設定'!$B$18,IF('設定'!$B$7-$O547&lt;='設定'!$B$13,'設定'!$B$19,IF('設定'!$B$7-$O547&lt;='設定'!$B$14,'設定'!$B$20,'設定'!$B$21))))))</f>
        <v/>
      </c>
      <c r="V547" s="56" t="n"/>
      <c r="W547" s="32">
        <f>IF($C547="","",IFERROR(MATCH($C547,'得意先'!$B$5:$B$104,0),"なし"))</f>
        <v/>
      </c>
      <c r="X547" s="33">
        <f>IF($A547="","",IF(ISNUMBER($E547),$E547,IF(ISNUMBER($B547),$B547,"")))</f>
        <v/>
      </c>
      <c r="Y547" s="34">
        <f>IF($T547="","",$O547+ROW()/1000000)</f>
        <v/>
      </c>
      <c r="Z547" s="35">
        <f>IF(OR($A547="",$C547="",$C547&lt;&gt;'売掛帳'!$B$3,NOT(ISNUMBER($X547))),"",IF(AND($X547&gt;='売掛帳'!$Q$3,$X547&lt;='売掛帳'!$Q$4),$X547+ROW()/10000000,""))</f>
        <v/>
      </c>
    </row>
    <row r="548" ht="18" customHeight="1">
      <c r="A548" s="18" t="n"/>
      <c r="B548" s="26" t="n"/>
      <c r="C548" s="18" t="n"/>
      <c r="D548" s="20">
        <f>IF($W548="","",IF($W548="なし","※得意先にないコード",INDEX('得意先'!$C$5:$C$104,$W548)&amp;""))</f>
        <v/>
      </c>
      <c r="E548" s="26" t="n"/>
      <c r="F548" s="19" t="n"/>
      <c r="G548" s="27" t="n"/>
      <c r="H548" s="27" t="n"/>
      <c r="I548" s="27" t="n"/>
      <c r="J548" s="28">
        <f>IF($A548="","",IF('設定'!$B$10="四捨五入",ROUND(IF('設定'!$B$9="税込",N($G548)*10/110,N($G548)*10/100),0),IF('設定'!$B$10="切り上げ",ROUNDUP(IF('設定'!$B$9="税込",N($G548)*10/110,N($G548)*10/100),0),ROUNDDOWN(IF('設定'!$B$9="税込",N($G548)*10/110,N($G548)*10/100),0))))</f>
        <v/>
      </c>
      <c r="K548" s="28">
        <f>IF($A548="","",IF('設定'!$B$10="四捨五入",ROUND(IF('設定'!$B$9="税込",N($H548)*8/108,N($H548)*8/100),0),IF('設定'!$B$10="切り上げ",ROUNDUP(IF('設定'!$B$9="税込",N($H548)*8/108,N($H548)*8/100),0),ROUNDDOWN(IF('設定'!$B$9="税込",N($H548)*8/108,N($H548)*8/100),0))))</f>
        <v/>
      </c>
      <c r="L548" s="28">
        <f>IF($A548="","",N($G548)+N($H548)+N($I548)+IF('設定'!$B$9="税込",0,$J548+$K548))</f>
        <v/>
      </c>
      <c r="M548" s="29">
        <f>IF(OR($A548="",NOT(ISNUMBER($W548)),NOT(ISNUMBER($X548))),"",IF(OR(INDEX('得意先'!$D$5:$D$104,$W548)="",INDEX('得意先'!$E$5:$E$104,$W548)="",INDEX('得意先'!$F$5:$F$104,$W548)=""),"",IF(INDEX('得意先'!$F$5:$F$104,$W548)="末",DATE(YEAR($X548),(MONTH($X548)+IF(INDEX('得意先'!$D$5:$D$104,$W548)="末",0,IF(DAY($X548)&lt;=INDEX('得意先'!$D$5:$D$104,$W548),0,1))+N(INDEX('得意先'!$E$5:$E$104,$W548)))+1,0),DATE(YEAR($X548),(MONTH($X548)+IF(INDEX('得意先'!$D$5:$D$104,$W548)="末",0,IF(DAY($X548)&lt;=INDEX('得意先'!$D$5:$D$104,$W548),0,1))+N(INDEX('得意先'!$E$5:$E$104,$W548))),MIN(INDEX('得意先'!$F$5:$F$104,$W548),DAY(DATE(YEAR($X548),(MONTH($X548)+IF(INDEX('得意先'!$D$5:$D$104,$W548)="末",0,IF(DAY($X548)&lt;=INDEX('得意先'!$D$5:$D$104,$W548),0,1))+N(INDEX('得意先'!$E$5:$E$104,$W548)))+1,0)))))))</f>
        <v/>
      </c>
      <c r="N548" s="26" t="n"/>
      <c r="O548" s="29">
        <f>IF($A548="","",IF(ISNUMBER($N548),$N548,$M548))</f>
        <v/>
      </c>
      <c r="P548" s="28">
        <f>IF($A548="","",SUMIF('入金消込'!$F$5:$F$1004,$A548,'入金消込'!$G$5:$G$1004))</f>
        <v/>
      </c>
      <c r="Q548" s="28">
        <f>IF($A548="","",SUMIF('入金消込'!$F$5:$F$1004,$A548,'入金消込'!$H$5:$H$1004)+SUMIF('入金消込'!$F$5:$F$1004,$A548,'入金消込'!$I$5:$I$1004))</f>
        <v/>
      </c>
      <c r="R548" s="28">
        <f>IF($A548="","",$L548-$P548-$Q548)</f>
        <v/>
      </c>
      <c r="S548" s="30">
        <f>IF($A548="","",IF($R548=0,IF($L548=0,"請求額0","回収済"),IF($L548&lt;0,IF($R548&lt;0,"差し引き待ち","差し引きすぎ"),IF($R548&lt;0,"入金が多い",IF($P548+$Q548=0,"未入金","一部入金")))))</f>
        <v/>
      </c>
      <c r="T548" s="31">
        <f>IF(OR($A548="",N($R548)&lt;=0,NOT(ISNUMBER($O548))),"",IF($O548&lt;'設定'!$B$7,'設定'!$B$7-$O548,""))</f>
        <v/>
      </c>
      <c r="U548" s="30">
        <f>IF(OR($A548="",N($R548)&lt;=0),"",IF(NOT(ISNUMBER($O548)),'設定'!$B$22,IF($O548&gt;='設定'!$B$7,'設定'!$B$17,IF('設定'!$B$7-$O548&lt;='設定'!$B$12,'設定'!$B$18,IF('設定'!$B$7-$O548&lt;='設定'!$B$13,'設定'!$B$19,IF('設定'!$B$7-$O548&lt;='設定'!$B$14,'設定'!$B$20,'設定'!$B$21))))))</f>
        <v/>
      </c>
      <c r="V548" s="56" t="n"/>
      <c r="W548" s="32">
        <f>IF($C548="","",IFERROR(MATCH($C548,'得意先'!$B$5:$B$104,0),"なし"))</f>
        <v/>
      </c>
      <c r="X548" s="33">
        <f>IF($A548="","",IF(ISNUMBER($E548),$E548,IF(ISNUMBER($B548),$B548,"")))</f>
        <v/>
      </c>
      <c r="Y548" s="34">
        <f>IF($T548="","",$O548+ROW()/1000000)</f>
        <v/>
      </c>
      <c r="Z548" s="35">
        <f>IF(OR($A548="",$C548="",$C548&lt;&gt;'売掛帳'!$B$3,NOT(ISNUMBER($X548))),"",IF(AND($X548&gt;='売掛帳'!$Q$3,$X548&lt;='売掛帳'!$Q$4),$X548+ROW()/10000000,""))</f>
        <v/>
      </c>
    </row>
    <row r="549" ht="18" customHeight="1">
      <c r="A549" s="18" t="n"/>
      <c r="B549" s="26" t="n"/>
      <c r="C549" s="18" t="n"/>
      <c r="D549" s="20">
        <f>IF($W549="","",IF($W549="なし","※得意先にないコード",INDEX('得意先'!$C$5:$C$104,$W549)&amp;""))</f>
        <v/>
      </c>
      <c r="E549" s="26" t="n"/>
      <c r="F549" s="19" t="n"/>
      <c r="G549" s="27" t="n"/>
      <c r="H549" s="27" t="n"/>
      <c r="I549" s="27" t="n"/>
      <c r="J549" s="28">
        <f>IF($A549="","",IF('設定'!$B$10="四捨五入",ROUND(IF('設定'!$B$9="税込",N($G549)*10/110,N($G549)*10/100),0),IF('設定'!$B$10="切り上げ",ROUNDUP(IF('設定'!$B$9="税込",N($G549)*10/110,N($G549)*10/100),0),ROUNDDOWN(IF('設定'!$B$9="税込",N($G549)*10/110,N($G549)*10/100),0))))</f>
        <v/>
      </c>
      <c r="K549" s="28">
        <f>IF($A549="","",IF('設定'!$B$10="四捨五入",ROUND(IF('設定'!$B$9="税込",N($H549)*8/108,N($H549)*8/100),0),IF('設定'!$B$10="切り上げ",ROUNDUP(IF('設定'!$B$9="税込",N($H549)*8/108,N($H549)*8/100),0),ROUNDDOWN(IF('設定'!$B$9="税込",N($H549)*8/108,N($H549)*8/100),0))))</f>
        <v/>
      </c>
      <c r="L549" s="28">
        <f>IF($A549="","",N($G549)+N($H549)+N($I549)+IF('設定'!$B$9="税込",0,$J549+$K549))</f>
        <v/>
      </c>
      <c r="M549" s="29">
        <f>IF(OR($A549="",NOT(ISNUMBER($W549)),NOT(ISNUMBER($X549))),"",IF(OR(INDEX('得意先'!$D$5:$D$104,$W549)="",INDEX('得意先'!$E$5:$E$104,$W549)="",INDEX('得意先'!$F$5:$F$104,$W549)=""),"",IF(INDEX('得意先'!$F$5:$F$104,$W549)="末",DATE(YEAR($X549),(MONTH($X549)+IF(INDEX('得意先'!$D$5:$D$104,$W549)="末",0,IF(DAY($X549)&lt;=INDEX('得意先'!$D$5:$D$104,$W549),0,1))+N(INDEX('得意先'!$E$5:$E$104,$W549)))+1,0),DATE(YEAR($X549),(MONTH($X549)+IF(INDEX('得意先'!$D$5:$D$104,$W549)="末",0,IF(DAY($X549)&lt;=INDEX('得意先'!$D$5:$D$104,$W549),0,1))+N(INDEX('得意先'!$E$5:$E$104,$W549))),MIN(INDEX('得意先'!$F$5:$F$104,$W549),DAY(DATE(YEAR($X549),(MONTH($X549)+IF(INDEX('得意先'!$D$5:$D$104,$W549)="末",0,IF(DAY($X549)&lt;=INDEX('得意先'!$D$5:$D$104,$W549),0,1))+N(INDEX('得意先'!$E$5:$E$104,$W549)))+1,0)))))))</f>
        <v/>
      </c>
      <c r="N549" s="26" t="n"/>
      <c r="O549" s="29">
        <f>IF($A549="","",IF(ISNUMBER($N549),$N549,$M549))</f>
        <v/>
      </c>
      <c r="P549" s="28">
        <f>IF($A549="","",SUMIF('入金消込'!$F$5:$F$1004,$A549,'入金消込'!$G$5:$G$1004))</f>
        <v/>
      </c>
      <c r="Q549" s="28">
        <f>IF($A549="","",SUMIF('入金消込'!$F$5:$F$1004,$A549,'入金消込'!$H$5:$H$1004)+SUMIF('入金消込'!$F$5:$F$1004,$A549,'入金消込'!$I$5:$I$1004))</f>
        <v/>
      </c>
      <c r="R549" s="28">
        <f>IF($A549="","",$L549-$P549-$Q549)</f>
        <v/>
      </c>
      <c r="S549" s="30">
        <f>IF($A549="","",IF($R549=0,IF($L549=0,"請求額0","回収済"),IF($L549&lt;0,IF($R549&lt;0,"差し引き待ち","差し引きすぎ"),IF($R549&lt;0,"入金が多い",IF($P549+$Q549=0,"未入金","一部入金")))))</f>
        <v/>
      </c>
      <c r="T549" s="31">
        <f>IF(OR($A549="",N($R549)&lt;=0,NOT(ISNUMBER($O549))),"",IF($O549&lt;'設定'!$B$7,'設定'!$B$7-$O549,""))</f>
        <v/>
      </c>
      <c r="U549" s="30">
        <f>IF(OR($A549="",N($R549)&lt;=0),"",IF(NOT(ISNUMBER($O549)),'設定'!$B$22,IF($O549&gt;='設定'!$B$7,'設定'!$B$17,IF('設定'!$B$7-$O549&lt;='設定'!$B$12,'設定'!$B$18,IF('設定'!$B$7-$O549&lt;='設定'!$B$13,'設定'!$B$19,IF('設定'!$B$7-$O549&lt;='設定'!$B$14,'設定'!$B$20,'設定'!$B$21))))))</f>
        <v/>
      </c>
      <c r="V549" s="56" t="n"/>
      <c r="W549" s="32">
        <f>IF($C549="","",IFERROR(MATCH($C549,'得意先'!$B$5:$B$104,0),"なし"))</f>
        <v/>
      </c>
      <c r="X549" s="33">
        <f>IF($A549="","",IF(ISNUMBER($E549),$E549,IF(ISNUMBER($B549),$B549,"")))</f>
        <v/>
      </c>
      <c r="Y549" s="34">
        <f>IF($T549="","",$O549+ROW()/1000000)</f>
        <v/>
      </c>
      <c r="Z549" s="35">
        <f>IF(OR($A549="",$C549="",$C549&lt;&gt;'売掛帳'!$B$3,NOT(ISNUMBER($X549))),"",IF(AND($X549&gt;='売掛帳'!$Q$3,$X549&lt;='売掛帳'!$Q$4),$X549+ROW()/10000000,""))</f>
        <v/>
      </c>
    </row>
    <row r="550" ht="18" customHeight="1">
      <c r="A550" s="18" t="n"/>
      <c r="B550" s="26" t="n"/>
      <c r="C550" s="18" t="n"/>
      <c r="D550" s="20">
        <f>IF($W550="","",IF($W550="なし","※得意先にないコード",INDEX('得意先'!$C$5:$C$104,$W550)&amp;""))</f>
        <v/>
      </c>
      <c r="E550" s="26" t="n"/>
      <c r="F550" s="19" t="n"/>
      <c r="G550" s="27" t="n"/>
      <c r="H550" s="27" t="n"/>
      <c r="I550" s="27" t="n"/>
      <c r="J550" s="28">
        <f>IF($A550="","",IF('設定'!$B$10="四捨五入",ROUND(IF('設定'!$B$9="税込",N($G550)*10/110,N($G550)*10/100),0),IF('設定'!$B$10="切り上げ",ROUNDUP(IF('設定'!$B$9="税込",N($G550)*10/110,N($G550)*10/100),0),ROUNDDOWN(IF('設定'!$B$9="税込",N($G550)*10/110,N($G550)*10/100),0))))</f>
        <v/>
      </c>
      <c r="K550" s="28">
        <f>IF($A550="","",IF('設定'!$B$10="四捨五入",ROUND(IF('設定'!$B$9="税込",N($H550)*8/108,N($H550)*8/100),0),IF('設定'!$B$10="切り上げ",ROUNDUP(IF('設定'!$B$9="税込",N($H550)*8/108,N($H550)*8/100),0),ROUNDDOWN(IF('設定'!$B$9="税込",N($H550)*8/108,N($H550)*8/100),0))))</f>
        <v/>
      </c>
      <c r="L550" s="28">
        <f>IF($A550="","",N($G550)+N($H550)+N($I550)+IF('設定'!$B$9="税込",0,$J550+$K550))</f>
        <v/>
      </c>
      <c r="M550" s="29">
        <f>IF(OR($A550="",NOT(ISNUMBER($W550)),NOT(ISNUMBER($X550))),"",IF(OR(INDEX('得意先'!$D$5:$D$104,$W550)="",INDEX('得意先'!$E$5:$E$104,$W550)="",INDEX('得意先'!$F$5:$F$104,$W550)=""),"",IF(INDEX('得意先'!$F$5:$F$104,$W550)="末",DATE(YEAR($X550),(MONTH($X550)+IF(INDEX('得意先'!$D$5:$D$104,$W550)="末",0,IF(DAY($X550)&lt;=INDEX('得意先'!$D$5:$D$104,$W550),0,1))+N(INDEX('得意先'!$E$5:$E$104,$W550)))+1,0),DATE(YEAR($X550),(MONTH($X550)+IF(INDEX('得意先'!$D$5:$D$104,$W550)="末",0,IF(DAY($X550)&lt;=INDEX('得意先'!$D$5:$D$104,$W550),0,1))+N(INDEX('得意先'!$E$5:$E$104,$W550))),MIN(INDEX('得意先'!$F$5:$F$104,$W550),DAY(DATE(YEAR($X550),(MONTH($X550)+IF(INDEX('得意先'!$D$5:$D$104,$W550)="末",0,IF(DAY($X550)&lt;=INDEX('得意先'!$D$5:$D$104,$W550),0,1))+N(INDEX('得意先'!$E$5:$E$104,$W550)))+1,0)))))))</f>
        <v/>
      </c>
      <c r="N550" s="26" t="n"/>
      <c r="O550" s="29">
        <f>IF($A550="","",IF(ISNUMBER($N550),$N550,$M550))</f>
        <v/>
      </c>
      <c r="P550" s="28">
        <f>IF($A550="","",SUMIF('入金消込'!$F$5:$F$1004,$A550,'入金消込'!$G$5:$G$1004))</f>
        <v/>
      </c>
      <c r="Q550" s="28">
        <f>IF($A550="","",SUMIF('入金消込'!$F$5:$F$1004,$A550,'入金消込'!$H$5:$H$1004)+SUMIF('入金消込'!$F$5:$F$1004,$A550,'入金消込'!$I$5:$I$1004))</f>
        <v/>
      </c>
      <c r="R550" s="28">
        <f>IF($A550="","",$L550-$P550-$Q550)</f>
        <v/>
      </c>
      <c r="S550" s="30">
        <f>IF($A550="","",IF($R550=0,IF($L550=0,"請求額0","回収済"),IF($L550&lt;0,IF($R550&lt;0,"差し引き待ち","差し引きすぎ"),IF($R550&lt;0,"入金が多い",IF($P550+$Q550=0,"未入金","一部入金")))))</f>
        <v/>
      </c>
      <c r="T550" s="31">
        <f>IF(OR($A550="",N($R550)&lt;=0,NOT(ISNUMBER($O550))),"",IF($O550&lt;'設定'!$B$7,'設定'!$B$7-$O550,""))</f>
        <v/>
      </c>
      <c r="U550" s="30">
        <f>IF(OR($A550="",N($R550)&lt;=0),"",IF(NOT(ISNUMBER($O550)),'設定'!$B$22,IF($O550&gt;='設定'!$B$7,'設定'!$B$17,IF('設定'!$B$7-$O550&lt;='設定'!$B$12,'設定'!$B$18,IF('設定'!$B$7-$O550&lt;='設定'!$B$13,'設定'!$B$19,IF('設定'!$B$7-$O550&lt;='設定'!$B$14,'設定'!$B$20,'設定'!$B$21))))))</f>
        <v/>
      </c>
      <c r="V550" s="56" t="n"/>
      <c r="W550" s="32">
        <f>IF($C550="","",IFERROR(MATCH($C550,'得意先'!$B$5:$B$104,0),"なし"))</f>
        <v/>
      </c>
      <c r="X550" s="33">
        <f>IF($A550="","",IF(ISNUMBER($E550),$E550,IF(ISNUMBER($B550),$B550,"")))</f>
        <v/>
      </c>
      <c r="Y550" s="34">
        <f>IF($T550="","",$O550+ROW()/1000000)</f>
        <v/>
      </c>
      <c r="Z550" s="35">
        <f>IF(OR($A550="",$C550="",$C550&lt;&gt;'売掛帳'!$B$3,NOT(ISNUMBER($X550))),"",IF(AND($X550&gt;='売掛帳'!$Q$3,$X550&lt;='売掛帳'!$Q$4),$X550+ROW()/10000000,""))</f>
        <v/>
      </c>
    </row>
    <row r="551" ht="18" customHeight="1">
      <c r="A551" s="18" t="n"/>
      <c r="B551" s="26" t="n"/>
      <c r="C551" s="18" t="n"/>
      <c r="D551" s="20">
        <f>IF($W551="","",IF($W551="なし","※得意先にないコード",INDEX('得意先'!$C$5:$C$104,$W551)&amp;""))</f>
        <v/>
      </c>
      <c r="E551" s="26" t="n"/>
      <c r="F551" s="19" t="n"/>
      <c r="G551" s="27" t="n"/>
      <c r="H551" s="27" t="n"/>
      <c r="I551" s="27" t="n"/>
      <c r="J551" s="28">
        <f>IF($A551="","",IF('設定'!$B$10="四捨五入",ROUND(IF('設定'!$B$9="税込",N($G551)*10/110,N($G551)*10/100),0),IF('設定'!$B$10="切り上げ",ROUNDUP(IF('設定'!$B$9="税込",N($G551)*10/110,N($G551)*10/100),0),ROUNDDOWN(IF('設定'!$B$9="税込",N($G551)*10/110,N($G551)*10/100),0))))</f>
        <v/>
      </c>
      <c r="K551" s="28">
        <f>IF($A551="","",IF('設定'!$B$10="四捨五入",ROUND(IF('設定'!$B$9="税込",N($H551)*8/108,N($H551)*8/100),0),IF('設定'!$B$10="切り上げ",ROUNDUP(IF('設定'!$B$9="税込",N($H551)*8/108,N($H551)*8/100),0),ROUNDDOWN(IF('設定'!$B$9="税込",N($H551)*8/108,N($H551)*8/100),0))))</f>
        <v/>
      </c>
      <c r="L551" s="28">
        <f>IF($A551="","",N($G551)+N($H551)+N($I551)+IF('設定'!$B$9="税込",0,$J551+$K551))</f>
        <v/>
      </c>
      <c r="M551" s="29">
        <f>IF(OR($A551="",NOT(ISNUMBER($W551)),NOT(ISNUMBER($X551))),"",IF(OR(INDEX('得意先'!$D$5:$D$104,$W551)="",INDEX('得意先'!$E$5:$E$104,$W551)="",INDEX('得意先'!$F$5:$F$104,$W551)=""),"",IF(INDEX('得意先'!$F$5:$F$104,$W551)="末",DATE(YEAR($X551),(MONTH($X551)+IF(INDEX('得意先'!$D$5:$D$104,$W551)="末",0,IF(DAY($X551)&lt;=INDEX('得意先'!$D$5:$D$104,$W551),0,1))+N(INDEX('得意先'!$E$5:$E$104,$W551)))+1,0),DATE(YEAR($X551),(MONTH($X551)+IF(INDEX('得意先'!$D$5:$D$104,$W551)="末",0,IF(DAY($X551)&lt;=INDEX('得意先'!$D$5:$D$104,$W551),0,1))+N(INDEX('得意先'!$E$5:$E$104,$W551))),MIN(INDEX('得意先'!$F$5:$F$104,$W551),DAY(DATE(YEAR($X551),(MONTH($X551)+IF(INDEX('得意先'!$D$5:$D$104,$W551)="末",0,IF(DAY($X551)&lt;=INDEX('得意先'!$D$5:$D$104,$W551),0,1))+N(INDEX('得意先'!$E$5:$E$104,$W551)))+1,0)))))))</f>
        <v/>
      </c>
      <c r="N551" s="26" t="n"/>
      <c r="O551" s="29">
        <f>IF($A551="","",IF(ISNUMBER($N551),$N551,$M551))</f>
        <v/>
      </c>
      <c r="P551" s="28">
        <f>IF($A551="","",SUMIF('入金消込'!$F$5:$F$1004,$A551,'入金消込'!$G$5:$G$1004))</f>
        <v/>
      </c>
      <c r="Q551" s="28">
        <f>IF($A551="","",SUMIF('入金消込'!$F$5:$F$1004,$A551,'入金消込'!$H$5:$H$1004)+SUMIF('入金消込'!$F$5:$F$1004,$A551,'入金消込'!$I$5:$I$1004))</f>
        <v/>
      </c>
      <c r="R551" s="28">
        <f>IF($A551="","",$L551-$P551-$Q551)</f>
        <v/>
      </c>
      <c r="S551" s="30">
        <f>IF($A551="","",IF($R551=0,IF($L551=0,"請求額0","回収済"),IF($L551&lt;0,IF($R551&lt;0,"差し引き待ち","差し引きすぎ"),IF($R551&lt;0,"入金が多い",IF($P551+$Q551=0,"未入金","一部入金")))))</f>
        <v/>
      </c>
      <c r="T551" s="31">
        <f>IF(OR($A551="",N($R551)&lt;=0,NOT(ISNUMBER($O551))),"",IF($O551&lt;'設定'!$B$7,'設定'!$B$7-$O551,""))</f>
        <v/>
      </c>
      <c r="U551" s="30">
        <f>IF(OR($A551="",N($R551)&lt;=0),"",IF(NOT(ISNUMBER($O551)),'設定'!$B$22,IF($O551&gt;='設定'!$B$7,'設定'!$B$17,IF('設定'!$B$7-$O551&lt;='設定'!$B$12,'設定'!$B$18,IF('設定'!$B$7-$O551&lt;='設定'!$B$13,'設定'!$B$19,IF('設定'!$B$7-$O551&lt;='設定'!$B$14,'設定'!$B$20,'設定'!$B$21))))))</f>
        <v/>
      </c>
      <c r="V551" s="56" t="n"/>
      <c r="W551" s="32">
        <f>IF($C551="","",IFERROR(MATCH($C551,'得意先'!$B$5:$B$104,0),"なし"))</f>
        <v/>
      </c>
      <c r="X551" s="33">
        <f>IF($A551="","",IF(ISNUMBER($E551),$E551,IF(ISNUMBER($B551),$B551,"")))</f>
        <v/>
      </c>
      <c r="Y551" s="34">
        <f>IF($T551="","",$O551+ROW()/1000000)</f>
        <v/>
      </c>
      <c r="Z551" s="35">
        <f>IF(OR($A551="",$C551="",$C551&lt;&gt;'売掛帳'!$B$3,NOT(ISNUMBER($X551))),"",IF(AND($X551&gt;='売掛帳'!$Q$3,$X551&lt;='売掛帳'!$Q$4),$X551+ROW()/10000000,""))</f>
        <v/>
      </c>
    </row>
    <row r="552" ht="18" customHeight="1">
      <c r="A552" s="18" t="n"/>
      <c r="B552" s="26" t="n"/>
      <c r="C552" s="18" t="n"/>
      <c r="D552" s="20">
        <f>IF($W552="","",IF($W552="なし","※得意先にないコード",INDEX('得意先'!$C$5:$C$104,$W552)&amp;""))</f>
        <v/>
      </c>
      <c r="E552" s="26" t="n"/>
      <c r="F552" s="19" t="n"/>
      <c r="G552" s="27" t="n"/>
      <c r="H552" s="27" t="n"/>
      <c r="I552" s="27" t="n"/>
      <c r="J552" s="28">
        <f>IF($A552="","",IF('設定'!$B$10="四捨五入",ROUND(IF('設定'!$B$9="税込",N($G552)*10/110,N($G552)*10/100),0),IF('設定'!$B$10="切り上げ",ROUNDUP(IF('設定'!$B$9="税込",N($G552)*10/110,N($G552)*10/100),0),ROUNDDOWN(IF('設定'!$B$9="税込",N($G552)*10/110,N($G552)*10/100),0))))</f>
        <v/>
      </c>
      <c r="K552" s="28">
        <f>IF($A552="","",IF('設定'!$B$10="四捨五入",ROUND(IF('設定'!$B$9="税込",N($H552)*8/108,N($H552)*8/100),0),IF('設定'!$B$10="切り上げ",ROUNDUP(IF('設定'!$B$9="税込",N($H552)*8/108,N($H552)*8/100),0),ROUNDDOWN(IF('設定'!$B$9="税込",N($H552)*8/108,N($H552)*8/100),0))))</f>
        <v/>
      </c>
      <c r="L552" s="28">
        <f>IF($A552="","",N($G552)+N($H552)+N($I552)+IF('設定'!$B$9="税込",0,$J552+$K552))</f>
        <v/>
      </c>
      <c r="M552" s="29">
        <f>IF(OR($A552="",NOT(ISNUMBER($W552)),NOT(ISNUMBER($X552))),"",IF(OR(INDEX('得意先'!$D$5:$D$104,$W552)="",INDEX('得意先'!$E$5:$E$104,$W552)="",INDEX('得意先'!$F$5:$F$104,$W552)=""),"",IF(INDEX('得意先'!$F$5:$F$104,$W552)="末",DATE(YEAR($X552),(MONTH($X552)+IF(INDEX('得意先'!$D$5:$D$104,$W552)="末",0,IF(DAY($X552)&lt;=INDEX('得意先'!$D$5:$D$104,$W552),0,1))+N(INDEX('得意先'!$E$5:$E$104,$W552)))+1,0),DATE(YEAR($X552),(MONTH($X552)+IF(INDEX('得意先'!$D$5:$D$104,$W552)="末",0,IF(DAY($X552)&lt;=INDEX('得意先'!$D$5:$D$104,$W552),0,1))+N(INDEX('得意先'!$E$5:$E$104,$W552))),MIN(INDEX('得意先'!$F$5:$F$104,$W552),DAY(DATE(YEAR($X552),(MONTH($X552)+IF(INDEX('得意先'!$D$5:$D$104,$W552)="末",0,IF(DAY($X552)&lt;=INDEX('得意先'!$D$5:$D$104,$W552),0,1))+N(INDEX('得意先'!$E$5:$E$104,$W552)))+1,0)))))))</f>
        <v/>
      </c>
      <c r="N552" s="26" t="n"/>
      <c r="O552" s="29">
        <f>IF($A552="","",IF(ISNUMBER($N552),$N552,$M552))</f>
        <v/>
      </c>
      <c r="P552" s="28">
        <f>IF($A552="","",SUMIF('入金消込'!$F$5:$F$1004,$A552,'入金消込'!$G$5:$G$1004))</f>
        <v/>
      </c>
      <c r="Q552" s="28">
        <f>IF($A552="","",SUMIF('入金消込'!$F$5:$F$1004,$A552,'入金消込'!$H$5:$H$1004)+SUMIF('入金消込'!$F$5:$F$1004,$A552,'入金消込'!$I$5:$I$1004))</f>
        <v/>
      </c>
      <c r="R552" s="28">
        <f>IF($A552="","",$L552-$P552-$Q552)</f>
        <v/>
      </c>
      <c r="S552" s="30">
        <f>IF($A552="","",IF($R552=0,IF($L552=0,"請求額0","回収済"),IF($L552&lt;0,IF($R552&lt;0,"差し引き待ち","差し引きすぎ"),IF($R552&lt;0,"入金が多い",IF($P552+$Q552=0,"未入金","一部入金")))))</f>
        <v/>
      </c>
      <c r="T552" s="31">
        <f>IF(OR($A552="",N($R552)&lt;=0,NOT(ISNUMBER($O552))),"",IF($O552&lt;'設定'!$B$7,'設定'!$B$7-$O552,""))</f>
        <v/>
      </c>
      <c r="U552" s="30">
        <f>IF(OR($A552="",N($R552)&lt;=0),"",IF(NOT(ISNUMBER($O552)),'設定'!$B$22,IF($O552&gt;='設定'!$B$7,'設定'!$B$17,IF('設定'!$B$7-$O552&lt;='設定'!$B$12,'設定'!$B$18,IF('設定'!$B$7-$O552&lt;='設定'!$B$13,'設定'!$B$19,IF('設定'!$B$7-$O552&lt;='設定'!$B$14,'設定'!$B$20,'設定'!$B$21))))))</f>
        <v/>
      </c>
      <c r="V552" s="56" t="n"/>
      <c r="W552" s="32">
        <f>IF($C552="","",IFERROR(MATCH($C552,'得意先'!$B$5:$B$104,0),"なし"))</f>
        <v/>
      </c>
      <c r="X552" s="33">
        <f>IF($A552="","",IF(ISNUMBER($E552),$E552,IF(ISNUMBER($B552),$B552,"")))</f>
        <v/>
      </c>
      <c r="Y552" s="34">
        <f>IF($T552="","",$O552+ROW()/1000000)</f>
        <v/>
      </c>
      <c r="Z552" s="35">
        <f>IF(OR($A552="",$C552="",$C552&lt;&gt;'売掛帳'!$B$3,NOT(ISNUMBER($X552))),"",IF(AND($X552&gt;='売掛帳'!$Q$3,$X552&lt;='売掛帳'!$Q$4),$X552+ROW()/10000000,""))</f>
        <v/>
      </c>
    </row>
    <row r="553" ht="18" customHeight="1">
      <c r="A553" s="18" t="n"/>
      <c r="B553" s="26" t="n"/>
      <c r="C553" s="18" t="n"/>
      <c r="D553" s="20">
        <f>IF($W553="","",IF($W553="なし","※得意先にないコード",INDEX('得意先'!$C$5:$C$104,$W553)&amp;""))</f>
        <v/>
      </c>
      <c r="E553" s="26" t="n"/>
      <c r="F553" s="19" t="n"/>
      <c r="G553" s="27" t="n"/>
      <c r="H553" s="27" t="n"/>
      <c r="I553" s="27" t="n"/>
      <c r="J553" s="28">
        <f>IF($A553="","",IF('設定'!$B$10="四捨五入",ROUND(IF('設定'!$B$9="税込",N($G553)*10/110,N($G553)*10/100),0),IF('設定'!$B$10="切り上げ",ROUNDUP(IF('設定'!$B$9="税込",N($G553)*10/110,N($G553)*10/100),0),ROUNDDOWN(IF('設定'!$B$9="税込",N($G553)*10/110,N($G553)*10/100),0))))</f>
        <v/>
      </c>
      <c r="K553" s="28">
        <f>IF($A553="","",IF('設定'!$B$10="四捨五入",ROUND(IF('設定'!$B$9="税込",N($H553)*8/108,N($H553)*8/100),0),IF('設定'!$B$10="切り上げ",ROUNDUP(IF('設定'!$B$9="税込",N($H553)*8/108,N($H553)*8/100),0),ROUNDDOWN(IF('設定'!$B$9="税込",N($H553)*8/108,N($H553)*8/100),0))))</f>
        <v/>
      </c>
      <c r="L553" s="28">
        <f>IF($A553="","",N($G553)+N($H553)+N($I553)+IF('設定'!$B$9="税込",0,$J553+$K553))</f>
        <v/>
      </c>
      <c r="M553" s="29">
        <f>IF(OR($A553="",NOT(ISNUMBER($W553)),NOT(ISNUMBER($X553))),"",IF(OR(INDEX('得意先'!$D$5:$D$104,$W553)="",INDEX('得意先'!$E$5:$E$104,$W553)="",INDEX('得意先'!$F$5:$F$104,$W553)=""),"",IF(INDEX('得意先'!$F$5:$F$104,$W553)="末",DATE(YEAR($X553),(MONTH($X553)+IF(INDEX('得意先'!$D$5:$D$104,$W553)="末",0,IF(DAY($X553)&lt;=INDEX('得意先'!$D$5:$D$104,$W553),0,1))+N(INDEX('得意先'!$E$5:$E$104,$W553)))+1,0),DATE(YEAR($X553),(MONTH($X553)+IF(INDEX('得意先'!$D$5:$D$104,$W553)="末",0,IF(DAY($X553)&lt;=INDEX('得意先'!$D$5:$D$104,$W553),0,1))+N(INDEX('得意先'!$E$5:$E$104,$W553))),MIN(INDEX('得意先'!$F$5:$F$104,$W553),DAY(DATE(YEAR($X553),(MONTH($X553)+IF(INDEX('得意先'!$D$5:$D$104,$W553)="末",0,IF(DAY($X553)&lt;=INDEX('得意先'!$D$5:$D$104,$W553),0,1))+N(INDEX('得意先'!$E$5:$E$104,$W553)))+1,0)))))))</f>
        <v/>
      </c>
      <c r="N553" s="26" t="n"/>
      <c r="O553" s="29">
        <f>IF($A553="","",IF(ISNUMBER($N553),$N553,$M553))</f>
        <v/>
      </c>
      <c r="P553" s="28">
        <f>IF($A553="","",SUMIF('入金消込'!$F$5:$F$1004,$A553,'入金消込'!$G$5:$G$1004))</f>
        <v/>
      </c>
      <c r="Q553" s="28">
        <f>IF($A553="","",SUMIF('入金消込'!$F$5:$F$1004,$A553,'入金消込'!$H$5:$H$1004)+SUMIF('入金消込'!$F$5:$F$1004,$A553,'入金消込'!$I$5:$I$1004))</f>
        <v/>
      </c>
      <c r="R553" s="28">
        <f>IF($A553="","",$L553-$P553-$Q553)</f>
        <v/>
      </c>
      <c r="S553" s="30">
        <f>IF($A553="","",IF($R553=0,IF($L553=0,"請求額0","回収済"),IF($L553&lt;0,IF($R553&lt;0,"差し引き待ち","差し引きすぎ"),IF($R553&lt;0,"入金が多い",IF($P553+$Q553=0,"未入金","一部入金")))))</f>
        <v/>
      </c>
      <c r="T553" s="31">
        <f>IF(OR($A553="",N($R553)&lt;=0,NOT(ISNUMBER($O553))),"",IF($O553&lt;'設定'!$B$7,'設定'!$B$7-$O553,""))</f>
        <v/>
      </c>
      <c r="U553" s="30">
        <f>IF(OR($A553="",N($R553)&lt;=0),"",IF(NOT(ISNUMBER($O553)),'設定'!$B$22,IF($O553&gt;='設定'!$B$7,'設定'!$B$17,IF('設定'!$B$7-$O553&lt;='設定'!$B$12,'設定'!$B$18,IF('設定'!$B$7-$O553&lt;='設定'!$B$13,'設定'!$B$19,IF('設定'!$B$7-$O553&lt;='設定'!$B$14,'設定'!$B$20,'設定'!$B$21))))))</f>
        <v/>
      </c>
      <c r="V553" s="56" t="n"/>
      <c r="W553" s="32">
        <f>IF($C553="","",IFERROR(MATCH($C553,'得意先'!$B$5:$B$104,0),"なし"))</f>
        <v/>
      </c>
      <c r="X553" s="33">
        <f>IF($A553="","",IF(ISNUMBER($E553),$E553,IF(ISNUMBER($B553),$B553,"")))</f>
        <v/>
      </c>
      <c r="Y553" s="34">
        <f>IF($T553="","",$O553+ROW()/1000000)</f>
        <v/>
      </c>
      <c r="Z553" s="35">
        <f>IF(OR($A553="",$C553="",$C553&lt;&gt;'売掛帳'!$B$3,NOT(ISNUMBER($X553))),"",IF(AND($X553&gt;='売掛帳'!$Q$3,$X553&lt;='売掛帳'!$Q$4),$X553+ROW()/10000000,""))</f>
        <v/>
      </c>
    </row>
    <row r="554" ht="18" customHeight="1">
      <c r="A554" s="18" t="n"/>
      <c r="B554" s="26" t="n"/>
      <c r="C554" s="18" t="n"/>
      <c r="D554" s="20">
        <f>IF($W554="","",IF($W554="なし","※得意先にないコード",INDEX('得意先'!$C$5:$C$104,$W554)&amp;""))</f>
        <v/>
      </c>
      <c r="E554" s="26" t="n"/>
      <c r="F554" s="19" t="n"/>
      <c r="G554" s="27" t="n"/>
      <c r="H554" s="27" t="n"/>
      <c r="I554" s="27" t="n"/>
      <c r="J554" s="28">
        <f>IF($A554="","",IF('設定'!$B$10="四捨五入",ROUND(IF('設定'!$B$9="税込",N($G554)*10/110,N($G554)*10/100),0),IF('設定'!$B$10="切り上げ",ROUNDUP(IF('設定'!$B$9="税込",N($G554)*10/110,N($G554)*10/100),0),ROUNDDOWN(IF('設定'!$B$9="税込",N($G554)*10/110,N($G554)*10/100),0))))</f>
        <v/>
      </c>
      <c r="K554" s="28">
        <f>IF($A554="","",IF('設定'!$B$10="四捨五入",ROUND(IF('設定'!$B$9="税込",N($H554)*8/108,N($H554)*8/100),0),IF('設定'!$B$10="切り上げ",ROUNDUP(IF('設定'!$B$9="税込",N($H554)*8/108,N($H554)*8/100),0),ROUNDDOWN(IF('設定'!$B$9="税込",N($H554)*8/108,N($H554)*8/100),0))))</f>
        <v/>
      </c>
      <c r="L554" s="28">
        <f>IF($A554="","",N($G554)+N($H554)+N($I554)+IF('設定'!$B$9="税込",0,$J554+$K554))</f>
        <v/>
      </c>
      <c r="M554" s="29">
        <f>IF(OR($A554="",NOT(ISNUMBER($W554)),NOT(ISNUMBER($X554))),"",IF(OR(INDEX('得意先'!$D$5:$D$104,$W554)="",INDEX('得意先'!$E$5:$E$104,$W554)="",INDEX('得意先'!$F$5:$F$104,$W554)=""),"",IF(INDEX('得意先'!$F$5:$F$104,$W554)="末",DATE(YEAR($X554),(MONTH($X554)+IF(INDEX('得意先'!$D$5:$D$104,$W554)="末",0,IF(DAY($X554)&lt;=INDEX('得意先'!$D$5:$D$104,$W554),0,1))+N(INDEX('得意先'!$E$5:$E$104,$W554)))+1,0),DATE(YEAR($X554),(MONTH($X554)+IF(INDEX('得意先'!$D$5:$D$104,$W554)="末",0,IF(DAY($X554)&lt;=INDEX('得意先'!$D$5:$D$104,$W554),0,1))+N(INDEX('得意先'!$E$5:$E$104,$W554))),MIN(INDEX('得意先'!$F$5:$F$104,$W554),DAY(DATE(YEAR($X554),(MONTH($X554)+IF(INDEX('得意先'!$D$5:$D$104,$W554)="末",0,IF(DAY($X554)&lt;=INDEX('得意先'!$D$5:$D$104,$W554),0,1))+N(INDEX('得意先'!$E$5:$E$104,$W554)))+1,0)))))))</f>
        <v/>
      </c>
      <c r="N554" s="26" t="n"/>
      <c r="O554" s="29">
        <f>IF($A554="","",IF(ISNUMBER($N554),$N554,$M554))</f>
        <v/>
      </c>
      <c r="P554" s="28">
        <f>IF($A554="","",SUMIF('入金消込'!$F$5:$F$1004,$A554,'入金消込'!$G$5:$G$1004))</f>
        <v/>
      </c>
      <c r="Q554" s="28">
        <f>IF($A554="","",SUMIF('入金消込'!$F$5:$F$1004,$A554,'入金消込'!$H$5:$H$1004)+SUMIF('入金消込'!$F$5:$F$1004,$A554,'入金消込'!$I$5:$I$1004))</f>
        <v/>
      </c>
      <c r="R554" s="28">
        <f>IF($A554="","",$L554-$P554-$Q554)</f>
        <v/>
      </c>
      <c r="S554" s="30">
        <f>IF($A554="","",IF($R554=0,IF($L554=0,"請求額0","回収済"),IF($L554&lt;0,IF($R554&lt;0,"差し引き待ち","差し引きすぎ"),IF($R554&lt;0,"入金が多い",IF($P554+$Q554=0,"未入金","一部入金")))))</f>
        <v/>
      </c>
      <c r="T554" s="31">
        <f>IF(OR($A554="",N($R554)&lt;=0,NOT(ISNUMBER($O554))),"",IF($O554&lt;'設定'!$B$7,'設定'!$B$7-$O554,""))</f>
        <v/>
      </c>
      <c r="U554" s="30">
        <f>IF(OR($A554="",N($R554)&lt;=0),"",IF(NOT(ISNUMBER($O554)),'設定'!$B$22,IF($O554&gt;='設定'!$B$7,'設定'!$B$17,IF('設定'!$B$7-$O554&lt;='設定'!$B$12,'設定'!$B$18,IF('設定'!$B$7-$O554&lt;='設定'!$B$13,'設定'!$B$19,IF('設定'!$B$7-$O554&lt;='設定'!$B$14,'設定'!$B$20,'設定'!$B$21))))))</f>
        <v/>
      </c>
      <c r="V554" s="56" t="n"/>
      <c r="W554" s="32">
        <f>IF($C554="","",IFERROR(MATCH($C554,'得意先'!$B$5:$B$104,0),"なし"))</f>
        <v/>
      </c>
      <c r="X554" s="33">
        <f>IF($A554="","",IF(ISNUMBER($E554),$E554,IF(ISNUMBER($B554),$B554,"")))</f>
        <v/>
      </c>
      <c r="Y554" s="34">
        <f>IF($T554="","",$O554+ROW()/1000000)</f>
        <v/>
      </c>
      <c r="Z554" s="35">
        <f>IF(OR($A554="",$C554="",$C554&lt;&gt;'売掛帳'!$B$3,NOT(ISNUMBER($X554))),"",IF(AND($X554&gt;='売掛帳'!$Q$3,$X554&lt;='売掛帳'!$Q$4),$X554+ROW()/10000000,""))</f>
        <v/>
      </c>
    </row>
    <row r="555" ht="18" customHeight="1">
      <c r="A555" s="18" t="n"/>
      <c r="B555" s="26" t="n"/>
      <c r="C555" s="18" t="n"/>
      <c r="D555" s="20">
        <f>IF($W555="","",IF($W555="なし","※得意先にないコード",INDEX('得意先'!$C$5:$C$104,$W555)&amp;""))</f>
        <v/>
      </c>
      <c r="E555" s="26" t="n"/>
      <c r="F555" s="19" t="n"/>
      <c r="G555" s="27" t="n"/>
      <c r="H555" s="27" t="n"/>
      <c r="I555" s="27" t="n"/>
      <c r="J555" s="28">
        <f>IF($A555="","",IF('設定'!$B$10="四捨五入",ROUND(IF('設定'!$B$9="税込",N($G555)*10/110,N($G555)*10/100),0),IF('設定'!$B$10="切り上げ",ROUNDUP(IF('設定'!$B$9="税込",N($G555)*10/110,N($G555)*10/100),0),ROUNDDOWN(IF('設定'!$B$9="税込",N($G555)*10/110,N($G555)*10/100),0))))</f>
        <v/>
      </c>
      <c r="K555" s="28">
        <f>IF($A555="","",IF('設定'!$B$10="四捨五入",ROUND(IF('設定'!$B$9="税込",N($H555)*8/108,N($H555)*8/100),0),IF('設定'!$B$10="切り上げ",ROUNDUP(IF('設定'!$B$9="税込",N($H555)*8/108,N($H555)*8/100),0),ROUNDDOWN(IF('設定'!$B$9="税込",N($H555)*8/108,N($H555)*8/100),0))))</f>
        <v/>
      </c>
      <c r="L555" s="28">
        <f>IF($A555="","",N($G555)+N($H555)+N($I555)+IF('設定'!$B$9="税込",0,$J555+$K555))</f>
        <v/>
      </c>
      <c r="M555" s="29">
        <f>IF(OR($A555="",NOT(ISNUMBER($W555)),NOT(ISNUMBER($X555))),"",IF(OR(INDEX('得意先'!$D$5:$D$104,$W555)="",INDEX('得意先'!$E$5:$E$104,$W555)="",INDEX('得意先'!$F$5:$F$104,$W555)=""),"",IF(INDEX('得意先'!$F$5:$F$104,$W555)="末",DATE(YEAR($X555),(MONTH($X555)+IF(INDEX('得意先'!$D$5:$D$104,$W555)="末",0,IF(DAY($X555)&lt;=INDEX('得意先'!$D$5:$D$104,$W555),0,1))+N(INDEX('得意先'!$E$5:$E$104,$W555)))+1,0),DATE(YEAR($X555),(MONTH($X555)+IF(INDEX('得意先'!$D$5:$D$104,$W555)="末",0,IF(DAY($X555)&lt;=INDEX('得意先'!$D$5:$D$104,$W555),0,1))+N(INDEX('得意先'!$E$5:$E$104,$W555))),MIN(INDEX('得意先'!$F$5:$F$104,$W555),DAY(DATE(YEAR($X555),(MONTH($X555)+IF(INDEX('得意先'!$D$5:$D$104,$W555)="末",0,IF(DAY($X555)&lt;=INDEX('得意先'!$D$5:$D$104,$W555),0,1))+N(INDEX('得意先'!$E$5:$E$104,$W555)))+1,0)))))))</f>
        <v/>
      </c>
      <c r="N555" s="26" t="n"/>
      <c r="O555" s="29">
        <f>IF($A555="","",IF(ISNUMBER($N555),$N555,$M555))</f>
        <v/>
      </c>
      <c r="P555" s="28">
        <f>IF($A555="","",SUMIF('入金消込'!$F$5:$F$1004,$A555,'入金消込'!$G$5:$G$1004))</f>
        <v/>
      </c>
      <c r="Q555" s="28">
        <f>IF($A555="","",SUMIF('入金消込'!$F$5:$F$1004,$A555,'入金消込'!$H$5:$H$1004)+SUMIF('入金消込'!$F$5:$F$1004,$A555,'入金消込'!$I$5:$I$1004))</f>
        <v/>
      </c>
      <c r="R555" s="28">
        <f>IF($A555="","",$L555-$P555-$Q555)</f>
        <v/>
      </c>
      <c r="S555" s="30">
        <f>IF($A555="","",IF($R555=0,IF($L555=0,"請求額0","回収済"),IF($L555&lt;0,IF($R555&lt;0,"差し引き待ち","差し引きすぎ"),IF($R555&lt;0,"入金が多い",IF($P555+$Q555=0,"未入金","一部入金")))))</f>
        <v/>
      </c>
      <c r="T555" s="31">
        <f>IF(OR($A555="",N($R555)&lt;=0,NOT(ISNUMBER($O555))),"",IF($O555&lt;'設定'!$B$7,'設定'!$B$7-$O555,""))</f>
        <v/>
      </c>
      <c r="U555" s="30">
        <f>IF(OR($A555="",N($R555)&lt;=0),"",IF(NOT(ISNUMBER($O555)),'設定'!$B$22,IF($O555&gt;='設定'!$B$7,'設定'!$B$17,IF('設定'!$B$7-$O555&lt;='設定'!$B$12,'設定'!$B$18,IF('設定'!$B$7-$O555&lt;='設定'!$B$13,'設定'!$B$19,IF('設定'!$B$7-$O555&lt;='設定'!$B$14,'設定'!$B$20,'設定'!$B$21))))))</f>
        <v/>
      </c>
      <c r="V555" s="56" t="n"/>
      <c r="W555" s="32">
        <f>IF($C555="","",IFERROR(MATCH($C555,'得意先'!$B$5:$B$104,0),"なし"))</f>
        <v/>
      </c>
      <c r="X555" s="33">
        <f>IF($A555="","",IF(ISNUMBER($E555),$E555,IF(ISNUMBER($B555),$B555,"")))</f>
        <v/>
      </c>
      <c r="Y555" s="34">
        <f>IF($T555="","",$O555+ROW()/1000000)</f>
        <v/>
      </c>
      <c r="Z555" s="35">
        <f>IF(OR($A555="",$C555="",$C555&lt;&gt;'売掛帳'!$B$3,NOT(ISNUMBER($X555))),"",IF(AND($X555&gt;='売掛帳'!$Q$3,$X555&lt;='売掛帳'!$Q$4),$X555+ROW()/10000000,""))</f>
        <v/>
      </c>
    </row>
    <row r="556" ht="18" customHeight="1">
      <c r="A556" s="18" t="n"/>
      <c r="B556" s="26" t="n"/>
      <c r="C556" s="18" t="n"/>
      <c r="D556" s="20">
        <f>IF($W556="","",IF($W556="なし","※得意先にないコード",INDEX('得意先'!$C$5:$C$104,$W556)&amp;""))</f>
        <v/>
      </c>
      <c r="E556" s="26" t="n"/>
      <c r="F556" s="19" t="n"/>
      <c r="G556" s="27" t="n"/>
      <c r="H556" s="27" t="n"/>
      <c r="I556" s="27" t="n"/>
      <c r="J556" s="28">
        <f>IF($A556="","",IF('設定'!$B$10="四捨五入",ROUND(IF('設定'!$B$9="税込",N($G556)*10/110,N($G556)*10/100),0),IF('設定'!$B$10="切り上げ",ROUNDUP(IF('設定'!$B$9="税込",N($G556)*10/110,N($G556)*10/100),0),ROUNDDOWN(IF('設定'!$B$9="税込",N($G556)*10/110,N($G556)*10/100),0))))</f>
        <v/>
      </c>
      <c r="K556" s="28">
        <f>IF($A556="","",IF('設定'!$B$10="四捨五入",ROUND(IF('設定'!$B$9="税込",N($H556)*8/108,N($H556)*8/100),0),IF('設定'!$B$10="切り上げ",ROUNDUP(IF('設定'!$B$9="税込",N($H556)*8/108,N($H556)*8/100),0),ROUNDDOWN(IF('設定'!$B$9="税込",N($H556)*8/108,N($H556)*8/100),0))))</f>
        <v/>
      </c>
      <c r="L556" s="28">
        <f>IF($A556="","",N($G556)+N($H556)+N($I556)+IF('設定'!$B$9="税込",0,$J556+$K556))</f>
        <v/>
      </c>
      <c r="M556" s="29">
        <f>IF(OR($A556="",NOT(ISNUMBER($W556)),NOT(ISNUMBER($X556))),"",IF(OR(INDEX('得意先'!$D$5:$D$104,$W556)="",INDEX('得意先'!$E$5:$E$104,$W556)="",INDEX('得意先'!$F$5:$F$104,$W556)=""),"",IF(INDEX('得意先'!$F$5:$F$104,$W556)="末",DATE(YEAR($X556),(MONTH($X556)+IF(INDEX('得意先'!$D$5:$D$104,$W556)="末",0,IF(DAY($X556)&lt;=INDEX('得意先'!$D$5:$D$104,$W556),0,1))+N(INDEX('得意先'!$E$5:$E$104,$W556)))+1,0),DATE(YEAR($X556),(MONTH($X556)+IF(INDEX('得意先'!$D$5:$D$104,$W556)="末",0,IF(DAY($X556)&lt;=INDEX('得意先'!$D$5:$D$104,$W556),0,1))+N(INDEX('得意先'!$E$5:$E$104,$W556))),MIN(INDEX('得意先'!$F$5:$F$104,$W556),DAY(DATE(YEAR($X556),(MONTH($X556)+IF(INDEX('得意先'!$D$5:$D$104,$W556)="末",0,IF(DAY($X556)&lt;=INDEX('得意先'!$D$5:$D$104,$W556),0,1))+N(INDEX('得意先'!$E$5:$E$104,$W556)))+1,0)))))))</f>
        <v/>
      </c>
      <c r="N556" s="26" t="n"/>
      <c r="O556" s="29">
        <f>IF($A556="","",IF(ISNUMBER($N556),$N556,$M556))</f>
        <v/>
      </c>
      <c r="P556" s="28">
        <f>IF($A556="","",SUMIF('入金消込'!$F$5:$F$1004,$A556,'入金消込'!$G$5:$G$1004))</f>
        <v/>
      </c>
      <c r="Q556" s="28">
        <f>IF($A556="","",SUMIF('入金消込'!$F$5:$F$1004,$A556,'入金消込'!$H$5:$H$1004)+SUMIF('入金消込'!$F$5:$F$1004,$A556,'入金消込'!$I$5:$I$1004))</f>
        <v/>
      </c>
      <c r="R556" s="28">
        <f>IF($A556="","",$L556-$P556-$Q556)</f>
        <v/>
      </c>
      <c r="S556" s="30">
        <f>IF($A556="","",IF($R556=0,IF($L556=0,"請求額0","回収済"),IF($L556&lt;0,IF($R556&lt;0,"差し引き待ち","差し引きすぎ"),IF($R556&lt;0,"入金が多い",IF($P556+$Q556=0,"未入金","一部入金")))))</f>
        <v/>
      </c>
      <c r="T556" s="31">
        <f>IF(OR($A556="",N($R556)&lt;=0,NOT(ISNUMBER($O556))),"",IF($O556&lt;'設定'!$B$7,'設定'!$B$7-$O556,""))</f>
        <v/>
      </c>
      <c r="U556" s="30">
        <f>IF(OR($A556="",N($R556)&lt;=0),"",IF(NOT(ISNUMBER($O556)),'設定'!$B$22,IF($O556&gt;='設定'!$B$7,'設定'!$B$17,IF('設定'!$B$7-$O556&lt;='設定'!$B$12,'設定'!$B$18,IF('設定'!$B$7-$O556&lt;='設定'!$B$13,'設定'!$B$19,IF('設定'!$B$7-$O556&lt;='設定'!$B$14,'設定'!$B$20,'設定'!$B$21))))))</f>
        <v/>
      </c>
      <c r="V556" s="56" t="n"/>
      <c r="W556" s="32">
        <f>IF($C556="","",IFERROR(MATCH($C556,'得意先'!$B$5:$B$104,0),"なし"))</f>
        <v/>
      </c>
      <c r="X556" s="33">
        <f>IF($A556="","",IF(ISNUMBER($E556),$E556,IF(ISNUMBER($B556),$B556,"")))</f>
        <v/>
      </c>
      <c r="Y556" s="34">
        <f>IF($T556="","",$O556+ROW()/1000000)</f>
        <v/>
      </c>
      <c r="Z556" s="35">
        <f>IF(OR($A556="",$C556="",$C556&lt;&gt;'売掛帳'!$B$3,NOT(ISNUMBER($X556))),"",IF(AND($X556&gt;='売掛帳'!$Q$3,$X556&lt;='売掛帳'!$Q$4),$X556+ROW()/10000000,""))</f>
        <v/>
      </c>
    </row>
    <row r="557" ht="18" customHeight="1">
      <c r="A557" s="18" t="n"/>
      <c r="B557" s="26" t="n"/>
      <c r="C557" s="18" t="n"/>
      <c r="D557" s="20">
        <f>IF($W557="","",IF($W557="なし","※得意先にないコード",INDEX('得意先'!$C$5:$C$104,$W557)&amp;""))</f>
        <v/>
      </c>
      <c r="E557" s="26" t="n"/>
      <c r="F557" s="19" t="n"/>
      <c r="G557" s="27" t="n"/>
      <c r="H557" s="27" t="n"/>
      <c r="I557" s="27" t="n"/>
      <c r="J557" s="28">
        <f>IF($A557="","",IF('設定'!$B$10="四捨五入",ROUND(IF('設定'!$B$9="税込",N($G557)*10/110,N($G557)*10/100),0),IF('設定'!$B$10="切り上げ",ROUNDUP(IF('設定'!$B$9="税込",N($G557)*10/110,N($G557)*10/100),0),ROUNDDOWN(IF('設定'!$B$9="税込",N($G557)*10/110,N($G557)*10/100),0))))</f>
        <v/>
      </c>
      <c r="K557" s="28">
        <f>IF($A557="","",IF('設定'!$B$10="四捨五入",ROUND(IF('設定'!$B$9="税込",N($H557)*8/108,N($H557)*8/100),0),IF('設定'!$B$10="切り上げ",ROUNDUP(IF('設定'!$B$9="税込",N($H557)*8/108,N($H557)*8/100),0),ROUNDDOWN(IF('設定'!$B$9="税込",N($H557)*8/108,N($H557)*8/100),0))))</f>
        <v/>
      </c>
      <c r="L557" s="28">
        <f>IF($A557="","",N($G557)+N($H557)+N($I557)+IF('設定'!$B$9="税込",0,$J557+$K557))</f>
        <v/>
      </c>
      <c r="M557" s="29">
        <f>IF(OR($A557="",NOT(ISNUMBER($W557)),NOT(ISNUMBER($X557))),"",IF(OR(INDEX('得意先'!$D$5:$D$104,$W557)="",INDEX('得意先'!$E$5:$E$104,$W557)="",INDEX('得意先'!$F$5:$F$104,$W557)=""),"",IF(INDEX('得意先'!$F$5:$F$104,$W557)="末",DATE(YEAR($X557),(MONTH($X557)+IF(INDEX('得意先'!$D$5:$D$104,$W557)="末",0,IF(DAY($X557)&lt;=INDEX('得意先'!$D$5:$D$104,$W557),0,1))+N(INDEX('得意先'!$E$5:$E$104,$W557)))+1,0),DATE(YEAR($X557),(MONTH($X557)+IF(INDEX('得意先'!$D$5:$D$104,$W557)="末",0,IF(DAY($X557)&lt;=INDEX('得意先'!$D$5:$D$104,$W557),0,1))+N(INDEX('得意先'!$E$5:$E$104,$W557))),MIN(INDEX('得意先'!$F$5:$F$104,$W557),DAY(DATE(YEAR($X557),(MONTH($X557)+IF(INDEX('得意先'!$D$5:$D$104,$W557)="末",0,IF(DAY($X557)&lt;=INDEX('得意先'!$D$5:$D$104,$W557),0,1))+N(INDEX('得意先'!$E$5:$E$104,$W557)))+1,0)))))))</f>
        <v/>
      </c>
      <c r="N557" s="26" t="n"/>
      <c r="O557" s="29">
        <f>IF($A557="","",IF(ISNUMBER($N557),$N557,$M557))</f>
        <v/>
      </c>
      <c r="P557" s="28">
        <f>IF($A557="","",SUMIF('入金消込'!$F$5:$F$1004,$A557,'入金消込'!$G$5:$G$1004))</f>
        <v/>
      </c>
      <c r="Q557" s="28">
        <f>IF($A557="","",SUMIF('入金消込'!$F$5:$F$1004,$A557,'入金消込'!$H$5:$H$1004)+SUMIF('入金消込'!$F$5:$F$1004,$A557,'入金消込'!$I$5:$I$1004))</f>
        <v/>
      </c>
      <c r="R557" s="28">
        <f>IF($A557="","",$L557-$P557-$Q557)</f>
        <v/>
      </c>
      <c r="S557" s="30">
        <f>IF($A557="","",IF($R557=0,IF($L557=0,"請求額0","回収済"),IF($L557&lt;0,IF($R557&lt;0,"差し引き待ち","差し引きすぎ"),IF($R557&lt;0,"入金が多い",IF($P557+$Q557=0,"未入金","一部入金")))))</f>
        <v/>
      </c>
      <c r="T557" s="31">
        <f>IF(OR($A557="",N($R557)&lt;=0,NOT(ISNUMBER($O557))),"",IF($O557&lt;'設定'!$B$7,'設定'!$B$7-$O557,""))</f>
        <v/>
      </c>
      <c r="U557" s="30">
        <f>IF(OR($A557="",N($R557)&lt;=0),"",IF(NOT(ISNUMBER($O557)),'設定'!$B$22,IF($O557&gt;='設定'!$B$7,'設定'!$B$17,IF('設定'!$B$7-$O557&lt;='設定'!$B$12,'設定'!$B$18,IF('設定'!$B$7-$O557&lt;='設定'!$B$13,'設定'!$B$19,IF('設定'!$B$7-$O557&lt;='設定'!$B$14,'設定'!$B$20,'設定'!$B$21))))))</f>
        <v/>
      </c>
      <c r="V557" s="56" t="n"/>
      <c r="W557" s="32">
        <f>IF($C557="","",IFERROR(MATCH($C557,'得意先'!$B$5:$B$104,0),"なし"))</f>
        <v/>
      </c>
      <c r="X557" s="33">
        <f>IF($A557="","",IF(ISNUMBER($E557),$E557,IF(ISNUMBER($B557),$B557,"")))</f>
        <v/>
      </c>
      <c r="Y557" s="34">
        <f>IF($T557="","",$O557+ROW()/1000000)</f>
        <v/>
      </c>
      <c r="Z557" s="35">
        <f>IF(OR($A557="",$C557="",$C557&lt;&gt;'売掛帳'!$B$3,NOT(ISNUMBER($X557))),"",IF(AND($X557&gt;='売掛帳'!$Q$3,$X557&lt;='売掛帳'!$Q$4),$X557+ROW()/10000000,""))</f>
        <v/>
      </c>
    </row>
    <row r="558" ht="18" customHeight="1">
      <c r="A558" s="18" t="n"/>
      <c r="B558" s="26" t="n"/>
      <c r="C558" s="18" t="n"/>
      <c r="D558" s="20">
        <f>IF($W558="","",IF($W558="なし","※得意先にないコード",INDEX('得意先'!$C$5:$C$104,$W558)&amp;""))</f>
        <v/>
      </c>
      <c r="E558" s="26" t="n"/>
      <c r="F558" s="19" t="n"/>
      <c r="G558" s="27" t="n"/>
      <c r="H558" s="27" t="n"/>
      <c r="I558" s="27" t="n"/>
      <c r="J558" s="28">
        <f>IF($A558="","",IF('設定'!$B$10="四捨五入",ROUND(IF('設定'!$B$9="税込",N($G558)*10/110,N($G558)*10/100),0),IF('設定'!$B$10="切り上げ",ROUNDUP(IF('設定'!$B$9="税込",N($G558)*10/110,N($G558)*10/100),0),ROUNDDOWN(IF('設定'!$B$9="税込",N($G558)*10/110,N($G558)*10/100),0))))</f>
        <v/>
      </c>
      <c r="K558" s="28">
        <f>IF($A558="","",IF('設定'!$B$10="四捨五入",ROUND(IF('設定'!$B$9="税込",N($H558)*8/108,N($H558)*8/100),0),IF('設定'!$B$10="切り上げ",ROUNDUP(IF('設定'!$B$9="税込",N($H558)*8/108,N($H558)*8/100),0),ROUNDDOWN(IF('設定'!$B$9="税込",N($H558)*8/108,N($H558)*8/100),0))))</f>
        <v/>
      </c>
      <c r="L558" s="28">
        <f>IF($A558="","",N($G558)+N($H558)+N($I558)+IF('設定'!$B$9="税込",0,$J558+$K558))</f>
        <v/>
      </c>
      <c r="M558" s="29">
        <f>IF(OR($A558="",NOT(ISNUMBER($W558)),NOT(ISNUMBER($X558))),"",IF(OR(INDEX('得意先'!$D$5:$D$104,$W558)="",INDEX('得意先'!$E$5:$E$104,$W558)="",INDEX('得意先'!$F$5:$F$104,$W558)=""),"",IF(INDEX('得意先'!$F$5:$F$104,$W558)="末",DATE(YEAR($X558),(MONTH($X558)+IF(INDEX('得意先'!$D$5:$D$104,$W558)="末",0,IF(DAY($X558)&lt;=INDEX('得意先'!$D$5:$D$104,$W558),0,1))+N(INDEX('得意先'!$E$5:$E$104,$W558)))+1,0),DATE(YEAR($X558),(MONTH($X558)+IF(INDEX('得意先'!$D$5:$D$104,$W558)="末",0,IF(DAY($X558)&lt;=INDEX('得意先'!$D$5:$D$104,$W558),0,1))+N(INDEX('得意先'!$E$5:$E$104,$W558))),MIN(INDEX('得意先'!$F$5:$F$104,$W558),DAY(DATE(YEAR($X558),(MONTH($X558)+IF(INDEX('得意先'!$D$5:$D$104,$W558)="末",0,IF(DAY($X558)&lt;=INDEX('得意先'!$D$5:$D$104,$W558),0,1))+N(INDEX('得意先'!$E$5:$E$104,$W558)))+1,0)))))))</f>
        <v/>
      </c>
      <c r="N558" s="26" t="n"/>
      <c r="O558" s="29">
        <f>IF($A558="","",IF(ISNUMBER($N558),$N558,$M558))</f>
        <v/>
      </c>
      <c r="P558" s="28">
        <f>IF($A558="","",SUMIF('入金消込'!$F$5:$F$1004,$A558,'入金消込'!$G$5:$G$1004))</f>
        <v/>
      </c>
      <c r="Q558" s="28">
        <f>IF($A558="","",SUMIF('入金消込'!$F$5:$F$1004,$A558,'入金消込'!$H$5:$H$1004)+SUMIF('入金消込'!$F$5:$F$1004,$A558,'入金消込'!$I$5:$I$1004))</f>
        <v/>
      </c>
      <c r="R558" s="28">
        <f>IF($A558="","",$L558-$P558-$Q558)</f>
        <v/>
      </c>
      <c r="S558" s="30">
        <f>IF($A558="","",IF($R558=0,IF($L558=0,"請求額0","回収済"),IF($L558&lt;0,IF($R558&lt;0,"差し引き待ち","差し引きすぎ"),IF($R558&lt;0,"入金が多い",IF($P558+$Q558=0,"未入金","一部入金")))))</f>
        <v/>
      </c>
      <c r="T558" s="31">
        <f>IF(OR($A558="",N($R558)&lt;=0,NOT(ISNUMBER($O558))),"",IF($O558&lt;'設定'!$B$7,'設定'!$B$7-$O558,""))</f>
        <v/>
      </c>
      <c r="U558" s="30">
        <f>IF(OR($A558="",N($R558)&lt;=0),"",IF(NOT(ISNUMBER($O558)),'設定'!$B$22,IF($O558&gt;='設定'!$B$7,'設定'!$B$17,IF('設定'!$B$7-$O558&lt;='設定'!$B$12,'設定'!$B$18,IF('設定'!$B$7-$O558&lt;='設定'!$B$13,'設定'!$B$19,IF('設定'!$B$7-$O558&lt;='設定'!$B$14,'設定'!$B$20,'設定'!$B$21))))))</f>
        <v/>
      </c>
      <c r="V558" s="56" t="n"/>
      <c r="W558" s="32">
        <f>IF($C558="","",IFERROR(MATCH($C558,'得意先'!$B$5:$B$104,0),"なし"))</f>
        <v/>
      </c>
      <c r="X558" s="33">
        <f>IF($A558="","",IF(ISNUMBER($E558),$E558,IF(ISNUMBER($B558),$B558,"")))</f>
        <v/>
      </c>
      <c r="Y558" s="34">
        <f>IF($T558="","",$O558+ROW()/1000000)</f>
        <v/>
      </c>
      <c r="Z558" s="35">
        <f>IF(OR($A558="",$C558="",$C558&lt;&gt;'売掛帳'!$B$3,NOT(ISNUMBER($X558))),"",IF(AND($X558&gt;='売掛帳'!$Q$3,$X558&lt;='売掛帳'!$Q$4),$X558+ROW()/10000000,""))</f>
        <v/>
      </c>
    </row>
    <row r="559" ht="18" customHeight="1">
      <c r="A559" s="18" t="n"/>
      <c r="B559" s="26" t="n"/>
      <c r="C559" s="18" t="n"/>
      <c r="D559" s="20">
        <f>IF($W559="","",IF($W559="なし","※得意先にないコード",INDEX('得意先'!$C$5:$C$104,$W559)&amp;""))</f>
        <v/>
      </c>
      <c r="E559" s="26" t="n"/>
      <c r="F559" s="19" t="n"/>
      <c r="G559" s="27" t="n"/>
      <c r="H559" s="27" t="n"/>
      <c r="I559" s="27" t="n"/>
      <c r="J559" s="28">
        <f>IF($A559="","",IF('設定'!$B$10="四捨五入",ROUND(IF('設定'!$B$9="税込",N($G559)*10/110,N($G559)*10/100),0),IF('設定'!$B$10="切り上げ",ROUNDUP(IF('設定'!$B$9="税込",N($G559)*10/110,N($G559)*10/100),0),ROUNDDOWN(IF('設定'!$B$9="税込",N($G559)*10/110,N($G559)*10/100),0))))</f>
        <v/>
      </c>
      <c r="K559" s="28">
        <f>IF($A559="","",IF('設定'!$B$10="四捨五入",ROUND(IF('設定'!$B$9="税込",N($H559)*8/108,N($H559)*8/100),0),IF('設定'!$B$10="切り上げ",ROUNDUP(IF('設定'!$B$9="税込",N($H559)*8/108,N($H559)*8/100),0),ROUNDDOWN(IF('設定'!$B$9="税込",N($H559)*8/108,N($H559)*8/100),0))))</f>
        <v/>
      </c>
      <c r="L559" s="28">
        <f>IF($A559="","",N($G559)+N($H559)+N($I559)+IF('設定'!$B$9="税込",0,$J559+$K559))</f>
        <v/>
      </c>
      <c r="M559" s="29">
        <f>IF(OR($A559="",NOT(ISNUMBER($W559)),NOT(ISNUMBER($X559))),"",IF(OR(INDEX('得意先'!$D$5:$D$104,$W559)="",INDEX('得意先'!$E$5:$E$104,$W559)="",INDEX('得意先'!$F$5:$F$104,$W559)=""),"",IF(INDEX('得意先'!$F$5:$F$104,$W559)="末",DATE(YEAR($X559),(MONTH($X559)+IF(INDEX('得意先'!$D$5:$D$104,$W559)="末",0,IF(DAY($X559)&lt;=INDEX('得意先'!$D$5:$D$104,$W559),0,1))+N(INDEX('得意先'!$E$5:$E$104,$W559)))+1,0),DATE(YEAR($X559),(MONTH($X559)+IF(INDEX('得意先'!$D$5:$D$104,$W559)="末",0,IF(DAY($X559)&lt;=INDEX('得意先'!$D$5:$D$104,$W559),0,1))+N(INDEX('得意先'!$E$5:$E$104,$W559))),MIN(INDEX('得意先'!$F$5:$F$104,$W559),DAY(DATE(YEAR($X559),(MONTH($X559)+IF(INDEX('得意先'!$D$5:$D$104,$W559)="末",0,IF(DAY($X559)&lt;=INDEX('得意先'!$D$5:$D$104,$W559),0,1))+N(INDEX('得意先'!$E$5:$E$104,$W559)))+1,0)))))))</f>
        <v/>
      </c>
      <c r="N559" s="26" t="n"/>
      <c r="O559" s="29">
        <f>IF($A559="","",IF(ISNUMBER($N559),$N559,$M559))</f>
        <v/>
      </c>
      <c r="P559" s="28">
        <f>IF($A559="","",SUMIF('入金消込'!$F$5:$F$1004,$A559,'入金消込'!$G$5:$G$1004))</f>
        <v/>
      </c>
      <c r="Q559" s="28">
        <f>IF($A559="","",SUMIF('入金消込'!$F$5:$F$1004,$A559,'入金消込'!$H$5:$H$1004)+SUMIF('入金消込'!$F$5:$F$1004,$A559,'入金消込'!$I$5:$I$1004))</f>
        <v/>
      </c>
      <c r="R559" s="28">
        <f>IF($A559="","",$L559-$P559-$Q559)</f>
        <v/>
      </c>
      <c r="S559" s="30">
        <f>IF($A559="","",IF($R559=0,IF($L559=0,"請求額0","回収済"),IF($L559&lt;0,IF($R559&lt;0,"差し引き待ち","差し引きすぎ"),IF($R559&lt;0,"入金が多い",IF($P559+$Q559=0,"未入金","一部入金")))))</f>
        <v/>
      </c>
      <c r="T559" s="31">
        <f>IF(OR($A559="",N($R559)&lt;=0,NOT(ISNUMBER($O559))),"",IF($O559&lt;'設定'!$B$7,'設定'!$B$7-$O559,""))</f>
        <v/>
      </c>
      <c r="U559" s="30">
        <f>IF(OR($A559="",N($R559)&lt;=0),"",IF(NOT(ISNUMBER($O559)),'設定'!$B$22,IF($O559&gt;='設定'!$B$7,'設定'!$B$17,IF('設定'!$B$7-$O559&lt;='設定'!$B$12,'設定'!$B$18,IF('設定'!$B$7-$O559&lt;='設定'!$B$13,'設定'!$B$19,IF('設定'!$B$7-$O559&lt;='設定'!$B$14,'設定'!$B$20,'設定'!$B$21))))))</f>
        <v/>
      </c>
      <c r="V559" s="56" t="n"/>
      <c r="W559" s="32">
        <f>IF($C559="","",IFERROR(MATCH($C559,'得意先'!$B$5:$B$104,0),"なし"))</f>
        <v/>
      </c>
      <c r="X559" s="33">
        <f>IF($A559="","",IF(ISNUMBER($E559),$E559,IF(ISNUMBER($B559),$B559,"")))</f>
        <v/>
      </c>
      <c r="Y559" s="34">
        <f>IF($T559="","",$O559+ROW()/1000000)</f>
        <v/>
      </c>
      <c r="Z559" s="35">
        <f>IF(OR($A559="",$C559="",$C559&lt;&gt;'売掛帳'!$B$3,NOT(ISNUMBER($X559))),"",IF(AND($X559&gt;='売掛帳'!$Q$3,$X559&lt;='売掛帳'!$Q$4),$X559+ROW()/10000000,""))</f>
        <v/>
      </c>
    </row>
    <row r="560" ht="18" customHeight="1">
      <c r="A560" s="18" t="n"/>
      <c r="B560" s="26" t="n"/>
      <c r="C560" s="18" t="n"/>
      <c r="D560" s="20">
        <f>IF($W560="","",IF($W560="なし","※得意先にないコード",INDEX('得意先'!$C$5:$C$104,$W560)&amp;""))</f>
        <v/>
      </c>
      <c r="E560" s="26" t="n"/>
      <c r="F560" s="19" t="n"/>
      <c r="G560" s="27" t="n"/>
      <c r="H560" s="27" t="n"/>
      <c r="I560" s="27" t="n"/>
      <c r="J560" s="28">
        <f>IF($A560="","",IF('設定'!$B$10="四捨五入",ROUND(IF('設定'!$B$9="税込",N($G560)*10/110,N($G560)*10/100),0),IF('設定'!$B$10="切り上げ",ROUNDUP(IF('設定'!$B$9="税込",N($G560)*10/110,N($G560)*10/100),0),ROUNDDOWN(IF('設定'!$B$9="税込",N($G560)*10/110,N($G560)*10/100),0))))</f>
        <v/>
      </c>
      <c r="K560" s="28">
        <f>IF($A560="","",IF('設定'!$B$10="四捨五入",ROUND(IF('設定'!$B$9="税込",N($H560)*8/108,N($H560)*8/100),0),IF('設定'!$B$10="切り上げ",ROUNDUP(IF('設定'!$B$9="税込",N($H560)*8/108,N($H560)*8/100),0),ROUNDDOWN(IF('設定'!$B$9="税込",N($H560)*8/108,N($H560)*8/100),0))))</f>
        <v/>
      </c>
      <c r="L560" s="28">
        <f>IF($A560="","",N($G560)+N($H560)+N($I560)+IF('設定'!$B$9="税込",0,$J560+$K560))</f>
        <v/>
      </c>
      <c r="M560" s="29">
        <f>IF(OR($A560="",NOT(ISNUMBER($W560)),NOT(ISNUMBER($X560))),"",IF(OR(INDEX('得意先'!$D$5:$D$104,$W560)="",INDEX('得意先'!$E$5:$E$104,$W560)="",INDEX('得意先'!$F$5:$F$104,$W560)=""),"",IF(INDEX('得意先'!$F$5:$F$104,$W560)="末",DATE(YEAR($X560),(MONTH($X560)+IF(INDEX('得意先'!$D$5:$D$104,$W560)="末",0,IF(DAY($X560)&lt;=INDEX('得意先'!$D$5:$D$104,$W560),0,1))+N(INDEX('得意先'!$E$5:$E$104,$W560)))+1,0),DATE(YEAR($X560),(MONTH($X560)+IF(INDEX('得意先'!$D$5:$D$104,$W560)="末",0,IF(DAY($X560)&lt;=INDEX('得意先'!$D$5:$D$104,$W560),0,1))+N(INDEX('得意先'!$E$5:$E$104,$W560))),MIN(INDEX('得意先'!$F$5:$F$104,$W560),DAY(DATE(YEAR($X560),(MONTH($X560)+IF(INDEX('得意先'!$D$5:$D$104,$W560)="末",0,IF(DAY($X560)&lt;=INDEX('得意先'!$D$5:$D$104,$W560),0,1))+N(INDEX('得意先'!$E$5:$E$104,$W560)))+1,0)))))))</f>
        <v/>
      </c>
      <c r="N560" s="26" t="n"/>
      <c r="O560" s="29">
        <f>IF($A560="","",IF(ISNUMBER($N560),$N560,$M560))</f>
        <v/>
      </c>
      <c r="P560" s="28">
        <f>IF($A560="","",SUMIF('入金消込'!$F$5:$F$1004,$A560,'入金消込'!$G$5:$G$1004))</f>
        <v/>
      </c>
      <c r="Q560" s="28">
        <f>IF($A560="","",SUMIF('入金消込'!$F$5:$F$1004,$A560,'入金消込'!$H$5:$H$1004)+SUMIF('入金消込'!$F$5:$F$1004,$A560,'入金消込'!$I$5:$I$1004))</f>
        <v/>
      </c>
      <c r="R560" s="28">
        <f>IF($A560="","",$L560-$P560-$Q560)</f>
        <v/>
      </c>
      <c r="S560" s="30">
        <f>IF($A560="","",IF($R560=0,IF($L560=0,"請求額0","回収済"),IF($L560&lt;0,IF($R560&lt;0,"差し引き待ち","差し引きすぎ"),IF($R560&lt;0,"入金が多い",IF($P560+$Q560=0,"未入金","一部入金")))))</f>
        <v/>
      </c>
      <c r="T560" s="31">
        <f>IF(OR($A560="",N($R560)&lt;=0,NOT(ISNUMBER($O560))),"",IF($O560&lt;'設定'!$B$7,'設定'!$B$7-$O560,""))</f>
        <v/>
      </c>
      <c r="U560" s="30">
        <f>IF(OR($A560="",N($R560)&lt;=0),"",IF(NOT(ISNUMBER($O560)),'設定'!$B$22,IF($O560&gt;='設定'!$B$7,'設定'!$B$17,IF('設定'!$B$7-$O560&lt;='設定'!$B$12,'設定'!$B$18,IF('設定'!$B$7-$O560&lt;='設定'!$B$13,'設定'!$B$19,IF('設定'!$B$7-$O560&lt;='設定'!$B$14,'設定'!$B$20,'設定'!$B$21))))))</f>
        <v/>
      </c>
      <c r="V560" s="56" t="n"/>
      <c r="W560" s="32">
        <f>IF($C560="","",IFERROR(MATCH($C560,'得意先'!$B$5:$B$104,0),"なし"))</f>
        <v/>
      </c>
      <c r="X560" s="33">
        <f>IF($A560="","",IF(ISNUMBER($E560),$E560,IF(ISNUMBER($B560),$B560,"")))</f>
        <v/>
      </c>
      <c r="Y560" s="34">
        <f>IF($T560="","",$O560+ROW()/1000000)</f>
        <v/>
      </c>
      <c r="Z560" s="35">
        <f>IF(OR($A560="",$C560="",$C560&lt;&gt;'売掛帳'!$B$3,NOT(ISNUMBER($X560))),"",IF(AND($X560&gt;='売掛帳'!$Q$3,$X560&lt;='売掛帳'!$Q$4),$X560+ROW()/10000000,""))</f>
        <v/>
      </c>
    </row>
    <row r="561" ht="18" customHeight="1">
      <c r="A561" s="18" t="n"/>
      <c r="B561" s="26" t="n"/>
      <c r="C561" s="18" t="n"/>
      <c r="D561" s="20">
        <f>IF($W561="","",IF($W561="なし","※得意先にないコード",INDEX('得意先'!$C$5:$C$104,$W561)&amp;""))</f>
        <v/>
      </c>
      <c r="E561" s="26" t="n"/>
      <c r="F561" s="19" t="n"/>
      <c r="G561" s="27" t="n"/>
      <c r="H561" s="27" t="n"/>
      <c r="I561" s="27" t="n"/>
      <c r="J561" s="28">
        <f>IF($A561="","",IF('設定'!$B$10="四捨五入",ROUND(IF('設定'!$B$9="税込",N($G561)*10/110,N($G561)*10/100),0),IF('設定'!$B$10="切り上げ",ROUNDUP(IF('設定'!$B$9="税込",N($G561)*10/110,N($G561)*10/100),0),ROUNDDOWN(IF('設定'!$B$9="税込",N($G561)*10/110,N($G561)*10/100),0))))</f>
        <v/>
      </c>
      <c r="K561" s="28">
        <f>IF($A561="","",IF('設定'!$B$10="四捨五入",ROUND(IF('設定'!$B$9="税込",N($H561)*8/108,N($H561)*8/100),0),IF('設定'!$B$10="切り上げ",ROUNDUP(IF('設定'!$B$9="税込",N($H561)*8/108,N($H561)*8/100),0),ROUNDDOWN(IF('設定'!$B$9="税込",N($H561)*8/108,N($H561)*8/100),0))))</f>
        <v/>
      </c>
      <c r="L561" s="28">
        <f>IF($A561="","",N($G561)+N($H561)+N($I561)+IF('設定'!$B$9="税込",0,$J561+$K561))</f>
        <v/>
      </c>
      <c r="M561" s="29">
        <f>IF(OR($A561="",NOT(ISNUMBER($W561)),NOT(ISNUMBER($X561))),"",IF(OR(INDEX('得意先'!$D$5:$D$104,$W561)="",INDEX('得意先'!$E$5:$E$104,$W561)="",INDEX('得意先'!$F$5:$F$104,$W561)=""),"",IF(INDEX('得意先'!$F$5:$F$104,$W561)="末",DATE(YEAR($X561),(MONTH($X561)+IF(INDEX('得意先'!$D$5:$D$104,$W561)="末",0,IF(DAY($X561)&lt;=INDEX('得意先'!$D$5:$D$104,$W561),0,1))+N(INDEX('得意先'!$E$5:$E$104,$W561)))+1,0),DATE(YEAR($X561),(MONTH($X561)+IF(INDEX('得意先'!$D$5:$D$104,$W561)="末",0,IF(DAY($X561)&lt;=INDEX('得意先'!$D$5:$D$104,$W561),0,1))+N(INDEX('得意先'!$E$5:$E$104,$W561))),MIN(INDEX('得意先'!$F$5:$F$104,$W561),DAY(DATE(YEAR($X561),(MONTH($X561)+IF(INDEX('得意先'!$D$5:$D$104,$W561)="末",0,IF(DAY($X561)&lt;=INDEX('得意先'!$D$5:$D$104,$W561),0,1))+N(INDEX('得意先'!$E$5:$E$104,$W561)))+1,0)))))))</f>
        <v/>
      </c>
      <c r="N561" s="26" t="n"/>
      <c r="O561" s="29">
        <f>IF($A561="","",IF(ISNUMBER($N561),$N561,$M561))</f>
        <v/>
      </c>
      <c r="P561" s="28">
        <f>IF($A561="","",SUMIF('入金消込'!$F$5:$F$1004,$A561,'入金消込'!$G$5:$G$1004))</f>
        <v/>
      </c>
      <c r="Q561" s="28">
        <f>IF($A561="","",SUMIF('入金消込'!$F$5:$F$1004,$A561,'入金消込'!$H$5:$H$1004)+SUMIF('入金消込'!$F$5:$F$1004,$A561,'入金消込'!$I$5:$I$1004))</f>
        <v/>
      </c>
      <c r="R561" s="28">
        <f>IF($A561="","",$L561-$P561-$Q561)</f>
        <v/>
      </c>
      <c r="S561" s="30">
        <f>IF($A561="","",IF($R561=0,IF($L561=0,"請求額0","回収済"),IF($L561&lt;0,IF($R561&lt;0,"差し引き待ち","差し引きすぎ"),IF($R561&lt;0,"入金が多い",IF($P561+$Q561=0,"未入金","一部入金")))))</f>
        <v/>
      </c>
      <c r="T561" s="31">
        <f>IF(OR($A561="",N($R561)&lt;=0,NOT(ISNUMBER($O561))),"",IF($O561&lt;'設定'!$B$7,'設定'!$B$7-$O561,""))</f>
        <v/>
      </c>
      <c r="U561" s="30">
        <f>IF(OR($A561="",N($R561)&lt;=0),"",IF(NOT(ISNUMBER($O561)),'設定'!$B$22,IF($O561&gt;='設定'!$B$7,'設定'!$B$17,IF('設定'!$B$7-$O561&lt;='設定'!$B$12,'設定'!$B$18,IF('設定'!$B$7-$O561&lt;='設定'!$B$13,'設定'!$B$19,IF('設定'!$B$7-$O561&lt;='設定'!$B$14,'設定'!$B$20,'設定'!$B$21))))))</f>
        <v/>
      </c>
      <c r="V561" s="56" t="n"/>
      <c r="W561" s="32">
        <f>IF($C561="","",IFERROR(MATCH($C561,'得意先'!$B$5:$B$104,0),"なし"))</f>
        <v/>
      </c>
      <c r="X561" s="33">
        <f>IF($A561="","",IF(ISNUMBER($E561),$E561,IF(ISNUMBER($B561),$B561,"")))</f>
        <v/>
      </c>
      <c r="Y561" s="34">
        <f>IF($T561="","",$O561+ROW()/1000000)</f>
        <v/>
      </c>
      <c r="Z561" s="35">
        <f>IF(OR($A561="",$C561="",$C561&lt;&gt;'売掛帳'!$B$3,NOT(ISNUMBER($X561))),"",IF(AND($X561&gt;='売掛帳'!$Q$3,$X561&lt;='売掛帳'!$Q$4),$X561+ROW()/10000000,""))</f>
        <v/>
      </c>
    </row>
    <row r="562" ht="18" customHeight="1">
      <c r="A562" s="18" t="n"/>
      <c r="B562" s="26" t="n"/>
      <c r="C562" s="18" t="n"/>
      <c r="D562" s="20">
        <f>IF($W562="","",IF($W562="なし","※得意先にないコード",INDEX('得意先'!$C$5:$C$104,$W562)&amp;""))</f>
        <v/>
      </c>
      <c r="E562" s="26" t="n"/>
      <c r="F562" s="19" t="n"/>
      <c r="G562" s="27" t="n"/>
      <c r="H562" s="27" t="n"/>
      <c r="I562" s="27" t="n"/>
      <c r="J562" s="28">
        <f>IF($A562="","",IF('設定'!$B$10="四捨五入",ROUND(IF('設定'!$B$9="税込",N($G562)*10/110,N($G562)*10/100),0),IF('設定'!$B$10="切り上げ",ROUNDUP(IF('設定'!$B$9="税込",N($G562)*10/110,N($G562)*10/100),0),ROUNDDOWN(IF('設定'!$B$9="税込",N($G562)*10/110,N($G562)*10/100),0))))</f>
        <v/>
      </c>
      <c r="K562" s="28">
        <f>IF($A562="","",IF('設定'!$B$10="四捨五入",ROUND(IF('設定'!$B$9="税込",N($H562)*8/108,N($H562)*8/100),0),IF('設定'!$B$10="切り上げ",ROUNDUP(IF('設定'!$B$9="税込",N($H562)*8/108,N($H562)*8/100),0),ROUNDDOWN(IF('設定'!$B$9="税込",N($H562)*8/108,N($H562)*8/100),0))))</f>
        <v/>
      </c>
      <c r="L562" s="28">
        <f>IF($A562="","",N($G562)+N($H562)+N($I562)+IF('設定'!$B$9="税込",0,$J562+$K562))</f>
        <v/>
      </c>
      <c r="M562" s="29">
        <f>IF(OR($A562="",NOT(ISNUMBER($W562)),NOT(ISNUMBER($X562))),"",IF(OR(INDEX('得意先'!$D$5:$D$104,$W562)="",INDEX('得意先'!$E$5:$E$104,$W562)="",INDEX('得意先'!$F$5:$F$104,$W562)=""),"",IF(INDEX('得意先'!$F$5:$F$104,$W562)="末",DATE(YEAR($X562),(MONTH($X562)+IF(INDEX('得意先'!$D$5:$D$104,$W562)="末",0,IF(DAY($X562)&lt;=INDEX('得意先'!$D$5:$D$104,$W562),0,1))+N(INDEX('得意先'!$E$5:$E$104,$W562)))+1,0),DATE(YEAR($X562),(MONTH($X562)+IF(INDEX('得意先'!$D$5:$D$104,$W562)="末",0,IF(DAY($X562)&lt;=INDEX('得意先'!$D$5:$D$104,$W562),0,1))+N(INDEX('得意先'!$E$5:$E$104,$W562))),MIN(INDEX('得意先'!$F$5:$F$104,$W562),DAY(DATE(YEAR($X562),(MONTH($X562)+IF(INDEX('得意先'!$D$5:$D$104,$W562)="末",0,IF(DAY($X562)&lt;=INDEX('得意先'!$D$5:$D$104,$W562),0,1))+N(INDEX('得意先'!$E$5:$E$104,$W562)))+1,0)))))))</f>
        <v/>
      </c>
      <c r="N562" s="26" t="n"/>
      <c r="O562" s="29">
        <f>IF($A562="","",IF(ISNUMBER($N562),$N562,$M562))</f>
        <v/>
      </c>
      <c r="P562" s="28">
        <f>IF($A562="","",SUMIF('入金消込'!$F$5:$F$1004,$A562,'入金消込'!$G$5:$G$1004))</f>
        <v/>
      </c>
      <c r="Q562" s="28">
        <f>IF($A562="","",SUMIF('入金消込'!$F$5:$F$1004,$A562,'入金消込'!$H$5:$H$1004)+SUMIF('入金消込'!$F$5:$F$1004,$A562,'入金消込'!$I$5:$I$1004))</f>
        <v/>
      </c>
      <c r="R562" s="28">
        <f>IF($A562="","",$L562-$P562-$Q562)</f>
        <v/>
      </c>
      <c r="S562" s="30">
        <f>IF($A562="","",IF($R562=0,IF($L562=0,"請求額0","回収済"),IF($L562&lt;0,IF($R562&lt;0,"差し引き待ち","差し引きすぎ"),IF($R562&lt;0,"入金が多い",IF($P562+$Q562=0,"未入金","一部入金")))))</f>
        <v/>
      </c>
      <c r="T562" s="31">
        <f>IF(OR($A562="",N($R562)&lt;=0,NOT(ISNUMBER($O562))),"",IF($O562&lt;'設定'!$B$7,'設定'!$B$7-$O562,""))</f>
        <v/>
      </c>
      <c r="U562" s="30">
        <f>IF(OR($A562="",N($R562)&lt;=0),"",IF(NOT(ISNUMBER($O562)),'設定'!$B$22,IF($O562&gt;='設定'!$B$7,'設定'!$B$17,IF('設定'!$B$7-$O562&lt;='設定'!$B$12,'設定'!$B$18,IF('設定'!$B$7-$O562&lt;='設定'!$B$13,'設定'!$B$19,IF('設定'!$B$7-$O562&lt;='設定'!$B$14,'設定'!$B$20,'設定'!$B$21))))))</f>
        <v/>
      </c>
      <c r="V562" s="56" t="n"/>
      <c r="W562" s="32">
        <f>IF($C562="","",IFERROR(MATCH($C562,'得意先'!$B$5:$B$104,0),"なし"))</f>
        <v/>
      </c>
      <c r="X562" s="33">
        <f>IF($A562="","",IF(ISNUMBER($E562),$E562,IF(ISNUMBER($B562),$B562,"")))</f>
        <v/>
      </c>
      <c r="Y562" s="34">
        <f>IF($T562="","",$O562+ROW()/1000000)</f>
        <v/>
      </c>
      <c r="Z562" s="35">
        <f>IF(OR($A562="",$C562="",$C562&lt;&gt;'売掛帳'!$B$3,NOT(ISNUMBER($X562))),"",IF(AND($X562&gt;='売掛帳'!$Q$3,$X562&lt;='売掛帳'!$Q$4),$X562+ROW()/10000000,""))</f>
        <v/>
      </c>
    </row>
    <row r="563" ht="18" customHeight="1">
      <c r="A563" s="18" t="n"/>
      <c r="B563" s="26" t="n"/>
      <c r="C563" s="18" t="n"/>
      <c r="D563" s="20">
        <f>IF($W563="","",IF($W563="なし","※得意先にないコード",INDEX('得意先'!$C$5:$C$104,$W563)&amp;""))</f>
        <v/>
      </c>
      <c r="E563" s="26" t="n"/>
      <c r="F563" s="19" t="n"/>
      <c r="G563" s="27" t="n"/>
      <c r="H563" s="27" t="n"/>
      <c r="I563" s="27" t="n"/>
      <c r="J563" s="28">
        <f>IF($A563="","",IF('設定'!$B$10="四捨五入",ROUND(IF('設定'!$B$9="税込",N($G563)*10/110,N($G563)*10/100),0),IF('設定'!$B$10="切り上げ",ROUNDUP(IF('設定'!$B$9="税込",N($G563)*10/110,N($G563)*10/100),0),ROUNDDOWN(IF('設定'!$B$9="税込",N($G563)*10/110,N($G563)*10/100),0))))</f>
        <v/>
      </c>
      <c r="K563" s="28">
        <f>IF($A563="","",IF('設定'!$B$10="四捨五入",ROUND(IF('設定'!$B$9="税込",N($H563)*8/108,N($H563)*8/100),0),IF('設定'!$B$10="切り上げ",ROUNDUP(IF('設定'!$B$9="税込",N($H563)*8/108,N($H563)*8/100),0),ROUNDDOWN(IF('設定'!$B$9="税込",N($H563)*8/108,N($H563)*8/100),0))))</f>
        <v/>
      </c>
      <c r="L563" s="28">
        <f>IF($A563="","",N($G563)+N($H563)+N($I563)+IF('設定'!$B$9="税込",0,$J563+$K563))</f>
        <v/>
      </c>
      <c r="M563" s="29">
        <f>IF(OR($A563="",NOT(ISNUMBER($W563)),NOT(ISNUMBER($X563))),"",IF(OR(INDEX('得意先'!$D$5:$D$104,$W563)="",INDEX('得意先'!$E$5:$E$104,$W563)="",INDEX('得意先'!$F$5:$F$104,$W563)=""),"",IF(INDEX('得意先'!$F$5:$F$104,$W563)="末",DATE(YEAR($X563),(MONTH($X563)+IF(INDEX('得意先'!$D$5:$D$104,$W563)="末",0,IF(DAY($X563)&lt;=INDEX('得意先'!$D$5:$D$104,$W563),0,1))+N(INDEX('得意先'!$E$5:$E$104,$W563)))+1,0),DATE(YEAR($X563),(MONTH($X563)+IF(INDEX('得意先'!$D$5:$D$104,$W563)="末",0,IF(DAY($X563)&lt;=INDEX('得意先'!$D$5:$D$104,$W563),0,1))+N(INDEX('得意先'!$E$5:$E$104,$W563))),MIN(INDEX('得意先'!$F$5:$F$104,$W563),DAY(DATE(YEAR($X563),(MONTH($X563)+IF(INDEX('得意先'!$D$5:$D$104,$W563)="末",0,IF(DAY($X563)&lt;=INDEX('得意先'!$D$5:$D$104,$W563),0,1))+N(INDEX('得意先'!$E$5:$E$104,$W563)))+1,0)))))))</f>
        <v/>
      </c>
      <c r="N563" s="26" t="n"/>
      <c r="O563" s="29">
        <f>IF($A563="","",IF(ISNUMBER($N563),$N563,$M563))</f>
        <v/>
      </c>
      <c r="P563" s="28">
        <f>IF($A563="","",SUMIF('入金消込'!$F$5:$F$1004,$A563,'入金消込'!$G$5:$G$1004))</f>
        <v/>
      </c>
      <c r="Q563" s="28">
        <f>IF($A563="","",SUMIF('入金消込'!$F$5:$F$1004,$A563,'入金消込'!$H$5:$H$1004)+SUMIF('入金消込'!$F$5:$F$1004,$A563,'入金消込'!$I$5:$I$1004))</f>
        <v/>
      </c>
      <c r="R563" s="28">
        <f>IF($A563="","",$L563-$P563-$Q563)</f>
        <v/>
      </c>
      <c r="S563" s="30">
        <f>IF($A563="","",IF($R563=0,IF($L563=0,"請求額0","回収済"),IF($L563&lt;0,IF($R563&lt;0,"差し引き待ち","差し引きすぎ"),IF($R563&lt;0,"入金が多い",IF($P563+$Q563=0,"未入金","一部入金")))))</f>
        <v/>
      </c>
      <c r="T563" s="31">
        <f>IF(OR($A563="",N($R563)&lt;=0,NOT(ISNUMBER($O563))),"",IF($O563&lt;'設定'!$B$7,'設定'!$B$7-$O563,""))</f>
        <v/>
      </c>
      <c r="U563" s="30">
        <f>IF(OR($A563="",N($R563)&lt;=0),"",IF(NOT(ISNUMBER($O563)),'設定'!$B$22,IF($O563&gt;='設定'!$B$7,'設定'!$B$17,IF('設定'!$B$7-$O563&lt;='設定'!$B$12,'設定'!$B$18,IF('設定'!$B$7-$O563&lt;='設定'!$B$13,'設定'!$B$19,IF('設定'!$B$7-$O563&lt;='設定'!$B$14,'設定'!$B$20,'設定'!$B$21))))))</f>
        <v/>
      </c>
      <c r="V563" s="56" t="n"/>
      <c r="W563" s="32">
        <f>IF($C563="","",IFERROR(MATCH($C563,'得意先'!$B$5:$B$104,0),"なし"))</f>
        <v/>
      </c>
      <c r="X563" s="33">
        <f>IF($A563="","",IF(ISNUMBER($E563),$E563,IF(ISNUMBER($B563),$B563,"")))</f>
        <v/>
      </c>
      <c r="Y563" s="34">
        <f>IF($T563="","",$O563+ROW()/1000000)</f>
        <v/>
      </c>
      <c r="Z563" s="35">
        <f>IF(OR($A563="",$C563="",$C563&lt;&gt;'売掛帳'!$B$3,NOT(ISNUMBER($X563))),"",IF(AND($X563&gt;='売掛帳'!$Q$3,$X563&lt;='売掛帳'!$Q$4),$X563+ROW()/10000000,""))</f>
        <v/>
      </c>
    </row>
    <row r="564" ht="18" customHeight="1">
      <c r="A564" s="18" t="n"/>
      <c r="B564" s="26" t="n"/>
      <c r="C564" s="18" t="n"/>
      <c r="D564" s="20">
        <f>IF($W564="","",IF($W564="なし","※得意先にないコード",INDEX('得意先'!$C$5:$C$104,$W564)&amp;""))</f>
        <v/>
      </c>
      <c r="E564" s="26" t="n"/>
      <c r="F564" s="19" t="n"/>
      <c r="G564" s="27" t="n"/>
      <c r="H564" s="27" t="n"/>
      <c r="I564" s="27" t="n"/>
      <c r="J564" s="28">
        <f>IF($A564="","",IF('設定'!$B$10="四捨五入",ROUND(IF('設定'!$B$9="税込",N($G564)*10/110,N($G564)*10/100),0),IF('設定'!$B$10="切り上げ",ROUNDUP(IF('設定'!$B$9="税込",N($G564)*10/110,N($G564)*10/100),0),ROUNDDOWN(IF('設定'!$B$9="税込",N($G564)*10/110,N($G564)*10/100),0))))</f>
        <v/>
      </c>
      <c r="K564" s="28">
        <f>IF($A564="","",IF('設定'!$B$10="四捨五入",ROUND(IF('設定'!$B$9="税込",N($H564)*8/108,N($H564)*8/100),0),IF('設定'!$B$10="切り上げ",ROUNDUP(IF('設定'!$B$9="税込",N($H564)*8/108,N($H564)*8/100),0),ROUNDDOWN(IF('設定'!$B$9="税込",N($H564)*8/108,N($H564)*8/100),0))))</f>
        <v/>
      </c>
      <c r="L564" s="28">
        <f>IF($A564="","",N($G564)+N($H564)+N($I564)+IF('設定'!$B$9="税込",0,$J564+$K564))</f>
        <v/>
      </c>
      <c r="M564" s="29">
        <f>IF(OR($A564="",NOT(ISNUMBER($W564)),NOT(ISNUMBER($X564))),"",IF(OR(INDEX('得意先'!$D$5:$D$104,$W564)="",INDEX('得意先'!$E$5:$E$104,$W564)="",INDEX('得意先'!$F$5:$F$104,$W564)=""),"",IF(INDEX('得意先'!$F$5:$F$104,$W564)="末",DATE(YEAR($X564),(MONTH($X564)+IF(INDEX('得意先'!$D$5:$D$104,$W564)="末",0,IF(DAY($X564)&lt;=INDEX('得意先'!$D$5:$D$104,$W564),0,1))+N(INDEX('得意先'!$E$5:$E$104,$W564)))+1,0),DATE(YEAR($X564),(MONTH($X564)+IF(INDEX('得意先'!$D$5:$D$104,$W564)="末",0,IF(DAY($X564)&lt;=INDEX('得意先'!$D$5:$D$104,$W564),0,1))+N(INDEX('得意先'!$E$5:$E$104,$W564))),MIN(INDEX('得意先'!$F$5:$F$104,$W564),DAY(DATE(YEAR($X564),(MONTH($X564)+IF(INDEX('得意先'!$D$5:$D$104,$W564)="末",0,IF(DAY($X564)&lt;=INDEX('得意先'!$D$5:$D$104,$W564),0,1))+N(INDEX('得意先'!$E$5:$E$104,$W564)))+1,0)))))))</f>
        <v/>
      </c>
      <c r="N564" s="26" t="n"/>
      <c r="O564" s="29">
        <f>IF($A564="","",IF(ISNUMBER($N564),$N564,$M564))</f>
        <v/>
      </c>
      <c r="P564" s="28">
        <f>IF($A564="","",SUMIF('入金消込'!$F$5:$F$1004,$A564,'入金消込'!$G$5:$G$1004))</f>
        <v/>
      </c>
      <c r="Q564" s="28">
        <f>IF($A564="","",SUMIF('入金消込'!$F$5:$F$1004,$A564,'入金消込'!$H$5:$H$1004)+SUMIF('入金消込'!$F$5:$F$1004,$A564,'入金消込'!$I$5:$I$1004))</f>
        <v/>
      </c>
      <c r="R564" s="28">
        <f>IF($A564="","",$L564-$P564-$Q564)</f>
        <v/>
      </c>
      <c r="S564" s="30">
        <f>IF($A564="","",IF($R564=0,IF($L564=0,"請求額0","回収済"),IF($L564&lt;0,IF($R564&lt;0,"差し引き待ち","差し引きすぎ"),IF($R564&lt;0,"入金が多い",IF($P564+$Q564=0,"未入金","一部入金")))))</f>
        <v/>
      </c>
      <c r="T564" s="31">
        <f>IF(OR($A564="",N($R564)&lt;=0,NOT(ISNUMBER($O564))),"",IF($O564&lt;'設定'!$B$7,'設定'!$B$7-$O564,""))</f>
        <v/>
      </c>
      <c r="U564" s="30">
        <f>IF(OR($A564="",N($R564)&lt;=0),"",IF(NOT(ISNUMBER($O564)),'設定'!$B$22,IF($O564&gt;='設定'!$B$7,'設定'!$B$17,IF('設定'!$B$7-$O564&lt;='設定'!$B$12,'設定'!$B$18,IF('設定'!$B$7-$O564&lt;='設定'!$B$13,'設定'!$B$19,IF('設定'!$B$7-$O564&lt;='設定'!$B$14,'設定'!$B$20,'設定'!$B$21))))))</f>
        <v/>
      </c>
      <c r="V564" s="56" t="n"/>
      <c r="W564" s="32">
        <f>IF($C564="","",IFERROR(MATCH($C564,'得意先'!$B$5:$B$104,0),"なし"))</f>
        <v/>
      </c>
      <c r="X564" s="33">
        <f>IF($A564="","",IF(ISNUMBER($E564),$E564,IF(ISNUMBER($B564),$B564,"")))</f>
        <v/>
      </c>
      <c r="Y564" s="34">
        <f>IF($T564="","",$O564+ROW()/1000000)</f>
        <v/>
      </c>
      <c r="Z564" s="35">
        <f>IF(OR($A564="",$C564="",$C564&lt;&gt;'売掛帳'!$B$3,NOT(ISNUMBER($X564))),"",IF(AND($X564&gt;='売掛帳'!$Q$3,$X564&lt;='売掛帳'!$Q$4),$X564+ROW()/10000000,""))</f>
        <v/>
      </c>
    </row>
    <row r="565" ht="18" customHeight="1">
      <c r="A565" s="18" t="n"/>
      <c r="B565" s="26" t="n"/>
      <c r="C565" s="18" t="n"/>
      <c r="D565" s="20">
        <f>IF($W565="","",IF($W565="なし","※得意先にないコード",INDEX('得意先'!$C$5:$C$104,$W565)&amp;""))</f>
        <v/>
      </c>
      <c r="E565" s="26" t="n"/>
      <c r="F565" s="19" t="n"/>
      <c r="G565" s="27" t="n"/>
      <c r="H565" s="27" t="n"/>
      <c r="I565" s="27" t="n"/>
      <c r="J565" s="28">
        <f>IF($A565="","",IF('設定'!$B$10="四捨五入",ROUND(IF('設定'!$B$9="税込",N($G565)*10/110,N($G565)*10/100),0),IF('設定'!$B$10="切り上げ",ROUNDUP(IF('設定'!$B$9="税込",N($G565)*10/110,N($G565)*10/100),0),ROUNDDOWN(IF('設定'!$B$9="税込",N($G565)*10/110,N($G565)*10/100),0))))</f>
        <v/>
      </c>
      <c r="K565" s="28">
        <f>IF($A565="","",IF('設定'!$B$10="四捨五入",ROUND(IF('設定'!$B$9="税込",N($H565)*8/108,N($H565)*8/100),0),IF('設定'!$B$10="切り上げ",ROUNDUP(IF('設定'!$B$9="税込",N($H565)*8/108,N($H565)*8/100),0),ROUNDDOWN(IF('設定'!$B$9="税込",N($H565)*8/108,N($H565)*8/100),0))))</f>
        <v/>
      </c>
      <c r="L565" s="28">
        <f>IF($A565="","",N($G565)+N($H565)+N($I565)+IF('設定'!$B$9="税込",0,$J565+$K565))</f>
        <v/>
      </c>
      <c r="M565" s="29">
        <f>IF(OR($A565="",NOT(ISNUMBER($W565)),NOT(ISNUMBER($X565))),"",IF(OR(INDEX('得意先'!$D$5:$D$104,$W565)="",INDEX('得意先'!$E$5:$E$104,$W565)="",INDEX('得意先'!$F$5:$F$104,$W565)=""),"",IF(INDEX('得意先'!$F$5:$F$104,$W565)="末",DATE(YEAR($X565),(MONTH($X565)+IF(INDEX('得意先'!$D$5:$D$104,$W565)="末",0,IF(DAY($X565)&lt;=INDEX('得意先'!$D$5:$D$104,$W565),0,1))+N(INDEX('得意先'!$E$5:$E$104,$W565)))+1,0),DATE(YEAR($X565),(MONTH($X565)+IF(INDEX('得意先'!$D$5:$D$104,$W565)="末",0,IF(DAY($X565)&lt;=INDEX('得意先'!$D$5:$D$104,$W565),0,1))+N(INDEX('得意先'!$E$5:$E$104,$W565))),MIN(INDEX('得意先'!$F$5:$F$104,$W565),DAY(DATE(YEAR($X565),(MONTH($X565)+IF(INDEX('得意先'!$D$5:$D$104,$W565)="末",0,IF(DAY($X565)&lt;=INDEX('得意先'!$D$5:$D$104,$W565),0,1))+N(INDEX('得意先'!$E$5:$E$104,$W565)))+1,0)))))))</f>
        <v/>
      </c>
      <c r="N565" s="26" t="n"/>
      <c r="O565" s="29">
        <f>IF($A565="","",IF(ISNUMBER($N565),$N565,$M565))</f>
        <v/>
      </c>
      <c r="P565" s="28">
        <f>IF($A565="","",SUMIF('入金消込'!$F$5:$F$1004,$A565,'入金消込'!$G$5:$G$1004))</f>
        <v/>
      </c>
      <c r="Q565" s="28">
        <f>IF($A565="","",SUMIF('入金消込'!$F$5:$F$1004,$A565,'入金消込'!$H$5:$H$1004)+SUMIF('入金消込'!$F$5:$F$1004,$A565,'入金消込'!$I$5:$I$1004))</f>
        <v/>
      </c>
      <c r="R565" s="28">
        <f>IF($A565="","",$L565-$P565-$Q565)</f>
        <v/>
      </c>
      <c r="S565" s="30">
        <f>IF($A565="","",IF($R565=0,IF($L565=0,"請求額0","回収済"),IF($L565&lt;0,IF($R565&lt;0,"差し引き待ち","差し引きすぎ"),IF($R565&lt;0,"入金が多い",IF($P565+$Q565=0,"未入金","一部入金")))))</f>
        <v/>
      </c>
      <c r="T565" s="31">
        <f>IF(OR($A565="",N($R565)&lt;=0,NOT(ISNUMBER($O565))),"",IF($O565&lt;'設定'!$B$7,'設定'!$B$7-$O565,""))</f>
        <v/>
      </c>
      <c r="U565" s="30">
        <f>IF(OR($A565="",N($R565)&lt;=0),"",IF(NOT(ISNUMBER($O565)),'設定'!$B$22,IF($O565&gt;='設定'!$B$7,'設定'!$B$17,IF('設定'!$B$7-$O565&lt;='設定'!$B$12,'設定'!$B$18,IF('設定'!$B$7-$O565&lt;='設定'!$B$13,'設定'!$B$19,IF('設定'!$B$7-$O565&lt;='設定'!$B$14,'設定'!$B$20,'設定'!$B$21))))))</f>
        <v/>
      </c>
      <c r="V565" s="56" t="n"/>
      <c r="W565" s="32">
        <f>IF($C565="","",IFERROR(MATCH($C565,'得意先'!$B$5:$B$104,0),"なし"))</f>
        <v/>
      </c>
      <c r="X565" s="33">
        <f>IF($A565="","",IF(ISNUMBER($E565),$E565,IF(ISNUMBER($B565),$B565,"")))</f>
        <v/>
      </c>
      <c r="Y565" s="34">
        <f>IF($T565="","",$O565+ROW()/1000000)</f>
        <v/>
      </c>
      <c r="Z565" s="35">
        <f>IF(OR($A565="",$C565="",$C565&lt;&gt;'売掛帳'!$B$3,NOT(ISNUMBER($X565))),"",IF(AND($X565&gt;='売掛帳'!$Q$3,$X565&lt;='売掛帳'!$Q$4),$X565+ROW()/10000000,""))</f>
        <v/>
      </c>
    </row>
    <row r="566" ht="18" customHeight="1">
      <c r="A566" s="18" t="n"/>
      <c r="B566" s="26" t="n"/>
      <c r="C566" s="18" t="n"/>
      <c r="D566" s="20">
        <f>IF($W566="","",IF($W566="なし","※得意先にないコード",INDEX('得意先'!$C$5:$C$104,$W566)&amp;""))</f>
        <v/>
      </c>
      <c r="E566" s="26" t="n"/>
      <c r="F566" s="19" t="n"/>
      <c r="G566" s="27" t="n"/>
      <c r="H566" s="27" t="n"/>
      <c r="I566" s="27" t="n"/>
      <c r="J566" s="28">
        <f>IF($A566="","",IF('設定'!$B$10="四捨五入",ROUND(IF('設定'!$B$9="税込",N($G566)*10/110,N($G566)*10/100),0),IF('設定'!$B$10="切り上げ",ROUNDUP(IF('設定'!$B$9="税込",N($G566)*10/110,N($G566)*10/100),0),ROUNDDOWN(IF('設定'!$B$9="税込",N($G566)*10/110,N($G566)*10/100),0))))</f>
        <v/>
      </c>
      <c r="K566" s="28">
        <f>IF($A566="","",IF('設定'!$B$10="四捨五入",ROUND(IF('設定'!$B$9="税込",N($H566)*8/108,N($H566)*8/100),0),IF('設定'!$B$10="切り上げ",ROUNDUP(IF('設定'!$B$9="税込",N($H566)*8/108,N($H566)*8/100),0),ROUNDDOWN(IF('設定'!$B$9="税込",N($H566)*8/108,N($H566)*8/100),0))))</f>
        <v/>
      </c>
      <c r="L566" s="28">
        <f>IF($A566="","",N($G566)+N($H566)+N($I566)+IF('設定'!$B$9="税込",0,$J566+$K566))</f>
        <v/>
      </c>
      <c r="M566" s="29">
        <f>IF(OR($A566="",NOT(ISNUMBER($W566)),NOT(ISNUMBER($X566))),"",IF(OR(INDEX('得意先'!$D$5:$D$104,$W566)="",INDEX('得意先'!$E$5:$E$104,$W566)="",INDEX('得意先'!$F$5:$F$104,$W566)=""),"",IF(INDEX('得意先'!$F$5:$F$104,$W566)="末",DATE(YEAR($X566),(MONTH($X566)+IF(INDEX('得意先'!$D$5:$D$104,$W566)="末",0,IF(DAY($X566)&lt;=INDEX('得意先'!$D$5:$D$104,$W566),0,1))+N(INDEX('得意先'!$E$5:$E$104,$W566)))+1,0),DATE(YEAR($X566),(MONTH($X566)+IF(INDEX('得意先'!$D$5:$D$104,$W566)="末",0,IF(DAY($X566)&lt;=INDEX('得意先'!$D$5:$D$104,$W566),0,1))+N(INDEX('得意先'!$E$5:$E$104,$W566))),MIN(INDEX('得意先'!$F$5:$F$104,$W566),DAY(DATE(YEAR($X566),(MONTH($X566)+IF(INDEX('得意先'!$D$5:$D$104,$W566)="末",0,IF(DAY($X566)&lt;=INDEX('得意先'!$D$5:$D$104,$W566),0,1))+N(INDEX('得意先'!$E$5:$E$104,$W566)))+1,0)))))))</f>
        <v/>
      </c>
      <c r="N566" s="26" t="n"/>
      <c r="O566" s="29">
        <f>IF($A566="","",IF(ISNUMBER($N566),$N566,$M566))</f>
        <v/>
      </c>
      <c r="P566" s="28">
        <f>IF($A566="","",SUMIF('入金消込'!$F$5:$F$1004,$A566,'入金消込'!$G$5:$G$1004))</f>
        <v/>
      </c>
      <c r="Q566" s="28">
        <f>IF($A566="","",SUMIF('入金消込'!$F$5:$F$1004,$A566,'入金消込'!$H$5:$H$1004)+SUMIF('入金消込'!$F$5:$F$1004,$A566,'入金消込'!$I$5:$I$1004))</f>
        <v/>
      </c>
      <c r="R566" s="28">
        <f>IF($A566="","",$L566-$P566-$Q566)</f>
        <v/>
      </c>
      <c r="S566" s="30">
        <f>IF($A566="","",IF($R566=0,IF($L566=0,"請求額0","回収済"),IF($L566&lt;0,IF($R566&lt;0,"差し引き待ち","差し引きすぎ"),IF($R566&lt;0,"入金が多い",IF($P566+$Q566=0,"未入金","一部入金")))))</f>
        <v/>
      </c>
      <c r="T566" s="31">
        <f>IF(OR($A566="",N($R566)&lt;=0,NOT(ISNUMBER($O566))),"",IF($O566&lt;'設定'!$B$7,'設定'!$B$7-$O566,""))</f>
        <v/>
      </c>
      <c r="U566" s="30">
        <f>IF(OR($A566="",N($R566)&lt;=0),"",IF(NOT(ISNUMBER($O566)),'設定'!$B$22,IF($O566&gt;='設定'!$B$7,'設定'!$B$17,IF('設定'!$B$7-$O566&lt;='設定'!$B$12,'設定'!$B$18,IF('設定'!$B$7-$O566&lt;='設定'!$B$13,'設定'!$B$19,IF('設定'!$B$7-$O566&lt;='設定'!$B$14,'設定'!$B$20,'設定'!$B$21))))))</f>
        <v/>
      </c>
      <c r="V566" s="56" t="n"/>
      <c r="W566" s="32">
        <f>IF($C566="","",IFERROR(MATCH($C566,'得意先'!$B$5:$B$104,0),"なし"))</f>
        <v/>
      </c>
      <c r="X566" s="33">
        <f>IF($A566="","",IF(ISNUMBER($E566),$E566,IF(ISNUMBER($B566),$B566,"")))</f>
        <v/>
      </c>
      <c r="Y566" s="34">
        <f>IF($T566="","",$O566+ROW()/1000000)</f>
        <v/>
      </c>
      <c r="Z566" s="35">
        <f>IF(OR($A566="",$C566="",$C566&lt;&gt;'売掛帳'!$B$3,NOT(ISNUMBER($X566))),"",IF(AND($X566&gt;='売掛帳'!$Q$3,$X566&lt;='売掛帳'!$Q$4),$X566+ROW()/10000000,""))</f>
        <v/>
      </c>
    </row>
    <row r="567" ht="18" customHeight="1">
      <c r="A567" s="18" t="n"/>
      <c r="B567" s="26" t="n"/>
      <c r="C567" s="18" t="n"/>
      <c r="D567" s="20">
        <f>IF($W567="","",IF($W567="なし","※得意先にないコード",INDEX('得意先'!$C$5:$C$104,$W567)&amp;""))</f>
        <v/>
      </c>
      <c r="E567" s="26" t="n"/>
      <c r="F567" s="19" t="n"/>
      <c r="G567" s="27" t="n"/>
      <c r="H567" s="27" t="n"/>
      <c r="I567" s="27" t="n"/>
      <c r="J567" s="28">
        <f>IF($A567="","",IF('設定'!$B$10="四捨五入",ROUND(IF('設定'!$B$9="税込",N($G567)*10/110,N($G567)*10/100),0),IF('設定'!$B$10="切り上げ",ROUNDUP(IF('設定'!$B$9="税込",N($G567)*10/110,N($G567)*10/100),0),ROUNDDOWN(IF('設定'!$B$9="税込",N($G567)*10/110,N($G567)*10/100),0))))</f>
        <v/>
      </c>
      <c r="K567" s="28">
        <f>IF($A567="","",IF('設定'!$B$10="四捨五入",ROUND(IF('設定'!$B$9="税込",N($H567)*8/108,N($H567)*8/100),0),IF('設定'!$B$10="切り上げ",ROUNDUP(IF('設定'!$B$9="税込",N($H567)*8/108,N($H567)*8/100),0),ROUNDDOWN(IF('設定'!$B$9="税込",N($H567)*8/108,N($H567)*8/100),0))))</f>
        <v/>
      </c>
      <c r="L567" s="28">
        <f>IF($A567="","",N($G567)+N($H567)+N($I567)+IF('設定'!$B$9="税込",0,$J567+$K567))</f>
        <v/>
      </c>
      <c r="M567" s="29">
        <f>IF(OR($A567="",NOT(ISNUMBER($W567)),NOT(ISNUMBER($X567))),"",IF(OR(INDEX('得意先'!$D$5:$D$104,$W567)="",INDEX('得意先'!$E$5:$E$104,$W567)="",INDEX('得意先'!$F$5:$F$104,$W567)=""),"",IF(INDEX('得意先'!$F$5:$F$104,$W567)="末",DATE(YEAR($X567),(MONTH($X567)+IF(INDEX('得意先'!$D$5:$D$104,$W567)="末",0,IF(DAY($X567)&lt;=INDEX('得意先'!$D$5:$D$104,$W567),0,1))+N(INDEX('得意先'!$E$5:$E$104,$W567)))+1,0),DATE(YEAR($X567),(MONTH($X567)+IF(INDEX('得意先'!$D$5:$D$104,$W567)="末",0,IF(DAY($X567)&lt;=INDEX('得意先'!$D$5:$D$104,$W567),0,1))+N(INDEX('得意先'!$E$5:$E$104,$W567))),MIN(INDEX('得意先'!$F$5:$F$104,$W567),DAY(DATE(YEAR($X567),(MONTH($X567)+IF(INDEX('得意先'!$D$5:$D$104,$W567)="末",0,IF(DAY($X567)&lt;=INDEX('得意先'!$D$5:$D$104,$W567),0,1))+N(INDEX('得意先'!$E$5:$E$104,$W567)))+1,0)))))))</f>
        <v/>
      </c>
      <c r="N567" s="26" t="n"/>
      <c r="O567" s="29">
        <f>IF($A567="","",IF(ISNUMBER($N567),$N567,$M567))</f>
        <v/>
      </c>
      <c r="P567" s="28">
        <f>IF($A567="","",SUMIF('入金消込'!$F$5:$F$1004,$A567,'入金消込'!$G$5:$G$1004))</f>
        <v/>
      </c>
      <c r="Q567" s="28">
        <f>IF($A567="","",SUMIF('入金消込'!$F$5:$F$1004,$A567,'入金消込'!$H$5:$H$1004)+SUMIF('入金消込'!$F$5:$F$1004,$A567,'入金消込'!$I$5:$I$1004))</f>
        <v/>
      </c>
      <c r="R567" s="28">
        <f>IF($A567="","",$L567-$P567-$Q567)</f>
        <v/>
      </c>
      <c r="S567" s="30">
        <f>IF($A567="","",IF($R567=0,IF($L567=0,"請求額0","回収済"),IF($L567&lt;0,IF($R567&lt;0,"差し引き待ち","差し引きすぎ"),IF($R567&lt;0,"入金が多い",IF($P567+$Q567=0,"未入金","一部入金")))))</f>
        <v/>
      </c>
      <c r="T567" s="31">
        <f>IF(OR($A567="",N($R567)&lt;=0,NOT(ISNUMBER($O567))),"",IF($O567&lt;'設定'!$B$7,'設定'!$B$7-$O567,""))</f>
        <v/>
      </c>
      <c r="U567" s="30">
        <f>IF(OR($A567="",N($R567)&lt;=0),"",IF(NOT(ISNUMBER($O567)),'設定'!$B$22,IF($O567&gt;='設定'!$B$7,'設定'!$B$17,IF('設定'!$B$7-$O567&lt;='設定'!$B$12,'設定'!$B$18,IF('設定'!$B$7-$O567&lt;='設定'!$B$13,'設定'!$B$19,IF('設定'!$B$7-$O567&lt;='設定'!$B$14,'設定'!$B$20,'設定'!$B$21))))))</f>
        <v/>
      </c>
      <c r="V567" s="56" t="n"/>
      <c r="W567" s="32">
        <f>IF($C567="","",IFERROR(MATCH($C567,'得意先'!$B$5:$B$104,0),"なし"))</f>
        <v/>
      </c>
      <c r="X567" s="33">
        <f>IF($A567="","",IF(ISNUMBER($E567),$E567,IF(ISNUMBER($B567),$B567,"")))</f>
        <v/>
      </c>
      <c r="Y567" s="34">
        <f>IF($T567="","",$O567+ROW()/1000000)</f>
        <v/>
      </c>
      <c r="Z567" s="35">
        <f>IF(OR($A567="",$C567="",$C567&lt;&gt;'売掛帳'!$B$3,NOT(ISNUMBER($X567))),"",IF(AND($X567&gt;='売掛帳'!$Q$3,$X567&lt;='売掛帳'!$Q$4),$X567+ROW()/10000000,""))</f>
        <v/>
      </c>
    </row>
    <row r="568" ht="18" customHeight="1">
      <c r="A568" s="18" t="n"/>
      <c r="B568" s="26" t="n"/>
      <c r="C568" s="18" t="n"/>
      <c r="D568" s="20">
        <f>IF($W568="","",IF($W568="なし","※得意先にないコード",INDEX('得意先'!$C$5:$C$104,$W568)&amp;""))</f>
        <v/>
      </c>
      <c r="E568" s="26" t="n"/>
      <c r="F568" s="19" t="n"/>
      <c r="G568" s="27" t="n"/>
      <c r="H568" s="27" t="n"/>
      <c r="I568" s="27" t="n"/>
      <c r="J568" s="28">
        <f>IF($A568="","",IF('設定'!$B$10="四捨五入",ROUND(IF('設定'!$B$9="税込",N($G568)*10/110,N($G568)*10/100),0),IF('設定'!$B$10="切り上げ",ROUNDUP(IF('設定'!$B$9="税込",N($G568)*10/110,N($G568)*10/100),0),ROUNDDOWN(IF('設定'!$B$9="税込",N($G568)*10/110,N($G568)*10/100),0))))</f>
        <v/>
      </c>
      <c r="K568" s="28">
        <f>IF($A568="","",IF('設定'!$B$10="四捨五入",ROUND(IF('設定'!$B$9="税込",N($H568)*8/108,N($H568)*8/100),0),IF('設定'!$B$10="切り上げ",ROUNDUP(IF('設定'!$B$9="税込",N($H568)*8/108,N($H568)*8/100),0),ROUNDDOWN(IF('設定'!$B$9="税込",N($H568)*8/108,N($H568)*8/100),0))))</f>
        <v/>
      </c>
      <c r="L568" s="28">
        <f>IF($A568="","",N($G568)+N($H568)+N($I568)+IF('設定'!$B$9="税込",0,$J568+$K568))</f>
        <v/>
      </c>
      <c r="M568" s="29">
        <f>IF(OR($A568="",NOT(ISNUMBER($W568)),NOT(ISNUMBER($X568))),"",IF(OR(INDEX('得意先'!$D$5:$D$104,$W568)="",INDEX('得意先'!$E$5:$E$104,$W568)="",INDEX('得意先'!$F$5:$F$104,$W568)=""),"",IF(INDEX('得意先'!$F$5:$F$104,$W568)="末",DATE(YEAR($X568),(MONTH($X568)+IF(INDEX('得意先'!$D$5:$D$104,$W568)="末",0,IF(DAY($X568)&lt;=INDEX('得意先'!$D$5:$D$104,$W568),0,1))+N(INDEX('得意先'!$E$5:$E$104,$W568)))+1,0),DATE(YEAR($X568),(MONTH($X568)+IF(INDEX('得意先'!$D$5:$D$104,$W568)="末",0,IF(DAY($X568)&lt;=INDEX('得意先'!$D$5:$D$104,$W568),0,1))+N(INDEX('得意先'!$E$5:$E$104,$W568))),MIN(INDEX('得意先'!$F$5:$F$104,$W568),DAY(DATE(YEAR($X568),(MONTH($X568)+IF(INDEX('得意先'!$D$5:$D$104,$W568)="末",0,IF(DAY($X568)&lt;=INDEX('得意先'!$D$5:$D$104,$W568),0,1))+N(INDEX('得意先'!$E$5:$E$104,$W568)))+1,0)))))))</f>
        <v/>
      </c>
      <c r="N568" s="26" t="n"/>
      <c r="O568" s="29">
        <f>IF($A568="","",IF(ISNUMBER($N568),$N568,$M568))</f>
        <v/>
      </c>
      <c r="P568" s="28">
        <f>IF($A568="","",SUMIF('入金消込'!$F$5:$F$1004,$A568,'入金消込'!$G$5:$G$1004))</f>
        <v/>
      </c>
      <c r="Q568" s="28">
        <f>IF($A568="","",SUMIF('入金消込'!$F$5:$F$1004,$A568,'入金消込'!$H$5:$H$1004)+SUMIF('入金消込'!$F$5:$F$1004,$A568,'入金消込'!$I$5:$I$1004))</f>
        <v/>
      </c>
      <c r="R568" s="28">
        <f>IF($A568="","",$L568-$P568-$Q568)</f>
        <v/>
      </c>
      <c r="S568" s="30">
        <f>IF($A568="","",IF($R568=0,IF($L568=0,"請求額0","回収済"),IF($L568&lt;0,IF($R568&lt;0,"差し引き待ち","差し引きすぎ"),IF($R568&lt;0,"入金が多い",IF($P568+$Q568=0,"未入金","一部入金")))))</f>
        <v/>
      </c>
      <c r="T568" s="31">
        <f>IF(OR($A568="",N($R568)&lt;=0,NOT(ISNUMBER($O568))),"",IF($O568&lt;'設定'!$B$7,'設定'!$B$7-$O568,""))</f>
        <v/>
      </c>
      <c r="U568" s="30">
        <f>IF(OR($A568="",N($R568)&lt;=0),"",IF(NOT(ISNUMBER($O568)),'設定'!$B$22,IF($O568&gt;='設定'!$B$7,'設定'!$B$17,IF('設定'!$B$7-$O568&lt;='設定'!$B$12,'設定'!$B$18,IF('設定'!$B$7-$O568&lt;='設定'!$B$13,'設定'!$B$19,IF('設定'!$B$7-$O568&lt;='設定'!$B$14,'設定'!$B$20,'設定'!$B$21))))))</f>
        <v/>
      </c>
      <c r="V568" s="56" t="n"/>
      <c r="W568" s="32">
        <f>IF($C568="","",IFERROR(MATCH($C568,'得意先'!$B$5:$B$104,0),"なし"))</f>
        <v/>
      </c>
      <c r="X568" s="33">
        <f>IF($A568="","",IF(ISNUMBER($E568),$E568,IF(ISNUMBER($B568),$B568,"")))</f>
        <v/>
      </c>
      <c r="Y568" s="34">
        <f>IF($T568="","",$O568+ROW()/1000000)</f>
        <v/>
      </c>
      <c r="Z568" s="35">
        <f>IF(OR($A568="",$C568="",$C568&lt;&gt;'売掛帳'!$B$3,NOT(ISNUMBER($X568))),"",IF(AND($X568&gt;='売掛帳'!$Q$3,$X568&lt;='売掛帳'!$Q$4),$X568+ROW()/10000000,""))</f>
        <v/>
      </c>
    </row>
    <row r="569" ht="18" customHeight="1">
      <c r="A569" s="18" t="n"/>
      <c r="B569" s="26" t="n"/>
      <c r="C569" s="18" t="n"/>
      <c r="D569" s="20">
        <f>IF($W569="","",IF($W569="なし","※得意先にないコード",INDEX('得意先'!$C$5:$C$104,$W569)&amp;""))</f>
        <v/>
      </c>
      <c r="E569" s="26" t="n"/>
      <c r="F569" s="19" t="n"/>
      <c r="G569" s="27" t="n"/>
      <c r="H569" s="27" t="n"/>
      <c r="I569" s="27" t="n"/>
      <c r="J569" s="28">
        <f>IF($A569="","",IF('設定'!$B$10="四捨五入",ROUND(IF('設定'!$B$9="税込",N($G569)*10/110,N($G569)*10/100),0),IF('設定'!$B$10="切り上げ",ROUNDUP(IF('設定'!$B$9="税込",N($G569)*10/110,N($G569)*10/100),0),ROUNDDOWN(IF('設定'!$B$9="税込",N($G569)*10/110,N($G569)*10/100),0))))</f>
        <v/>
      </c>
      <c r="K569" s="28">
        <f>IF($A569="","",IF('設定'!$B$10="四捨五入",ROUND(IF('設定'!$B$9="税込",N($H569)*8/108,N($H569)*8/100),0),IF('設定'!$B$10="切り上げ",ROUNDUP(IF('設定'!$B$9="税込",N($H569)*8/108,N($H569)*8/100),0),ROUNDDOWN(IF('設定'!$B$9="税込",N($H569)*8/108,N($H569)*8/100),0))))</f>
        <v/>
      </c>
      <c r="L569" s="28">
        <f>IF($A569="","",N($G569)+N($H569)+N($I569)+IF('設定'!$B$9="税込",0,$J569+$K569))</f>
        <v/>
      </c>
      <c r="M569" s="29">
        <f>IF(OR($A569="",NOT(ISNUMBER($W569)),NOT(ISNUMBER($X569))),"",IF(OR(INDEX('得意先'!$D$5:$D$104,$W569)="",INDEX('得意先'!$E$5:$E$104,$W569)="",INDEX('得意先'!$F$5:$F$104,$W569)=""),"",IF(INDEX('得意先'!$F$5:$F$104,$W569)="末",DATE(YEAR($X569),(MONTH($X569)+IF(INDEX('得意先'!$D$5:$D$104,$W569)="末",0,IF(DAY($X569)&lt;=INDEX('得意先'!$D$5:$D$104,$W569),0,1))+N(INDEX('得意先'!$E$5:$E$104,$W569)))+1,0),DATE(YEAR($X569),(MONTH($X569)+IF(INDEX('得意先'!$D$5:$D$104,$W569)="末",0,IF(DAY($X569)&lt;=INDEX('得意先'!$D$5:$D$104,$W569),0,1))+N(INDEX('得意先'!$E$5:$E$104,$W569))),MIN(INDEX('得意先'!$F$5:$F$104,$W569),DAY(DATE(YEAR($X569),(MONTH($X569)+IF(INDEX('得意先'!$D$5:$D$104,$W569)="末",0,IF(DAY($X569)&lt;=INDEX('得意先'!$D$5:$D$104,$W569),0,1))+N(INDEX('得意先'!$E$5:$E$104,$W569)))+1,0)))))))</f>
        <v/>
      </c>
      <c r="N569" s="26" t="n"/>
      <c r="O569" s="29">
        <f>IF($A569="","",IF(ISNUMBER($N569),$N569,$M569))</f>
        <v/>
      </c>
      <c r="P569" s="28">
        <f>IF($A569="","",SUMIF('入金消込'!$F$5:$F$1004,$A569,'入金消込'!$G$5:$G$1004))</f>
        <v/>
      </c>
      <c r="Q569" s="28">
        <f>IF($A569="","",SUMIF('入金消込'!$F$5:$F$1004,$A569,'入金消込'!$H$5:$H$1004)+SUMIF('入金消込'!$F$5:$F$1004,$A569,'入金消込'!$I$5:$I$1004))</f>
        <v/>
      </c>
      <c r="R569" s="28">
        <f>IF($A569="","",$L569-$P569-$Q569)</f>
        <v/>
      </c>
      <c r="S569" s="30">
        <f>IF($A569="","",IF($R569=0,IF($L569=0,"請求額0","回収済"),IF($L569&lt;0,IF($R569&lt;0,"差し引き待ち","差し引きすぎ"),IF($R569&lt;0,"入金が多い",IF($P569+$Q569=0,"未入金","一部入金")))))</f>
        <v/>
      </c>
      <c r="T569" s="31">
        <f>IF(OR($A569="",N($R569)&lt;=0,NOT(ISNUMBER($O569))),"",IF($O569&lt;'設定'!$B$7,'設定'!$B$7-$O569,""))</f>
        <v/>
      </c>
      <c r="U569" s="30">
        <f>IF(OR($A569="",N($R569)&lt;=0),"",IF(NOT(ISNUMBER($O569)),'設定'!$B$22,IF($O569&gt;='設定'!$B$7,'設定'!$B$17,IF('設定'!$B$7-$O569&lt;='設定'!$B$12,'設定'!$B$18,IF('設定'!$B$7-$O569&lt;='設定'!$B$13,'設定'!$B$19,IF('設定'!$B$7-$O569&lt;='設定'!$B$14,'設定'!$B$20,'設定'!$B$21))))))</f>
        <v/>
      </c>
      <c r="V569" s="56" t="n"/>
      <c r="W569" s="32">
        <f>IF($C569="","",IFERROR(MATCH($C569,'得意先'!$B$5:$B$104,0),"なし"))</f>
        <v/>
      </c>
      <c r="X569" s="33">
        <f>IF($A569="","",IF(ISNUMBER($E569),$E569,IF(ISNUMBER($B569),$B569,"")))</f>
        <v/>
      </c>
      <c r="Y569" s="34">
        <f>IF($T569="","",$O569+ROW()/1000000)</f>
        <v/>
      </c>
      <c r="Z569" s="35">
        <f>IF(OR($A569="",$C569="",$C569&lt;&gt;'売掛帳'!$B$3,NOT(ISNUMBER($X569))),"",IF(AND($X569&gt;='売掛帳'!$Q$3,$X569&lt;='売掛帳'!$Q$4),$X569+ROW()/10000000,""))</f>
        <v/>
      </c>
    </row>
    <row r="570" ht="18" customHeight="1">
      <c r="A570" s="18" t="n"/>
      <c r="B570" s="26" t="n"/>
      <c r="C570" s="18" t="n"/>
      <c r="D570" s="20">
        <f>IF($W570="","",IF($W570="なし","※得意先にないコード",INDEX('得意先'!$C$5:$C$104,$W570)&amp;""))</f>
        <v/>
      </c>
      <c r="E570" s="26" t="n"/>
      <c r="F570" s="19" t="n"/>
      <c r="G570" s="27" t="n"/>
      <c r="H570" s="27" t="n"/>
      <c r="I570" s="27" t="n"/>
      <c r="J570" s="28">
        <f>IF($A570="","",IF('設定'!$B$10="四捨五入",ROUND(IF('設定'!$B$9="税込",N($G570)*10/110,N($G570)*10/100),0),IF('設定'!$B$10="切り上げ",ROUNDUP(IF('設定'!$B$9="税込",N($G570)*10/110,N($G570)*10/100),0),ROUNDDOWN(IF('設定'!$B$9="税込",N($G570)*10/110,N($G570)*10/100),0))))</f>
        <v/>
      </c>
      <c r="K570" s="28">
        <f>IF($A570="","",IF('設定'!$B$10="四捨五入",ROUND(IF('設定'!$B$9="税込",N($H570)*8/108,N($H570)*8/100),0),IF('設定'!$B$10="切り上げ",ROUNDUP(IF('設定'!$B$9="税込",N($H570)*8/108,N($H570)*8/100),0),ROUNDDOWN(IF('設定'!$B$9="税込",N($H570)*8/108,N($H570)*8/100),0))))</f>
        <v/>
      </c>
      <c r="L570" s="28">
        <f>IF($A570="","",N($G570)+N($H570)+N($I570)+IF('設定'!$B$9="税込",0,$J570+$K570))</f>
        <v/>
      </c>
      <c r="M570" s="29">
        <f>IF(OR($A570="",NOT(ISNUMBER($W570)),NOT(ISNUMBER($X570))),"",IF(OR(INDEX('得意先'!$D$5:$D$104,$W570)="",INDEX('得意先'!$E$5:$E$104,$W570)="",INDEX('得意先'!$F$5:$F$104,$W570)=""),"",IF(INDEX('得意先'!$F$5:$F$104,$W570)="末",DATE(YEAR($X570),(MONTH($X570)+IF(INDEX('得意先'!$D$5:$D$104,$W570)="末",0,IF(DAY($X570)&lt;=INDEX('得意先'!$D$5:$D$104,$W570),0,1))+N(INDEX('得意先'!$E$5:$E$104,$W570)))+1,0),DATE(YEAR($X570),(MONTH($X570)+IF(INDEX('得意先'!$D$5:$D$104,$W570)="末",0,IF(DAY($X570)&lt;=INDEX('得意先'!$D$5:$D$104,$W570),0,1))+N(INDEX('得意先'!$E$5:$E$104,$W570))),MIN(INDEX('得意先'!$F$5:$F$104,$W570),DAY(DATE(YEAR($X570),(MONTH($X570)+IF(INDEX('得意先'!$D$5:$D$104,$W570)="末",0,IF(DAY($X570)&lt;=INDEX('得意先'!$D$5:$D$104,$W570),0,1))+N(INDEX('得意先'!$E$5:$E$104,$W570)))+1,0)))))))</f>
        <v/>
      </c>
      <c r="N570" s="26" t="n"/>
      <c r="O570" s="29">
        <f>IF($A570="","",IF(ISNUMBER($N570),$N570,$M570))</f>
        <v/>
      </c>
      <c r="P570" s="28">
        <f>IF($A570="","",SUMIF('入金消込'!$F$5:$F$1004,$A570,'入金消込'!$G$5:$G$1004))</f>
        <v/>
      </c>
      <c r="Q570" s="28">
        <f>IF($A570="","",SUMIF('入金消込'!$F$5:$F$1004,$A570,'入金消込'!$H$5:$H$1004)+SUMIF('入金消込'!$F$5:$F$1004,$A570,'入金消込'!$I$5:$I$1004))</f>
        <v/>
      </c>
      <c r="R570" s="28">
        <f>IF($A570="","",$L570-$P570-$Q570)</f>
        <v/>
      </c>
      <c r="S570" s="30">
        <f>IF($A570="","",IF($R570=0,IF($L570=0,"請求額0","回収済"),IF($L570&lt;0,IF($R570&lt;0,"差し引き待ち","差し引きすぎ"),IF($R570&lt;0,"入金が多い",IF($P570+$Q570=0,"未入金","一部入金")))))</f>
        <v/>
      </c>
      <c r="T570" s="31">
        <f>IF(OR($A570="",N($R570)&lt;=0,NOT(ISNUMBER($O570))),"",IF($O570&lt;'設定'!$B$7,'設定'!$B$7-$O570,""))</f>
        <v/>
      </c>
      <c r="U570" s="30">
        <f>IF(OR($A570="",N($R570)&lt;=0),"",IF(NOT(ISNUMBER($O570)),'設定'!$B$22,IF($O570&gt;='設定'!$B$7,'設定'!$B$17,IF('設定'!$B$7-$O570&lt;='設定'!$B$12,'設定'!$B$18,IF('設定'!$B$7-$O570&lt;='設定'!$B$13,'設定'!$B$19,IF('設定'!$B$7-$O570&lt;='設定'!$B$14,'設定'!$B$20,'設定'!$B$21))))))</f>
        <v/>
      </c>
      <c r="V570" s="56" t="n"/>
      <c r="W570" s="32">
        <f>IF($C570="","",IFERROR(MATCH($C570,'得意先'!$B$5:$B$104,0),"なし"))</f>
        <v/>
      </c>
      <c r="X570" s="33">
        <f>IF($A570="","",IF(ISNUMBER($E570),$E570,IF(ISNUMBER($B570),$B570,"")))</f>
        <v/>
      </c>
      <c r="Y570" s="34">
        <f>IF($T570="","",$O570+ROW()/1000000)</f>
        <v/>
      </c>
      <c r="Z570" s="35">
        <f>IF(OR($A570="",$C570="",$C570&lt;&gt;'売掛帳'!$B$3,NOT(ISNUMBER($X570))),"",IF(AND($X570&gt;='売掛帳'!$Q$3,$X570&lt;='売掛帳'!$Q$4),$X570+ROW()/10000000,""))</f>
        <v/>
      </c>
    </row>
    <row r="571" ht="18" customHeight="1">
      <c r="A571" s="18" t="n"/>
      <c r="B571" s="26" t="n"/>
      <c r="C571" s="18" t="n"/>
      <c r="D571" s="20">
        <f>IF($W571="","",IF($W571="なし","※得意先にないコード",INDEX('得意先'!$C$5:$C$104,$W571)&amp;""))</f>
        <v/>
      </c>
      <c r="E571" s="26" t="n"/>
      <c r="F571" s="19" t="n"/>
      <c r="G571" s="27" t="n"/>
      <c r="H571" s="27" t="n"/>
      <c r="I571" s="27" t="n"/>
      <c r="J571" s="28">
        <f>IF($A571="","",IF('設定'!$B$10="四捨五入",ROUND(IF('設定'!$B$9="税込",N($G571)*10/110,N($G571)*10/100),0),IF('設定'!$B$10="切り上げ",ROUNDUP(IF('設定'!$B$9="税込",N($G571)*10/110,N($G571)*10/100),0),ROUNDDOWN(IF('設定'!$B$9="税込",N($G571)*10/110,N($G571)*10/100),0))))</f>
        <v/>
      </c>
      <c r="K571" s="28">
        <f>IF($A571="","",IF('設定'!$B$10="四捨五入",ROUND(IF('設定'!$B$9="税込",N($H571)*8/108,N($H571)*8/100),0),IF('設定'!$B$10="切り上げ",ROUNDUP(IF('設定'!$B$9="税込",N($H571)*8/108,N($H571)*8/100),0),ROUNDDOWN(IF('設定'!$B$9="税込",N($H571)*8/108,N($H571)*8/100),0))))</f>
        <v/>
      </c>
      <c r="L571" s="28">
        <f>IF($A571="","",N($G571)+N($H571)+N($I571)+IF('設定'!$B$9="税込",0,$J571+$K571))</f>
        <v/>
      </c>
      <c r="M571" s="29">
        <f>IF(OR($A571="",NOT(ISNUMBER($W571)),NOT(ISNUMBER($X571))),"",IF(OR(INDEX('得意先'!$D$5:$D$104,$W571)="",INDEX('得意先'!$E$5:$E$104,$W571)="",INDEX('得意先'!$F$5:$F$104,$W571)=""),"",IF(INDEX('得意先'!$F$5:$F$104,$W571)="末",DATE(YEAR($X571),(MONTH($X571)+IF(INDEX('得意先'!$D$5:$D$104,$W571)="末",0,IF(DAY($X571)&lt;=INDEX('得意先'!$D$5:$D$104,$W571),0,1))+N(INDEX('得意先'!$E$5:$E$104,$W571)))+1,0),DATE(YEAR($X571),(MONTH($X571)+IF(INDEX('得意先'!$D$5:$D$104,$W571)="末",0,IF(DAY($X571)&lt;=INDEX('得意先'!$D$5:$D$104,$W571),0,1))+N(INDEX('得意先'!$E$5:$E$104,$W571))),MIN(INDEX('得意先'!$F$5:$F$104,$W571),DAY(DATE(YEAR($X571),(MONTH($X571)+IF(INDEX('得意先'!$D$5:$D$104,$W571)="末",0,IF(DAY($X571)&lt;=INDEX('得意先'!$D$5:$D$104,$W571),0,1))+N(INDEX('得意先'!$E$5:$E$104,$W571)))+1,0)))))))</f>
        <v/>
      </c>
      <c r="N571" s="26" t="n"/>
      <c r="O571" s="29">
        <f>IF($A571="","",IF(ISNUMBER($N571),$N571,$M571))</f>
        <v/>
      </c>
      <c r="P571" s="28">
        <f>IF($A571="","",SUMIF('入金消込'!$F$5:$F$1004,$A571,'入金消込'!$G$5:$G$1004))</f>
        <v/>
      </c>
      <c r="Q571" s="28">
        <f>IF($A571="","",SUMIF('入金消込'!$F$5:$F$1004,$A571,'入金消込'!$H$5:$H$1004)+SUMIF('入金消込'!$F$5:$F$1004,$A571,'入金消込'!$I$5:$I$1004))</f>
        <v/>
      </c>
      <c r="R571" s="28">
        <f>IF($A571="","",$L571-$P571-$Q571)</f>
        <v/>
      </c>
      <c r="S571" s="30">
        <f>IF($A571="","",IF($R571=0,IF($L571=0,"請求額0","回収済"),IF($L571&lt;0,IF($R571&lt;0,"差し引き待ち","差し引きすぎ"),IF($R571&lt;0,"入金が多い",IF($P571+$Q571=0,"未入金","一部入金")))))</f>
        <v/>
      </c>
      <c r="T571" s="31">
        <f>IF(OR($A571="",N($R571)&lt;=0,NOT(ISNUMBER($O571))),"",IF($O571&lt;'設定'!$B$7,'設定'!$B$7-$O571,""))</f>
        <v/>
      </c>
      <c r="U571" s="30">
        <f>IF(OR($A571="",N($R571)&lt;=0),"",IF(NOT(ISNUMBER($O571)),'設定'!$B$22,IF($O571&gt;='設定'!$B$7,'設定'!$B$17,IF('設定'!$B$7-$O571&lt;='設定'!$B$12,'設定'!$B$18,IF('設定'!$B$7-$O571&lt;='設定'!$B$13,'設定'!$B$19,IF('設定'!$B$7-$O571&lt;='設定'!$B$14,'設定'!$B$20,'設定'!$B$21))))))</f>
        <v/>
      </c>
      <c r="V571" s="56" t="n"/>
      <c r="W571" s="32">
        <f>IF($C571="","",IFERROR(MATCH($C571,'得意先'!$B$5:$B$104,0),"なし"))</f>
        <v/>
      </c>
      <c r="X571" s="33">
        <f>IF($A571="","",IF(ISNUMBER($E571),$E571,IF(ISNUMBER($B571),$B571,"")))</f>
        <v/>
      </c>
      <c r="Y571" s="34">
        <f>IF($T571="","",$O571+ROW()/1000000)</f>
        <v/>
      </c>
      <c r="Z571" s="35">
        <f>IF(OR($A571="",$C571="",$C571&lt;&gt;'売掛帳'!$B$3,NOT(ISNUMBER($X571))),"",IF(AND($X571&gt;='売掛帳'!$Q$3,$X571&lt;='売掛帳'!$Q$4),$X571+ROW()/10000000,""))</f>
        <v/>
      </c>
    </row>
    <row r="572" ht="18" customHeight="1">
      <c r="A572" s="18" t="n"/>
      <c r="B572" s="26" t="n"/>
      <c r="C572" s="18" t="n"/>
      <c r="D572" s="20">
        <f>IF($W572="","",IF($W572="なし","※得意先にないコード",INDEX('得意先'!$C$5:$C$104,$W572)&amp;""))</f>
        <v/>
      </c>
      <c r="E572" s="26" t="n"/>
      <c r="F572" s="19" t="n"/>
      <c r="G572" s="27" t="n"/>
      <c r="H572" s="27" t="n"/>
      <c r="I572" s="27" t="n"/>
      <c r="J572" s="28">
        <f>IF($A572="","",IF('設定'!$B$10="四捨五入",ROUND(IF('設定'!$B$9="税込",N($G572)*10/110,N($G572)*10/100),0),IF('設定'!$B$10="切り上げ",ROUNDUP(IF('設定'!$B$9="税込",N($G572)*10/110,N($G572)*10/100),0),ROUNDDOWN(IF('設定'!$B$9="税込",N($G572)*10/110,N($G572)*10/100),0))))</f>
        <v/>
      </c>
      <c r="K572" s="28">
        <f>IF($A572="","",IF('設定'!$B$10="四捨五入",ROUND(IF('設定'!$B$9="税込",N($H572)*8/108,N($H572)*8/100),0),IF('設定'!$B$10="切り上げ",ROUNDUP(IF('設定'!$B$9="税込",N($H572)*8/108,N($H572)*8/100),0),ROUNDDOWN(IF('設定'!$B$9="税込",N($H572)*8/108,N($H572)*8/100),0))))</f>
        <v/>
      </c>
      <c r="L572" s="28">
        <f>IF($A572="","",N($G572)+N($H572)+N($I572)+IF('設定'!$B$9="税込",0,$J572+$K572))</f>
        <v/>
      </c>
      <c r="M572" s="29">
        <f>IF(OR($A572="",NOT(ISNUMBER($W572)),NOT(ISNUMBER($X572))),"",IF(OR(INDEX('得意先'!$D$5:$D$104,$W572)="",INDEX('得意先'!$E$5:$E$104,$W572)="",INDEX('得意先'!$F$5:$F$104,$W572)=""),"",IF(INDEX('得意先'!$F$5:$F$104,$W572)="末",DATE(YEAR($X572),(MONTH($X572)+IF(INDEX('得意先'!$D$5:$D$104,$W572)="末",0,IF(DAY($X572)&lt;=INDEX('得意先'!$D$5:$D$104,$W572),0,1))+N(INDEX('得意先'!$E$5:$E$104,$W572)))+1,0),DATE(YEAR($X572),(MONTH($X572)+IF(INDEX('得意先'!$D$5:$D$104,$W572)="末",0,IF(DAY($X572)&lt;=INDEX('得意先'!$D$5:$D$104,$W572),0,1))+N(INDEX('得意先'!$E$5:$E$104,$W572))),MIN(INDEX('得意先'!$F$5:$F$104,$W572),DAY(DATE(YEAR($X572),(MONTH($X572)+IF(INDEX('得意先'!$D$5:$D$104,$W572)="末",0,IF(DAY($X572)&lt;=INDEX('得意先'!$D$5:$D$104,$W572),0,1))+N(INDEX('得意先'!$E$5:$E$104,$W572)))+1,0)))))))</f>
        <v/>
      </c>
      <c r="N572" s="26" t="n"/>
      <c r="O572" s="29">
        <f>IF($A572="","",IF(ISNUMBER($N572),$N572,$M572))</f>
        <v/>
      </c>
      <c r="P572" s="28">
        <f>IF($A572="","",SUMIF('入金消込'!$F$5:$F$1004,$A572,'入金消込'!$G$5:$G$1004))</f>
        <v/>
      </c>
      <c r="Q572" s="28">
        <f>IF($A572="","",SUMIF('入金消込'!$F$5:$F$1004,$A572,'入金消込'!$H$5:$H$1004)+SUMIF('入金消込'!$F$5:$F$1004,$A572,'入金消込'!$I$5:$I$1004))</f>
        <v/>
      </c>
      <c r="R572" s="28">
        <f>IF($A572="","",$L572-$P572-$Q572)</f>
        <v/>
      </c>
      <c r="S572" s="30">
        <f>IF($A572="","",IF($R572=0,IF($L572=0,"請求額0","回収済"),IF($L572&lt;0,IF($R572&lt;0,"差し引き待ち","差し引きすぎ"),IF($R572&lt;0,"入金が多い",IF($P572+$Q572=0,"未入金","一部入金")))))</f>
        <v/>
      </c>
      <c r="T572" s="31">
        <f>IF(OR($A572="",N($R572)&lt;=0,NOT(ISNUMBER($O572))),"",IF($O572&lt;'設定'!$B$7,'設定'!$B$7-$O572,""))</f>
        <v/>
      </c>
      <c r="U572" s="30">
        <f>IF(OR($A572="",N($R572)&lt;=0),"",IF(NOT(ISNUMBER($O572)),'設定'!$B$22,IF($O572&gt;='設定'!$B$7,'設定'!$B$17,IF('設定'!$B$7-$O572&lt;='設定'!$B$12,'設定'!$B$18,IF('設定'!$B$7-$O572&lt;='設定'!$B$13,'設定'!$B$19,IF('設定'!$B$7-$O572&lt;='設定'!$B$14,'設定'!$B$20,'設定'!$B$21))))))</f>
        <v/>
      </c>
      <c r="V572" s="56" t="n"/>
      <c r="W572" s="32">
        <f>IF($C572="","",IFERROR(MATCH($C572,'得意先'!$B$5:$B$104,0),"なし"))</f>
        <v/>
      </c>
      <c r="X572" s="33">
        <f>IF($A572="","",IF(ISNUMBER($E572),$E572,IF(ISNUMBER($B572),$B572,"")))</f>
        <v/>
      </c>
      <c r="Y572" s="34">
        <f>IF($T572="","",$O572+ROW()/1000000)</f>
        <v/>
      </c>
      <c r="Z572" s="35">
        <f>IF(OR($A572="",$C572="",$C572&lt;&gt;'売掛帳'!$B$3,NOT(ISNUMBER($X572))),"",IF(AND($X572&gt;='売掛帳'!$Q$3,$X572&lt;='売掛帳'!$Q$4),$X572+ROW()/10000000,""))</f>
        <v/>
      </c>
    </row>
    <row r="573" ht="18" customHeight="1">
      <c r="A573" s="18" t="n"/>
      <c r="B573" s="26" t="n"/>
      <c r="C573" s="18" t="n"/>
      <c r="D573" s="20">
        <f>IF($W573="","",IF($W573="なし","※得意先にないコード",INDEX('得意先'!$C$5:$C$104,$W573)&amp;""))</f>
        <v/>
      </c>
      <c r="E573" s="26" t="n"/>
      <c r="F573" s="19" t="n"/>
      <c r="G573" s="27" t="n"/>
      <c r="H573" s="27" t="n"/>
      <c r="I573" s="27" t="n"/>
      <c r="J573" s="28">
        <f>IF($A573="","",IF('設定'!$B$10="四捨五入",ROUND(IF('設定'!$B$9="税込",N($G573)*10/110,N($G573)*10/100),0),IF('設定'!$B$10="切り上げ",ROUNDUP(IF('設定'!$B$9="税込",N($G573)*10/110,N($G573)*10/100),0),ROUNDDOWN(IF('設定'!$B$9="税込",N($G573)*10/110,N($G573)*10/100),0))))</f>
        <v/>
      </c>
      <c r="K573" s="28">
        <f>IF($A573="","",IF('設定'!$B$10="四捨五入",ROUND(IF('設定'!$B$9="税込",N($H573)*8/108,N($H573)*8/100),0),IF('設定'!$B$10="切り上げ",ROUNDUP(IF('設定'!$B$9="税込",N($H573)*8/108,N($H573)*8/100),0),ROUNDDOWN(IF('設定'!$B$9="税込",N($H573)*8/108,N($H573)*8/100),0))))</f>
        <v/>
      </c>
      <c r="L573" s="28">
        <f>IF($A573="","",N($G573)+N($H573)+N($I573)+IF('設定'!$B$9="税込",0,$J573+$K573))</f>
        <v/>
      </c>
      <c r="M573" s="29">
        <f>IF(OR($A573="",NOT(ISNUMBER($W573)),NOT(ISNUMBER($X573))),"",IF(OR(INDEX('得意先'!$D$5:$D$104,$W573)="",INDEX('得意先'!$E$5:$E$104,$W573)="",INDEX('得意先'!$F$5:$F$104,$W573)=""),"",IF(INDEX('得意先'!$F$5:$F$104,$W573)="末",DATE(YEAR($X573),(MONTH($X573)+IF(INDEX('得意先'!$D$5:$D$104,$W573)="末",0,IF(DAY($X573)&lt;=INDEX('得意先'!$D$5:$D$104,$W573),0,1))+N(INDEX('得意先'!$E$5:$E$104,$W573)))+1,0),DATE(YEAR($X573),(MONTH($X573)+IF(INDEX('得意先'!$D$5:$D$104,$W573)="末",0,IF(DAY($X573)&lt;=INDEX('得意先'!$D$5:$D$104,$W573),0,1))+N(INDEX('得意先'!$E$5:$E$104,$W573))),MIN(INDEX('得意先'!$F$5:$F$104,$W573),DAY(DATE(YEAR($X573),(MONTH($X573)+IF(INDEX('得意先'!$D$5:$D$104,$W573)="末",0,IF(DAY($X573)&lt;=INDEX('得意先'!$D$5:$D$104,$W573),0,1))+N(INDEX('得意先'!$E$5:$E$104,$W573)))+1,0)))))))</f>
        <v/>
      </c>
      <c r="N573" s="26" t="n"/>
      <c r="O573" s="29">
        <f>IF($A573="","",IF(ISNUMBER($N573),$N573,$M573))</f>
        <v/>
      </c>
      <c r="P573" s="28">
        <f>IF($A573="","",SUMIF('入金消込'!$F$5:$F$1004,$A573,'入金消込'!$G$5:$G$1004))</f>
        <v/>
      </c>
      <c r="Q573" s="28">
        <f>IF($A573="","",SUMIF('入金消込'!$F$5:$F$1004,$A573,'入金消込'!$H$5:$H$1004)+SUMIF('入金消込'!$F$5:$F$1004,$A573,'入金消込'!$I$5:$I$1004))</f>
        <v/>
      </c>
      <c r="R573" s="28">
        <f>IF($A573="","",$L573-$P573-$Q573)</f>
        <v/>
      </c>
      <c r="S573" s="30">
        <f>IF($A573="","",IF($R573=0,IF($L573=0,"請求額0","回収済"),IF($L573&lt;0,IF($R573&lt;0,"差し引き待ち","差し引きすぎ"),IF($R573&lt;0,"入金が多い",IF($P573+$Q573=0,"未入金","一部入金")))))</f>
        <v/>
      </c>
      <c r="T573" s="31">
        <f>IF(OR($A573="",N($R573)&lt;=0,NOT(ISNUMBER($O573))),"",IF($O573&lt;'設定'!$B$7,'設定'!$B$7-$O573,""))</f>
        <v/>
      </c>
      <c r="U573" s="30">
        <f>IF(OR($A573="",N($R573)&lt;=0),"",IF(NOT(ISNUMBER($O573)),'設定'!$B$22,IF($O573&gt;='設定'!$B$7,'設定'!$B$17,IF('設定'!$B$7-$O573&lt;='設定'!$B$12,'設定'!$B$18,IF('設定'!$B$7-$O573&lt;='設定'!$B$13,'設定'!$B$19,IF('設定'!$B$7-$O573&lt;='設定'!$B$14,'設定'!$B$20,'設定'!$B$21))))))</f>
        <v/>
      </c>
      <c r="V573" s="56" t="n"/>
      <c r="W573" s="32">
        <f>IF($C573="","",IFERROR(MATCH($C573,'得意先'!$B$5:$B$104,0),"なし"))</f>
        <v/>
      </c>
      <c r="X573" s="33">
        <f>IF($A573="","",IF(ISNUMBER($E573),$E573,IF(ISNUMBER($B573),$B573,"")))</f>
        <v/>
      </c>
      <c r="Y573" s="34">
        <f>IF($T573="","",$O573+ROW()/1000000)</f>
        <v/>
      </c>
      <c r="Z573" s="35">
        <f>IF(OR($A573="",$C573="",$C573&lt;&gt;'売掛帳'!$B$3,NOT(ISNUMBER($X573))),"",IF(AND($X573&gt;='売掛帳'!$Q$3,$X573&lt;='売掛帳'!$Q$4),$X573+ROW()/10000000,""))</f>
        <v/>
      </c>
    </row>
    <row r="574" ht="18" customHeight="1">
      <c r="A574" s="18" t="n"/>
      <c r="B574" s="26" t="n"/>
      <c r="C574" s="18" t="n"/>
      <c r="D574" s="20">
        <f>IF($W574="","",IF($W574="なし","※得意先にないコード",INDEX('得意先'!$C$5:$C$104,$W574)&amp;""))</f>
        <v/>
      </c>
      <c r="E574" s="26" t="n"/>
      <c r="F574" s="19" t="n"/>
      <c r="G574" s="27" t="n"/>
      <c r="H574" s="27" t="n"/>
      <c r="I574" s="27" t="n"/>
      <c r="J574" s="28">
        <f>IF($A574="","",IF('設定'!$B$10="四捨五入",ROUND(IF('設定'!$B$9="税込",N($G574)*10/110,N($G574)*10/100),0),IF('設定'!$B$10="切り上げ",ROUNDUP(IF('設定'!$B$9="税込",N($G574)*10/110,N($G574)*10/100),0),ROUNDDOWN(IF('設定'!$B$9="税込",N($G574)*10/110,N($G574)*10/100),0))))</f>
        <v/>
      </c>
      <c r="K574" s="28">
        <f>IF($A574="","",IF('設定'!$B$10="四捨五入",ROUND(IF('設定'!$B$9="税込",N($H574)*8/108,N($H574)*8/100),0),IF('設定'!$B$10="切り上げ",ROUNDUP(IF('設定'!$B$9="税込",N($H574)*8/108,N($H574)*8/100),0),ROUNDDOWN(IF('設定'!$B$9="税込",N($H574)*8/108,N($H574)*8/100),0))))</f>
        <v/>
      </c>
      <c r="L574" s="28">
        <f>IF($A574="","",N($G574)+N($H574)+N($I574)+IF('設定'!$B$9="税込",0,$J574+$K574))</f>
        <v/>
      </c>
      <c r="M574" s="29">
        <f>IF(OR($A574="",NOT(ISNUMBER($W574)),NOT(ISNUMBER($X574))),"",IF(OR(INDEX('得意先'!$D$5:$D$104,$W574)="",INDEX('得意先'!$E$5:$E$104,$W574)="",INDEX('得意先'!$F$5:$F$104,$W574)=""),"",IF(INDEX('得意先'!$F$5:$F$104,$W574)="末",DATE(YEAR($X574),(MONTH($X574)+IF(INDEX('得意先'!$D$5:$D$104,$W574)="末",0,IF(DAY($X574)&lt;=INDEX('得意先'!$D$5:$D$104,$W574),0,1))+N(INDEX('得意先'!$E$5:$E$104,$W574)))+1,0),DATE(YEAR($X574),(MONTH($X574)+IF(INDEX('得意先'!$D$5:$D$104,$W574)="末",0,IF(DAY($X574)&lt;=INDEX('得意先'!$D$5:$D$104,$W574),0,1))+N(INDEX('得意先'!$E$5:$E$104,$W574))),MIN(INDEX('得意先'!$F$5:$F$104,$W574),DAY(DATE(YEAR($X574),(MONTH($X574)+IF(INDEX('得意先'!$D$5:$D$104,$W574)="末",0,IF(DAY($X574)&lt;=INDEX('得意先'!$D$5:$D$104,$W574),0,1))+N(INDEX('得意先'!$E$5:$E$104,$W574)))+1,0)))))))</f>
        <v/>
      </c>
      <c r="N574" s="26" t="n"/>
      <c r="O574" s="29">
        <f>IF($A574="","",IF(ISNUMBER($N574),$N574,$M574))</f>
        <v/>
      </c>
      <c r="P574" s="28">
        <f>IF($A574="","",SUMIF('入金消込'!$F$5:$F$1004,$A574,'入金消込'!$G$5:$G$1004))</f>
        <v/>
      </c>
      <c r="Q574" s="28">
        <f>IF($A574="","",SUMIF('入金消込'!$F$5:$F$1004,$A574,'入金消込'!$H$5:$H$1004)+SUMIF('入金消込'!$F$5:$F$1004,$A574,'入金消込'!$I$5:$I$1004))</f>
        <v/>
      </c>
      <c r="R574" s="28">
        <f>IF($A574="","",$L574-$P574-$Q574)</f>
        <v/>
      </c>
      <c r="S574" s="30">
        <f>IF($A574="","",IF($R574=0,IF($L574=0,"請求額0","回収済"),IF($L574&lt;0,IF($R574&lt;0,"差し引き待ち","差し引きすぎ"),IF($R574&lt;0,"入金が多い",IF($P574+$Q574=0,"未入金","一部入金")))))</f>
        <v/>
      </c>
      <c r="T574" s="31">
        <f>IF(OR($A574="",N($R574)&lt;=0,NOT(ISNUMBER($O574))),"",IF($O574&lt;'設定'!$B$7,'設定'!$B$7-$O574,""))</f>
        <v/>
      </c>
      <c r="U574" s="30">
        <f>IF(OR($A574="",N($R574)&lt;=0),"",IF(NOT(ISNUMBER($O574)),'設定'!$B$22,IF($O574&gt;='設定'!$B$7,'設定'!$B$17,IF('設定'!$B$7-$O574&lt;='設定'!$B$12,'設定'!$B$18,IF('設定'!$B$7-$O574&lt;='設定'!$B$13,'設定'!$B$19,IF('設定'!$B$7-$O574&lt;='設定'!$B$14,'設定'!$B$20,'設定'!$B$21))))))</f>
        <v/>
      </c>
      <c r="V574" s="56" t="n"/>
      <c r="W574" s="32">
        <f>IF($C574="","",IFERROR(MATCH($C574,'得意先'!$B$5:$B$104,0),"なし"))</f>
        <v/>
      </c>
      <c r="X574" s="33">
        <f>IF($A574="","",IF(ISNUMBER($E574),$E574,IF(ISNUMBER($B574),$B574,"")))</f>
        <v/>
      </c>
      <c r="Y574" s="34">
        <f>IF($T574="","",$O574+ROW()/1000000)</f>
        <v/>
      </c>
      <c r="Z574" s="35">
        <f>IF(OR($A574="",$C574="",$C574&lt;&gt;'売掛帳'!$B$3,NOT(ISNUMBER($X574))),"",IF(AND($X574&gt;='売掛帳'!$Q$3,$X574&lt;='売掛帳'!$Q$4),$X574+ROW()/10000000,""))</f>
        <v/>
      </c>
    </row>
    <row r="575" ht="18" customHeight="1">
      <c r="A575" s="18" t="n"/>
      <c r="B575" s="26" t="n"/>
      <c r="C575" s="18" t="n"/>
      <c r="D575" s="20">
        <f>IF($W575="","",IF($W575="なし","※得意先にないコード",INDEX('得意先'!$C$5:$C$104,$W575)&amp;""))</f>
        <v/>
      </c>
      <c r="E575" s="26" t="n"/>
      <c r="F575" s="19" t="n"/>
      <c r="G575" s="27" t="n"/>
      <c r="H575" s="27" t="n"/>
      <c r="I575" s="27" t="n"/>
      <c r="J575" s="28">
        <f>IF($A575="","",IF('設定'!$B$10="四捨五入",ROUND(IF('設定'!$B$9="税込",N($G575)*10/110,N($G575)*10/100),0),IF('設定'!$B$10="切り上げ",ROUNDUP(IF('設定'!$B$9="税込",N($G575)*10/110,N($G575)*10/100),0),ROUNDDOWN(IF('設定'!$B$9="税込",N($G575)*10/110,N($G575)*10/100),0))))</f>
        <v/>
      </c>
      <c r="K575" s="28">
        <f>IF($A575="","",IF('設定'!$B$10="四捨五入",ROUND(IF('設定'!$B$9="税込",N($H575)*8/108,N($H575)*8/100),0),IF('設定'!$B$10="切り上げ",ROUNDUP(IF('設定'!$B$9="税込",N($H575)*8/108,N($H575)*8/100),0),ROUNDDOWN(IF('設定'!$B$9="税込",N($H575)*8/108,N($H575)*8/100),0))))</f>
        <v/>
      </c>
      <c r="L575" s="28">
        <f>IF($A575="","",N($G575)+N($H575)+N($I575)+IF('設定'!$B$9="税込",0,$J575+$K575))</f>
        <v/>
      </c>
      <c r="M575" s="29">
        <f>IF(OR($A575="",NOT(ISNUMBER($W575)),NOT(ISNUMBER($X575))),"",IF(OR(INDEX('得意先'!$D$5:$D$104,$W575)="",INDEX('得意先'!$E$5:$E$104,$W575)="",INDEX('得意先'!$F$5:$F$104,$W575)=""),"",IF(INDEX('得意先'!$F$5:$F$104,$W575)="末",DATE(YEAR($X575),(MONTH($X575)+IF(INDEX('得意先'!$D$5:$D$104,$W575)="末",0,IF(DAY($X575)&lt;=INDEX('得意先'!$D$5:$D$104,$W575),0,1))+N(INDEX('得意先'!$E$5:$E$104,$W575)))+1,0),DATE(YEAR($X575),(MONTH($X575)+IF(INDEX('得意先'!$D$5:$D$104,$W575)="末",0,IF(DAY($X575)&lt;=INDEX('得意先'!$D$5:$D$104,$W575),0,1))+N(INDEX('得意先'!$E$5:$E$104,$W575))),MIN(INDEX('得意先'!$F$5:$F$104,$W575),DAY(DATE(YEAR($X575),(MONTH($X575)+IF(INDEX('得意先'!$D$5:$D$104,$W575)="末",0,IF(DAY($X575)&lt;=INDEX('得意先'!$D$5:$D$104,$W575),0,1))+N(INDEX('得意先'!$E$5:$E$104,$W575)))+1,0)))))))</f>
        <v/>
      </c>
      <c r="N575" s="26" t="n"/>
      <c r="O575" s="29">
        <f>IF($A575="","",IF(ISNUMBER($N575),$N575,$M575))</f>
        <v/>
      </c>
      <c r="P575" s="28">
        <f>IF($A575="","",SUMIF('入金消込'!$F$5:$F$1004,$A575,'入金消込'!$G$5:$G$1004))</f>
        <v/>
      </c>
      <c r="Q575" s="28">
        <f>IF($A575="","",SUMIF('入金消込'!$F$5:$F$1004,$A575,'入金消込'!$H$5:$H$1004)+SUMIF('入金消込'!$F$5:$F$1004,$A575,'入金消込'!$I$5:$I$1004))</f>
        <v/>
      </c>
      <c r="R575" s="28">
        <f>IF($A575="","",$L575-$P575-$Q575)</f>
        <v/>
      </c>
      <c r="S575" s="30">
        <f>IF($A575="","",IF($R575=0,IF($L575=0,"請求額0","回収済"),IF($L575&lt;0,IF($R575&lt;0,"差し引き待ち","差し引きすぎ"),IF($R575&lt;0,"入金が多い",IF($P575+$Q575=0,"未入金","一部入金")))))</f>
        <v/>
      </c>
      <c r="T575" s="31">
        <f>IF(OR($A575="",N($R575)&lt;=0,NOT(ISNUMBER($O575))),"",IF($O575&lt;'設定'!$B$7,'設定'!$B$7-$O575,""))</f>
        <v/>
      </c>
      <c r="U575" s="30">
        <f>IF(OR($A575="",N($R575)&lt;=0),"",IF(NOT(ISNUMBER($O575)),'設定'!$B$22,IF($O575&gt;='設定'!$B$7,'設定'!$B$17,IF('設定'!$B$7-$O575&lt;='設定'!$B$12,'設定'!$B$18,IF('設定'!$B$7-$O575&lt;='設定'!$B$13,'設定'!$B$19,IF('設定'!$B$7-$O575&lt;='設定'!$B$14,'設定'!$B$20,'設定'!$B$21))))))</f>
        <v/>
      </c>
      <c r="V575" s="56" t="n"/>
      <c r="W575" s="32">
        <f>IF($C575="","",IFERROR(MATCH($C575,'得意先'!$B$5:$B$104,0),"なし"))</f>
        <v/>
      </c>
      <c r="X575" s="33">
        <f>IF($A575="","",IF(ISNUMBER($E575),$E575,IF(ISNUMBER($B575),$B575,"")))</f>
        <v/>
      </c>
      <c r="Y575" s="34">
        <f>IF($T575="","",$O575+ROW()/1000000)</f>
        <v/>
      </c>
      <c r="Z575" s="35">
        <f>IF(OR($A575="",$C575="",$C575&lt;&gt;'売掛帳'!$B$3,NOT(ISNUMBER($X575))),"",IF(AND($X575&gt;='売掛帳'!$Q$3,$X575&lt;='売掛帳'!$Q$4),$X575+ROW()/10000000,""))</f>
        <v/>
      </c>
    </row>
    <row r="576" ht="18" customHeight="1">
      <c r="A576" s="18" t="n"/>
      <c r="B576" s="26" t="n"/>
      <c r="C576" s="18" t="n"/>
      <c r="D576" s="20">
        <f>IF($W576="","",IF($W576="なし","※得意先にないコード",INDEX('得意先'!$C$5:$C$104,$W576)&amp;""))</f>
        <v/>
      </c>
      <c r="E576" s="26" t="n"/>
      <c r="F576" s="19" t="n"/>
      <c r="G576" s="27" t="n"/>
      <c r="H576" s="27" t="n"/>
      <c r="I576" s="27" t="n"/>
      <c r="J576" s="28">
        <f>IF($A576="","",IF('設定'!$B$10="四捨五入",ROUND(IF('設定'!$B$9="税込",N($G576)*10/110,N($G576)*10/100),0),IF('設定'!$B$10="切り上げ",ROUNDUP(IF('設定'!$B$9="税込",N($G576)*10/110,N($G576)*10/100),0),ROUNDDOWN(IF('設定'!$B$9="税込",N($G576)*10/110,N($G576)*10/100),0))))</f>
        <v/>
      </c>
      <c r="K576" s="28">
        <f>IF($A576="","",IF('設定'!$B$10="四捨五入",ROUND(IF('設定'!$B$9="税込",N($H576)*8/108,N($H576)*8/100),0),IF('設定'!$B$10="切り上げ",ROUNDUP(IF('設定'!$B$9="税込",N($H576)*8/108,N($H576)*8/100),0),ROUNDDOWN(IF('設定'!$B$9="税込",N($H576)*8/108,N($H576)*8/100),0))))</f>
        <v/>
      </c>
      <c r="L576" s="28">
        <f>IF($A576="","",N($G576)+N($H576)+N($I576)+IF('設定'!$B$9="税込",0,$J576+$K576))</f>
        <v/>
      </c>
      <c r="M576" s="29">
        <f>IF(OR($A576="",NOT(ISNUMBER($W576)),NOT(ISNUMBER($X576))),"",IF(OR(INDEX('得意先'!$D$5:$D$104,$W576)="",INDEX('得意先'!$E$5:$E$104,$W576)="",INDEX('得意先'!$F$5:$F$104,$W576)=""),"",IF(INDEX('得意先'!$F$5:$F$104,$W576)="末",DATE(YEAR($X576),(MONTH($X576)+IF(INDEX('得意先'!$D$5:$D$104,$W576)="末",0,IF(DAY($X576)&lt;=INDEX('得意先'!$D$5:$D$104,$W576),0,1))+N(INDEX('得意先'!$E$5:$E$104,$W576)))+1,0),DATE(YEAR($X576),(MONTH($X576)+IF(INDEX('得意先'!$D$5:$D$104,$W576)="末",0,IF(DAY($X576)&lt;=INDEX('得意先'!$D$5:$D$104,$W576),0,1))+N(INDEX('得意先'!$E$5:$E$104,$W576))),MIN(INDEX('得意先'!$F$5:$F$104,$W576),DAY(DATE(YEAR($X576),(MONTH($X576)+IF(INDEX('得意先'!$D$5:$D$104,$W576)="末",0,IF(DAY($X576)&lt;=INDEX('得意先'!$D$5:$D$104,$W576),0,1))+N(INDEX('得意先'!$E$5:$E$104,$W576)))+1,0)))))))</f>
        <v/>
      </c>
      <c r="N576" s="26" t="n"/>
      <c r="O576" s="29">
        <f>IF($A576="","",IF(ISNUMBER($N576),$N576,$M576))</f>
        <v/>
      </c>
      <c r="P576" s="28">
        <f>IF($A576="","",SUMIF('入金消込'!$F$5:$F$1004,$A576,'入金消込'!$G$5:$G$1004))</f>
        <v/>
      </c>
      <c r="Q576" s="28">
        <f>IF($A576="","",SUMIF('入金消込'!$F$5:$F$1004,$A576,'入金消込'!$H$5:$H$1004)+SUMIF('入金消込'!$F$5:$F$1004,$A576,'入金消込'!$I$5:$I$1004))</f>
        <v/>
      </c>
      <c r="R576" s="28">
        <f>IF($A576="","",$L576-$P576-$Q576)</f>
        <v/>
      </c>
      <c r="S576" s="30">
        <f>IF($A576="","",IF($R576=0,IF($L576=0,"請求額0","回収済"),IF($L576&lt;0,IF($R576&lt;0,"差し引き待ち","差し引きすぎ"),IF($R576&lt;0,"入金が多い",IF($P576+$Q576=0,"未入金","一部入金")))))</f>
        <v/>
      </c>
      <c r="T576" s="31">
        <f>IF(OR($A576="",N($R576)&lt;=0,NOT(ISNUMBER($O576))),"",IF($O576&lt;'設定'!$B$7,'設定'!$B$7-$O576,""))</f>
        <v/>
      </c>
      <c r="U576" s="30">
        <f>IF(OR($A576="",N($R576)&lt;=0),"",IF(NOT(ISNUMBER($O576)),'設定'!$B$22,IF($O576&gt;='設定'!$B$7,'設定'!$B$17,IF('設定'!$B$7-$O576&lt;='設定'!$B$12,'設定'!$B$18,IF('設定'!$B$7-$O576&lt;='設定'!$B$13,'設定'!$B$19,IF('設定'!$B$7-$O576&lt;='設定'!$B$14,'設定'!$B$20,'設定'!$B$21))))))</f>
        <v/>
      </c>
      <c r="V576" s="56" t="n"/>
      <c r="W576" s="32">
        <f>IF($C576="","",IFERROR(MATCH($C576,'得意先'!$B$5:$B$104,0),"なし"))</f>
        <v/>
      </c>
      <c r="X576" s="33">
        <f>IF($A576="","",IF(ISNUMBER($E576),$E576,IF(ISNUMBER($B576),$B576,"")))</f>
        <v/>
      </c>
      <c r="Y576" s="34">
        <f>IF($T576="","",$O576+ROW()/1000000)</f>
        <v/>
      </c>
      <c r="Z576" s="35">
        <f>IF(OR($A576="",$C576="",$C576&lt;&gt;'売掛帳'!$B$3,NOT(ISNUMBER($X576))),"",IF(AND($X576&gt;='売掛帳'!$Q$3,$X576&lt;='売掛帳'!$Q$4),$X576+ROW()/10000000,""))</f>
        <v/>
      </c>
    </row>
    <row r="577" ht="18" customHeight="1">
      <c r="A577" s="18" t="n"/>
      <c r="B577" s="26" t="n"/>
      <c r="C577" s="18" t="n"/>
      <c r="D577" s="20">
        <f>IF($W577="","",IF($W577="なし","※得意先にないコード",INDEX('得意先'!$C$5:$C$104,$W577)&amp;""))</f>
        <v/>
      </c>
      <c r="E577" s="26" t="n"/>
      <c r="F577" s="19" t="n"/>
      <c r="G577" s="27" t="n"/>
      <c r="H577" s="27" t="n"/>
      <c r="I577" s="27" t="n"/>
      <c r="J577" s="28">
        <f>IF($A577="","",IF('設定'!$B$10="四捨五入",ROUND(IF('設定'!$B$9="税込",N($G577)*10/110,N($G577)*10/100),0),IF('設定'!$B$10="切り上げ",ROUNDUP(IF('設定'!$B$9="税込",N($G577)*10/110,N($G577)*10/100),0),ROUNDDOWN(IF('設定'!$B$9="税込",N($G577)*10/110,N($G577)*10/100),0))))</f>
        <v/>
      </c>
      <c r="K577" s="28">
        <f>IF($A577="","",IF('設定'!$B$10="四捨五入",ROUND(IF('設定'!$B$9="税込",N($H577)*8/108,N($H577)*8/100),0),IF('設定'!$B$10="切り上げ",ROUNDUP(IF('設定'!$B$9="税込",N($H577)*8/108,N($H577)*8/100),0),ROUNDDOWN(IF('設定'!$B$9="税込",N($H577)*8/108,N($H577)*8/100),0))))</f>
        <v/>
      </c>
      <c r="L577" s="28">
        <f>IF($A577="","",N($G577)+N($H577)+N($I577)+IF('設定'!$B$9="税込",0,$J577+$K577))</f>
        <v/>
      </c>
      <c r="M577" s="29">
        <f>IF(OR($A577="",NOT(ISNUMBER($W577)),NOT(ISNUMBER($X577))),"",IF(OR(INDEX('得意先'!$D$5:$D$104,$W577)="",INDEX('得意先'!$E$5:$E$104,$W577)="",INDEX('得意先'!$F$5:$F$104,$W577)=""),"",IF(INDEX('得意先'!$F$5:$F$104,$W577)="末",DATE(YEAR($X577),(MONTH($X577)+IF(INDEX('得意先'!$D$5:$D$104,$W577)="末",0,IF(DAY($X577)&lt;=INDEX('得意先'!$D$5:$D$104,$W577),0,1))+N(INDEX('得意先'!$E$5:$E$104,$W577)))+1,0),DATE(YEAR($X577),(MONTH($X577)+IF(INDEX('得意先'!$D$5:$D$104,$W577)="末",0,IF(DAY($X577)&lt;=INDEX('得意先'!$D$5:$D$104,$W577),0,1))+N(INDEX('得意先'!$E$5:$E$104,$W577))),MIN(INDEX('得意先'!$F$5:$F$104,$W577),DAY(DATE(YEAR($X577),(MONTH($X577)+IF(INDEX('得意先'!$D$5:$D$104,$W577)="末",0,IF(DAY($X577)&lt;=INDEX('得意先'!$D$5:$D$104,$W577),0,1))+N(INDEX('得意先'!$E$5:$E$104,$W577)))+1,0)))))))</f>
        <v/>
      </c>
      <c r="N577" s="26" t="n"/>
      <c r="O577" s="29">
        <f>IF($A577="","",IF(ISNUMBER($N577),$N577,$M577))</f>
        <v/>
      </c>
      <c r="P577" s="28">
        <f>IF($A577="","",SUMIF('入金消込'!$F$5:$F$1004,$A577,'入金消込'!$G$5:$G$1004))</f>
        <v/>
      </c>
      <c r="Q577" s="28">
        <f>IF($A577="","",SUMIF('入金消込'!$F$5:$F$1004,$A577,'入金消込'!$H$5:$H$1004)+SUMIF('入金消込'!$F$5:$F$1004,$A577,'入金消込'!$I$5:$I$1004))</f>
        <v/>
      </c>
      <c r="R577" s="28">
        <f>IF($A577="","",$L577-$P577-$Q577)</f>
        <v/>
      </c>
      <c r="S577" s="30">
        <f>IF($A577="","",IF($R577=0,IF($L577=0,"請求額0","回収済"),IF($L577&lt;0,IF($R577&lt;0,"差し引き待ち","差し引きすぎ"),IF($R577&lt;0,"入金が多い",IF($P577+$Q577=0,"未入金","一部入金")))))</f>
        <v/>
      </c>
      <c r="T577" s="31">
        <f>IF(OR($A577="",N($R577)&lt;=0,NOT(ISNUMBER($O577))),"",IF($O577&lt;'設定'!$B$7,'設定'!$B$7-$O577,""))</f>
        <v/>
      </c>
      <c r="U577" s="30">
        <f>IF(OR($A577="",N($R577)&lt;=0),"",IF(NOT(ISNUMBER($O577)),'設定'!$B$22,IF($O577&gt;='設定'!$B$7,'設定'!$B$17,IF('設定'!$B$7-$O577&lt;='設定'!$B$12,'設定'!$B$18,IF('設定'!$B$7-$O577&lt;='設定'!$B$13,'設定'!$B$19,IF('設定'!$B$7-$O577&lt;='設定'!$B$14,'設定'!$B$20,'設定'!$B$21))))))</f>
        <v/>
      </c>
      <c r="V577" s="56" t="n"/>
      <c r="W577" s="32">
        <f>IF($C577="","",IFERROR(MATCH($C577,'得意先'!$B$5:$B$104,0),"なし"))</f>
        <v/>
      </c>
      <c r="X577" s="33">
        <f>IF($A577="","",IF(ISNUMBER($E577),$E577,IF(ISNUMBER($B577),$B577,"")))</f>
        <v/>
      </c>
      <c r="Y577" s="34">
        <f>IF($T577="","",$O577+ROW()/1000000)</f>
        <v/>
      </c>
      <c r="Z577" s="35">
        <f>IF(OR($A577="",$C577="",$C577&lt;&gt;'売掛帳'!$B$3,NOT(ISNUMBER($X577))),"",IF(AND($X577&gt;='売掛帳'!$Q$3,$X577&lt;='売掛帳'!$Q$4),$X577+ROW()/10000000,""))</f>
        <v/>
      </c>
    </row>
    <row r="578" ht="18" customHeight="1">
      <c r="A578" s="18" t="n"/>
      <c r="B578" s="26" t="n"/>
      <c r="C578" s="18" t="n"/>
      <c r="D578" s="20">
        <f>IF($W578="","",IF($W578="なし","※得意先にないコード",INDEX('得意先'!$C$5:$C$104,$W578)&amp;""))</f>
        <v/>
      </c>
      <c r="E578" s="26" t="n"/>
      <c r="F578" s="19" t="n"/>
      <c r="G578" s="27" t="n"/>
      <c r="H578" s="27" t="n"/>
      <c r="I578" s="27" t="n"/>
      <c r="J578" s="28">
        <f>IF($A578="","",IF('設定'!$B$10="四捨五入",ROUND(IF('設定'!$B$9="税込",N($G578)*10/110,N($G578)*10/100),0),IF('設定'!$B$10="切り上げ",ROUNDUP(IF('設定'!$B$9="税込",N($G578)*10/110,N($G578)*10/100),0),ROUNDDOWN(IF('設定'!$B$9="税込",N($G578)*10/110,N($G578)*10/100),0))))</f>
        <v/>
      </c>
      <c r="K578" s="28">
        <f>IF($A578="","",IF('設定'!$B$10="四捨五入",ROUND(IF('設定'!$B$9="税込",N($H578)*8/108,N($H578)*8/100),0),IF('設定'!$B$10="切り上げ",ROUNDUP(IF('設定'!$B$9="税込",N($H578)*8/108,N($H578)*8/100),0),ROUNDDOWN(IF('設定'!$B$9="税込",N($H578)*8/108,N($H578)*8/100),0))))</f>
        <v/>
      </c>
      <c r="L578" s="28">
        <f>IF($A578="","",N($G578)+N($H578)+N($I578)+IF('設定'!$B$9="税込",0,$J578+$K578))</f>
        <v/>
      </c>
      <c r="M578" s="29">
        <f>IF(OR($A578="",NOT(ISNUMBER($W578)),NOT(ISNUMBER($X578))),"",IF(OR(INDEX('得意先'!$D$5:$D$104,$W578)="",INDEX('得意先'!$E$5:$E$104,$W578)="",INDEX('得意先'!$F$5:$F$104,$W578)=""),"",IF(INDEX('得意先'!$F$5:$F$104,$W578)="末",DATE(YEAR($X578),(MONTH($X578)+IF(INDEX('得意先'!$D$5:$D$104,$W578)="末",0,IF(DAY($X578)&lt;=INDEX('得意先'!$D$5:$D$104,$W578),0,1))+N(INDEX('得意先'!$E$5:$E$104,$W578)))+1,0),DATE(YEAR($X578),(MONTH($X578)+IF(INDEX('得意先'!$D$5:$D$104,$W578)="末",0,IF(DAY($X578)&lt;=INDEX('得意先'!$D$5:$D$104,$W578),0,1))+N(INDEX('得意先'!$E$5:$E$104,$W578))),MIN(INDEX('得意先'!$F$5:$F$104,$W578),DAY(DATE(YEAR($X578),(MONTH($X578)+IF(INDEX('得意先'!$D$5:$D$104,$W578)="末",0,IF(DAY($X578)&lt;=INDEX('得意先'!$D$5:$D$104,$W578),0,1))+N(INDEX('得意先'!$E$5:$E$104,$W578)))+1,0)))))))</f>
        <v/>
      </c>
      <c r="N578" s="26" t="n"/>
      <c r="O578" s="29">
        <f>IF($A578="","",IF(ISNUMBER($N578),$N578,$M578))</f>
        <v/>
      </c>
      <c r="P578" s="28">
        <f>IF($A578="","",SUMIF('入金消込'!$F$5:$F$1004,$A578,'入金消込'!$G$5:$G$1004))</f>
        <v/>
      </c>
      <c r="Q578" s="28">
        <f>IF($A578="","",SUMIF('入金消込'!$F$5:$F$1004,$A578,'入金消込'!$H$5:$H$1004)+SUMIF('入金消込'!$F$5:$F$1004,$A578,'入金消込'!$I$5:$I$1004))</f>
        <v/>
      </c>
      <c r="R578" s="28">
        <f>IF($A578="","",$L578-$P578-$Q578)</f>
        <v/>
      </c>
      <c r="S578" s="30">
        <f>IF($A578="","",IF($R578=0,IF($L578=0,"請求額0","回収済"),IF($L578&lt;0,IF($R578&lt;0,"差し引き待ち","差し引きすぎ"),IF($R578&lt;0,"入金が多い",IF($P578+$Q578=0,"未入金","一部入金")))))</f>
        <v/>
      </c>
      <c r="T578" s="31">
        <f>IF(OR($A578="",N($R578)&lt;=0,NOT(ISNUMBER($O578))),"",IF($O578&lt;'設定'!$B$7,'設定'!$B$7-$O578,""))</f>
        <v/>
      </c>
      <c r="U578" s="30">
        <f>IF(OR($A578="",N($R578)&lt;=0),"",IF(NOT(ISNUMBER($O578)),'設定'!$B$22,IF($O578&gt;='設定'!$B$7,'設定'!$B$17,IF('設定'!$B$7-$O578&lt;='設定'!$B$12,'設定'!$B$18,IF('設定'!$B$7-$O578&lt;='設定'!$B$13,'設定'!$B$19,IF('設定'!$B$7-$O578&lt;='設定'!$B$14,'設定'!$B$20,'設定'!$B$21))))))</f>
        <v/>
      </c>
      <c r="V578" s="56" t="n"/>
      <c r="W578" s="32">
        <f>IF($C578="","",IFERROR(MATCH($C578,'得意先'!$B$5:$B$104,0),"なし"))</f>
        <v/>
      </c>
      <c r="X578" s="33">
        <f>IF($A578="","",IF(ISNUMBER($E578),$E578,IF(ISNUMBER($B578),$B578,"")))</f>
        <v/>
      </c>
      <c r="Y578" s="34">
        <f>IF($T578="","",$O578+ROW()/1000000)</f>
        <v/>
      </c>
      <c r="Z578" s="35">
        <f>IF(OR($A578="",$C578="",$C578&lt;&gt;'売掛帳'!$B$3,NOT(ISNUMBER($X578))),"",IF(AND($X578&gt;='売掛帳'!$Q$3,$X578&lt;='売掛帳'!$Q$4),$X578+ROW()/10000000,""))</f>
        <v/>
      </c>
    </row>
    <row r="579" ht="18" customHeight="1">
      <c r="A579" s="18" t="n"/>
      <c r="B579" s="26" t="n"/>
      <c r="C579" s="18" t="n"/>
      <c r="D579" s="20">
        <f>IF($W579="","",IF($W579="なし","※得意先にないコード",INDEX('得意先'!$C$5:$C$104,$W579)&amp;""))</f>
        <v/>
      </c>
      <c r="E579" s="26" t="n"/>
      <c r="F579" s="19" t="n"/>
      <c r="G579" s="27" t="n"/>
      <c r="H579" s="27" t="n"/>
      <c r="I579" s="27" t="n"/>
      <c r="J579" s="28">
        <f>IF($A579="","",IF('設定'!$B$10="四捨五入",ROUND(IF('設定'!$B$9="税込",N($G579)*10/110,N($G579)*10/100),0),IF('設定'!$B$10="切り上げ",ROUNDUP(IF('設定'!$B$9="税込",N($G579)*10/110,N($G579)*10/100),0),ROUNDDOWN(IF('設定'!$B$9="税込",N($G579)*10/110,N($G579)*10/100),0))))</f>
        <v/>
      </c>
      <c r="K579" s="28">
        <f>IF($A579="","",IF('設定'!$B$10="四捨五入",ROUND(IF('設定'!$B$9="税込",N($H579)*8/108,N($H579)*8/100),0),IF('設定'!$B$10="切り上げ",ROUNDUP(IF('設定'!$B$9="税込",N($H579)*8/108,N($H579)*8/100),0),ROUNDDOWN(IF('設定'!$B$9="税込",N($H579)*8/108,N($H579)*8/100),0))))</f>
        <v/>
      </c>
      <c r="L579" s="28">
        <f>IF($A579="","",N($G579)+N($H579)+N($I579)+IF('設定'!$B$9="税込",0,$J579+$K579))</f>
        <v/>
      </c>
      <c r="M579" s="29">
        <f>IF(OR($A579="",NOT(ISNUMBER($W579)),NOT(ISNUMBER($X579))),"",IF(OR(INDEX('得意先'!$D$5:$D$104,$W579)="",INDEX('得意先'!$E$5:$E$104,$W579)="",INDEX('得意先'!$F$5:$F$104,$W579)=""),"",IF(INDEX('得意先'!$F$5:$F$104,$W579)="末",DATE(YEAR($X579),(MONTH($X579)+IF(INDEX('得意先'!$D$5:$D$104,$W579)="末",0,IF(DAY($X579)&lt;=INDEX('得意先'!$D$5:$D$104,$W579),0,1))+N(INDEX('得意先'!$E$5:$E$104,$W579)))+1,0),DATE(YEAR($X579),(MONTH($X579)+IF(INDEX('得意先'!$D$5:$D$104,$W579)="末",0,IF(DAY($X579)&lt;=INDEX('得意先'!$D$5:$D$104,$W579),0,1))+N(INDEX('得意先'!$E$5:$E$104,$W579))),MIN(INDEX('得意先'!$F$5:$F$104,$W579),DAY(DATE(YEAR($X579),(MONTH($X579)+IF(INDEX('得意先'!$D$5:$D$104,$W579)="末",0,IF(DAY($X579)&lt;=INDEX('得意先'!$D$5:$D$104,$W579),0,1))+N(INDEX('得意先'!$E$5:$E$104,$W579)))+1,0)))))))</f>
        <v/>
      </c>
      <c r="N579" s="26" t="n"/>
      <c r="O579" s="29">
        <f>IF($A579="","",IF(ISNUMBER($N579),$N579,$M579))</f>
        <v/>
      </c>
      <c r="P579" s="28">
        <f>IF($A579="","",SUMIF('入金消込'!$F$5:$F$1004,$A579,'入金消込'!$G$5:$G$1004))</f>
        <v/>
      </c>
      <c r="Q579" s="28">
        <f>IF($A579="","",SUMIF('入金消込'!$F$5:$F$1004,$A579,'入金消込'!$H$5:$H$1004)+SUMIF('入金消込'!$F$5:$F$1004,$A579,'入金消込'!$I$5:$I$1004))</f>
        <v/>
      </c>
      <c r="R579" s="28">
        <f>IF($A579="","",$L579-$P579-$Q579)</f>
        <v/>
      </c>
      <c r="S579" s="30">
        <f>IF($A579="","",IF($R579=0,IF($L579=0,"請求額0","回収済"),IF($L579&lt;0,IF($R579&lt;0,"差し引き待ち","差し引きすぎ"),IF($R579&lt;0,"入金が多い",IF($P579+$Q579=0,"未入金","一部入金")))))</f>
        <v/>
      </c>
      <c r="T579" s="31">
        <f>IF(OR($A579="",N($R579)&lt;=0,NOT(ISNUMBER($O579))),"",IF($O579&lt;'設定'!$B$7,'設定'!$B$7-$O579,""))</f>
        <v/>
      </c>
      <c r="U579" s="30">
        <f>IF(OR($A579="",N($R579)&lt;=0),"",IF(NOT(ISNUMBER($O579)),'設定'!$B$22,IF($O579&gt;='設定'!$B$7,'設定'!$B$17,IF('設定'!$B$7-$O579&lt;='設定'!$B$12,'設定'!$B$18,IF('設定'!$B$7-$O579&lt;='設定'!$B$13,'設定'!$B$19,IF('設定'!$B$7-$O579&lt;='設定'!$B$14,'設定'!$B$20,'設定'!$B$21))))))</f>
        <v/>
      </c>
      <c r="V579" s="56" t="n"/>
      <c r="W579" s="32">
        <f>IF($C579="","",IFERROR(MATCH($C579,'得意先'!$B$5:$B$104,0),"なし"))</f>
        <v/>
      </c>
      <c r="X579" s="33">
        <f>IF($A579="","",IF(ISNUMBER($E579),$E579,IF(ISNUMBER($B579),$B579,"")))</f>
        <v/>
      </c>
      <c r="Y579" s="34">
        <f>IF($T579="","",$O579+ROW()/1000000)</f>
        <v/>
      </c>
      <c r="Z579" s="35">
        <f>IF(OR($A579="",$C579="",$C579&lt;&gt;'売掛帳'!$B$3,NOT(ISNUMBER($X579))),"",IF(AND($X579&gt;='売掛帳'!$Q$3,$X579&lt;='売掛帳'!$Q$4),$X579+ROW()/10000000,""))</f>
        <v/>
      </c>
    </row>
    <row r="580" ht="18" customHeight="1">
      <c r="A580" s="18" t="n"/>
      <c r="B580" s="26" t="n"/>
      <c r="C580" s="18" t="n"/>
      <c r="D580" s="20">
        <f>IF($W580="","",IF($W580="なし","※得意先にないコード",INDEX('得意先'!$C$5:$C$104,$W580)&amp;""))</f>
        <v/>
      </c>
      <c r="E580" s="26" t="n"/>
      <c r="F580" s="19" t="n"/>
      <c r="G580" s="27" t="n"/>
      <c r="H580" s="27" t="n"/>
      <c r="I580" s="27" t="n"/>
      <c r="J580" s="28">
        <f>IF($A580="","",IF('設定'!$B$10="四捨五入",ROUND(IF('設定'!$B$9="税込",N($G580)*10/110,N($G580)*10/100),0),IF('設定'!$B$10="切り上げ",ROUNDUP(IF('設定'!$B$9="税込",N($G580)*10/110,N($G580)*10/100),0),ROUNDDOWN(IF('設定'!$B$9="税込",N($G580)*10/110,N($G580)*10/100),0))))</f>
        <v/>
      </c>
      <c r="K580" s="28">
        <f>IF($A580="","",IF('設定'!$B$10="四捨五入",ROUND(IF('設定'!$B$9="税込",N($H580)*8/108,N($H580)*8/100),0),IF('設定'!$B$10="切り上げ",ROUNDUP(IF('設定'!$B$9="税込",N($H580)*8/108,N($H580)*8/100),0),ROUNDDOWN(IF('設定'!$B$9="税込",N($H580)*8/108,N($H580)*8/100),0))))</f>
        <v/>
      </c>
      <c r="L580" s="28">
        <f>IF($A580="","",N($G580)+N($H580)+N($I580)+IF('設定'!$B$9="税込",0,$J580+$K580))</f>
        <v/>
      </c>
      <c r="M580" s="29">
        <f>IF(OR($A580="",NOT(ISNUMBER($W580)),NOT(ISNUMBER($X580))),"",IF(OR(INDEX('得意先'!$D$5:$D$104,$W580)="",INDEX('得意先'!$E$5:$E$104,$W580)="",INDEX('得意先'!$F$5:$F$104,$W580)=""),"",IF(INDEX('得意先'!$F$5:$F$104,$W580)="末",DATE(YEAR($X580),(MONTH($X580)+IF(INDEX('得意先'!$D$5:$D$104,$W580)="末",0,IF(DAY($X580)&lt;=INDEX('得意先'!$D$5:$D$104,$W580),0,1))+N(INDEX('得意先'!$E$5:$E$104,$W580)))+1,0),DATE(YEAR($X580),(MONTH($X580)+IF(INDEX('得意先'!$D$5:$D$104,$W580)="末",0,IF(DAY($X580)&lt;=INDEX('得意先'!$D$5:$D$104,$W580),0,1))+N(INDEX('得意先'!$E$5:$E$104,$W580))),MIN(INDEX('得意先'!$F$5:$F$104,$W580),DAY(DATE(YEAR($X580),(MONTH($X580)+IF(INDEX('得意先'!$D$5:$D$104,$W580)="末",0,IF(DAY($X580)&lt;=INDEX('得意先'!$D$5:$D$104,$W580),0,1))+N(INDEX('得意先'!$E$5:$E$104,$W580)))+1,0)))))))</f>
        <v/>
      </c>
      <c r="N580" s="26" t="n"/>
      <c r="O580" s="29">
        <f>IF($A580="","",IF(ISNUMBER($N580),$N580,$M580))</f>
        <v/>
      </c>
      <c r="P580" s="28">
        <f>IF($A580="","",SUMIF('入金消込'!$F$5:$F$1004,$A580,'入金消込'!$G$5:$G$1004))</f>
        <v/>
      </c>
      <c r="Q580" s="28">
        <f>IF($A580="","",SUMIF('入金消込'!$F$5:$F$1004,$A580,'入金消込'!$H$5:$H$1004)+SUMIF('入金消込'!$F$5:$F$1004,$A580,'入金消込'!$I$5:$I$1004))</f>
        <v/>
      </c>
      <c r="R580" s="28">
        <f>IF($A580="","",$L580-$P580-$Q580)</f>
        <v/>
      </c>
      <c r="S580" s="30">
        <f>IF($A580="","",IF($R580=0,IF($L580=0,"請求額0","回収済"),IF($L580&lt;0,IF($R580&lt;0,"差し引き待ち","差し引きすぎ"),IF($R580&lt;0,"入金が多い",IF($P580+$Q580=0,"未入金","一部入金")))))</f>
        <v/>
      </c>
      <c r="T580" s="31">
        <f>IF(OR($A580="",N($R580)&lt;=0,NOT(ISNUMBER($O580))),"",IF($O580&lt;'設定'!$B$7,'設定'!$B$7-$O580,""))</f>
        <v/>
      </c>
      <c r="U580" s="30">
        <f>IF(OR($A580="",N($R580)&lt;=0),"",IF(NOT(ISNUMBER($O580)),'設定'!$B$22,IF($O580&gt;='設定'!$B$7,'設定'!$B$17,IF('設定'!$B$7-$O580&lt;='設定'!$B$12,'設定'!$B$18,IF('設定'!$B$7-$O580&lt;='設定'!$B$13,'設定'!$B$19,IF('設定'!$B$7-$O580&lt;='設定'!$B$14,'設定'!$B$20,'設定'!$B$21))))))</f>
        <v/>
      </c>
      <c r="V580" s="56" t="n"/>
      <c r="W580" s="32">
        <f>IF($C580="","",IFERROR(MATCH($C580,'得意先'!$B$5:$B$104,0),"なし"))</f>
        <v/>
      </c>
      <c r="X580" s="33">
        <f>IF($A580="","",IF(ISNUMBER($E580),$E580,IF(ISNUMBER($B580),$B580,"")))</f>
        <v/>
      </c>
      <c r="Y580" s="34">
        <f>IF($T580="","",$O580+ROW()/1000000)</f>
        <v/>
      </c>
      <c r="Z580" s="35">
        <f>IF(OR($A580="",$C580="",$C580&lt;&gt;'売掛帳'!$B$3,NOT(ISNUMBER($X580))),"",IF(AND($X580&gt;='売掛帳'!$Q$3,$X580&lt;='売掛帳'!$Q$4),$X580+ROW()/10000000,""))</f>
        <v/>
      </c>
    </row>
    <row r="581" ht="18" customHeight="1">
      <c r="A581" s="18" t="n"/>
      <c r="B581" s="26" t="n"/>
      <c r="C581" s="18" t="n"/>
      <c r="D581" s="20">
        <f>IF($W581="","",IF($W581="なし","※得意先にないコード",INDEX('得意先'!$C$5:$C$104,$W581)&amp;""))</f>
        <v/>
      </c>
      <c r="E581" s="26" t="n"/>
      <c r="F581" s="19" t="n"/>
      <c r="G581" s="27" t="n"/>
      <c r="H581" s="27" t="n"/>
      <c r="I581" s="27" t="n"/>
      <c r="J581" s="28">
        <f>IF($A581="","",IF('設定'!$B$10="四捨五入",ROUND(IF('設定'!$B$9="税込",N($G581)*10/110,N($G581)*10/100),0),IF('設定'!$B$10="切り上げ",ROUNDUP(IF('設定'!$B$9="税込",N($G581)*10/110,N($G581)*10/100),0),ROUNDDOWN(IF('設定'!$B$9="税込",N($G581)*10/110,N($G581)*10/100),0))))</f>
        <v/>
      </c>
      <c r="K581" s="28">
        <f>IF($A581="","",IF('設定'!$B$10="四捨五入",ROUND(IF('設定'!$B$9="税込",N($H581)*8/108,N($H581)*8/100),0),IF('設定'!$B$10="切り上げ",ROUNDUP(IF('設定'!$B$9="税込",N($H581)*8/108,N($H581)*8/100),0),ROUNDDOWN(IF('設定'!$B$9="税込",N($H581)*8/108,N($H581)*8/100),0))))</f>
        <v/>
      </c>
      <c r="L581" s="28">
        <f>IF($A581="","",N($G581)+N($H581)+N($I581)+IF('設定'!$B$9="税込",0,$J581+$K581))</f>
        <v/>
      </c>
      <c r="M581" s="29">
        <f>IF(OR($A581="",NOT(ISNUMBER($W581)),NOT(ISNUMBER($X581))),"",IF(OR(INDEX('得意先'!$D$5:$D$104,$W581)="",INDEX('得意先'!$E$5:$E$104,$W581)="",INDEX('得意先'!$F$5:$F$104,$W581)=""),"",IF(INDEX('得意先'!$F$5:$F$104,$W581)="末",DATE(YEAR($X581),(MONTH($X581)+IF(INDEX('得意先'!$D$5:$D$104,$W581)="末",0,IF(DAY($X581)&lt;=INDEX('得意先'!$D$5:$D$104,$W581),0,1))+N(INDEX('得意先'!$E$5:$E$104,$W581)))+1,0),DATE(YEAR($X581),(MONTH($X581)+IF(INDEX('得意先'!$D$5:$D$104,$W581)="末",0,IF(DAY($X581)&lt;=INDEX('得意先'!$D$5:$D$104,$W581),0,1))+N(INDEX('得意先'!$E$5:$E$104,$W581))),MIN(INDEX('得意先'!$F$5:$F$104,$W581),DAY(DATE(YEAR($X581),(MONTH($X581)+IF(INDEX('得意先'!$D$5:$D$104,$W581)="末",0,IF(DAY($X581)&lt;=INDEX('得意先'!$D$5:$D$104,$W581),0,1))+N(INDEX('得意先'!$E$5:$E$104,$W581)))+1,0)))))))</f>
        <v/>
      </c>
      <c r="N581" s="26" t="n"/>
      <c r="O581" s="29">
        <f>IF($A581="","",IF(ISNUMBER($N581),$N581,$M581))</f>
        <v/>
      </c>
      <c r="P581" s="28">
        <f>IF($A581="","",SUMIF('入金消込'!$F$5:$F$1004,$A581,'入金消込'!$G$5:$G$1004))</f>
        <v/>
      </c>
      <c r="Q581" s="28">
        <f>IF($A581="","",SUMIF('入金消込'!$F$5:$F$1004,$A581,'入金消込'!$H$5:$H$1004)+SUMIF('入金消込'!$F$5:$F$1004,$A581,'入金消込'!$I$5:$I$1004))</f>
        <v/>
      </c>
      <c r="R581" s="28">
        <f>IF($A581="","",$L581-$P581-$Q581)</f>
        <v/>
      </c>
      <c r="S581" s="30">
        <f>IF($A581="","",IF($R581=0,IF($L581=0,"請求額0","回収済"),IF($L581&lt;0,IF($R581&lt;0,"差し引き待ち","差し引きすぎ"),IF($R581&lt;0,"入金が多い",IF($P581+$Q581=0,"未入金","一部入金")))))</f>
        <v/>
      </c>
      <c r="T581" s="31">
        <f>IF(OR($A581="",N($R581)&lt;=0,NOT(ISNUMBER($O581))),"",IF($O581&lt;'設定'!$B$7,'設定'!$B$7-$O581,""))</f>
        <v/>
      </c>
      <c r="U581" s="30">
        <f>IF(OR($A581="",N($R581)&lt;=0),"",IF(NOT(ISNUMBER($O581)),'設定'!$B$22,IF($O581&gt;='設定'!$B$7,'設定'!$B$17,IF('設定'!$B$7-$O581&lt;='設定'!$B$12,'設定'!$B$18,IF('設定'!$B$7-$O581&lt;='設定'!$B$13,'設定'!$B$19,IF('設定'!$B$7-$O581&lt;='設定'!$B$14,'設定'!$B$20,'設定'!$B$21))))))</f>
        <v/>
      </c>
      <c r="V581" s="56" t="n"/>
      <c r="W581" s="32">
        <f>IF($C581="","",IFERROR(MATCH($C581,'得意先'!$B$5:$B$104,0),"なし"))</f>
        <v/>
      </c>
      <c r="X581" s="33">
        <f>IF($A581="","",IF(ISNUMBER($E581),$E581,IF(ISNUMBER($B581),$B581,"")))</f>
        <v/>
      </c>
      <c r="Y581" s="34">
        <f>IF($T581="","",$O581+ROW()/1000000)</f>
        <v/>
      </c>
      <c r="Z581" s="35">
        <f>IF(OR($A581="",$C581="",$C581&lt;&gt;'売掛帳'!$B$3,NOT(ISNUMBER($X581))),"",IF(AND($X581&gt;='売掛帳'!$Q$3,$X581&lt;='売掛帳'!$Q$4),$X581+ROW()/10000000,""))</f>
        <v/>
      </c>
    </row>
    <row r="582" ht="18" customHeight="1">
      <c r="A582" s="18" t="n"/>
      <c r="B582" s="26" t="n"/>
      <c r="C582" s="18" t="n"/>
      <c r="D582" s="20">
        <f>IF($W582="","",IF($W582="なし","※得意先にないコード",INDEX('得意先'!$C$5:$C$104,$W582)&amp;""))</f>
        <v/>
      </c>
      <c r="E582" s="26" t="n"/>
      <c r="F582" s="19" t="n"/>
      <c r="G582" s="27" t="n"/>
      <c r="H582" s="27" t="n"/>
      <c r="I582" s="27" t="n"/>
      <c r="J582" s="28">
        <f>IF($A582="","",IF('設定'!$B$10="四捨五入",ROUND(IF('設定'!$B$9="税込",N($G582)*10/110,N($G582)*10/100),0),IF('設定'!$B$10="切り上げ",ROUNDUP(IF('設定'!$B$9="税込",N($G582)*10/110,N($G582)*10/100),0),ROUNDDOWN(IF('設定'!$B$9="税込",N($G582)*10/110,N($G582)*10/100),0))))</f>
        <v/>
      </c>
      <c r="K582" s="28">
        <f>IF($A582="","",IF('設定'!$B$10="四捨五入",ROUND(IF('設定'!$B$9="税込",N($H582)*8/108,N($H582)*8/100),0),IF('設定'!$B$10="切り上げ",ROUNDUP(IF('設定'!$B$9="税込",N($H582)*8/108,N($H582)*8/100),0),ROUNDDOWN(IF('設定'!$B$9="税込",N($H582)*8/108,N($H582)*8/100),0))))</f>
        <v/>
      </c>
      <c r="L582" s="28">
        <f>IF($A582="","",N($G582)+N($H582)+N($I582)+IF('設定'!$B$9="税込",0,$J582+$K582))</f>
        <v/>
      </c>
      <c r="M582" s="29">
        <f>IF(OR($A582="",NOT(ISNUMBER($W582)),NOT(ISNUMBER($X582))),"",IF(OR(INDEX('得意先'!$D$5:$D$104,$W582)="",INDEX('得意先'!$E$5:$E$104,$W582)="",INDEX('得意先'!$F$5:$F$104,$W582)=""),"",IF(INDEX('得意先'!$F$5:$F$104,$W582)="末",DATE(YEAR($X582),(MONTH($X582)+IF(INDEX('得意先'!$D$5:$D$104,$W582)="末",0,IF(DAY($X582)&lt;=INDEX('得意先'!$D$5:$D$104,$W582),0,1))+N(INDEX('得意先'!$E$5:$E$104,$W582)))+1,0),DATE(YEAR($X582),(MONTH($X582)+IF(INDEX('得意先'!$D$5:$D$104,$W582)="末",0,IF(DAY($X582)&lt;=INDEX('得意先'!$D$5:$D$104,$W582),0,1))+N(INDEX('得意先'!$E$5:$E$104,$W582))),MIN(INDEX('得意先'!$F$5:$F$104,$W582),DAY(DATE(YEAR($X582),(MONTH($X582)+IF(INDEX('得意先'!$D$5:$D$104,$W582)="末",0,IF(DAY($X582)&lt;=INDEX('得意先'!$D$5:$D$104,$W582),0,1))+N(INDEX('得意先'!$E$5:$E$104,$W582)))+1,0)))))))</f>
        <v/>
      </c>
      <c r="N582" s="26" t="n"/>
      <c r="O582" s="29">
        <f>IF($A582="","",IF(ISNUMBER($N582),$N582,$M582))</f>
        <v/>
      </c>
      <c r="P582" s="28">
        <f>IF($A582="","",SUMIF('入金消込'!$F$5:$F$1004,$A582,'入金消込'!$G$5:$G$1004))</f>
        <v/>
      </c>
      <c r="Q582" s="28">
        <f>IF($A582="","",SUMIF('入金消込'!$F$5:$F$1004,$A582,'入金消込'!$H$5:$H$1004)+SUMIF('入金消込'!$F$5:$F$1004,$A582,'入金消込'!$I$5:$I$1004))</f>
        <v/>
      </c>
      <c r="R582" s="28">
        <f>IF($A582="","",$L582-$P582-$Q582)</f>
        <v/>
      </c>
      <c r="S582" s="30">
        <f>IF($A582="","",IF($R582=0,IF($L582=0,"請求額0","回収済"),IF($L582&lt;0,IF($R582&lt;0,"差し引き待ち","差し引きすぎ"),IF($R582&lt;0,"入金が多い",IF($P582+$Q582=0,"未入金","一部入金")))))</f>
        <v/>
      </c>
      <c r="T582" s="31">
        <f>IF(OR($A582="",N($R582)&lt;=0,NOT(ISNUMBER($O582))),"",IF($O582&lt;'設定'!$B$7,'設定'!$B$7-$O582,""))</f>
        <v/>
      </c>
      <c r="U582" s="30">
        <f>IF(OR($A582="",N($R582)&lt;=0),"",IF(NOT(ISNUMBER($O582)),'設定'!$B$22,IF($O582&gt;='設定'!$B$7,'設定'!$B$17,IF('設定'!$B$7-$O582&lt;='設定'!$B$12,'設定'!$B$18,IF('設定'!$B$7-$O582&lt;='設定'!$B$13,'設定'!$B$19,IF('設定'!$B$7-$O582&lt;='設定'!$B$14,'設定'!$B$20,'設定'!$B$21))))))</f>
        <v/>
      </c>
      <c r="V582" s="56" t="n"/>
      <c r="W582" s="32">
        <f>IF($C582="","",IFERROR(MATCH($C582,'得意先'!$B$5:$B$104,0),"なし"))</f>
        <v/>
      </c>
      <c r="X582" s="33">
        <f>IF($A582="","",IF(ISNUMBER($E582),$E582,IF(ISNUMBER($B582),$B582,"")))</f>
        <v/>
      </c>
      <c r="Y582" s="34">
        <f>IF($T582="","",$O582+ROW()/1000000)</f>
        <v/>
      </c>
      <c r="Z582" s="35">
        <f>IF(OR($A582="",$C582="",$C582&lt;&gt;'売掛帳'!$B$3,NOT(ISNUMBER($X582))),"",IF(AND($X582&gt;='売掛帳'!$Q$3,$X582&lt;='売掛帳'!$Q$4),$X582+ROW()/10000000,""))</f>
        <v/>
      </c>
    </row>
    <row r="583" ht="18" customHeight="1">
      <c r="A583" s="18" t="n"/>
      <c r="B583" s="26" t="n"/>
      <c r="C583" s="18" t="n"/>
      <c r="D583" s="20">
        <f>IF($W583="","",IF($W583="なし","※得意先にないコード",INDEX('得意先'!$C$5:$C$104,$W583)&amp;""))</f>
        <v/>
      </c>
      <c r="E583" s="26" t="n"/>
      <c r="F583" s="19" t="n"/>
      <c r="G583" s="27" t="n"/>
      <c r="H583" s="27" t="n"/>
      <c r="I583" s="27" t="n"/>
      <c r="J583" s="28">
        <f>IF($A583="","",IF('設定'!$B$10="四捨五入",ROUND(IF('設定'!$B$9="税込",N($G583)*10/110,N($G583)*10/100),0),IF('設定'!$B$10="切り上げ",ROUNDUP(IF('設定'!$B$9="税込",N($G583)*10/110,N($G583)*10/100),0),ROUNDDOWN(IF('設定'!$B$9="税込",N($G583)*10/110,N($G583)*10/100),0))))</f>
        <v/>
      </c>
      <c r="K583" s="28">
        <f>IF($A583="","",IF('設定'!$B$10="四捨五入",ROUND(IF('設定'!$B$9="税込",N($H583)*8/108,N($H583)*8/100),0),IF('設定'!$B$10="切り上げ",ROUNDUP(IF('設定'!$B$9="税込",N($H583)*8/108,N($H583)*8/100),0),ROUNDDOWN(IF('設定'!$B$9="税込",N($H583)*8/108,N($H583)*8/100),0))))</f>
        <v/>
      </c>
      <c r="L583" s="28">
        <f>IF($A583="","",N($G583)+N($H583)+N($I583)+IF('設定'!$B$9="税込",0,$J583+$K583))</f>
        <v/>
      </c>
      <c r="M583" s="29">
        <f>IF(OR($A583="",NOT(ISNUMBER($W583)),NOT(ISNUMBER($X583))),"",IF(OR(INDEX('得意先'!$D$5:$D$104,$W583)="",INDEX('得意先'!$E$5:$E$104,$W583)="",INDEX('得意先'!$F$5:$F$104,$W583)=""),"",IF(INDEX('得意先'!$F$5:$F$104,$W583)="末",DATE(YEAR($X583),(MONTH($X583)+IF(INDEX('得意先'!$D$5:$D$104,$W583)="末",0,IF(DAY($X583)&lt;=INDEX('得意先'!$D$5:$D$104,$W583),0,1))+N(INDEX('得意先'!$E$5:$E$104,$W583)))+1,0),DATE(YEAR($X583),(MONTH($X583)+IF(INDEX('得意先'!$D$5:$D$104,$W583)="末",0,IF(DAY($X583)&lt;=INDEX('得意先'!$D$5:$D$104,$W583),0,1))+N(INDEX('得意先'!$E$5:$E$104,$W583))),MIN(INDEX('得意先'!$F$5:$F$104,$W583),DAY(DATE(YEAR($X583),(MONTH($X583)+IF(INDEX('得意先'!$D$5:$D$104,$W583)="末",0,IF(DAY($X583)&lt;=INDEX('得意先'!$D$5:$D$104,$W583),0,1))+N(INDEX('得意先'!$E$5:$E$104,$W583)))+1,0)))))))</f>
        <v/>
      </c>
      <c r="N583" s="26" t="n"/>
      <c r="O583" s="29">
        <f>IF($A583="","",IF(ISNUMBER($N583),$N583,$M583))</f>
        <v/>
      </c>
      <c r="P583" s="28">
        <f>IF($A583="","",SUMIF('入金消込'!$F$5:$F$1004,$A583,'入金消込'!$G$5:$G$1004))</f>
        <v/>
      </c>
      <c r="Q583" s="28">
        <f>IF($A583="","",SUMIF('入金消込'!$F$5:$F$1004,$A583,'入金消込'!$H$5:$H$1004)+SUMIF('入金消込'!$F$5:$F$1004,$A583,'入金消込'!$I$5:$I$1004))</f>
        <v/>
      </c>
      <c r="R583" s="28">
        <f>IF($A583="","",$L583-$P583-$Q583)</f>
        <v/>
      </c>
      <c r="S583" s="30">
        <f>IF($A583="","",IF($R583=0,IF($L583=0,"請求額0","回収済"),IF($L583&lt;0,IF($R583&lt;0,"差し引き待ち","差し引きすぎ"),IF($R583&lt;0,"入金が多い",IF($P583+$Q583=0,"未入金","一部入金")))))</f>
        <v/>
      </c>
      <c r="T583" s="31">
        <f>IF(OR($A583="",N($R583)&lt;=0,NOT(ISNUMBER($O583))),"",IF($O583&lt;'設定'!$B$7,'設定'!$B$7-$O583,""))</f>
        <v/>
      </c>
      <c r="U583" s="30">
        <f>IF(OR($A583="",N($R583)&lt;=0),"",IF(NOT(ISNUMBER($O583)),'設定'!$B$22,IF($O583&gt;='設定'!$B$7,'設定'!$B$17,IF('設定'!$B$7-$O583&lt;='設定'!$B$12,'設定'!$B$18,IF('設定'!$B$7-$O583&lt;='設定'!$B$13,'設定'!$B$19,IF('設定'!$B$7-$O583&lt;='設定'!$B$14,'設定'!$B$20,'設定'!$B$21))))))</f>
        <v/>
      </c>
      <c r="V583" s="56" t="n"/>
      <c r="W583" s="32">
        <f>IF($C583="","",IFERROR(MATCH($C583,'得意先'!$B$5:$B$104,0),"なし"))</f>
        <v/>
      </c>
      <c r="X583" s="33">
        <f>IF($A583="","",IF(ISNUMBER($E583),$E583,IF(ISNUMBER($B583),$B583,"")))</f>
        <v/>
      </c>
      <c r="Y583" s="34">
        <f>IF($T583="","",$O583+ROW()/1000000)</f>
        <v/>
      </c>
      <c r="Z583" s="35">
        <f>IF(OR($A583="",$C583="",$C583&lt;&gt;'売掛帳'!$B$3,NOT(ISNUMBER($X583))),"",IF(AND($X583&gt;='売掛帳'!$Q$3,$X583&lt;='売掛帳'!$Q$4),$X583+ROW()/10000000,""))</f>
        <v/>
      </c>
    </row>
    <row r="584" ht="18" customHeight="1">
      <c r="A584" s="18" t="n"/>
      <c r="B584" s="26" t="n"/>
      <c r="C584" s="18" t="n"/>
      <c r="D584" s="20">
        <f>IF($W584="","",IF($W584="なし","※得意先にないコード",INDEX('得意先'!$C$5:$C$104,$W584)&amp;""))</f>
        <v/>
      </c>
      <c r="E584" s="26" t="n"/>
      <c r="F584" s="19" t="n"/>
      <c r="G584" s="27" t="n"/>
      <c r="H584" s="27" t="n"/>
      <c r="I584" s="27" t="n"/>
      <c r="J584" s="28">
        <f>IF($A584="","",IF('設定'!$B$10="四捨五入",ROUND(IF('設定'!$B$9="税込",N($G584)*10/110,N($G584)*10/100),0),IF('設定'!$B$10="切り上げ",ROUNDUP(IF('設定'!$B$9="税込",N($G584)*10/110,N($G584)*10/100),0),ROUNDDOWN(IF('設定'!$B$9="税込",N($G584)*10/110,N($G584)*10/100),0))))</f>
        <v/>
      </c>
      <c r="K584" s="28">
        <f>IF($A584="","",IF('設定'!$B$10="四捨五入",ROUND(IF('設定'!$B$9="税込",N($H584)*8/108,N($H584)*8/100),0),IF('設定'!$B$10="切り上げ",ROUNDUP(IF('設定'!$B$9="税込",N($H584)*8/108,N($H584)*8/100),0),ROUNDDOWN(IF('設定'!$B$9="税込",N($H584)*8/108,N($H584)*8/100),0))))</f>
        <v/>
      </c>
      <c r="L584" s="28">
        <f>IF($A584="","",N($G584)+N($H584)+N($I584)+IF('設定'!$B$9="税込",0,$J584+$K584))</f>
        <v/>
      </c>
      <c r="M584" s="29">
        <f>IF(OR($A584="",NOT(ISNUMBER($W584)),NOT(ISNUMBER($X584))),"",IF(OR(INDEX('得意先'!$D$5:$D$104,$W584)="",INDEX('得意先'!$E$5:$E$104,$W584)="",INDEX('得意先'!$F$5:$F$104,$W584)=""),"",IF(INDEX('得意先'!$F$5:$F$104,$W584)="末",DATE(YEAR($X584),(MONTH($X584)+IF(INDEX('得意先'!$D$5:$D$104,$W584)="末",0,IF(DAY($X584)&lt;=INDEX('得意先'!$D$5:$D$104,$W584),0,1))+N(INDEX('得意先'!$E$5:$E$104,$W584)))+1,0),DATE(YEAR($X584),(MONTH($X584)+IF(INDEX('得意先'!$D$5:$D$104,$W584)="末",0,IF(DAY($X584)&lt;=INDEX('得意先'!$D$5:$D$104,$W584),0,1))+N(INDEX('得意先'!$E$5:$E$104,$W584))),MIN(INDEX('得意先'!$F$5:$F$104,$W584),DAY(DATE(YEAR($X584),(MONTH($X584)+IF(INDEX('得意先'!$D$5:$D$104,$W584)="末",0,IF(DAY($X584)&lt;=INDEX('得意先'!$D$5:$D$104,$W584),0,1))+N(INDEX('得意先'!$E$5:$E$104,$W584)))+1,0)))))))</f>
        <v/>
      </c>
      <c r="N584" s="26" t="n"/>
      <c r="O584" s="29">
        <f>IF($A584="","",IF(ISNUMBER($N584),$N584,$M584))</f>
        <v/>
      </c>
      <c r="P584" s="28">
        <f>IF($A584="","",SUMIF('入金消込'!$F$5:$F$1004,$A584,'入金消込'!$G$5:$G$1004))</f>
        <v/>
      </c>
      <c r="Q584" s="28">
        <f>IF($A584="","",SUMIF('入金消込'!$F$5:$F$1004,$A584,'入金消込'!$H$5:$H$1004)+SUMIF('入金消込'!$F$5:$F$1004,$A584,'入金消込'!$I$5:$I$1004))</f>
        <v/>
      </c>
      <c r="R584" s="28">
        <f>IF($A584="","",$L584-$P584-$Q584)</f>
        <v/>
      </c>
      <c r="S584" s="30">
        <f>IF($A584="","",IF($R584=0,IF($L584=0,"請求額0","回収済"),IF($L584&lt;0,IF($R584&lt;0,"差し引き待ち","差し引きすぎ"),IF($R584&lt;0,"入金が多い",IF($P584+$Q584=0,"未入金","一部入金")))))</f>
        <v/>
      </c>
      <c r="T584" s="31">
        <f>IF(OR($A584="",N($R584)&lt;=0,NOT(ISNUMBER($O584))),"",IF($O584&lt;'設定'!$B$7,'設定'!$B$7-$O584,""))</f>
        <v/>
      </c>
      <c r="U584" s="30">
        <f>IF(OR($A584="",N($R584)&lt;=0),"",IF(NOT(ISNUMBER($O584)),'設定'!$B$22,IF($O584&gt;='設定'!$B$7,'設定'!$B$17,IF('設定'!$B$7-$O584&lt;='設定'!$B$12,'設定'!$B$18,IF('設定'!$B$7-$O584&lt;='設定'!$B$13,'設定'!$B$19,IF('設定'!$B$7-$O584&lt;='設定'!$B$14,'設定'!$B$20,'設定'!$B$21))))))</f>
        <v/>
      </c>
      <c r="V584" s="56" t="n"/>
      <c r="W584" s="32">
        <f>IF($C584="","",IFERROR(MATCH($C584,'得意先'!$B$5:$B$104,0),"なし"))</f>
        <v/>
      </c>
      <c r="X584" s="33">
        <f>IF($A584="","",IF(ISNUMBER($E584),$E584,IF(ISNUMBER($B584),$B584,"")))</f>
        <v/>
      </c>
      <c r="Y584" s="34">
        <f>IF($T584="","",$O584+ROW()/1000000)</f>
        <v/>
      </c>
      <c r="Z584" s="35">
        <f>IF(OR($A584="",$C584="",$C584&lt;&gt;'売掛帳'!$B$3,NOT(ISNUMBER($X584))),"",IF(AND($X584&gt;='売掛帳'!$Q$3,$X584&lt;='売掛帳'!$Q$4),$X584+ROW()/10000000,""))</f>
        <v/>
      </c>
    </row>
    <row r="585" ht="18" customHeight="1">
      <c r="A585" s="18" t="n"/>
      <c r="B585" s="26" t="n"/>
      <c r="C585" s="18" t="n"/>
      <c r="D585" s="20">
        <f>IF($W585="","",IF($W585="なし","※得意先にないコード",INDEX('得意先'!$C$5:$C$104,$W585)&amp;""))</f>
        <v/>
      </c>
      <c r="E585" s="26" t="n"/>
      <c r="F585" s="19" t="n"/>
      <c r="G585" s="27" t="n"/>
      <c r="H585" s="27" t="n"/>
      <c r="I585" s="27" t="n"/>
      <c r="J585" s="28">
        <f>IF($A585="","",IF('設定'!$B$10="四捨五入",ROUND(IF('設定'!$B$9="税込",N($G585)*10/110,N($G585)*10/100),0),IF('設定'!$B$10="切り上げ",ROUNDUP(IF('設定'!$B$9="税込",N($G585)*10/110,N($G585)*10/100),0),ROUNDDOWN(IF('設定'!$B$9="税込",N($G585)*10/110,N($G585)*10/100),0))))</f>
        <v/>
      </c>
      <c r="K585" s="28">
        <f>IF($A585="","",IF('設定'!$B$10="四捨五入",ROUND(IF('設定'!$B$9="税込",N($H585)*8/108,N($H585)*8/100),0),IF('設定'!$B$10="切り上げ",ROUNDUP(IF('設定'!$B$9="税込",N($H585)*8/108,N($H585)*8/100),0),ROUNDDOWN(IF('設定'!$B$9="税込",N($H585)*8/108,N($H585)*8/100),0))))</f>
        <v/>
      </c>
      <c r="L585" s="28">
        <f>IF($A585="","",N($G585)+N($H585)+N($I585)+IF('設定'!$B$9="税込",0,$J585+$K585))</f>
        <v/>
      </c>
      <c r="M585" s="29">
        <f>IF(OR($A585="",NOT(ISNUMBER($W585)),NOT(ISNUMBER($X585))),"",IF(OR(INDEX('得意先'!$D$5:$D$104,$W585)="",INDEX('得意先'!$E$5:$E$104,$W585)="",INDEX('得意先'!$F$5:$F$104,$W585)=""),"",IF(INDEX('得意先'!$F$5:$F$104,$W585)="末",DATE(YEAR($X585),(MONTH($X585)+IF(INDEX('得意先'!$D$5:$D$104,$W585)="末",0,IF(DAY($X585)&lt;=INDEX('得意先'!$D$5:$D$104,$W585),0,1))+N(INDEX('得意先'!$E$5:$E$104,$W585)))+1,0),DATE(YEAR($X585),(MONTH($X585)+IF(INDEX('得意先'!$D$5:$D$104,$W585)="末",0,IF(DAY($X585)&lt;=INDEX('得意先'!$D$5:$D$104,$W585),0,1))+N(INDEX('得意先'!$E$5:$E$104,$W585))),MIN(INDEX('得意先'!$F$5:$F$104,$W585),DAY(DATE(YEAR($X585),(MONTH($X585)+IF(INDEX('得意先'!$D$5:$D$104,$W585)="末",0,IF(DAY($X585)&lt;=INDEX('得意先'!$D$5:$D$104,$W585),0,1))+N(INDEX('得意先'!$E$5:$E$104,$W585)))+1,0)))))))</f>
        <v/>
      </c>
      <c r="N585" s="26" t="n"/>
      <c r="O585" s="29">
        <f>IF($A585="","",IF(ISNUMBER($N585),$N585,$M585))</f>
        <v/>
      </c>
      <c r="P585" s="28">
        <f>IF($A585="","",SUMIF('入金消込'!$F$5:$F$1004,$A585,'入金消込'!$G$5:$G$1004))</f>
        <v/>
      </c>
      <c r="Q585" s="28">
        <f>IF($A585="","",SUMIF('入金消込'!$F$5:$F$1004,$A585,'入金消込'!$H$5:$H$1004)+SUMIF('入金消込'!$F$5:$F$1004,$A585,'入金消込'!$I$5:$I$1004))</f>
        <v/>
      </c>
      <c r="R585" s="28">
        <f>IF($A585="","",$L585-$P585-$Q585)</f>
        <v/>
      </c>
      <c r="S585" s="30">
        <f>IF($A585="","",IF($R585=0,IF($L585=0,"請求額0","回収済"),IF($L585&lt;0,IF($R585&lt;0,"差し引き待ち","差し引きすぎ"),IF($R585&lt;0,"入金が多い",IF($P585+$Q585=0,"未入金","一部入金")))))</f>
        <v/>
      </c>
      <c r="T585" s="31">
        <f>IF(OR($A585="",N($R585)&lt;=0,NOT(ISNUMBER($O585))),"",IF($O585&lt;'設定'!$B$7,'設定'!$B$7-$O585,""))</f>
        <v/>
      </c>
      <c r="U585" s="30">
        <f>IF(OR($A585="",N($R585)&lt;=0),"",IF(NOT(ISNUMBER($O585)),'設定'!$B$22,IF($O585&gt;='設定'!$B$7,'設定'!$B$17,IF('設定'!$B$7-$O585&lt;='設定'!$B$12,'設定'!$B$18,IF('設定'!$B$7-$O585&lt;='設定'!$B$13,'設定'!$B$19,IF('設定'!$B$7-$O585&lt;='設定'!$B$14,'設定'!$B$20,'設定'!$B$21))))))</f>
        <v/>
      </c>
      <c r="V585" s="56" t="n"/>
      <c r="W585" s="32">
        <f>IF($C585="","",IFERROR(MATCH($C585,'得意先'!$B$5:$B$104,0),"なし"))</f>
        <v/>
      </c>
      <c r="X585" s="33">
        <f>IF($A585="","",IF(ISNUMBER($E585),$E585,IF(ISNUMBER($B585),$B585,"")))</f>
        <v/>
      </c>
      <c r="Y585" s="34">
        <f>IF($T585="","",$O585+ROW()/1000000)</f>
        <v/>
      </c>
      <c r="Z585" s="35">
        <f>IF(OR($A585="",$C585="",$C585&lt;&gt;'売掛帳'!$B$3,NOT(ISNUMBER($X585))),"",IF(AND($X585&gt;='売掛帳'!$Q$3,$X585&lt;='売掛帳'!$Q$4),$X585+ROW()/10000000,""))</f>
        <v/>
      </c>
    </row>
    <row r="586" ht="18" customHeight="1">
      <c r="A586" s="18" t="n"/>
      <c r="B586" s="26" t="n"/>
      <c r="C586" s="18" t="n"/>
      <c r="D586" s="20">
        <f>IF($W586="","",IF($W586="なし","※得意先にないコード",INDEX('得意先'!$C$5:$C$104,$W586)&amp;""))</f>
        <v/>
      </c>
      <c r="E586" s="26" t="n"/>
      <c r="F586" s="19" t="n"/>
      <c r="G586" s="27" t="n"/>
      <c r="H586" s="27" t="n"/>
      <c r="I586" s="27" t="n"/>
      <c r="J586" s="28">
        <f>IF($A586="","",IF('設定'!$B$10="四捨五入",ROUND(IF('設定'!$B$9="税込",N($G586)*10/110,N($G586)*10/100),0),IF('設定'!$B$10="切り上げ",ROUNDUP(IF('設定'!$B$9="税込",N($G586)*10/110,N($G586)*10/100),0),ROUNDDOWN(IF('設定'!$B$9="税込",N($G586)*10/110,N($G586)*10/100),0))))</f>
        <v/>
      </c>
      <c r="K586" s="28">
        <f>IF($A586="","",IF('設定'!$B$10="四捨五入",ROUND(IF('設定'!$B$9="税込",N($H586)*8/108,N($H586)*8/100),0),IF('設定'!$B$10="切り上げ",ROUNDUP(IF('設定'!$B$9="税込",N($H586)*8/108,N($H586)*8/100),0),ROUNDDOWN(IF('設定'!$B$9="税込",N($H586)*8/108,N($H586)*8/100),0))))</f>
        <v/>
      </c>
      <c r="L586" s="28">
        <f>IF($A586="","",N($G586)+N($H586)+N($I586)+IF('設定'!$B$9="税込",0,$J586+$K586))</f>
        <v/>
      </c>
      <c r="M586" s="29">
        <f>IF(OR($A586="",NOT(ISNUMBER($W586)),NOT(ISNUMBER($X586))),"",IF(OR(INDEX('得意先'!$D$5:$D$104,$W586)="",INDEX('得意先'!$E$5:$E$104,$W586)="",INDEX('得意先'!$F$5:$F$104,$W586)=""),"",IF(INDEX('得意先'!$F$5:$F$104,$W586)="末",DATE(YEAR($X586),(MONTH($X586)+IF(INDEX('得意先'!$D$5:$D$104,$W586)="末",0,IF(DAY($X586)&lt;=INDEX('得意先'!$D$5:$D$104,$W586),0,1))+N(INDEX('得意先'!$E$5:$E$104,$W586)))+1,0),DATE(YEAR($X586),(MONTH($X586)+IF(INDEX('得意先'!$D$5:$D$104,$W586)="末",0,IF(DAY($X586)&lt;=INDEX('得意先'!$D$5:$D$104,$W586),0,1))+N(INDEX('得意先'!$E$5:$E$104,$W586))),MIN(INDEX('得意先'!$F$5:$F$104,$W586),DAY(DATE(YEAR($X586),(MONTH($X586)+IF(INDEX('得意先'!$D$5:$D$104,$W586)="末",0,IF(DAY($X586)&lt;=INDEX('得意先'!$D$5:$D$104,$W586),0,1))+N(INDEX('得意先'!$E$5:$E$104,$W586)))+1,0)))))))</f>
        <v/>
      </c>
      <c r="N586" s="26" t="n"/>
      <c r="O586" s="29">
        <f>IF($A586="","",IF(ISNUMBER($N586),$N586,$M586))</f>
        <v/>
      </c>
      <c r="P586" s="28">
        <f>IF($A586="","",SUMIF('入金消込'!$F$5:$F$1004,$A586,'入金消込'!$G$5:$G$1004))</f>
        <v/>
      </c>
      <c r="Q586" s="28">
        <f>IF($A586="","",SUMIF('入金消込'!$F$5:$F$1004,$A586,'入金消込'!$H$5:$H$1004)+SUMIF('入金消込'!$F$5:$F$1004,$A586,'入金消込'!$I$5:$I$1004))</f>
        <v/>
      </c>
      <c r="R586" s="28">
        <f>IF($A586="","",$L586-$P586-$Q586)</f>
        <v/>
      </c>
      <c r="S586" s="30">
        <f>IF($A586="","",IF($R586=0,IF($L586=0,"請求額0","回収済"),IF($L586&lt;0,IF($R586&lt;0,"差し引き待ち","差し引きすぎ"),IF($R586&lt;0,"入金が多い",IF($P586+$Q586=0,"未入金","一部入金")))))</f>
        <v/>
      </c>
      <c r="T586" s="31">
        <f>IF(OR($A586="",N($R586)&lt;=0,NOT(ISNUMBER($O586))),"",IF($O586&lt;'設定'!$B$7,'設定'!$B$7-$O586,""))</f>
        <v/>
      </c>
      <c r="U586" s="30">
        <f>IF(OR($A586="",N($R586)&lt;=0),"",IF(NOT(ISNUMBER($O586)),'設定'!$B$22,IF($O586&gt;='設定'!$B$7,'設定'!$B$17,IF('設定'!$B$7-$O586&lt;='設定'!$B$12,'設定'!$B$18,IF('設定'!$B$7-$O586&lt;='設定'!$B$13,'設定'!$B$19,IF('設定'!$B$7-$O586&lt;='設定'!$B$14,'設定'!$B$20,'設定'!$B$21))))))</f>
        <v/>
      </c>
      <c r="V586" s="56" t="n"/>
      <c r="W586" s="32">
        <f>IF($C586="","",IFERROR(MATCH($C586,'得意先'!$B$5:$B$104,0),"なし"))</f>
        <v/>
      </c>
      <c r="X586" s="33">
        <f>IF($A586="","",IF(ISNUMBER($E586),$E586,IF(ISNUMBER($B586),$B586,"")))</f>
        <v/>
      </c>
      <c r="Y586" s="34">
        <f>IF($T586="","",$O586+ROW()/1000000)</f>
        <v/>
      </c>
      <c r="Z586" s="35">
        <f>IF(OR($A586="",$C586="",$C586&lt;&gt;'売掛帳'!$B$3,NOT(ISNUMBER($X586))),"",IF(AND($X586&gt;='売掛帳'!$Q$3,$X586&lt;='売掛帳'!$Q$4),$X586+ROW()/10000000,""))</f>
        <v/>
      </c>
    </row>
    <row r="587" ht="18" customHeight="1">
      <c r="A587" s="18" t="n"/>
      <c r="B587" s="26" t="n"/>
      <c r="C587" s="18" t="n"/>
      <c r="D587" s="20">
        <f>IF($W587="","",IF($W587="なし","※得意先にないコード",INDEX('得意先'!$C$5:$C$104,$W587)&amp;""))</f>
        <v/>
      </c>
      <c r="E587" s="26" t="n"/>
      <c r="F587" s="19" t="n"/>
      <c r="G587" s="27" t="n"/>
      <c r="H587" s="27" t="n"/>
      <c r="I587" s="27" t="n"/>
      <c r="J587" s="28">
        <f>IF($A587="","",IF('設定'!$B$10="四捨五入",ROUND(IF('設定'!$B$9="税込",N($G587)*10/110,N($G587)*10/100),0),IF('設定'!$B$10="切り上げ",ROUNDUP(IF('設定'!$B$9="税込",N($G587)*10/110,N($G587)*10/100),0),ROUNDDOWN(IF('設定'!$B$9="税込",N($G587)*10/110,N($G587)*10/100),0))))</f>
        <v/>
      </c>
      <c r="K587" s="28">
        <f>IF($A587="","",IF('設定'!$B$10="四捨五入",ROUND(IF('設定'!$B$9="税込",N($H587)*8/108,N($H587)*8/100),0),IF('設定'!$B$10="切り上げ",ROUNDUP(IF('設定'!$B$9="税込",N($H587)*8/108,N($H587)*8/100),0),ROUNDDOWN(IF('設定'!$B$9="税込",N($H587)*8/108,N($H587)*8/100),0))))</f>
        <v/>
      </c>
      <c r="L587" s="28">
        <f>IF($A587="","",N($G587)+N($H587)+N($I587)+IF('設定'!$B$9="税込",0,$J587+$K587))</f>
        <v/>
      </c>
      <c r="M587" s="29">
        <f>IF(OR($A587="",NOT(ISNUMBER($W587)),NOT(ISNUMBER($X587))),"",IF(OR(INDEX('得意先'!$D$5:$D$104,$W587)="",INDEX('得意先'!$E$5:$E$104,$W587)="",INDEX('得意先'!$F$5:$F$104,$W587)=""),"",IF(INDEX('得意先'!$F$5:$F$104,$W587)="末",DATE(YEAR($X587),(MONTH($X587)+IF(INDEX('得意先'!$D$5:$D$104,$W587)="末",0,IF(DAY($X587)&lt;=INDEX('得意先'!$D$5:$D$104,$W587),0,1))+N(INDEX('得意先'!$E$5:$E$104,$W587)))+1,0),DATE(YEAR($X587),(MONTH($X587)+IF(INDEX('得意先'!$D$5:$D$104,$W587)="末",0,IF(DAY($X587)&lt;=INDEX('得意先'!$D$5:$D$104,$W587),0,1))+N(INDEX('得意先'!$E$5:$E$104,$W587))),MIN(INDEX('得意先'!$F$5:$F$104,$W587),DAY(DATE(YEAR($X587),(MONTH($X587)+IF(INDEX('得意先'!$D$5:$D$104,$W587)="末",0,IF(DAY($X587)&lt;=INDEX('得意先'!$D$5:$D$104,$W587),0,1))+N(INDEX('得意先'!$E$5:$E$104,$W587)))+1,0)))))))</f>
        <v/>
      </c>
      <c r="N587" s="26" t="n"/>
      <c r="O587" s="29">
        <f>IF($A587="","",IF(ISNUMBER($N587),$N587,$M587))</f>
        <v/>
      </c>
      <c r="P587" s="28">
        <f>IF($A587="","",SUMIF('入金消込'!$F$5:$F$1004,$A587,'入金消込'!$G$5:$G$1004))</f>
        <v/>
      </c>
      <c r="Q587" s="28">
        <f>IF($A587="","",SUMIF('入金消込'!$F$5:$F$1004,$A587,'入金消込'!$H$5:$H$1004)+SUMIF('入金消込'!$F$5:$F$1004,$A587,'入金消込'!$I$5:$I$1004))</f>
        <v/>
      </c>
      <c r="R587" s="28">
        <f>IF($A587="","",$L587-$P587-$Q587)</f>
        <v/>
      </c>
      <c r="S587" s="30">
        <f>IF($A587="","",IF($R587=0,IF($L587=0,"請求額0","回収済"),IF($L587&lt;0,IF($R587&lt;0,"差し引き待ち","差し引きすぎ"),IF($R587&lt;0,"入金が多い",IF($P587+$Q587=0,"未入金","一部入金")))))</f>
        <v/>
      </c>
      <c r="T587" s="31">
        <f>IF(OR($A587="",N($R587)&lt;=0,NOT(ISNUMBER($O587))),"",IF($O587&lt;'設定'!$B$7,'設定'!$B$7-$O587,""))</f>
        <v/>
      </c>
      <c r="U587" s="30">
        <f>IF(OR($A587="",N($R587)&lt;=0),"",IF(NOT(ISNUMBER($O587)),'設定'!$B$22,IF($O587&gt;='設定'!$B$7,'設定'!$B$17,IF('設定'!$B$7-$O587&lt;='設定'!$B$12,'設定'!$B$18,IF('設定'!$B$7-$O587&lt;='設定'!$B$13,'設定'!$B$19,IF('設定'!$B$7-$O587&lt;='設定'!$B$14,'設定'!$B$20,'設定'!$B$21))))))</f>
        <v/>
      </c>
      <c r="V587" s="56" t="n"/>
      <c r="W587" s="32">
        <f>IF($C587="","",IFERROR(MATCH($C587,'得意先'!$B$5:$B$104,0),"なし"))</f>
        <v/>
      </c>
      <c r="X587" s="33">
        <f>IF($A587="","",IF(ISNUMBER($E587),$E587,IF(ISNUMBER($B587),$B587,"")))</f>
        <v/>
      </c>
      <c r="Y587" s="34">
        <f>IF($T587="","",$O587+ROW()/1000000)</f>
        <v/>
      </c>
      <c r="Z587" s="35">
        <f>IF(OR($A587="",$C587="",$C587&lt;&gt;'売掛帳'!$B$3,NOT(ISNUMBER($X587))),"",IF(AND($X587&gt;='売掛帳'!$Q$3,$X587&lt;='売掛帳'!$Q$4),$X587+ROW()/10000000,""))</f>
        <v/>
      </c>
    </row>
    <row r="588" ht="18" customHeight="1">
      <c r="A588" s="18" t="n"/>
      <c r="B588" s="26" t="n"/>
      <c r="C588" s="18" t="n"/>
      <c r="D588" s="20">
        <f>IF($W588="","",IF($W588="なし","※得意先にないコード",INDEX('得意先'!$C$5:$C$104,$W588)&amp;""))</f>
        <v/>
      </c>
      <c r="E588" s="26" t="n"/>
      <c r="F588" s="19" t="n"/>
      <c r="G588" s="27" t="n"/>
      <c r="H588" s="27" t="n"/>
      <c r="I588" s="27" t="n"/>
      <c r="J588" s="28">
        <f>IF($A588="","",IF('設定'!$B$10="四捨五入",ROUND(IF('設定'!$B$9="税込",N($G588)*10/110,N($G588)*10/100),0),IF('設定'!$B$10="切り上げ",ROUNDUP(IF('設定'!$B$9="税込",N($G588)*10/110,N($G588)*10/100),0),ROUNDDOWN(IF('設定'!$B$9="税込",N($G588)*10/110,N($G588)*10/100),0))))</f>
        <v/>
      </c>
      <c r="K588" s="28">
        <f>IF($A588="","",IF('設定'!$B$10="四捨五入",ROUND(IF('設定'!$B$9="税込",N($H588)*8/108,N($H588)*8/100),0),IF('設定'!$B$10="切り上げ",ROUNDUP(IF('設定'!$B$9="税込",N($H588)*8/108,N($H588)*8/100),0),ROUNDDOWN(IF('設定'!$B$9="税込",N($H588)*8/108,N($H588)*8/100),0))))</f>
        <v/>
      </c>
      <c r="L588" s="28">
        <f>IF($A588="","",N($G588)+N($H588)+N($I588)+IF('設定'!$B$9="税込",0,$J588+$K588))</f>
        <v/>
      </c>
      <c r="M588" s="29">
        <f>IF(OR($A588="",NOT(ISNUMBER($W588)),NOT(ISNUMBER($X588))),"",IF(OR(INDEX('得意先'!$D$5:$D$104,$W588)="",INDEX('得意先'!$E$5:$E$104,$W588)="",INDEX('得意先'!$F$5:$F$104,$W588)=""),"",IF(INDEX('得意先'!$F$5:$F$104,$W588)="末",DATE(YEAR($X588),(MONTH($X588)+IF(INDEX('得意先'!$D$5:$D$104,$W588)="末",0,IF(DAY($X588)&lt;=INDEX('得意先'!$D$5:$D$104,$W588),0,1))+N(INDEX('得意先'!$E$5:$E$104,$W588)))+1,0),DATE(YEAR($X588),(MONTH($X588)+IF(INDEX('得意先'!$D$5:$D$104,$W588)="末",0,IF(DAY($X588)&lt;=INDEX('得意先'!$D$5:$D$104,$W588),0,1))+N(INDEX('得意先'!$E$5:$E$104,$W588))),MIN(INDEX('得意先'!$F$5:$F$104,$W588),DAY(DATE(YEAR($X588),(MONTH($X588)+IF(INDEX('得意先'!$D$5:$D$104,$W588)="末",0,IF(DAY($X588)&lt;=INDEX('得意先'!$D$5:$D$104,$W588),0,1))+N(INDEX('得意先'!$E$5:$E$104,$W588)))+1,0)))))))</f>
        <v/>
      </c>
      <c r="N588" s="26" t="n"/>
      <c r="O588" s="29">
        <f>IF($A588="","",IF(ISNUMBER($N588),$N588,$M588))</f>
        <v/>
      </c>
      <c r="P588" s="28">
        <f>IF($A588="","",SUMIF('入金消込'!$F$5:$F$1004,$A588,'入金消込'!$G$5:$G$1004))</f>
        <v/>
      </c>
      <c r="Q588" s="28">
        <f>IF($A588="","",SUMIF('入金消込'!$F$5:$F$1004,$A588,'入金消込'!$H$5:$H$1004)+SUMIF('入金消込'!$F$5:$F$1004,$A588,'入金消込'!$I$5:$I$1004))</f>
        <v/>
      </c>
      <c r="R588" s="28">
        <f>IF($A588="","",$L588-$P588-$Q588)</f>
        <v/>
      </c>
      <c r="S588" s="30">
        <f>IF($A588="","",IF($R588=0,IF($L588=0,"請求額0","回収済"),IF($L588&lt;0,IF($R588&lt;0,"差し引き待ち","差し引きすぎ"),IF($R588&lt;0,"入金が多い",IF($P588+$Q588=0,"未入金","一部入金")))))</f>
        <v/>
      </c>
      <c r="T588" s="31">
        <f>IF(OR($A588="",N($R588)&lt;=0,NOT(ISNUMBER($O588))),"",IF($O588&lt;'設定'!$B$7,'設定'!$B$7-$O588,""))</f>
        <v/>
      </c>
      <c r="U588" s="30">
        <f>IF(OR($A588="",N($R588)&lt;=0),"",IF(NOT(ISNUMBER($O588)),'設定'!$B$22,IF($O588&gt;='設定'!$B$7,'設定'!$B$17,IF('設定'!$B$7-$O588&lt;='設定'!$B$12,'設定'!$B$18,IF('設定'!$B$7-$O588&lt;='設定'!$B$13,'設定'!$B$19,IF('設定'!$B$7-$O588&lt;='設定'!$B$14,'設定'!$B$20,'設定'!$B$21))))))</f>
        <v/>
      </c>
      <c r="V588" s="56" t="n"/>
      <c r="W588" s="32">
        <f>IF($C588="","",IFERROR(MATCH($C588,'得意先'!$B$5:$B$104,0),"なし"))</f>
        <v/>
      </c>
      <c r="X588" s="33">
        <f>IF($A588="","",IF(ISNUMBER($E588),$E588,IF(ISNUMBER($B588),$B588,"")))</f>
        <v/>
      </c>
      <c r="Y588" s="34">
        <f>IF($T588="","",$O588+ROW()/1000000)</f>
        <v/>
      </c>
      <c r="Z588" s="35">
        <f>IF(OR($A588="",$C588="",$C588&lt;&gt;'売掛帳'!$B$3,NOT(ISNUMBER($X588))),"",IF(AND($X588&gt;='売掛帳'!$Q$3,$X588&lt;='売掛帳'!$Q$4),$X588+ROW()/10000000,""))</f>
        <v/>
      </c>
    </row>
    <row r="589" ht="18" customHeight="1">
      <c r="A589" s="18" t="n"/>
      <c r="B589" s="26" t="n"/>
      <c r="C589" s="18" t="n"/>
      <c r="D589" s="20">
        <f>IF($W589="","",IF($W589="なし","※得意先にないコード",INDEX('得意先'!$C$5:$C$104,$W589)&amp;""))</f>
        <v/>
      </c>
      <c r="E589" s="26" t="n"/>
      <c r="F589" s="19" t="n"/>
      <c r="G589" s="27" t="n"/>
      <c r="H589" s="27" t="n"/>
      <c r="I589" s="27" t="n"/>
      <c r="J589" s="28">
        <f>IF($A589="","",IF('設定'!$B$10="四捨五入",ROUND(IF('設定'!$B$9="税込",N($G589)*10/110,N($G589)*10/100),0),IF('設定'!$B$10="切り上げ",ROUNDUP(IF('設定'!$B$9="税込",N($G589)*10/110,N($G589)*10/100),0),ROUNDDOWN(IF('設定'!$B$9="税込",N($G589)*10/110,N($G589)*10/100),0))))</f>
        <v/>
      </c>
      <c r="K589" s="28">
        <f>IF($A589="","",IF('設定'!$B$10="四捨五入",ROUND(IF('設定'!$B$9="税込",N($H589)*8/108,N($H589)*8/100),0),IF('設定'!$B$10="切り上げ",ROUNDUP(IF('設定'!$B$9="税込",N($H589)*8/108,N($H589)*8/100),0),ROUNDDOWN(IF('設定'!$B$9="税込",N($H589)*8/108,N($H589)*8/100),0))))</f>
        <v/>
      </c>
      <c r="L589" s="28">
        <f>IF($A589="","",N($G589)+N($H589)+N($I589)+IF('設定'!$B$9="税込",0,$J589+$K589))</f>
        <v/>
      </c>
      <c r="M589" s="29">
        <f>IF(OR($A589="",NOT(ISNUMBER($W589)),NOT(ISNUMBER($X589))),"",IF(OR(INDEX('得意先'!$D$5:$D$104,$W589)="",INDEX('得意先'!$E$5:$E$104,$W589)="",INDEX('得意先'!$F$5:$F$104,$W589)=""),"",IF(INDEX('得意先'!$F$5:$F$104,$W589)="末",DATE(YEAR($X589),(MONTH($X589)+IF(INDEX('得意先'!$D$5:$D$104,$W589)="末",0,IF(DAY($X589)&lt;=INDEX('得意先'!$D$5:$D$104,$W589),0,1))+N(INDEX('得意先'!$E$5:$E$104,$W589)))+1,0),DATE(YEAR($X589),(MONTH($X589)+IF(INDEX('得意先'!$D$5:$D$104,$W589)="末",0,IF(DAY($X589)&lt;=INDEX('得意先'!$D$5:$D$104,$W589),0,1))+N(INDEX('得意先'!$E$5:$E$104,$W589))),MIN(INDEX('得意先'!$F$5:$F$104,$W589),DAY(DATE(YEAR($X589),(MONTH($X589)+IF(INDEX('得意先'!$D$5:$D$104,$W589)="末",0,IF(DAY($X589)&lt;=INDEX('得意先'!$D$5:$D$104,$W589),0,1))+N(INDEX('得意先'!$E$5:$E$104,$W589)))+1,0)))))))</f>
        <v/>
      </c>
      <c r="N589" s="26" t="n"/>
      <c r="O589" s="29">
        <f>IF($A589="","",IF(ISNUMBER($N589),$N589,$M589))</f>
        <v/>
      </c>
      <c r="P589" s="28">
        <f>IF($A589="","",SUMIF('入金消込'!$F$5:$F$1004,$A589,'入金消込'!$G$5:$G$1004))</f>
        <v/>
      </c>
      <c r="Q589" s="28">
        <f>IF($A589="","",SUMIF('入金消込'!$F$5:$F$1004,$A589,'入金消込'!$H$5:$H$1004)+SUMIF('入金消込'!$F$5:$F$1004,$A589,'入金消込'!$I$5:$I$1004))</f>
        <v/>
      </c>
      <c r="R589" s="28">
        <f>IF($A589="","",$L589-$P589-$Q589)</f>
        <v/>
      </c>
      <c r="S589" s="30">
        <f>IF($A589="","",IF($R589=0,IF($L589=0,"請求額0","回収済"),IF($L589&lt;0,IF($R589&lt;0,"差し引き待ち","差し引きすぎ"),IF($R589&lt;0,"入金が多い",IF($P589+$Q589=0,"未入金","一部入金")))))</f>
        <v/>
      </c>
      <c r="T589" s="31">
        <f>IF(OR($A589="",N($R589)&lt;=0,NOT(ISNUMBER($O589))),"",IF($O589&lt;'設定'!$B$7,'設定'!$B$7-$O589,""))</f>
        <v/>
      </c>
      <c r="U589" s="30">
        <f>IF(OR($A589="",N($R589)&lt;=0),"",IF(NOT(ISNUMBER($O589)),'設定'!$B$22,IF($O589&gt;='設定'!$B$7,'設定'!$B$17,IF('設定'!$B$7-$O589&lt;='設定'!$B$12,'設定'!$B$18,IF('設定'!$B$7-$O589&lt;='設定'!$B$13,'設定'!$B$19,IF('設定'!$B$7-$O589&lt;='設定'!$B$14,'設定'!$B$20,'設定'!$B$21))))))</f>
        <v/>
      </c>
      <c r="V589" s="56" t="n"/>
      <c r="W589" s="32">
        <f>IF($C589="","",IFERROR(MATCH($C589,'得意先'!$B$5:$B$104,0),"なし"))</f>
        <v/>
      </c>
      <c r="X589" s="33">
        <f>IF($A589="","",IF(ISNUMBER($E589),$E589,IF(ISNUMBER($B589),$B589,"")))</f>
        <v/>
      </c>
      <c r="Y589" s="34">
        <f>IF($T589="","",$O589+ROW()/1000000)</f>
        <v/>
      </c>
      <c r="Z589" s="35">
        <f>IF(OR($A589="",$C589="",$C589&lt;&gt;'売掛帳'!$B$3,NOT(ISNUMBER($X589))),"",IF(AND($X589&gt;='売掛帳'!$Q$3,$X589&lt;='売掛帳'!$Q$4),$X589+ROW()/10000000,""))</f>
        <v/>
      </c>
    </row>
    <row r="590" ht="18" customHeight="1">
      <c r="A590" s="18" t="n"/>
      <c r="B590" s="26" t="n"/>
      <c r="C590" s="18" t="n"/>
      <c r="D590" s="20">
        <f>IF($W590="","",IF($W590="なし","※得意先にないコード",INDEX('得意先'!$C$5:$C$104,$W590)&amp;""))</f>
        <v/>
      </c>
      <c r="E590" s="26" t="n"/>
      <c r="F590" s="19" t="n"/>
      <c r="G590" s="27" t="n"/>
      <c r="H590" s="27" t="n"/>
      <c r="I590" s="27" t="n"/>
      <c r="J590" s="28">
        <f>IF($A590="","",IF('設定'!$B$10="四捨五入",ROUND(IF('設定'!$B$9="税込",N($G590)*10/110,N($G590)*10/100),0),IF('設定'!$B$10="切り上げ",ROUNDUP(IF('設定'!$B$9="税込",N($G590)*10/110,N($G590)*10/100),0),ROUNDDOWN(IF('設定'!$B$9="税込",N($G590)*10/110,N($G590)*10/100),0))))</f>
        <v/>
      </c>
      <c r="K590" s="28">
        <f>IF($A590="","",IF('設定'!$B$10="四捨五入",ROUND(IF('設定'!$B$9="税込",N($H590)*8/108,N($H590)*8/100),0),IF('設定'!$B$10="切り上げ",ROUNDUP(IF('設定'!$B$9="税込",N($H590)*8/108,N($H590)*8/100),0),ROUNDDOWN(IF('設定'!$B$9="税込",N($H590)*8/108,N($H590)*8/100),0))))</f>
        <v/>
      </c>
      <c r="L590" s="28">
        <f>IF($A590="","",N($G590)+N($H590)+N($I590)+IF('設定'!$B$9="税込",0,$J590+$K590))</f>
        <v/>
      </c>
      <c r="M590" s="29">
        <f>IF(OR($A590="",NOT(ISNUMBER($W590)),NOT(ISNUMBER($X590))),"",IF(OR(INDEX('得意先'!$D$5:$D$104,$W590)="",INDEX('得意先'!$E$5:$E$104,$W590)="",INDEX('得意先'!$F$5:$F$104,$W590)=""),"",IF(INDEX('得意先'!$F$5:$F$104,$W590)="末",DATE(YEAR($X590),(MONTH($X590)+IF(INDEX('得意先'!$D$5:$D$104,$W590)="末",0,IF(DAY($X590)&lt;=INDEX('得意先'!$D$5:$D$104,$W590),0,1))+N(INDEX('得意先'!$E$5:$E$104,$W590)))+1,0),DATE(YEAR($X590),(MONTH($X590)+IF(INDEX('得意先'!$D$5:$D$104,$W590)="末",0,IF(DAY($X590)&lt;=INDEX('得意先'!$D$5:$D$104,$W590),0,1))+N(INDEX('得意先'!$E$5:$E$104,$W590))),MIN(INDEX('得意先'!$F$5:$F$104,$W590),DAY(DATE(YEAR($X590),(MONTH($X590)+IF(INDEX('得意先'!$D$5:$D$104,$W590)="末",0,IF(DAY($X590)&lt;=INDEX('得意先'!$D$5:$D$104,$W590),0,1))+N(INDEX('得意先'!$E$5:$E$104,$W590)))+1,0)))))))</f>
        <v/>
      </c>
      <c r="N590" s="26" t="n"/>
      <c r="O590" s="29">
        <f>IF($A590="","",IF(ISNUMBER($N590),$N590,$M590))</f>
        <v/>
      </c>
      <c r="P590" s="28">
        <f>IF($A590="","",SUMIF('入金消込'!$F$5:$F$1004,$A590,'入金消込'!$G$5:$G$1004))</f>
        <v/>
      </c>
      <c r="Q590" s="28">
        <f>IF($A590="","",SUMIF('入金消込'!$F$5:$F$1004,$A590,'入金消込'!$H$5:$H$1004)+SUMIF('入金消込'!$F$5:$F$1004,$A590,'入金消込'!$I$5:$I$1004))</f>
        <v/>
      </c>
      <c r="R590" s="28">
        <f>IF($A590="","",$L590-$P590-$Q590)</f>
        <v/>
      </c>
      <c r="S590" s="30">
        <f>IF($A590="","",IF($R590=0,IF($L590=0,"請求額0","回収済"),IF($L590&lt;0,IF($R590&lt;0,"差し引き待ち","差し引きすぎ"),IF($R590&lt;0,"入金が多い",IF($P590+$Q590=0,"未入金","一部入金")))))</f>
        <v/>
      </c>
      <c r="T590" s="31">
        <f>IF(OR($A590="",N($R590)&lt;=0,NOT(ISNUMBER($O590))),"",IF($O590&lt;'設定'!$B$7,'設定'!$B$7-$O590,""))</f>
        <v/>
      </c>
      <c r="U590" s="30">
        <f>IF(OR($A590="",N($R590)&lt;=0),"",IF(NOT(ISNUMBER($O590)),'設定'!$B$22,IF($O590&gt;='設定'!$B$7,'設定'!$B$17,IF('設定'!$B$7-$O590&lt;='設定'!$B$12,'設定'!$B$18,IF('設定'!$B$7-$O590&lt;='設定'!$B$13,'設定'!$B$19,IF('設定'!$B$7-$O590&lt;='設定'!$B$14,'設定'!$B$20,'設定'!$B$21))))))</f>
        <v/>
      </c>
      <c r="V590" s="56" t="n"/>
      <c r="W590" s="32">
        <f>IF($C590="","",IFERROR(MATCH($C590,'得意先'!$B$5:$B$104,0),"なし"))</f>
        <v/>
      </c>
      <c r="X590" s="33">
        <f>IF($A590="","",IF(ISNUMBER($E590),$E590,IF(ISNUMBER($B590),$B590,"")))</f>
        <v/>
      </c>
      <c r="Y590" s="34">
        <f>IF($T590="","",$O590+ROW()/1000000)</f>
        <v/>
      </c>
      <c r="Z590" s="35">
        <f>IF(OR($A590="",$C590="",$C590&lt;&gt;'売掛帳'!$B$3,NOT(ISNUMBER($X590))),"",IF(AND($X590&gt;='売掛帳'!$Q$3,$X590&lt;='売掛帳'!$Q$4),$X590+ROW()/10000000,""))</f>
        <v/>
      </c>
    </row>
    <row r="591" ht="18" customHeight="1">
      <c r="A591" s="18" t="n"/>
      <c r="B591" s="26" t="n"/>
      <c r="C591" s="18" t="n"/>
      <c r="D591" s="20">
        <f>IF($W591="","",IF($W591="なし","※得意先にないコード",INDEX('得意先'!$C$5:$C$104,$W591)&amp;""))</f>
        <v/>
      </c>
      <c r="E591" s="26" t="n"/>
      <c r="F591" s="19" t="n"/>
      <c r="G591" s="27" t="n"/>
      <c r="H591" s="27" t="n"/>
      <c r="I591" s="27" t="n"/>
      <c r="J591" s="28">
        <f>IF($A591="","",IF('設定'!$B$10="四捨五入",ROUND(IF('設定'!$B$9="税込",N($G591)*10/110,N($G591)*10/100),0),IF('設定'!$B$10="切り上げ",ROUNDUP(IF('設定'!$B$9="税込",N($G591)*10/110,N($G591)*10/100),0),ROUNDDOWN(IF('設定'!$B$9="税込",N($G591)*10/110,N($G591)*10/100),0))))</f>
        <v/>
      </c>
      <c r="K591" s="28">
        <f>IF($A591="","",IF('設定'!$B$10="四捨五入",ROUND(IF('設定'!$B$9="税込",N($H591)*8/108,N($H591)*8/100),0),IF('設定'!$B$10="切り上げ",ROUNDUP(IF('設定'!$B$9="税込",N($H591)*8/108,N($H591)*8/100),0),ROUNDDOWN(IF('設定'!$B$9="税込",N($H591)*8/108,N($H591)*8/100),0))))</f>
        <v/>
      </c>
      <c r="L591" s="28">
        <f>IF($A591="","",N($G591)+N($H591)+N($I591)+IF('設定'!$B$9="税込",0,$J591+$K591))</f>
        <v/>
      </c>
      <c r="M591" s="29">
        <f>IF(OR($A591="",NOT(ISNUMBER($W591)),NOT(ISNUMBER($X591))),"",IF(OR(INDEX('得意先'!$D$5:$D$104,$W591)="",INDEX('得意先'!$E$5:$E$104,$W591)="",INDEX('得意先'!$F$5:$F$104,$W591)=""),"",IF(INDEX('得意先'!$F$5:$F$104,$W591)="末",DATE(YEAR($X591),(MONTH($X591)+IF(INDEX('得意先'!$D$5:$D$104,$W591)="末",0,IF(DAY($X591)&lt;=INDEX('得意先'!$D$5:$D$104,$W591),0,1))+N(INDEX('得意先'!$E$5:$E$104,$W591)))+1,0),DATE(YEAR($X591),(MONTH($X591)+IF(INDEX('得意先'!$D$5:$D$104,$W591)="末",0,IF(DAY($X591)&lt;=INDEX('得意先'!$D$5:$D$104,$W591),0,1))+N(INDEX('得意先'!$E$5:$E$104,$W591))),MIN(INDEX('得意先'!$F$5:$F$104,$W591),DAY(DATE(YEAR($X591),(MONTH($X591)+IF(INDEX('得意先'!$D$5:$D$104,$W591)="末",0,IF(DAY($X591)&lt;=INDEX('得意先'!$D$5:$D$104,$W591),0,1))+N(INDEX('得意先'!$E$5:$E$104,$W591)))+1,0)))))))</f>
        <v/>
      </c>
      <c r="N591" s="26" t="n"/>
      <c r="O591" s="29">
        <f>IF($A591="","",IF(ISNUMBER($N591),$N591,$M591))</f>
        <v/>
      </c>
      <c r="P591" s="28">
        <f>IF($A591="","",SUMIF('入金消込'!$F$5:$F$1004,$A591,'入金消込'!$G$5:$G$1004))</f>
        <v/>
      </c>
      <c r="Q591" s="28">
        <f>IF($A591="","",SUMIF('入金消込'!$F$5:$F$1004,$A591,'入金消込'!$H$5:$H$1004)+SUMIF('入金消込'!$F$5:$F$1004,$A591,'入金消込'!$I$5:$I$1004))</f>
        <v/>
      </c>
      <c r="R591" s="28">
        <f>IF($A591="","",$L591-$P591-$Q591)</f>
        <v/>
      </c>
      <c r="S591" s="30">
        <f>IF($A591="","",IF($R591=0,IF($L591=0,"請求額0","回収済"),IF($L591&lt;0,IF($R591&lt;0,"差し引き待ち","差し引きすぎ"),IF($R591&lt;0,"入金が多い",IF($P591+$Q591=0,"未入金","一部入金")))))</f>
        <v/>
      </c>
      <c r="T591" s="31">
        <f>IF(OR($A591="",N($R591)&lt;=0,NOT(ISNUMBER($O591))),"",IF($O591&lt;'設定'!$B$7,'設定'!$B$7-$O591,""))</f>
        <v/>
      </c>
      <c r="U591" s="30">
        <f>IF(OR($A591="",N($R591)&lt;=0),"",IF(NOT(ISNUMBER($O591)),'設定'!$B$22,IF($O591&gt;='設定'!$B$7,'設定'!$B$17,IF('設定'!$B$7-$O591&lt;='設定'!$B$12,'設定'!$B$18,IF('設定'!$B$7-$O591&lt;='設定'!$B$13,'設定'!$B$19,IF('設定'!$B$7-$O591&lt;='設定'!$B$14,'設定'!$B$20,'設定'!$B$21))))))</f>
        <v/>
      </c>
      <c r="V591" s="56" t="n"/>
      <c r="W591" s="32">
        <f>IF($C591="","",IFERROR(MATCH($C591,'得意先'!$B$5:$B$104,0),"なし"))</f>
        <v/>
      </c>
      <c r="X591" s="33">
        <f>IF($A591="","",IF(ISNUMBER($E591),$E591,IF(ISNUMBER($B591),$B591,"")))</f>
        <v/>
      </c>
      <c r="Y591" s="34">
        <f>IF($T591="","",$O591+ROW()/1000000)</f>
        <v/>
      </c>
      <c r="Z591" s="35">
        <f>IF(OR($A591="",$C591="",$C591&lt;&gt;'売掛帳'!$B$3,NOT(ISNUMBER($X591))),"",IF(AND($X591&gt;='売掛帳'!$Q$3,$X591&lt;='売掛帳'!$Q$4),$X591+ROW()/10000000,""))</f>
        <v/>
      </c>
    </row>
    <row r="592" ht="18" customHeight="1">
      <c r="A592" s="18" t="n"/>
      <c r="B592" s="26" t="n"/>
      <c r="C592" s="18" t="n"/>
      <c r="D592" s="20">
        <f>IF($W592="","",IF($W592="なし","※得意先にないコード",INDEX('得意先'!$C$5:$C$104,$W592)&amp;""))</f>
        <v/>
      </c>
      <c r="E592" s="26" t="n"/>
      <c r="F592" s="19" t="n"/>
      <c r="G592" s="27" t="n"/>
      <c r="H592" s="27" t="n"/>
      <c r="I592" s="27" t="n"/>
      <c r="J592" s="28">
        <f>IF($A592="","",IF('設定'!$B$10="四捨五入",ROUND(IF('設定'!$B$9="税込",N($G592)*10/110,N($G592)*10/100),0),IF('設定'!$B$10="切り上げ",ROUNDUP(IF('設定'!$B$9="税込",N($G592)*10/110,N($G592)*10/100),0),ROUNDDOWN(IF('設定'!$B$9="税込",N($G592)*10/110,N($G592)*10/100),0))))</f>
        <v/>
      </c>
      <c r="K592" s="28">
        <f>IF($A592="","",IF('設定'!$B$10="四捨五入",ROUND(IF('設定'!$B$9="税込",N($H592)*8/108,N($H592)*8/100),0),IF('設定'!$B$10="切り上げ",ROUNDUP(IF('設定'!$B$9="税込",N($H592)*8/108,N($H592)*8/100),0),ROUNDDOWN(IF('設定'!$B$9="税込",N($H592)*8/108,N($H592)*8/100),0))))</f>
        <v/>
      </c>
      <c r="L592" s="28">
        <f>IF($A592="","",N($G592)+N($H592)+N($I592)+IF('設定'!$B$9="税込",0,$J592+$K592))</f>
        <v/>
      </c>
      <c r="M592" s="29">
        <f>IF(OR($A592="",NOT(ISNUMBER($W592)),NOT(ISNUMBER($X592))),"",IF(OR(INDEX('得意先'!$D$5:$D$104,$W592)="",INDEX('得意先'!$E$5:$E$104,$W592)="",INDEX('得意先'!$F$5:$F$104,$W592)=""),"",IF(INDEX('得意先'!$F$5:$F$104,$W592)="末",DATE(YEAR($X592),(MONTH($X592)+IF(INDEX('得意先'!$D$5:$D$104,$W592)="末",0,IF(DAY($X592)&lt;=INDEX('得意先'!$D$5:$D$104,$W592),0,1))+N(INDEX('得意先'!$E$5:$E$104,$W592)))+1,0),DATE(YEAR($X592),(MONTH($X592)+IF(INDEX('得意先'!$D$5:$D$104,$W592)="末",0,IF(DAY($X592)&lt;=INDEX('得意先'!$D$5:$D$104,$W592),0,1))+N(INDEX('得意先'!$E$5:$E$104,$W592))),MIN(INDEX('得意先'!$F$5:$F$104,$W592),DAY(DATE(YEAR($X592),(MONTH($X592)+IF(INDEX('得意先'!$D$5:$D$104,$W592)="末",0,IF(DAY($X592)&lt;=INDEX('得意先'!$D$5:$D$104,$W592),0,1))+N(INDEX('得意先'!$E$5:$E$104,$W592)))+1,0)))))))</f>
        <v/>
      </c>
      <c r="N592" s="26" t="n"/>
      <c r="O592" s="29">
        <f>IF($A592="","",IF(ISNUMBER($N592),$N592,$M592))</f>
        <v/>
      </c>
      <c r="P592" s="28">
        <f>IF($A592="","",SUMIF('入金消込'!$F$5:$F$1004,$A592,'入金消込'!$G$5:$G$1004))</f>
        <v/>
      </c>
      <c r="Q592" s="28">
        <f>IF($A592="","",SUMIF('入金消込'!$F$5:$F$1004,$A592,'入金消込'!$H$5:$H$1004)+SUMIF('入金消込'!$F$5:$F$1004,$A592,'入金消込'!$I$5:$I$1004))</f>
        <v/>
      </c>
      <c r="R592" s="28">
        <f>IF($A592="","",$L592-$P592-$Q592)</f>
        <v/>
      </c>
      <c r="S592" s="30">
        <f>IF($A592="","",IF($R592=0,IF($L592=0,"請求額0","回収済"),IF($L592&lt;0,IF($R592&lt;0,"差し引き待ち","差し引きすぎ"),IF($R592&lt;0,"入金が多い",IF($P592+$Q592=0,"未入金","一部入金")))))</f>
        <v/>
      </c>
      <c r="T592" s="31">
        <f>IF(OR($A592="",N($R592)&lt;=0,NOT(ISNUMBER($O592))),"",IF($O592&lt;'設定'!$B$7,'設定'!$B$7-$O592,""))</f>
        <v/>
      </c>
      <c r="U592" s="30">
        <f>IF(OR($A592="",N($R592)&lt;=0),"",IF(NOT(ISNUMBER($O592)),'設定'!$B$22,IF($O592&gt;='設定'!$B$7,'設定'!$B$17,IF('設定'!$B$7-$O592&lt;='設定'!$B$12,'設定'!$B$18,IF('設定'!$B$7-$O592&lt;='設定'!$B$13,'設定'!$B$19,IF('設定'!$B$7-$O592&lt;='設定'!$B$14,'設定'!$B$20,'設定'!$B$21))))))</f>
        <v/>
      </c>
      <c r="V592" s="56" t="n"/>
      <c r="W592" s="32">
        <f>IF($C592="","",IFERROR(MATCH($C592,'得意先'!$B$5:$B$104,0),"なし"))</f>
        <v/>
      </c>
      <c r="X592" s="33">
        <f>IF($A592="","",IF(ISNUMBER($E592),$E592,IF(ISNUMBER($B592),$B592,"")))</f>
        <v/>
      </c>
      <c r="Y592" s="34">
        <f>IF($T592="","",$O592+ROW()/1000000)</f>
        <v/>
      </c>
      <c r="Z592" s="35">
        <f>IF(OR($A592="",$C592="",$C592&lt;&gt;'売掛帳'!$B$3,NOT(ISNUMBER($X592))),"",IF(AND($X592&gt;='売掛帳'!$Q$3,$X592&lt;='売掛帳'!$Q$4),$X592+ROW()/10000000,""))</f>
        <v/>
      </c>
    </row>
    <row r="593" ht="18" customHeight="1">
      <c r="A593" s="18" t="n"/>
      <c r="B593" s="26" t="n"/>
      <c r="C593" s="18" t="n"/>
      <c r="D593" s="20">
        <f>IF($W593="","",IF($W593="なし","※得意先にないコード",INDEX('得意先'!$C$5:$C$104,$W593)&amp;""))</f>
        <v/>
      </c>
      <c r="E593" s="26" t="n"/>
      <c r="F593" s="19" t="n"/>
      <c r="G593" s="27" t="n"/>
      <c r="H593" s="27" t="n"/>
      <c r="I593" s="27" t="n"/>
      <c r="J593" s="28">
        <f>IF($A593="","",IF('設定'!$B$10="四捨五入",ROUND(IF('設定'!$B$9="税込",N($G593)*10/110,N($G593)*10/100),0),IF('設定'!$B$10="切り上げ",ROUNDUP(IF('設定'!$B$9="税込",N($G593)*10/110,N($G593)*10/100),0),ROUNDDOWN(IF('設定'!$B$9="税込",N($G593)*10/110,N($G593)*10/100),0))))</f>
        <v/>
      </c>
      <c r="K593" s="28">
        <f>IF($A593="","",IF('設定'!$B$10="四捨五入",ROUND(IF('設定'!$B$9="税込",N($H593)*8/108,N($H593)*8/100),0),IF('設定'!$B$10="切り上げ",ROUNDUP(IF('設定'!$B$9="税込",N($H593)*8/108,N($H593)*8/100),0),ROUNDDOWN(IF('設定'!$B$9="税込",N($H593)*8/108,N($H593)*8/100),0))))</f>
        <v/>
      </c>
      <c r="L593" s="28">
        <f>IF($A593="","",N($G593)+N($H593)+N($I593)+IF('設定'!$B$9="税込",0,$J593+$K593))</f>
        <v/>
      </c>
      <c r="M593" s="29">
        <f>IF(OR($A593="",NOT(ISNUMBER($W593)),NOT(ISNUMBER($X593))),"",IF(OR(INDEX('得意先'!$D$5:$D$104,$W593)="",INDEX('得意先'!$E$5:$E$104,$W593)="",INDEX('得意先'!$F$5:$F$104,$W593)=""),"",IF(INDEX('得意先'!$F$5:$F$104,$W593)="末",DATE(YEAR($X593),(MONTH($X593)+IF(INDEX('得意先'!$D$5:$D$104,$W593)="末",0,IF(DAY($X593)&lt;=INDEX('得意先'!$D$5:$D$104,$W593),0,1))+N(INDEX('得意先'!$E$5:$E$104,$W593)))+1,0),DATE(YEAR($X593),(MONTH($X593)+IF(INDEX('得意先'!$D$5:$D$104,$W593)="末",0,IF(DAY($X593)&lt;=INDEX('得意先'!$D$5:$D$104,$W593),0,1))+N(INDEX('得意先'!$E$5:$E$104,$W593))),MIN(INDEX('得意先'!$F$5:$F$104,$W593),DAY(DATE(YEAR($X593),(MONTH($X593)+IF(INDEX('得意先'!$D$5:$D$104,$W593)="末",0,IF(DAY($X593)&lt;=INDEX('得意先'!$D$5:$D$104,$W593),0,1))+N(INDEX('得意先'!$E$5:$E$104,$W593)))+1,0)))))))</f>
        <v/>
      </c>
      <c r="N593" s="26" t="n"/>
      <c r="O593" s="29">
        <f>IF($A593="","",IF(ISNUMBER($N593),$N593,$M593))</f>
        <v/>
      </c>
      <c r="P593" s="28">
        <f>IF($A593="","",SUMIF('入金消込'!$F$5:$F$1004,$A593,'入金消込'!$G$5:$G$1004))</f>
        <v/>
      </c>
      <c r="Q593" s="28">
        <f>IF($A593="","",SUMIF('入金消込'!$F$5:$F$1004,$A593,'入金消込'!$H$5:$H$1004)+SUMIF('入金消込'!$F$5:$F$1004,$A593,'入金消込'!$I$5:$I$1004))</f>
        <v/>
      </c>
      <c r="R593" s="28">
        <f>IF($A593="","",$L593-$P593-$Q593)</f>
        <v/>
      </c>
      <c r="S593" s="30">
        <f>IF($A593="","",IF($R593=0,IF($L593=0,"請求額0","回収済"),IF($L593&lt;0,IF($R593&lt;0,"差し引き待ち","差し引きすぎ"),IF($R593&lt;0,"入金が多い",IF($P593+$Q593=0,"未入金","一部入金")))))</f>
        <v/>
      </c>
      <c r="T593" s="31">
        <f>IF(OR($A593="",N($R593)&lt;=0,NOT(ISNUMBER($O593))),"",IF($O593&lt;'設定'!$B$7,'設定'!$B$7-$O593,""))</f>
        <v/>
      </c>
      <c r="U593" s="30">
        <f>IF(OR($A593="",N($R593)&lt;=0),"",IF(NOT(ISNUMBER($O593)),'設定'!$B$22,IF($O593&gt;='設定'!$B$7,'設定'!$B$17,IF('設定'!$B$7-$O593&lt;='設定'!$B$12,'設定'!$B$18,IF('設定'!$B$7-$O593&lt;='設定'!$B$13,'設定'!$B$19,IF('設定'!$B$7-$O593&lt;='設定'!$B$14,'設定'!$B$20,'設定'!$B$21))))))</f>
        <v/>
      </c>
      <c r="V593" s="56" t="n"/>
      <c r="W593" s="32">
        <f>IF($C593="","",IFERROR(MATCH($C593,'得意先'!$B$5:$B$104,0),"なし"))</f>
        <v/>
      </c>
      <c r="X593" s="33">
        <f>IF($A593="","",IF(ISNUMBER($E593),$E593,IF(ISNUMBER($B593),$B593,"")))</f>
        <v/>
      </c>
      <c r="Y593" s="34">
        <f>IF($T593="","",$O593+ROW()/1000000)</f>
        <v/>
      </c>
      <c r="Z593" s="35">
        <f>IF(OR($A593="",$C593="",$C593&lt;&gt;'売掛帳'!$B$3,NOT(ISNUMBER($X593))),"",IF(AND($X593&gt;='売掛帳'!$Q$3,$X593&lt;='売掛帳'!$Q$4),$X593+ROW()/10000000,""))</f>
        <v/>
      </c>
    </row>
    <row r="594" ht="18" customHeight="1">
      <c r="A594" s="18" t="n"/>
      <c r="B594" s="26" t="n"/>
      <c r="C594" s="18" t="n"/>
      <c r="D594" s="20">
        <f>IF($W594="","",IF($W594="なし","※得意先にないコード",INDEX('得意先'!$C$5:$C$104,$W594)&amp;""))</f>
        <v/>
      </c>
      <c r="E594" s="26" t="n"/>
      <c r="F594" s="19" t="n"/>
      <c r="G594" s="27" t="n"/>
      <c r="H594" s="27" t="n"/>
      <c r="I594" s="27" t="n"/>
      <c r="J594" s="28">
        <f>IF($A594="","",IF('設定'!$B$10="四捨五入",ROUND(IF('設定'!$B$9="税込",N($G594)*10/110,N($G594)*10/100),0),IF('設定'!$B$10="切り上げ",ROUNDUP(IF('設定'!$B$9="税込",N($G594)*10/110,N($G594)*10/100),0),ROUNDDOWN(IF('設定'!$B$9="税込",N($G594)*10/110,N($G594)*10/100),0))))</f>
        <v/>
      </c>
      <c r="K594" s="28">
        <f>IF($A594="","",IF('設定'!$B$10="四捨五入",ROUND(IF('設定'!$B$9="税込",N($H594)*8/108,N($H594)*8/100),0),IF('設定'!$B$10="切り上げ",ROUNDUP(IF('設定'!$B$9="税込",N($H594)*8/108,N($H594)*8/100),0),ROUNDDOWN(IF('設定'!$B$9="税込",N($H594)*8/108,N($H594)*8/100),0))))</f>
        <v/>
      </c>
      <c r="L594" s="28">
        <f>IF($A594="","",N($G594)+N($H594)+N($I594)+IF('設定'!$B$9="税込",0,$J594+$K594))</f>
        <v/>
      </c>
      <c r="M594" s="29">
        <f>IF(OR($A594="",NOT(ISNUMBER($W594)),NOT(ISNUMBER($X594))),"",IF(OR(INDEX('得意先'!$D$5:$D$104,$W594)="",INDEX('得意先'!$E$5:$E$104,$W594)="",INDEX('得意先'!$F$5:$F$104,$W594)=""),"",IF(INDEX('得意先'!$F$5:$F$104,$W594)="末",DATE(YEAR($X594),(MONTH($X594)+IF(INDEX('得意先'!$D$5:$D$104,$W594)="末",0,IF(DAY($X594)&lt;=INDEX('得意先'!$D$5:$D$104,$W594),0,1))+N(INDEX('得意先'!$E$5:$E$104,$W594)))+1,0),DATE(YEAR($X594),(MONTH($X594)+IF(INDEX('得意先'!$D$5:$D$104,$W594)="末",0,IF(DAY($X594)&lt;=INDEX('得意先'!$D$5:$D$104,$W594),0,1))+N(INDEX('得意先'!$E$5:$E$104,$W594))),MIN(INDEX('得意先'!$F$5:$F$104,$W594),DAY(DATE(YEAR($X594),(MONTH($X594)+IF(INDEX('得意先'!$D$5:$D$104,$W594)="末",0,IF(DAY($X594)&lt;=INDEX('得意先'!$D$5:$D$104,$W594),0,1))+N(INDEX('得意先'!$E$5:$E$104,$W594)))+1,0)))))))</f>
        <v/>
      </c>
      <c r="N594" s="26" t="n"/>
      <c r="O594" s="29">
        <f>IF($A594="","",IF(ISNUMBER($N594),$N594,$M594))</f>
        <v/>
      </c>
      <c r="P594" s="28">
        <f>IF($A594="","",SUMIF('入金消込'!$F$5:$F$1004,$A594,'入金消込'!$G$5:$G$1004))</f>
        <v/>
      </c>
      <c r="Q594" s="28">
        <f>IF($A594="","",SUMIF('入金消込'!$F$5:$F$1004,$A594,'入金消込'!$H$5:$H$1004)+SUMIF('入金消込'!$F$5:$F$1004,$A594,'入金消込'!$I$5:$I$1004))</f>
        <v/>
      </c>
      <c r="R594" s="28">
        <f>IF($A594="","",$L594-$P594-$Q594)</f>
        <v/>
      </c>
      <c r="S594" s="30">
        <f>IF($A594="","",IF($R594=0,IF($L594=0,"請求額0","回収済"),IF($L594&lt;0,IF($R594&lt;0,"差し引き待ち","差し引きすぎ"),IF($R594&lt;0,"入金が多い",IF($P594+$Q594=0,"未入金","一部入金")))))</f>
        <v/>
      </c>
      <c r="T594" s="31">
        <f>IF(OR($A594="",N($R594)&lt;=0,NOT(ISNUMBER($O594))),"",IF($O594&lt;'設定'!$B$7,'設定'!$B$7-$O594,""))</f>
        <v/>
      </c>
      <c r="U594" s="30">
        <f>IF(OR($A594="",N($R594)&lt;=0),"",IF(NOT(ISNUMBER($O594)),'設定'!$B$22,IF($O594&gt;='設定'!$B$7,'設定'!$B$17,IF('設定'!$B$7-$O594&lt;='設定'!$B$12,'設定'!$B$18,IF('設定'!$B$7-$O594&lt;='設定'!$B$13,'設定'!$B$19,IF('設定'!$B$7-$O594&lt;='設定'!$B$14,'設定'!$B$20,'設定'!$B$21))))))</f>
        <v/>
      </c>
      <c r="V594" s="56" t="n"/>
      <c r="W594" s="32">
        <f>IF($C594="","",IFERROR(MATCH($C594,'得意先'!$B$5:$B$104,0),"なし"))</f>
        <v/>
      </c>
      <c r="X594" s="33">
        <f>IF($A594="","",IF(ISNUMBER($E594),$E594,IF(ISNUMBER($B594),$B594,"")))</f>
        <v/>
      </c>
      <c r="Y594" s="34">
        <f>IF($T594="","",$O594+ROW()/1000000)</f>
        <v/>
      </c>
      <c r="Z594" s="35">
        <f>IF(OR($A594="",$C594="",$C594&lt;&gt;'売掛帳'!$B$3,NOT(ISNUMBER($X594))),"",IF(AND($X594&gt;='売掛帳'!$Q$3,$X594&lt;='売掛帳'!$Q$4),$X594+ROW()/10000000,""))</f>
        <v/>
      </c>
    </row>
    <row r="595" ht="18" customHeight="1">
      <c r="A595" s="18" t="n"/>
      <c r="B595" s="26" t="n"/>
      <c r="C595" s="18" t="n"/>
      <c r="D595" s="20">
        <f>IF($W595="","",IF($W595="なし","※得意先にないコード",INDEX('得意先'!$C$5:$C$104,$W595)&amp;""))</f>
        <v/>
      </c>
      <c r="E595" s="26" t="n"/>
      <c r="F595" s="19" t="n"/>
      <c r="G595" s="27" t="n"/>
      <c r="H595" s="27" t="n"/>
      <c r="I595" s="27" t="n"/>
      <c r="J595" s="28">
        <f>IF($A595="","",IF('設定'!$B$10="四捨五入",ROUND(IF('設定'!$B$9="税込",N($G595)*10/110,N($G595)*10/100),0),IF('設定'!$B$10="切り上げ",ROUNDUP(IF('設定'!$B$9="税込",N($G595)*10/110,N($G595)*10/100),0),ROUNDDOWN(IF('設定'!$B$9="税込",N($G595)*10/110,N($G595)*10/100),0))))</f>
        <v/>
      </c>
      <c r="K595" s="28">
        <f>IF($A595="","",IF('設定'!$B$10="四捨五入",ROUND(IF('設定'!$B$9="税込",N($H595)*8/108,N($H595)*8/100),0),IF('設定'!$B$10="切り上げ",ROUNDUP(IF('設定'!$B$9="税込",N($H595)*8/108,N($H595)*8/100),0),ROUNDDOWN(IF('設定'!$B$9="税込",N($H595)*8/108,N($H595)*8/100),0))))</f>
        <v/>
      </c>
      <c r="L595" s="28">
        <f>IF($A595="","",N($G595)+N($H595)+N($I595)+IF('設定'!$B$9="税込",0,$J595+$K595))</f>
        <v/>
      </c>
      <c r="M595" s="29">
        <f>IF(OR($A595="",NOT(ISNUMBER($W595)),NOT(ISNUMBER($X595))),"",IF(OR(INDEX('得意先'!$D$5:$D$104,$W595)="",INDEX('得意先'!$E$5:$E$104,$W595)="",INDEX('得意先'!$F$5:$F$104,$W595)=""),"",IF(INDEX('得意先'!$F$5:$F$104,$W595)="末",DATE(YEAR($X595),(MONTH($X595)+IF(INDEX('得意先'!$D$5:$D$104,$W595)="末",0,IF(DAY($X595)&lt;=INDEX('得意先'!$D$5:$D$104,$W595),0,1))+N(INDEX('得意先'!$E$5:$E$104,$W595)))+1,0),DATE(YEAR($X595),(MONTH($X595)+IF(INDEX('得意先'!$D$5:$D$104,$W595)="末",0,IF(DAY($X595)&lt;=INDEX('得意先'!$D$5:$D$104,$W595),0,1))+N(INDEX('得意先'!$E$5:$E$104,$W595))),MIN(INDEX('得意先'!$F$5:$F$104,$W595),DAY(DATE(YEAR($X595),(MONTH($X595)+IF(INDEX('得意先'!$D$5:$D$104,$W595)="末",0,IF(DAY($X595)&lt;=INDEX('得意先'!$D$5:$D$104,$W595),0,1))+N(INDEX('得意先'!$E$5:$E$104,$W595)))+1,0)))))))</f>
        <v/>
      </c>
      <c r="N595" s="26" t="n"/>
      <c r="O595" s="29">
        <f>IF($A595="","",IF(ISNUMBER($N595),$N595,$M595))</f>
        <v/>
      </c>
      <c r="P595" s="28">
        <f>IF($A595="","",SUMIF('入金消込'!$F$5:$F$1004,$A595,'入金消込'!$G$5:$G$1004))</f>
        <v/>
      </c>
      <c r="Q595" s="28">
        <f>IF($A595="","",SUMIF('入金消込'!$F$5:$F$1004,$A595,'入金消込'!$H$5:$H$1004)+SUMIF('入金消込'!$F$5:$F$1004,$A595,'入金消込'!$I$5:$I$1004))</f>
        <v/>
      </c>
      <c r="R595" s="28">
        <f>IF($A595="","",$L595-$P595-$Q595)</f>
        <v/>
      </c>
      <c r="S595" s="30">
        <f>IF($A595="","",IF($R595=0,IF($L595=0,"請求額0","回収済"),IF($L595&lt;0,IF($R595&lt;0,"差し引き待ち","差し引きすぎ"),IF($R595&lt;0,"入金が多い",IF($P595+$Q595=0,"未入金","一部入金")))))</f>
        <v/>
      </c>
      <c r="T595" s="31">
        <f>IF(OR($A595="",N($R595)&lt;=0,NOT(ISNUMBER($O595))),"",IF($O595&lt;'設定'!$B$7,'設定'!$B$7-$O595,""))</f>
        <v/>
      </c>
      <c r="U595" s="30">
        <f>IF(OR($A595="",N($R595)&lt;=0),"",IF(NOT(ISNUMBER($O595)),'設定'!$B$22,IF($O595&gt;='設定'!$B$7,'設定'!$B$17,IF('設定'!$B$7-$O595&lt;='設定'!$B$12,'設定'!$B$18,IF('設定'!$B$7-$O595&lt;='設定'!$B$13,'設定'!$B$19,IF('設定'!$B$7-$O595&lt;='設定'!$B$14,'設定'!$B$20,'設定'!$B$21))))))</f>
        <v/>
      </c>
      <c r="V595" s="56" t="n"/>
      <c r="W595" s="32">
        <f>IF($C595="","",IFERROR(MATCH($C595,'得意先'!$B$5:$B$104,0),"なし"))</f>
        <v/>
      </c>
      <c r="X595" s="33">
        <f>IF($A595="","",IF(ISNUMBER($E595),$E595,IF(ISNUMBER($B595),$B595,"")))</f>
        <v/>
      </c>
      <c r="Y595" s="34">
        <f>IF($T595="","",$O595+ROW()/1000000)</f>
        <v/>
      </c>
      <c r="Z595" s="35">
        <f>IF(OR($A595="",$C595="",$C595&lt;&gt;'売掛帳'!$B$3,NOT(ISNUMBER($X595))),"",IF(AND($X595&gt;='売掛帳'!$Q$3,$X595&lt;='売掛帳'!$Q$4),$X595+ROW()/10000000,""))</f>
        <v/>
      </c>
    </row>
    <row r="596" ht="18" customHeight="1">
      <c r="A596" s="18" t="n"/>
      <c r="B596" s="26" t="n"/>
      <c r="C596" s="18" t="n"/>
      <c r="D596" s="20">
        <f>IF($W596="","",IF($W596="なし","※得意先にないコード",INDEX('得意先'!$C$5:$C$104,$W596)&amp;""))</f>
        <v/>
      </c>
      <c r="E596" s="26" t="n"/>
      <c r="F596" s="19" t="n"/>
      <c r="G596" s="27" t="n"/>
      <c r="H596" s="27" t="n"/>
      <c r="I596" s="27" t="n"/>
      <c r="J596" s="28">
        <f>IF($A596="","",IF('設定'!$B$10="四捨五入",ROUND(IF('設定'!$B$9="税込",N($G596)*10/110,N($G596)*10/100),0),IF('設定'!$B$10="切り上げ",ROUNDUP(IF('設定'!$B$9="税込",N($G596)*10/110,N($G596)*10/100),0),ROUNDDOWN(IF('設定'!$B$9="税込",N($G596)*10/110,N($G596)*10/100),0))))</f>
        <v/>
      </c>
      <c r="K596" s="28">
        <f>IF($A596="","",IF('設定'!$B$10="四捨五入",ROUND(IF('設定'!$B$9="税込",N($H596)*8/108,N($H596)*8/100),0),IF('設定'!$B$10="切り上げ",ROUNDUP(IF('設定'!$B$9="税込",N($H596)*8/108,N($H596)*8/100),0),ROUNDDOWN(IF('設定'!$B$9="税込",N($H596)*8/108,N($H596)*8/100),0))))</f>
        <v/>
      </c>
      <c r="L596" s="28">
        <f>IF($A596="","",N($G596)+N($H596)+N($I596)+IF('設定'!$B$9="税込",0,$J596+$K596))</f>
        <v/>
      </c>
      <c r="M596" s="29">
        <f>IF(OR($A596="",NOT(ISNUMBER($W596)),NOT(ISNUMBER($X596))),"",IF(OR(INDEX('得意先'!$D$5:$D$104,$W596)="",INDEX('得意先'!$E$5:$E$104,$W596)="",INDEX('得意先'!$F$5:$F$104,$W596)=""),"",IF(INDEX('得意先'!$F$5:$F$104,$W596)="末",DATE(YEAR($X596),(MONTH($X596)+IF(INDEX('得意先'!$D$5:$D$104,$W596)="末",0,IF(DAY($X596)&lt;=INDEX('得意先'!$D$5:$D$104,$W596),0,1))+N(INDEX('得意先'!$E$5:$E$104,$W596)))+1,0),DATE(YEAR($X596),(MONTH($X596)+IF(INDEX('得意先'!$D$5:$D$104,$W596)="末",0,IF(DAY($X596)&lt;=INDEX('得意先'!$D$5:$D$104,$W596),0,1))+N(INDEX('得意先'!$E$5:$E$104,$W596))),MIN(INDEX('得意先'!$F$5:$F$104,$W596),DAY(DATE(YEAR($X596),(MONTH($X596)+IF(INDEX('得意先'!$D$5:$D$104,$W596)="末",0,IF(DAY($X596)&lt;=INDEX('得意先'!$D$5:$D$104,$W596),0,1))+N(INDEX('得意先'!$E$5:$E$104,$W596)))+1,0)))))))</f>
        <v/>
      </c>
      <c r="N596" s="26" t="n"/>
      <c r="O596" s="29">
        <f>IF($A596="","",IF(ISNUMBER($N596),$N596,$M596))</f>
        <v/>
      </c>
      <c r="P596" s="28">
        <f>IF($A596="","",SUMIF('入金消込'!$F$5:$F$1004,$A596,'入金消込'!$G$5:$G$1004))</f>
        <v/>
      </c>
      <c r="Q596" s="28">
        <f>IF($A596="","",SUMIF('入金消込'!$F$5:$F$1004,$A596,'入金消込'!$H$5:$H$1004)+SUMIF('入金消込'!$F$5:$F$1004,$A596,'入金消込'!$I$5:$I$1004))</f>
        <v/>
      </c>
      <c r="R596" s="28">
        <f>IF($A596="","",$L596-$P596-$Q596)</f>
        <v/>
      </c>
      <c r="S596" s="30">
        <f>IF($A596="","",IF($R596=0,IF($L596=0,"請求額0","回収済"),IF($L596&lt;0,IF($R596&lt;0,"差し引き待ち","差し引きすぎ"),IF($R596&lt;0,"入金が多い",IF($P596+$Q596=0,"未入金","一部入金")))))</f>
        <v/>
      </c>
      <c r="T596" s="31">
        <f>IF(OR($A596="",N($R596)&lt;=0,NOT(ISNUMBER($O596))),"",IF($O596&lt;'設定'!$B$7,'設定'!$B$7-$O596,""))</f>
        <v/>
      </c>
      <c r="U596" s="30">
        <f>IF(OR($A596="",N($R596)&lt;=0),"",IF(NOT(ISNUMBER($O596)),'設定'!$B$22,IF($O596&gt;='設定'!$B$7,'設定'!$B$17,IF('設定'!$B$7-$O596&lt;='設定'!$B$12,'設定'!$B$18,IF('設定'!$B$7-$O596&lt;='設定'!$B$13,'設定'!$B$19,IF('設定'!$B$7-$O596&lt;='設定'!$B$14,'設定'!$B$20,'設定'!$B$21))))))</f>
        <v/>
      </c>
      <c r="V596" s="56" t="n"/>
      <c r="W596" s="32">
        <f>IF($C596="","",IFERROR(MATCH($C596,'得意先'!$B$5:$B$104,0),"なし"))</f>
        <v/>
      </c>
      <c r="X596" s="33">
        <f>IF($A596="","",IF(ISNUMBER($E596),$E596,IF(ISNUMBER($B596),$B596,"")))</f>
        <v/>
      </c>
      <c r="Y596" s="34">
        <f>IF($T596="","",$O596+ROW()/1000000)</f>
        <v/>
      </c>
      <c r="Z596" s="35">
        <f>IF(OR($A596="",$C596="",$C596&lt;&gt;'売掛帳'!$B$3,NOT(ISNUMBER($X596))),"",IF(AND($X596&gt;='売掛帳'!$Q$3,$X596&lt;='売掛帳'!$Q$4),$X596+ROW()/10000000,""))</f>
        <v/>
      </c>
    </row>
    <row r="597" ht="18" customHeight="1">
      <c r="A597" s="18" t="n"/>
      <c r="B597" s="26" t="n"/>
      <c r="C597" s="18" t="n"/>
      <c r="D597" s="20">
        <f>IF($W597="","",IF($W597="なし","※得意先にないコード",INDEX('得意先'!$C$5:$C$104,$W597)&amp;""))</f>
        <v/>
      </c>
      <c r="E597" s="26" t="n"/>
      <c r="F597" s="19" t="n"/>
      <c r="G597" s="27" t="n"/>
      <c r="H597" s="27" t="n"/>
      <c r="I597" s="27" t="n"/>
      <c r="J597" s="28">
        <f>IF($A597="","",IF('設定'!$B$10="四捨五入",ROUND(IF('設定'!$B$9="税込",N($G597)*10/110,N($G597)*10/100),0),IF('設定'!$B$10="切り上げ",ROUNDUP(IF('設定'!$B$9="税込",N($G597)*10/110,N($G597)*10/100),0),ROUNDDOWN(IF('設定'!$B$9="税込",N($G597)*10/110,N($G597)*10/100),0))))</f>
        <v/>
      </c>
      <c r="K597" s="28">
        <f>IF($A597="","",IF('設定'!$B$10="四捨五入",ROUND(IF('設定'!$B$9="税込",N($H597)*8/108,N($H597)*8/100),0),IF('設定'!$B$10="切り上げ",ROUNDUP(IF('設定'!$B$9="税込",N($H597)*8/108,N($H597)*8/100),0),ROUNDDOWN(IF('設定'!$B$9="税込",N($H597)*8/108,N($H597)*8/100),0))))</f>
        <v/>
      </c>
      <c r="L597" s="28">
        <f>IF($A597="","",N($G597)+N($H597)+N($I597)+IF('設定'!$B$9="税込",0,$J597+$K597))</f>
        <v/>
      </c>
      <c r="M597" s="29">
        <f>IF(OR($A597="",NOT(ISNUMBER($W597)),NOT(ISNUMBER($X597))),"",IF(OR(INDEX('得意先'!$D$5:$D$104,$W597)="",INDEX('得意先'!$E$5:$E$104,$W597)="",INDEX('得意先'!$F$5:$F$104,$W597)=""),"",IF(INDEX('得意先'!$F$5:$F$104,$W597)="末",DATE(YEAR($X597),(MONTH($X597)+IF(INDEX('得意先'!$D$5:$D$104,$W597)="末",0,IF(DAY($X597)&lt;=INDEX('得意先'!$D$5:$D$104,$W597),0,1))+N(INDEX('得意先'!$E$5:$E$104,$W597)))+1,0),DATE(YEAR($X597),(MONTH($X597)+IF(INDEX('得意先'!$D$5:$D$104,$W597)="末",0,IF(DAY($X597)&lt;=INDEX('得意先'!$D$5:$D$104,$W597),0,1))+N(INDEX('得意先'!$E$5:$E$104,$W597))),MIN(INDEX('得意先'!$F$5:$F$104,$W597),DAY(DATE(YEAR($X597),(MONTH($X597)+IF(INDEX('得意先'!$D$5:$D$104,$W597)="末",0,IF(DAY($X597)&lt;=INDEX('得意先'!$D$5:$D$104,$W597),0,1))+N(INDEX('得意先'!$E$5:$E$104,$W597)))+1,0)))))))</f>
        <v/>
      </c>
      <c r="N597" s="26" t="n"/>
      <c r="O597" s="29">
        <f>IF($A597="","",IF(ISNUMBER($N597),$N597,$M597))</f>
        <v/>
      </c>
      <c r="P597" s="28">
        <f>IF($A597="","",SUMIF('入金消込'!$F$5:$F$1004,$A597,'入金消込'!$G$5:$G$1004))</f>
        <v/>
      </c>
      <c r="Q597" s="28">
        <f>IF($A597="","",SUMIF('入金消込'!$F$5:$F$1004,$A597,'入金消込'!$H$5:$H$1004)+SUMIF('入金消込'!$F$5:$F$1004,$A597,'入金消込'!$I$5:$I$1004))</f>
        <v/>
      </c>
      <c r="R597" s="28">
        <f>IF($A597="","",$L597-$P597-$Q597)</f>
        <v/>
      </c>
      <c r="S597" s="30">
        <f>IF($A597="","",IF($R597=0,IF($L597=0,"請求額0","回収済"),IF($L597&lt;0,IF($R597&lt;0,"差し引き待ち","差し引きすぎ"),IF($R597&lt;0,"入金が多い",IF($P597+$Q597=0,"未入金","一部入金")))))</f>
        <v/>
      </c>
      <c r="T597" s="31">
        <f>IF(OR($A597="",N($R597)&lt;=0,NOT(ISNUMBER($O597))),"",IF($O597&lt;'設定'!$B$7,'設定'!$B$7-$O597,""))</f>
        <v/>
      </c>
      <c r="U597" s="30">
        <f>IF(OR($A597="",N($R597)&lt;=0),"",IF(NOT(ISNUMBER($O597)),'設定'!$B$22,IF($O597&gt;='設定'!$B$7,'設定'!$B$17,IF('設定'!$B$7-$O597&lt;='設定'!$B$12,'設定'!$B$18,IF('設定'!$B$7-$O597&lt;='設定'!$B$13,'設定'!$B$19,IF('設定'!$B$7-$O597&lt;='設定'!$B$14,'設定'!$B$20,'設定'!$B$21))))))</f>
        <v/>
      </c>
      <c r="V597" s="56" t="n"/>
      <c r="W597" s="32">
        <f>IF($C597="","",IFERROR(MATCH($C597,'得意先'!$B$5:$B$104,0),"なし"))</f>
        <v/>
      </c>
      <c r="X597" s="33">
        <f>IF($A597="","",IF(ISNUMBER($E597),$E597,IF(ISNUMBER($B597),$B597,"")))</f>
        <v/>
      </c>
      <c r="Y597" s="34">
        <f>IF($T597="","",$O597+ROW()/1000000)</f>
        <v/>
      </c>
      <c r="Z597" s="35">
        <f>IF(OR($A597="",$C597="",$C597&lt;&gt;'売掛帳'!$B$3,NOT(ISNUMBER($X597))),"",IF(AND($X597&gt;='売掛帳'!$Q$3,$X597&lt;='売掛帳'!$Q$4),$X597+ROW()/10000000,""))</f>
        <v/>
      </c>
    </row>
    <row r="598" ht="18" customHeight="1">
      <c r="A598" s="18" t="n"/>
      <c r="B598" s="26" t="n"/>
      <c r="C598" s="18" t="n"/>
      <c r="D598" s="20">
        <f>IF($W598="","",IF($W598="なし","※得意先にないコード",INDEX('得意先'!$C$5:$C$104,$W598)&amp;""))</f>
        <v/>
      </c>
      <c r="E598" s="26" t="n"/>
      <c r="F598" s="19" t="n"/>
      <c r="G598" s="27" t="n"/>
      <c r="H598" s="27" t="n"/>
      <c r="I598" s="27" t="n"/>
      <c r="J598" s="28">
        <f>IF($A598="","",IF('設定'!$B$10="四捨五入",ROUND(IF('設定'!$B$9="税込",N($G598)*10/110,N($G598)*10/100),0),IF('設定'!$B$10="切り上げ",ROUNDUP(IF('設定'!$B$9="税込",N($G598)*10/110,N($G598)*10/100),0),ROUNDDOWN(IF('設定'!$B$9="税込",N($G598)*10/110,N($G598)*10/100),0))))</f>
        <v/>
      </c>
      <c r="K598" s="28">
        <f>IF($A598="","",IF('設定'!$B$10="四捨五入",ROUND(IF('設定'!$B$9="税込",N($H598)*8/108,N($H598)*8/100),0),IF('設定'!$B$10="切り上げ",ROUNDUP(IF('設定'!$B$9="税込",N($H598)*8/108,N($H598)*8/100),0),ROUNDDOWN(IF('設定'!$B$9="税込",N($H598)*8/108,N($H598)*8/100),0))))</f>
        <v/>
      </c>
      <c r="L598" s="28">
        <f>IF($A598="","",N($G598)+N($H598)+N($I598)+IF('設定'!$B$9="税込",0,$J598+$K598))</f>
        <v/>
      </c>
      <c r="M598" s="29">
        <f>IF(OR($A598="",NOT(ISNUMBER($W598)),NOT(ISNUMBER($X598))),"",IF(OR(INDEX('得意先'!$D$5:$D$104,$W598)="",INDEX('得意先'!$E$5:$E$104,$W598)="",INDEX('得意先'!$F$5:$F$104,$W598)=""),"",IF(INDEX('得意先'!$F$5:$F$104,$W598)="末",DATE(YEAR($X598),(MONTH($X598)+IF(INDEX('得意先'!$D$5:$D$104,$W598)="末",0,IF(DAY($X598)&lt;=INDEX('得意先'!$D$5:$D$104,$W598),0,1))+N(INDEX('得意先'!$E$5:$E$104,$W598)))+1,0),DATE(YEAR($X598),(MONTH($X598)+IF(INDEX('得意先'!$D$5:$D$104,$W598)="末",0,IF(DAY($X598)&lt;=INDEX('得意先'!$D$5:$D$104,$W598),0,1))+N(INDEX('得意先'!$E$5:$E$104,$W598))),MIN(INDEX('得意先'!$F$5:$F$104,$W598),DAY(DATE(YEAR($X598),(MONTH($X598)+IF(INDEX('得意先'!$D$5:$D$104,$W598)="末",0,IF(DAY($X598)&lt;=INDEX('得意先'!$D$5:$D$104,$W598),0,1))+N(INDEX('得意先'!$E$5:$E$104,$W598)))+1,0)))))))</f>
        <v/>
      </c>
      <c r="N598" s="26" t="n"/>
      <c r="O598" s="29">
        <f>IF($A598="","",IF(ISNUMBER($N598),$N598,$M598))</f>
        <v/>
      </c>
      <c r="P598" s="28">
        <f>IF($A598="","",SUMIF('入金消込'!$F$5:$F$1004,$A598,'入金消込'!$G$5:$G$1004))</f>
        <v/>
      </c>
      <c r="Q598" s="28">
        <f>IF($A598="","",SUMIF('入金消込'!$F$5:$F$1004,$A598,'入金消込'!$H$5:$H$1004)+SUMIF('入金消込'!$F$5:$F$1004,$A598,'入金消込'!$I$5:$I$1004))</f>
        <v/>
      </c>
      <c r="R598" s="28">
        <f>IF($A598="","",$L598-$P598-$Q598)</f>
        <v/>
      </c>
      <c r="S598" s="30">
        <f>IF($A598="","",IF($R598=0,IF($L598=0,"請求額0","回収済"),IF($L598&lt;0,IF($R598&lt;0,"差し引き待ち","差し引きすぎ"),IF($R598&lt;0,"入金が多い",IF($P598+$Q598=0,"未入金","一部入金")))))</f>
        <v/>
      </c>
      <c r="T598" s="31">
        <f>IF(OR($A598="",N($R598)&lt;=0,NOT(ISNUMBER($O598))),"",IF($O598&lt;'設定'!$B$7,'設定'!$B$7-$O598,""))</f>
        <v/>
      </c>
      <c r="U598" s="30">
        <f>IF(OR($A598="",N($R598)&lt;=0),"",IF(NOT(ISNUMBER($O598)),'設定'!$B$22,IF($O598&gt;='設定'!$B$7,'設定'!$B$17,IF('設定'!$B$7-$O598&lt;='設定'!$B$12,'設定'!$B$18,IF('設定'!$B$7-$O598&lt;='設定'!$B$13,'設定'!$B$19,IF('設定'!$B$7-$O598&lt;='設定'!$B$14,'設定'!$B$20,'設定'!$B$21))))))</f>
        <v/>
      </c>
      <c r="V598" s="56" t="n"/>
      <c r="W598" s="32">
        <f>IF($C598="","",IFERROR(MATCH($C598,'得意先'!$B$5:$B$104,0),"なし"))</f>
        <v/>
      </c>
      <c r="X598" s="33">
        <f>IF($A598="","",IF(ISNUMBER($E598),$E598,IF(ISNUMBER($B598),$B598,"")))</f>
        <v/>
      </c>
      <c r="Y598" s="34">
        <f>IF($T598="","",$O598+ROW()/1000000)</f>
        <v/>
      </c>
      <c r="Z598" s="35">
        <f>IF(OR($A598="",$C598="",$C598&lt;&gt;'売掛帳'!$B$3,NOT(ISNUMBER($X598))),"",IF(AND($X598&gt;='売掛帳'!$Q$3,$X598&lt;='売掛帳'!$Q$4),$X598+ROW()/10000000,""))</f>
        <v/>
      </c>
    </row>
    <row r="599" ht="18" customHeight="1">
      <c r="A599" s="18" t="n"/>
      <c r="B599" s="26" t="n"/>
      <c r="C599" s="18" t="n"/>
      <c r="D599" s="20">
        <f>IF($W599="","",IF($W599="なし","※得意先にないコード",INDEX('得意先'!$C$5:$C$104,$W599)&amp;""))</f>
        <v/>
      </c>
      <c r="E599" s="26" t="n"/>
      <c r="F599" s="19" t="n"/>
      <c r="G599" s="27" t="n"/>
      <c r="H599" s="27" t="n"/>
      <c r="I599" s="27" t="n"/>
      <c r="J599" s="28">
        <f>IF($A599="","",IF('設定'!$B$10="四捨五入",ROUND(IF('設定'!$B$9="税込",N($G599)*10/110,N($G599)*10/100),0),IF('設定'!$B$10="切り上げ",ROUNDUP(IF('設定'!$B$9="税込",N($G599)*10/110,N($G599)*10/100),0),ROUNDDOWN(IF('設定'!$B$9="税込",N($G599)*10/110,N($G599)*10/100),0))))</f>
        <v/>
      </c>
      <c r="K599" s="28">
        <f>IF($A599="","",IF('設定'!$B$10="四捨五入",ROUND(IF('設定'!$B$9="税込",N($H599)*8/108,N($H599)*8/100),0),IF('設定'!$B$10="切り上げ",ROUNDUP(IF('設定'!$B$9="税込",N($H599)*8/108,N($H599)*8/100),0),ROUNDDOWN(IF('設定'!$B$9="税込",N($H599)*8/108,N($H599)*8/100),0))))</f>
        <v/>
      </c>
      <c r="L599" s="28">
        <f>IF($A599="","",N($G599)+N($H599)+N($I599)+IF('設定'!$B$9="税込",0,$J599+$K599))</f>
        <v/>
      </c>
      <c r="M599" s="29">
        <f>IF(OR($A599="",NOT(ISNUMBER($W599)),NOT(ISNUMBER($X599))),"",IF(OR(INDEX('得意先'!$D$5:$D$104,$W599)="",INDEX('得意先'!$E$5:$E$104,$W599)="",INDEX('得意先'!$F$5:$F$104,$W599)=""),"",IF(INDEX('得意先'!$F$5:$F$104,$W599)="末",DATE(YEAR($X599),(MONTH($X599)+IF(INDEX('得意先'!$D$5:$D$104,$W599)="末",0,IF(DAY($X599)&lt;=INDEX('得意先'!$D$5:$D$104,$W599),0,1))+N(INDEX('得意先'!$E$5:$E$104,$W599)))+1,0),DATE(YEAR($X599),(MONTH($X599)+IF(INDEX('得意先'!$D$5:$D$104,$W599)="末",0,IF(DAY($X599)&lt;=INDEX('得意先'!$D$5:$D$104,$W599),0,1))+N(INDEX('得意先'!$E$5:$E$104,$W599))),MIN(INDEX('得意先'!$F$5:$F$104,$W599),DAY(DATE(YEAR($X599),(MONTH($X599)+IF(INDEX('得意先'!$D$5:$D$104,$W599)="末",0,IF(DAY($X599)&lt;=INDEX('得意先'!$D$5:$D$104,$W599),0,1))+N(INDEX('得意先'!$E$5:$E$104,$W599)))+1,0)))))))</f>
        <v/>
      </c>
      <c r="N599" s="26" t="n"/>
      <c r="O599" s="29">
        <f>IF($A599="","",IF(ISNUMBER($N599),$N599,$M599))</f>
        <v/>
      </c>
      <c r="P599" s="28">
        <f>IF($A599="","",SUMIF('入金消込'!$F$5:$F$1004,$A599,'入金消込'!$G$5:$G$1004))</f>
        <v/>
      </c>
      <c r="Q599" s="28">
        <f>IF($A599="","",SUMIF('入金消込'!$F$5:$F$1004,$A599,'入金消込'!$H$5:$H$1004)+SUMIF('入金消込'!$F$5:$F$1004,$A599,'入金消込'!$I$5:$I$1004))</f>
        <v/>
      </c>
      <c r="R599" s="28">
        <f>IF($A599="","",$L599-$P599-$Q599)</f>
        <v/>
      </c>
      <c r="S599" s="30">
        <f>IF($A599="","",IF($R599=0,IF($L599=0,"請求額0","回収済"),IF($L599&lt;0,IF($R599&lt;0,"差し引き待ち","差し引きすぎ"),IF($R599&lt;0,"入金が多い",IF($P599+$Q599=0,"未入金","一部入金")))))</f>
        <v/>
      </c>
      <c r="T599" s="31">
        <f>IF(OR($A599="",N($R599)&lt;=0,NOT(ISNUMBER($O599))),"",IF($O599&lt;'設定'!$B$7,'設定'!$B$7-$O599,""))</f>
        <v/>
      </c>
      <c r="U599" s="30">
        <f>IF(OR($A599="",N($R599)&lt;=0),"",IF(NOT(ISNUMBER($O599)),'設定'!$B$22,IF($O599&gt;='設定'!$B$7,'設定'!$B$17,IF('設定'!$B$7-$O599&lt;='設定'!$B$12,'設定'!$B$18,IF('設定'!$B$7-$O599&lt;='設定'!$B$13,'設定'!$B$19,IF('設定'!$B$7-$O599&lt;='設定'!$B$14,'設定'!$B$20,'設定'!$B$21))))))</f>
        <v/>
      </c>
      <c r="V599" s="56" t="n"/>
      <c r="W599" s="32">
        <f>IF($C599="","",IFERROR(MATCH($C599,'得意先'!$B$5:$B$104,0),"なし"))</f>
        <v/>
      </c>
      <c r="X599" s="33">
        <f>IF($A599="","",IF(ISNUMBER($E599),$E599,IF(ISNUMBER($B599),$B599,"")))</f>
        <v/>
      </c>
      <c r="Y599" s="34">
        <f>IF($T599="","",$O599+ROW()/1000000)</f>
        <v/>
      </c>
      <c r="Z599" s="35">
        <f>IF(OR($A599="",$C599="",$C599&lt;&gt;'売掛帳'!$B$3,NOT(ISNUMBER($X599))),"",IF(AND($X599&gt;='売掛帳'!$Q$3,$X599&lt;='売掛帳'!$Q$4),$X599+ROW()/10000000,""))</f>
        <v/>
      </c>
    </row>
    <row r="600" ht="18" customHeight="1">
      <c r="A600" s="18" t="n"/>
      <c r="B600" s="26" t="n"/>
      <c r="C600" s="18" t="n"/>
      <c r="D600" s="20">
        <f>IF($W600="","",IF($W600="なし","※得意先にないコード",INDEX('得意先'!$C$5:$C$104,$W600)&amp;""))</f>
        <v/>
      </c>
      <c r="E600" s="26" t="n"/>
      <c r="F600" s="19" t="n"/>
      <c r="G600" s="27" t="n"/>
      <c r="H600" s="27" t="n"/>
      <c r="I600" s="27" t="n"/>
      <c r="J600" s="28">
        <f>IF($A600="","",IF('設定'!$B$10="四捨五入",ROUND(IF('設定'!$B$9="税込",N($G600)*10/110,N($G600)*10/100),0),IF('設定'!$B$10="切り上げ",ROUNDUP(IF('設定'!$B$9="税込",N($G600)*10/110,N($G600)*10/100),0),ROUNDDOWN(IF('設定'!$B$9="税込",N($G600)*10/110,N($G600)*10/100),0))))</f>
        <v/>
      </c>
      <c r="K600" s="28">
        <f>IF($A600="","",IF('設定'!$B$10="四捨五入",ROUND(IF('設定'!$B$9="税込",N($H600)*8/108,N($H600)*8/100),0),IF('設定'!$B$10="切り上げ",ROUNDUP(IF('設定'!$B$9="税込",N($H600)*8/108,N($H600)*8/100),0),ROUNDDOWN(IF('設定'!$B$9="税込",N($H600)*8/108,N($H600)*8/100),0))))</f>
        <v/>
      </c>
      <c r="L600" s="28">
        <f>IF($A600="","",N($G600)+N($H600)+N($I600)+IF('設定'!$B$9="税込",0,$J600+$K600))</f>
        <v/>
      </c>
      <c r="M600" s="29">
        <f>IF(OR($A600="",NOT(ISNUMBER($W600)),NOT(ISNUMBER($X600))),"",IF(OR(INDEX('得意先'!$D$5:$D$104,$W600)="",INDEX('得意先'!$E$5:$E$104,$W600)="",INDEX('得意先'!$F$5:$F$104,$W600)=""),"",IF(INDEX('得意先'!$F$5:$F$104,$W600)="末",DATE(YEAR($X600),(MONTH($X600)+IF(INDEX('得意先'!$D$5:$D$104,$W600)="末",0,IF(DAY($X600)&lt;=INDEX('得意先'!$D$5:$D$104,$W600),0,1))+N(INDEX('得意先'!$E$5:$E$104,$W600)))+1,0),DATE(YEAR($X600),(MONTH($X600)+IF(INDEX('得意先'!$D$5:$D$104,$W600)="末",0,IF(DAY($X600)&lt;=INDEX('得意先'!$D$5:$D$104,$W600),0,1))+N(INDEX('得意先'!$E$5:$E$104,$W600))),MIN(INDEX('得意先'!$F$5:$F$104,$W600),DAY(DATE(YEAR($X600),(MONTH($X600)+IF(INDEX('得意先'!$D$5:$D$104,$W600)="末",0,IF(DAY($X600)&lt;=INDEX('得意先'!$D$5:$D$104,$W600),0,1))+N(INDEX('得意先'!$E$5:$E$104,$W600)))+1,0)))))))</f>
        <v/>
      </c>
      <c r="N600" s="26" t="n"/>
      <c r="O600" s="29">
        <f>IF($A600="","",IF(ISNUMBER($N600),$N600,$M600))</f>
        <v/>
      </c>
      <c r="P600" s="28">
        <f>IF($A600="","",SUMIF('入金消込'!$F$5:$F$1004,$A600,'入金消込'!$G$5:$G$1004))</f>
        <v/>
      </c>
      <c r="Q600" s="28">
        <f>IF($A600="","",SUMIF('入金消込'!$F$5:$F$1004,$A600,'入金消込'!$H$5:$H$1004)+SUMIF('入金消込'!$F$5:$F$1004,$A600,'入金消込'!$I$5:$I$1004))</f>
        <v/>
      </c>
      <c r="R600" s="28">
        <f>IF($A600="","",$L600-$P600-$Q600)</f>
        <v/>
      </c>
      <c r="S600" s="30">
        <f>IF($A600="","",IF($R600=0,IF($L600=0,"請求額0","回収済"),IF($L600&lt;0,IF($R600&lt;0,"差し引き待ち","差し引きすぎ"),IF($R600&lt;0,"入金が多い",IF($P600+$Q600=0,"未入金","一部入金")))))</f>
        <v/>
      </c>
      <c r="T600" s="31">
        <f>IF(OR($A600="",N($R600)&lt;=0,NOT(ISNUMBER($O600))),"",IF($O600&lt;'設定'!$B$7,'設定'!$B$7-$O600,""))</f>
        <v/>
      </c>
      <c r="U600" s="30">
        <f>IF(OR($A600="",N($R600)&lt;=0),"",IF(NOT(ISNUMBER($O600)),'設定'!$B$22,IF($O600&gt;='設定'!$B$7,'設定'!$B$17,IF('設定'!$B$7-$O600&lt;='設定'!$B$12,'設定'!$B$18,IF('設定'!$B$7-$O600&lt;='設定'!$B$13,'設定'!$B$19,IF('設定'!$B$7-$O600&lt;='設定'!$B$14,'設定'!$B$20,'設定'!$B$21))))))</f>
        <v/>
      </c>
      <c r="V600" s="56" t="n"/>
      <c r="W600" s="32">
        <f>IF($C600="","",IFERROR(MATCH($C600,'得意先'!$B$5:$B$104,0),"なし"))</f>
        <v/>
      </c>
      <c r="X600" s="33">
        <f>IF($A600="","",IF(ISNUMBER($E600),$E600,IF(ISNUMBER($B600),$B600,"")))</f>
        <v/>
      </c>
      <c r="Y600" s="34">
        <f>IF($T600="","",$O600+ROW()/1000000)</f>
        <v/>
      </c>
      <c r="Z600" s="35">
        <f>IF(OR($A600="",$C600="",$C600&lt;&gt;'売掛帳'!$B$3,NOT(ISNUMBER($X600))),"",IF(AND($X600&gt;='売掛帳'!$Q$3,$X600&lt;='売掛帳'!$Q$4),$X600+ROW()/10000000,""))</f>
        <v/>
      </c>
    </row>
    <row r="601" ht="18" customHeight="1">
      <c r="A601" s="18" t="n"/>
      <c r="B601" s="26" t="n"/>
      <c r="C601" s="18" t="n"/>
      <c r="D601" s="20">
        <f>IF($W601="","",IF($W601="なし","※得意先にないコード",INDEX('得意先'!$C$5:$C$104,$W601)&amp;""))</f>
        <v/>
      </c>
      <c r="E601" s="26" t="n"/>
      <c r="F601" s="19" t="n"/>
      <c r="G601" s="27" t="n"/>
      <c r="H601" s="27" t="n"/>
      <c r="I601" s="27" t="n"/>
      <c r="J601" s="28">
        <f>IF($A601="","",IF('設定'!$B$10="四捨五入",ROUND(IF('設定'!$B$9="税込",N($G601)*10/110,N($G601)*10/100),0),IF('設定'!$B$10="切り上げ",ROUNDUP(IF('設定'!$B$9="税込",N($G601)*10/110,N($G601)*10/100),0),ROUNDDOWN(IF('設定'!$B$9="税込",N($G601)*10/110,N($G601)*10/100),0))))</f>
        <v/>
      </c>
      <c r="K601" s="28">
        <f>IF($A601="","",IF('設定'!$B$10="四捨五入",ROUND(IF('設定'!$B$9="税込",N($H601)*8/108,N($H601)*8/100),0),IF('設定'!$B$10="切り上げ",ROUNDUP(IF('設定'!$B$9="税込",N($H601)*8/108,N($H601)*8/100),0),ROUNDDOWN(IF('設定'!$B$9="税込",N($H601)*8/108,N($H601)*8/100),0))))</f>
        <v/>
      </c>
      <c r="L601" s="28">
        <f>IF($A601="","",N($G601)+N($H601)+N($I601)+IF('設定'!$B$9="税込",0,$J601+$K601))</f>
        <v/>
      </c>
      <c r="M601" s="29">
        <f>IF(OR($A601="",NOT(ISNUMBER($W601)),NOT(ISNUMBER($X601))),"",IF(OR(INDEX('得意先'!$D$5:$D$104,$W601)="",INDEX('得意先'!$E$5:$E$104,$W601)="",INDEX('得意先'!$F$5:$F$104,$W601)=""),"",IF(INDEX('得意先'!$F$5:$F$104,$W601)="末",DATE(YEAR($X601),(MONTH($X601)+IF(INDEX('得意先'!$D$5:$D$104,$W601)="末",0,IF(DAY($X601)&lt;=INDEX('得意先'!$D$5:$D$104,$W601),0,1))+N(INDEX('得意先'!$E$5:$E$104,$W601)))+1,0),DATE(YEAR($X601),(MONTH($X601)+IF(INDEX('得意先'!$D$5:$D$104,$W601)="末",0,IF(DAY($X601)&lt;=INDEX('得意先'!$D$5:$D$104,$W601),0,1))+N(INDEX('得意先'!$E$5:$E$104,$W601))),MIN(INDEX('得意先'!$F$5:$F$104,$W601),DAY(DATE(YEAR($X601),(MONTH($X601)+IF(INDEX('得意先'!$D$5:$D$104,$W601)="末",0,IF(DAY($X601)&lt;=INDEX('得意先'!$D$5:$D$104,$W601),0,1))+N(INDEX('得意先'!$E$5:$E$104,$W601)))+1,0)))))))</f>
        <v/>
      </c>
      <c r="N601" s="26" t="n"/>
      <c r="O601" s="29">
        <f>IF($A601="","",IF(ISNUMBER($N601),$N601,$M601))</f>
        <v/>
      </c>
      <c r="P601" s="28">
        <f>IF($A601="","",SUMIF('入金消込'!$F$5:$F$1004,$A601,'入金消込'!$G$5:$G$1004))</f>
        <v/>
      </c>
      <c r="Q601" s="28">
        <f>IF($A601="","",SUMIF('入金消込'!$F$5:$F$1004,$A601,'入金消込'!$H$5:$H$1004)+SUMIF('入金消込'!$F$5:$F$1004,$A601,'入金消込'!$I$5:$I$1004))</f>
        <v/>
      </c>
      <c r="R601" s="28">
        <f>IF($A601="","",$L601-$P601-$Q601)</f>
        <v/>
      </c>
      <c r="S601" s="30">
        <f>IF($A601="","",IF($R601=0,IF($L601=0,"請求額0","回収済"),IF($L601&lt;0,IF($R601&lt;0,"差し引き待ち","差し引きすぎ"),IF($R601&lt;0,"入金が多い",IF($P601+$Q601=0,"未入金","一部入金")))))</f>
        <v/>
      </c>
      <c r="T601" s="31">
        <f>IF(OR($A601="",N($R601)&lt;=0,NOT(ISNUMBER($O601))),"",IF($O601&lt;'設定'!$B$7,'設定'!$B$7-$O601,""))</f>
        <v/>
      </c>
      <c r="U601" s="30">
        <f>IF(OR($A601="",N($R601)&lt;=0),"",IF(NOT(ISNUMBER($O601)),'設定'!$B$22,IF($O601&gt;='設定'!$B$7,'設定'!$B$17,IF('設定'!$B$7-$O601&lt;='設定'!$B$12,'設定'!$B$18,IF('設定'!$B$7-$O601&lt;='設定'!$B$13,'設定'!$B$19,IF('設定'!$B$7-$O601&lt;='設定'!$B$14,'設定'!$B$20,'設定'!$B$21))))))</f>
        <v/>
      </c>
      <c r="V601" s="56" t="n"/>
      <c r="W601" s="32">
        <f>IF($C601="","",IFERROR(MATCH($C601,'得意先'!$B$5:$B$104,0),"なし"))</f>
        <v/>
      </c>
      <c r="X601" s="33">
        <f>IF($A601="","",IF(ISNUMBER($E601),$E601,IF(ISNUMBER($B601),$B601,"")))</f>
        <v/>
      </c>
      <c r="Y601" s="34">
        <f>IF($T601="","",$O601+ROW()/1000000)</f>
        <v/>
      </c>
      <c r="Z601" s="35">
        <f>IF(OR($A601="",$C601="",$C601&lt;&gt;'売掛帳'!$B$3,NOT(ISNUMBER($X601))),"",IF(AND($X601&gt;='売掛帳'!$Q$3,$X601&lt;='売掛帳'!$Q$4),$X601+ROW()/10000000,""))</f>
        <v/>
      </c>
    </row>
    <row r="602" ht="18" customHeight="1">
      <c r="A602" s="18" t="n"/>
      <c r="B602" s="26" t="n"/>
      <c r="C602" s="18" t="n"/>
      <c r="D602" s="20">
        <f>IF($W602="","",IF($W602="なし","※得意先にないコード",INDEX('得意先'!$C$5:$C$104,$W602)&amp;""))</f>
        <v/>
      </c>
      <c r="E602" s="26" t="n"/>
      <c r="F602" s="19" t="n"/>
      <c r="G602" s="27" t="n"/>
      <c r="H602" s="27" t="n"/>
      <c r="I602" s="27" t="n"/>
      <c r="J602" s="28">
        <f>IF($A602="","",IF('設定'!$B$10="四捨五入",ROUND(IF('設定'!$B$9="税込",N($G602)*10/110,N($G602)*10/100),0),IF('設定'!$B$10="切り上げ",ROUNDUP(IF('設定'!$B$9="税込",N($G602)*10/110,N($G602)*10/100),0),ROUNDDOWN(IF('設定'!$B$9="税込",N($G602)*10/110,N($G602)*10/100),0))))</f>
        <v/>
      </c>
      <c r="K602" s="28">
        <f>IF($A602="","",IF('設定'!$B$10="四捨五入",ROUND(IF('設定'!$B$9="税込",N($H602)*8/108,N($H602)*8/100),0),IF('設定'!$B$10="切り上げ",ROUNDUP(IF('設定'!$B$9="税込",N($H602)*8/108,N($H602)*8/100),0),ROUNDDOWN(IF('設定'!$B$9="税込",N($H602)*8/108,N($H602)*8/100),0))))</f>
        <v/>
      </c>
      <c r="L602" s="28">
        <f>IF($A602="","",N($G602)+N($H602)+N($I602)+IF('設定'!$B$9="税込",0,$J602+$K602))</f>
        <v/>
      </c>
      <c r="M602" s="29">
        <f>IF(OR($A602="",NOT(ISNUMBER($W602)),NOT(ISNUMBER($X602))),"",IF(OR(INDEX('得意先'!$D$5:$D$104,$W602)="",INDEX('得意先'!$E$5:$E$104,$W602)="",INDEX('得意先'!$F$5:$F$104,$W602)=""),"",IF(INDEX('得意先'!$F$5:$F$104,$W602)="末",DATE(YEAR($X602),(MONTH($X602)+IF(INDEX('得意先'!$D$5:$D$104,$W602)="末",0,IF(DAY($X602)&lt;=INDEX('得意先'!$D$5:$D$104,$W602),0,1))+N(INDEX('得意先'!$E$5:$E$104,$W602)))+1,0),DATE(YEAR($X602),(MONTH($X602)+IF(INDEX('得意先'!$D$5:$D$104,$W602)="末",0,IF(DAY($X602)&lt;=INDEX('得意先'!$D$5:$D$104,$W602),0,1))+N(INDEX('得意先'!$E$5:$E$104,$W602))),MIN(INDEX('得意先'!$F$5:$F$104,$W602),DAY(DATE(YEAR($X602),(MONTH($X602)+IF(INDEX('得意先'!$D$5:$D$104,$W602)="末",0,IF(DAY($X602)&lt;=INDEX('得意先'!$D$5:$D$104,$W602),0,1))+N(INDEX('得意先'!$E$5:$E$104,$W602)))+1,0)))))))</f>
        <v/>
      </c>
      <c r="N602" s="26" t="n"/>
      <c r="O602" s="29">
        <f>IF($A602="","",IF(ISNUMBER($N602),$N602,$M602))</f>
        <v/>
      </c>
      <c r="P602" s="28">
        <f>IF($A602="","",SUMIF('入金消込'!$F$5:$F$1004,$A602,'入金消込'!$G$5:$G$1004))</f>
        <v/>
      </c>
      <c r="Q602" s="28">
        <f>IF($A602="","",SUMIF('入金消込'!$F$5:$F$1004,$A602,'入金消込'!$H$5:$H$1004)+SUMIF('入金消込'!$F$5:$F$1004,$A602,'入金消込'!$I$5:$I$1004))</f>
        <v/>
      </c>
      <c r="R602" s="28">
        <f>IF($A602="","",$L602-$P602-$Q602)</f>
        <v/>
      </c>
      <c r="S602" s="30">
        <f>IF($A602="","",IF($R602=0,IF($L602=0,"請求額0","回収済"),IF($L602&lt;0,IF($R602&lt;0,"差し引き待ち","差し引きすぎ"),IF($R602&lt;0,"入金が多い",IF($P602+$Q602=0,"未入金","一部入金")))))</f>
        <v/>
      </c>
      <c r="T602" s="31">
        <f>IF(OR($A602="",N($R602)&lt;=0,NOT(ISNUMBER($O602))),"",IF($O602&lt;'設定'!$B$7,'設定'!$B$7-$O602,""))</f>
        <v/>
      </c>
      <c r="U602" s="30">
        <f>IF(OR($A602="",N($R602)&lt;=0),"",IF(NOT(ISNUMBER($O602)),'設定'!$B$22,IF($O602&gt;='設定'!$B$7,'設定'!$B$17,IF('設定'!$B$7-$O602&lt;='設定'!$B$12,'設定'!$B$18,IF('設定'!$B$7-$O602&lt;='設定'!$B$13,'設定'!$B$19,IF('設定'!$B$7-$O602&lt;='設定'!$B$14,'設定'!$B$20,'設定'!$B$21))))))</f>
        <v/>
      </c>
      <c r="V602" s="56" t="n"/>
      <c r="W602" s="32">
        <f>IF($C602="","",IFERROR(MATCH($C602,'得意先'!$B$5:$B$104,0),"なし"))</f>
        <v/>
      </c>
      <c r="X602" s="33">
        <f>IF($A602="","",IF(ISNUMBER($E602),$E602,IF(ISNUMBER($B602),$B602,"")))</f>
        <v/>
      </c>
      <c r="Y602" s="34">
        <f>IF($T602="","",$O602+ROW()/1000000)</f>
        <v/>
      </c>
      <c r="Z602" s="35">
        <f>IF(OR($A602="",$C602="",$C602&lt;&gt;'売掛帳'!$B$3,NOT(ISNUMBER($X602))),"",IF(AND($X602&gt;='売掛帳'!$Q$3,$X602&lt;='売掛帳'!$Q$4),$X602+ROW()/10000000,""))</f>
        <v/>
      </c>
    </row>
    <row r="603" ht="18" customHeight="1">
      <c r="A603" s="18" t="n"/>
      <c r="B603" s="26" t="n"/>
      <c r="C603" s="18" t="n"/>
      <c r="D603" s="20">
        <f>IF($W603="","",IF($W603="なし","※得意先にないコード",INDEX('得意先'!$C$5:$C$104,$W603)&amp;""))</f>
        <v/>
      </c>
      <c r="E603" s="26" t="n"/>
      <c r="F603" s="19" t="n"/>
      <c r="G603" s="27" t="n"/>
      <c r="H603" s="27" t="n"/>
      <c r="I603" s="27" t="n"/>
      <c r="J603" s="28">
        <f>IF($A603="","",IF('設定'!$B$10="四捨五入",ROUND(IF('設定'!$B$9="税込",N($G603)*10/110,N($G603)*10/100),0),IF('設定'!$B$10="切り上げ",ROUNDUP(IF('設定'!$B$9="税込",N($G603)*10/110,N($G603)*10/100),0),ROUNDDOWN(IF('設定'!$B$9="税込",N($G603)*10/110,N($G603)*10/100),0))))</f>
        <v/>
      </c>
      <c r="K603" s="28">
        <f>IF($A603="","",IF('設定'!$B$10="四捨五入",ROUND(IF('設定'!$B$9="税込",N($H603)*8/108,N($H603)*8/100),0),IF('設定'!$B$10="切り上げ",ROUNDUP(IF('設定'!$B$9="税込",N($H603)*8/108,N($H603)*8/100),0),ROUNDDOWN(IF('設定'!$B$9="税込",N($H603)*8/108,N($H603)*8/100),0))))</f>
        <v/>
      </c>
      <c r="L603" s="28">
        <f>IF($A603="","",N($G603)+N($H603)+N($I603)+IF('設定'!$B$9="税込",0,$J603+$K603))</f>
        <v/>
      </c>
      <c r="M603" s="29">
        <f>IF(OR($A603="",NOT(ISNUMBER($W603)),NOT(ISNUMBER($X603))),"",IF(OR(INDEX('得意先'!$D$5:$D$104,$W603)="",INDEX('得意先'!$E$5:$E$104,$W603)="",INDEX('得意先'!$F$5:$F$104,$W603)=""),"",IF(INDEX('得意先'!$F$5:$F$104,$W603)="末",DATE(YEAR($X603),(MONTH($X603)+IF(INDEX('得意先'!$D$5:$D$104,$W603)="末",0,IF(DAY($X603)&lt;=INDEX('得意先'!$D$5:$D$104,$W603),0,1))+N(INDEX('得意先'!$E$5:$E$104,$W603)))+1,0),DATE(YEAR($X603),(MONTH($X603)+IF(INDEX('得意先'!$D$5:$D$104,$W603)="末",0,IF(DAY($X603)&lt;=INDEX('得意先'!$D$5:$D$104,$W603),0,1))+N(INDEX('得意先'!$E$5:$E$104,$W603))),MIN(INDEX('得意先'!$F$5:$F$104,$W603),DAY(DATE(YEAR($X603),(MONTH($X603)+IF(INDEX('得意先'!$D$5:$D$104,$W603)="末",0,IF(DAY($X603)&lt;=INDEX('得意先'!$D$5:$D$104,$W603),0,1))+N(INDEX('得意先'!$E$5:$E$104,$W603)))+1,0)))))))</f>
        <v/>
      </c>
      <c r="N603" s="26" t="n"/>
      <c r="O603" s="29">
        <f>IF($A603="","",IF(ISNUMBER($N603),$N603,$M603))</f>
        <v/>
      </c>
      <c r="P603" s="28">
        <f>IF($A603="","",SUMIF('入金消込'!$F$5:$F$1004,$A603,'入金消込'!$G$5:$G$1004))</f>
        <v/>
      </c>
      <c r="Q603" s="28">
        <f>IF($A603="","",SUMIF('入金消込'!$F$5:$F$1004,$A603,'入金消込'!$H$5:$H$1004)+SUMIF('入金消込'!$F$5:$F$1004,$A603,'入金消込'!$I$5:$I$1004))</f>
        <v/>
      </c>
      <c r="R603" s="28">
        <f>IF($A603="","",$L603-$P603-$Q603)</f>
        <v/>
      </c>
      <c r="S603" s="30">
        <f>IF($A603="","",IF($R603=0,IF($L603=0,"請求額0","回収済"),IF($L603&lt;0,IF($R603&lt;0,"差し引き待ち","差し引きすぎ"),IF($R603&lt;0,"入金が多い",IF($P603+$Q603=0,"未入金","一部入金")))))</f>
        <v/>
      </c>
      <c r="T603" s="31">
        <f>IF(OR($A603="",N($R603)&lt;=0,NOT(ISNUMBER($O603))),"",IF($O603&lt;'設定'!$B$7,'設定'!$B$7-$O603,""))</f>
        <v/>
      </c>
      <c r="U603" s="30">
        <f>IF(OR($A603="",N($R603)&lt;=0),"",IF(NOT(ISNUMBER($O603)),'設定'!$B$22,IF($O603&gt;='設定'!$B$7,'設定'!$B$17,IF('設定'!$B$7-$O603&lt;='設定'!$B$12,'設定'!$B$18,IF('設定'!$B$7-$O603&lt;='設定'!$B$13,'設定'!$B$19,IF('設定'!$B$7-$O603&lt;='設定'!$B$14,'設定'!$B$20,'設定'!$B$21))))))</f>
        <v/>
      </c>
      <c r="V603" s="56" t="n"/>
      <c r="W603" s="32">
        <f>IF($C603="","",IFERROR(MATCH($C603,'得意先'!$B$5:$B$104,0),"なし"))</f>
        <v/>
      </c>
      <c r="X603" s="33">
        <f>IF($A603="","",IF(ISNUMBER($E603),$E603,IF(ISNUMBER($B603),$B603,"")))</f>
        <v/>
      </c>
      <c r="Y603" s="34">
        <f>IF($T603="","",$O603+ROW()/1000000)</f>
        <v/>
      </c>
      <c r="Z603" s="35">
        <f>IF(OR($A603="",$C603="",$C603&lt;&gt;'売掛帳'!$B$3,NOT(ISNUMBER($X603))),"",IF(AND($X603&gt;='売掛帳'!$Q$3,$X603&lt;='売掛帳'!$Q$4),$X603+ROW()/10000000,""))</f>
        <v/>
      </c>
    </row>
    <row r="604" ht="18" customHeight="1">
      <c r="A604" s="18" t="n"/>
      <c r="B604" s="26" t="n"/>
      <c r="C604" s="18" t="n"/>
      <c r="D604" s="20">
        <f>IF($W604="","",IF($W604="なし","※得意先にないコード",INDEX('得意先'!$C$5:$C$104,$W604)&amp;""))</f>
        <v/>
      </c>
      <c r="E604" s="26" t="n"/>
      <c r="F604" s="19" t="n"/>
      <c r="G604" s="27" t="n"/>
      <c r="H604" s="27" t="n"/>
      <c r="I604" s="27" t="n"/>
      <c r="J604" s="28">
        <f>IF($A604="","",IF('設定'!$B$10="四捨五入",ROUND(IF('設定'!$B$9="税込",N($G604)*10/110,N($G604)*10/100),0),IF('設定'!$B$10="切り上げ",ROUNDUP(IF('設定'!$B$9="税込",N($G604)*10/110,N($G604)*10/100),0),ROUNDDOWN(IF('設定'!$B$9="税込",N($G604)*10/110,N($G604)*10/100),0))))</f>
        <v/>
      </c>
      <c r="K604" s="28">
        <f>IF($A604="","",IF('設定'!$B$10="四捨五入",ROUND(IF('設定'!$B$9="税込",N($H604)*8/108,N($H604)*8/100),0),IF('設定'!$B$10="切り上げ",ROUNDUP(IF('設定'!$B$9="税込",N($H604)*8/108,N($H604)*8/100),0),ROUNDDOWN(IF('設定'!$B$9="税込",N($H604)*8/108,N($H604)*8/100),0))))</f>
        <v/>
      </c>
      <c r="L604" s="28">
        <f>IF($A604="","",N($G604)+N($H604)+N($I604)+IF('設定'!$B$9="税込",0,$J604+$K604))</f>
        <v/>
      </c>
      <c r="M604" s="29">
        <f>IF(OR($A604="",NOT(ISNUMBER($W604)),NOT(ISNUMBER($X604))),"",IF(OR(INDEX('得意先'!$D$5:$D$104,$W604)="",INDEX('得意先'!$E$5:$E$104,$W604)="",INDEX('得意先'!$F$5:$F$104,$W604)=""),"",IF(INDEX('得意先'!$F$5:$F$104,$W604)="末",DATE(YEAR($X604),(MONTH($X604)+IF(INDEX('得意先'!$D$5:$D$104,$W604)="末",0,IF(DAY($X604)&lt;=INDEX('得意先'!$D$5:$D$104,$W604),0,1))+N(INDEX('得意先'!$E$5:$E$104,$W604)))+1,0),DATE(YEAR($X604),(MONTH($X604)+IF(INDEX('得意先'!$D$5:$D$104,$W604)="末",0,IF(DAY($X604)&lt;=INDEX('得意先'!$D$5:$D$104,$W604),0,1))+N(INDEX('得意先'!$E$5:$E$104,$W604))),MIN(INDEX('得意先'!$F$5:$F$104,$W604),DAY(DATE(YEAR($X604),(MONTH($X604)+IF(INDEX('得意先'!$D$5:$D$104,$W604)="末",0,IF(DAY($X604)&lt;=INDEX('得意先'!$D$5:$D$104,$W604),0,1))+N(INDEX('得意先'!$E$5:$E$104,$W604)))+1,0)))))))</f>
        <v/>
      </c>
      <c r="N604" s="26" t="n"/>
      <c r="O604" s="29">
        <f>IF($A604="","",IF(ISNUMBER($N604),$N604,$M604))</f>
        <v/>
      </c>
      <c r="P604" s="28">
        <f>IF($A604="","",SUMIF('入金消込'!$F$5:$F$1004,$A604,'入金消込'!$G$5:$G$1004))</f>
        <v/>
      </c>
      <c r="Q604" s="28">
        <f>IF($A604="","",SUMIF('入金消込'!$F$5:$F$1004,$A604,'入金消込'!$H$5:$H$1004)+SUMIF('入金消込'!$F$5:$F$1004,$A604,'入金消込'!$I$5:$I$1004))</f>
        <v/>
      </c>
      <c r="R604" s="28">
        <f>IF($A604="","",$L604-$P604-$Q604)</f>
        <v/>
      </c>
      <c r="S604" s="30">
        <f>IF($A604="","",IF($R604=0,IF($L604=0,"請求額0","回収済"),IF($L604&lt;0,IF($R604&lt;0,"差し引き待ち","差し引きすぎ"),IF($R604&lt;0,"入金が多い",IF($P604+$Q604=0,"未入金","一部入金")))))</f>
        <v/>
      </c>
      <c r="T604" s="31">
        <f>IF(OR($A604="",N($R604)&lt;=0,NOT(ISNUMBER($O604))),"",IF($O604&lt;'設定'!$B$7,'設定'!$B$7-$O604,""))</f>
        <v/>
      </c>
      <c r="U604" s="30">
        <f>IF(OR($A604="",N($R604)&lt;=0),"",IF(NOT(ISNUMBER($O604)),'設定'!$B$22,IF($O604&gt;='設定'!$B$7,'設定'!$B$17,IF('設定'!$B$7-$O604&lt;='設定'!$B$12,'設定'!$B$18,IF('設定'!$B$7-$O604&lt;='設定'!$B$13,'設定'!$B$19,IF('設定'!$B$7-$O604&lt;='設定'!$B$14,'設定'!$B$20,'設定'!$B$21))))))</f>
        <v/>
      </c>
      <c r="V604" s="56" t="n"/>
      <c r="W604" s="32">
        <f>IF($C604="","",IFERROR(MATCH($C604,'得意先'!$B$5:$B$104,0),"なし"))</f>
        <v/>
      </c>
      <c r="X604" s="33">
        <f>IF($A604="","",IF(ISNUMBER($E604),$E604,IF(ISNUMBER($B604),$B604,"")))</f>
        <v/>
      </c>
      <c r="Y604" s="34">
        <f>IF($T604="","",$O604+ROW()/1000000)</f>
        <v/>
      </c>
      <c r="Z604" s="35">
        <f>IF(OR($A604="",$C604="",$C604&lt;&gt;'売掛帳'!$B$3,NOT(ISNUMBER($X604))),"",IF(AND($X604&gt;='売掛帳'!$Q$3,$X604&lt;='売掛帳'!$Q$4),$X604+ROW()/10000000,""))</f>
        <v/>
      </c>
    </row>
    <row r="605" ht="18" customHeight="1">
      <c r="A605" s="18" t="n"/>
      <c r="B605" s="26" t="n"/>
      <c r="C605" s="18" t="n"/>
      <c r="D605" s="20">
        <f>IF($W605="","",IF($W605="なし","※得意先にないコード",INDEX('得意先'!$C$5:$C$104,$W605)&amp;""))</f>
        <v/>
      </c>
      <c r="E605" s="26" t="n"/>
      <c r="F605" s="19" t="n"/>
      <c r="G605" s="27" t="n"/>
      <c r="H605" s="27" t="n"/>
      <c r="I605" s="27" t="n"/>
      <c r="J605" s="28">
        <f>IF($A605="","",IF('設定'!$B$10="四捨五入",ROUND(IF('設定'!$B$9="税込",N($G605)*10/110,N($G605)*10/100),0),IF('設定'!$B$10="切り上げ",ROUNDUP(IF('設定'!$B$9="税込",N($G605)*10/110,N($G605)*10/100),0),ROUNDDOWN(IF('設定'!$B$9="税込",N($G605)*10/110,N($G605)*10/100),0))))</f>
        <v/>
      </c>
      <c r="K605" s="28">
        <f>IF($A605="","",IF('設定'!$B$10="四捨五入",ROUND(IF('設定'!$B$9="税込",N($H605)*8/108,N($H605)*8/100),0),IF('設定'!$B$10="切り上げ",ROUNDUP(IF('設定'!$B$9="税込",N($H605)*8/108,N($H605)*8/100),0),ROUNDDOWN(IF('設定'!$B$9="税込",N($H605)*8/108,N($H605)*8/100),0))))</f>
        <v/>
      </c>
      <c r="L605" s="28">
        <f>IF($A605="","",N($G605)+N($H605)+N($I605)+IF('設定'!$B$9="税込",0,$J605+$K605))</f>
        <v/>
      </c>
      <c r="M605" s="29">
        <f>IF(OR($A605="",NOT(ISNUMBER($W605)),NOT(ISNUMBER($X605))),"",IF(OR(INDEX('得意先'!$D$5:$D$104,$W605)="",INDEX('得意先'!$E$5:$E$104,$W605)="",INDEX('得意先'!$F$5:$F$104,$W605)=""),"",IF(INDEX('得意先'!$F$5:$F$104,$W605)="末",DATE(YEAR($X605),(MONTH($X605)+IF(INDEX('得意先'!$D$5:$D$104,$W605)="末",0,IF(DAY($X605)&lt;=INDEX('得意先'!$D$5:$D$104,$W605),0,1))+N(INDEX('得意先'!$E$5:$E$104,$W605)))+1,0),DATE(YEAR($X605),(MONTH($X605)+IF(INDEX('得意先'!$D$5:$D$104,$W605)="末",0,IF(DAY($X605)&lt;=INDEX('得意先'!$D$5:$D$104,$W605),0,1))+N(INDEX('得意先'!$E$5:$E$104,$W605))),MIN(INDEX('得意先'!$F$5:$F$104,$W605),DAY(DATE(YEAR($X605),(MONTH($X605)+IF(INDEX('得意先'!$D$5:$D$104,$W605)="末",0,IF(DAY($X605)&lt;=INDEX('得意先'!$D$5:$D$104,$W605),0,1))+N(INDEX('得意先'!$E$5:$E$104,$W605)))+1,0)))))))</f>
        <v/>
      </c>
      <c r="N605" s="26" t="n"/>
      <c r="O605" s="29">
        <f>IF($A605="","",IF(ISNUMBER($N605),$N605,$M605))</f>
        <v/>
      </c>
      <c r="P605" s="28">
        <f>IF($A605="","",SUMIF('入金消込'!$F$5:$F$1004,$A605,'入金消込'!$G$5:$G$1004))</f>
        <v/>
      </c>
      <c r="Q605" s="28">
        <f>IF($A605="","",SUMIF('入金消込'!$F$5:$F$1004,$A605,'入金消込'!$H$5:$H$1004)+SUMIF('入金消込'!$F$5:$F$1004,$A605,'入金消込'!$I$5:$I$1004))</f>
        <v/>
      </c>
      <c r="R605" s="28">
        <f>IF($A605="","",$L605-$P605-$Q605)</f>
        <v/>
      </c>
      <c r="S605" s="30">
        <f>IF($A605="","",IF($R605=0,IF($L605=0,"請求額0","回収済"),IF($L605&lt;0,IF($R605&lt;0,"差し引き待ち","差し引きすぎ"),IF($R605&lt;0,"入金が多い",IF($P605+$Q605=0,"未入金","一部入金")))))</f>
        <v/>
      </c>
      <c r="T605" s="31">
        <f>IF(OR($A605="",N($R605)&lt;=0,NOT(ISNUMBER($O605))),"",IF($O605&lt;'設定'!$B$7,'設定'!$B$7-$O605,""))</f>
        <v/>
      </c>
      <c r="U605" s="30">
        <f>IF(OR($A605="",N($R605)&lt;=0),"",IF(NOT(ISNUMBER($O605)),'設定'!$B$22,IF($O605&gt;='設定'!$B$7,'設定'!$B$17,IF('設定'!$B$7-$O605&lt;='設定'!$B$12,'設定'!$B$18,IF('設定'!$B$7-$O605&lt;='設定'!$B$13,'設定'!$B$19,IF('設定'!$B$7-$O605&lt;='設定'!$B$14,'設定'!$B$20,'設定'!$B$21))))))</f>
        <v/>
      </c>
      <c r="V605" s="56" t="n"/>
      <c r="W605" s="32">
        <f>IF($C605="","",IFERROR(MATCH($C605,'得意先'!$B$5:$B$104,0),"なし"))</f>
        <v/>
      </c>
      <c r="X605" s="33">
        <f>IF($A605="","",IF(ISNUMBER($E605),$E605,IF(ISNUMBER($B605),$B605,"")))</f>
        <v/>
      </c>
      <c r="Y605" s="34">
        <f>IF($T605="","",$O605+ROW()/1000000)</f>
        <v/>
      </c>
      <c r="Z605" s="35">
        <f>IF(OR($A605="",$C605="",$C605&lt;&gt;'売掛帳'!$B$3,NOT(ISNUMBER($X605))),"",IF(AND($X605&gt;='売掛帳'!$Q$3,$X605&lt;='売掛帳'!$Q$4),$X605+ROW()/10000000,""))</f>
        <v/>
      </c>
    </row>
    <row r="606" ht="18" customHeight="1">
      <c r="A606" s="18" t="n"/>
      <c r="B606" s="26" t="n"/>
      <c r="C606" s="18" t="n"/>
      <c r="D606" s="20">
        <f>IF($W606="","",IF($W606="なし","※得意先にないコード",INDEX('得意先'!$C$5:$C$104,$W606)&amp;""))</f>
        <v/>
      </c>
      <c r="E606" s="26" t="n"/>
      <c r="F606" s="19" t="n"/>
      <c r="G606" s="27" t="n"/>
      <c r="H606" s="27" t="n"/>
      <c r="I606" s="27" t="n"/>
      <c r="J606" s="28">
        <f>IF($A606="","",IF('設定'!$B$10="四捨五入",ROUND(IF('設定'!$B$9="税込",N($G606)*10/110,N($G606)*10/100),0),IF('設定'!$B$10="切り上げ",ROUNDUP(IF('設定'!$B$9="税込",N($G606)*10/110,N($G606)*10/100),0),ROUNDDOWN(IF('設定'!$B$9="税込",N($G606)*10/110,N($G606)*10/100),0))))</f>
        <v/>
      </c>
      <c r="K606" s="28">
        <f>IF($A606="","",IF('設定'!$B$10="四捨五入",ROUND(IF('設定'!$B$9="税込",N($H606)*8/108,N($H606)*8/100),0),IF('設定'!$B$10="切り上げ",ROUNDUP(IF('設定'!$B$9="税込",N($H606)*8/108,N($H606)*8/100),0),ROUNDDOWN(IF('設定'!$B$9="税込",N($H606)*8/108,N($H606)*8/100),0))))</f>
        <v/>
      </c>
      <c r="L606" s="28">
        <f>IF($A606="","",N($G606)+N($H606)+N($I606)+IF('設定'!$B$9="税込",0,$J606+$K606))</f>
        <v/>
      </c>
      <c r="M606" s="29">
        <f>IF(OR($A606="",NOT(ISNUMBER($W606)),NOT(ISNUMBER($X606))),"",IF(OR(INDEX('得意先'!$D$5:$D$104,$W606)="",INDEX('得意先'!$E$5:$E$104,$W606)="",INDEX('得意先'!$F$5:$F$104,$W606)=""),"",IF(INDEX('得意先'!$F$5:$F$104,$W606)="末",DATE(YEAR($X606),(MONTH($X606)+IF(INDEX('得意先'!$D$5:$D$104,$W606)="末",0,IF(DAY($X606)&lt;=INDEX('得意先'!$D$5:$D$104,$W606),0,1))+N(INDEX('得意先'!$E$5:$E$104,$W606)))+1,0),DATE(YEAR($X606),(MONTH($X606)+IF(INDEX('得意先'!$D$5:$D$104,$W606)="末",0,IF(DAY($X606)&lt;=INDEX('得意先'!$D$5:$D$104,$W606),0,1))+N(INDEX('得意先'!$E$5:$E$104,$W606))),MIN(INDEX('得意先'!$F$5:$F$104,$W606),DAY(DATE(YEAR($X606),(MONTH($X606)+IF(INDEX('得意先'!$D$5:$D$104,$W606)="末",0,IF(DAY($X606)&lt;=INDEX('得意先'!$D$5:$D$104,$W606),0,1))+N(INDEX('得意先'!$E$5:$E$104,$W606)))+1,0)))))))</f>
        <v/>
      </c>
      <c r="N606" s="26" t="n"/>
      <c r="O606" s="29">
        <f>IF($A606="","",IF(ISNUMBER($N606),$N606,$M606))</f>
        <v/>
      </c>
      <c r="P606" s="28">
        <f>IF($A606="","",SUMIF('入金消込'!$F$5:$F$1004,$A606,'入金消込'!$G$5:$G$1004))</f>
        <v/>
      </c>
      <c r="Q606" s="28">
        <f>IF($A606="","",SUMIF('入金消込'!$F$5:$F$1004,$A606,'入金消込'!$H$5:$H$1004)+SUMIF('入金消込'!$F$5:$F$1004,$A606,'入金消込'!$I$5:$I$1004))</f>
        <v/>
      </c>
      <c r="R606" s="28">
        <f>IF($A606="","",$L606-$P606-$Q606)</f>
        <v/>
      </c>
      <c r="S606" s="30">
        <f>IF($A606="","",IF($R606=0,IF($L606=0,"請求額0","回収済"),IF($L606&lt;0,IF($R606&lt;0,"差し引き待ち","差し引きすぎ"),IF($R606&lt;0,"入金が多い",IF($P606+$Q606=0,"未入金","一部入金")))))</f>
        <v/>
      </c>
      <c r="T606" s="31">
        <f>IF(OR($A606="",N($R606)&lt;=0,NOT(ISNUMBER($O606))),"",IF($O606&lt;'設定'!$B$7,'設定'!$B$7-$O606,""))</f>
        <v/>
      </c>
      <c r="U606" s="30">
        <f>IF(OR($A606="",N($R606)&lt;=0),"",IF(NOT(ISNUMBER($O606)),'設定'!$B$22,IF($O606&gt;='設定'!$B$7,'設定'!$B$17,IF('設定'!$B$7-$O606&lt;='設定'!$B$12,'設定'!$B$18,IF('設定'!$B$7-$O606&lt;='設定'!$B$13,'設定'!$B$19,IF('設定'!$B$7-$O606&lt;='設定'!$B$14,'設定'!$B$20,'設定'!$B$21))))))</f>
        <v/>
      </c>
      <c r="V606" s="56" t="n"/>
      <c r="W606" s="32">
        <f>IF($C606="","",IFERROR(MATCH($C606,'得意先'!$B$5:$B$104,0),"なし"))</f>
        <v/>
      </c>
      <c r="X606" s="33">
        <f>IF($A606="","",IF(ISNUMBER($E606),$E606,IF(ISNUMBER($B606),$B606,"")))</f>
        <v/>
      </c>
      <c r="Y606" s="34">
        <f>IF($T606="","",$O606+ROW()/1000000)</f>
        <v/>
      </c>
      <c r="Z606" s="35">
        <f>IF(OR($A606="",$C606="",$C606&lt;&gt;'売掛帳'!$B$3,NOT(ISNUMBER($X606))),"",IF(AND($X606&gt;='売掛帳'!$Q$3,$X606&lt;='売掛帳'!$Q$4),$X606+ROW()/10000000,""))</f>
        <v/>
      </c>
    </row>
    <row r="607" ht="18" customHeight="1">
      <c r="A607" s="18" t="n"/>
      <c r="B607" s="26" t="n"/>
      <c r="C607" s="18" t="n"/>
      <c r="D607" s="20">
        <f>IF($W607="","",IF($W607="なし","※得意先にないコード",INDEX('得意先'!$C$5:$C$104,$W607)&amp;""))</f>
        <v/>
      </c>
      <c r="E607" s="26" t="n"/>
      <c r="F607" s="19" t="n"/>
      <c r="G607" s="27" t="n"/>
      <c r="H607" s="27" t="n"/>
      <c r="I607" s="27" t="n"/>
      <c r="J607" s="28">
        <f>IF($A607="","",IF('設定'!$B$10="四捨五入",ROUND(IF('設定'!$B$9="税込",N($G607)*10/110,N($G607)*10/100),0),IF('設定'!$B$10="切り上げ",ROUNDUP(IF('設定'!$B$9="税込",N($G607)*10/110,N($G607)*10/100),0),ROUNDDOWN(IF('設定'!$B$9="税込",N($G607)*10/110,N($G607)*10/100),0))))</f>
        <v/>
      </c>
      <c r="K607" s="28">
        <f>IF($A607="","",IF('設定'!$B$10="四捨五入",ROUND(IF('設定'!$B$9="税込",N($H607)*8/108,N($H607)*8/100),0),IF('設定'!$B$10="切り上げ",ROUNDUP(IF('設定'!$B$9="税込",N($H607)*8/108,N($H607)*8/100),0),ROUNDDOWN(IF('設定'!$B$9="税込",N($H607)*8/108,N($H607)*8/100),0))))</f>
        <v/>
      </c>
      <c r="L607" s="28">
        <f>IF($A607="","",N($G607)+N($H607)+N($I607)+IF('設定'!$B$9="税込",0,$J607+$K607))</f>
        <v/>
      </c>
      <c r="M607" s="29">
        <f>IF(OR($A607="",NOT(ISNUMBER($W607)),NOT(ISNUMBER($X607))),"",IF(OR(INDEX('得意先'!$D$5:$D$104,$W607)="",INDEX('得意先'!$E$5:$E$104,$W607)="",INDEX('得意先'!$F$5:$F$104,$W607)=""),"",IF(INDEX('得意先'!$F$5:$F$104,$W607)="末",DATE(YEAR($X607),(MONTH($X607)+IF(INDEX('得意先'!$D$5:$D$104,$W607)="末",0,IF(DAY($X607)&lt;=INDEX('得意先'!$D$5:$D$104,$W607),0,1))+N(INDEX('得意先'!$E$5:$E$104,$W607)))+1,0),DATE(YEAR($X607),(MONTH($X607)+IF(INDEX('得意先'!$D$5:$D$104,$W607)="末",0,IF(DAY($X607)&lt;=INDEX('得意先'!$D$5:$D$104,$W607),0,1))+N(INDEX('得意先'!$E$5:$E$104,$W607))),MIN(INDEX('得意先'!$F$5:$F$104,$W607),DAY(DATE(YEAR($X607),(MONTH($X607)+IF(INDEX('得意先'!$D$5:$D$104,$W607)="末",0,IF(DAY($X607)&lt;=INDEX('得意先'!$D$5:$D$104,$W607),0,1))+N(INDEX('得意先'!$E$5:$E$104,$W607)))+1,0)))))))</f>
        <v/>
      </c>
      <c r="N607" s="26" t="n"/>
      <c r="O607" s="29">
        <f>IF($A607="","",IF(ISNUMBER($N607),$N607,$M607))</f>
        <v/>
      </c>
      <c r="P607" s="28">
        <f>IF($A607="","",SUMIF('入金消込'!$F$5:$F$1004,$A607,'入金消込'!$G$5:$G$1004))</f>
        <v/>
      </c>
      <c r="Q607" s="28">
        <f>IF($A607="","",SUMIF('入金消込'!$F$5:$F$1004,$A607,'入金消込'!$H$5:$H$1004)+SUMIF('入金消込'!$F$5:$F$1004,$A607,'入金消込'!$I$5:$I$1004))</f>
        <v/>
      </c>
      <c r="R607" s="28">
        <f>IF($A607="","",$L607-$P607-$Q607)</f>
        <v/>
      </c>
      <c r="S607" s="30">
        <f>IF($A607="","",IF($R607=0,IF($L607=0,"請求額0","回収済"),IF($L607&lt;0,IF($R607&lt;0,"差し引き待ち","差し引きすぎ"),IF($R607&lt;0,"入金が多い",IF($P607+$Q607=0,"未入金","一部入金")))))</f>
        <v/>
      </c>
      <c r="T607" s="31">
        <f>IF(OR($A607="",N($R607)&lt;=0,NOT(ISNUMBER($O607))),"",IF($O607&lt;'設定'!$B$7,'設定'!$B$7-$O607,""))</f>
        <v/>
      </c>
      <c r="U607" s="30">
        <f>IF(OR($A607="",N($R607)&lt;=0),"",IF(NOT(ISNUMBER($O607)),'設定'!$B$22,IF($O607&gt;='設定'!$B$7,'設定'!$B$17,IF('設定'!$B$7-$O607&lt;='設定'!$B$12,'設定'!$B$18,IF('設定'!$B$7-$O607&lt;='設定'!$B$13,'設定'!$B$19,IF('設定'!$B$7-$O607&lt;='設定'!$B$14,'設定'!$B$20,'設定'!$B$21))))))</f>
        <v/>
      </c>
      <c r="V607" s="56" t="n"/>
      <c r="W607" s="32">
        <f>IF($C607="","",IFERROR(MATCH($C607,'得意先'!$B$5:$B$104,0),"なし"))</f>
        <v/>
      </c>
      <c r="X607" s="33">
        <f>IF($A607="","",IF(ISNUMBER($E607),$E607,IF(ISNUMBER($B607),$B607,"")))</f>
        <v/>
      </c>
      <c r="Y607" s="34">
        <f>IF($T607="","",$O607+ROW()/1000000)</f>
        <v/>
      </c>
      <c r="Z607" s="35">
        <f>IF(OR($A607="",$C607="",$C607&lt;&gt;'売掛帳'!$B$3,NOT(ISNUMBER($X607))),"",IF(AND($X607&gt;='売掛帳'!$Q$3,$X607&lt;='売掛帳'!$Q$4),$X607+ROW()/10000000,""))</f>
        <v/>
      </c>
    </row>
    <row r="608" ht="18" customHeight="1">
      <c r="A608" s="18" t="n"/>
      <c r="B608" s="26" t="n"/>
      <c r="C608" s="18" t="n"/>
      <c r="D608" s="20">
        <f>IF($W608="","",IF($W608="なし","※得意先にないコード",INDEX('得意先'!$C$5:$C$104,$W608)&amp;""))</f>
        <v/>
      </c>
      <c r="E608" s="26" t="n"/>
      <c r="F608" s="19" t="n"/>
      <c r="G608" s="27" t="n"/>
      <c r="H608" s="27" t="n"/>
      <c r="I608" s="27" t="n"/>
      <c r="J608" s="28">
        <f>IF($A608="","",IF('設定'!$B$10="四捨五入",ROUND(IF('設定'!$B$9="税込",N($G608)*10/110,N($G608)*10/100),0),IF('設定'!$B$10="切り上げ",ROUNDUP(IF('設定'!$B$9="税込",N($G608)*10/110,N($G608)*10/100),0),ROUNDDOWN(IF('設定'!$B$9="税込",N($G608)*10/110,N($G608)*10/100),0))))</f>
        <v/>
      </c>
      <c r="K608" s="28">
        <f>IF($A608="","",IF('設定'!$B$10="四捨五入",ROUND(IF('設定'!$B$9="税込",N($H608)*8/108,N($H608)*8/100),0),IF('設定'!$B$10="切り上げ",ROUNDUP(IF('設定'!$B$9="税込",N($H608)*8/108,N($H608)*8/100),0),ROUNDDOWN(IF('設定'!$B$9="税込",N($H608)*8/108,N($H608)*8/100),0))))</f>
        <v/>
      </c>
      <c r="L608" s="28">
        <f>IF($A608="","",N($G608)+N($H608)+N($I608)+IF('設定'!$B$9="税込",0,$J608+$K608))</f>
        <v/>
      </c>
      <c r="M608" s="29">
        <f>IF(OR($A608="",NOT(ISNUMBER($W608)),NOT(ISNUMBER($X608))),"",IF(OR(INDEX('得意先'!$D$5:$D$104,$W608)="",INDEX('得意先'!$E$5:$E$104,$W608)="",INDEX('得意先'!$F$5:$F$104,$W608)=""),"",IF(INDEX('得意先'!$F$5:$F$104,$W608)="末",DATE(YEAR($X608),(MONTH($X608)+IF(INDEX('得意先'!$D$5:$D$104,$W608)="末",0,IF(DAY($X608)&lt;=INDEX('得意先'!$D$5:$D$104,$W608),0,1))+N(INDEX('得意先'!$E$5:$E$104,$W608)))+1,0),DATE(YEAR($X608),(MONTH($X608)+IF(INDEX('得意先'!$D$5:$D$104,$W608)="末",0,IF(DAY($X608)&lt;=INDEX('得意先'!$D$5:$D$104,$W608),0,1))+N(INDEX('得意先'!$E$5:$E$104,$W608))),MIN(INDEX('得意先'!$F$5:$F$104,$W608),DAY(DATE(YEAR($X608),(MONTH($X608)+IF(INDEX('得意先'!$D$5:$D$104,$W608)="末",0,IF(DAY($X608)&lt;=INDEX('得意先'!$D$5:$D$104,$W608),0,1))+N(INDEX('得意先'!$E$5:$E$104,$W608)))+1,0)))))))</f>
        <v/>
      </c>
      <c r="N608" s="26" t="n"/>
      <c r="O608" s="29">
        <f>IF($A608="","",IF(ISNUMBER($N608),$N608,$M608))</f>
        <v/>
      </c>
      <c r="P608" s="28">
        <f>IF($A608="","",SUMIF('入金消込'!$F$5:$F$1004,$A608,'入金消込'!$G$5:$G$1004))</f>
        <v/>
      </c>
      <c r="Q608" s="28">
        <f>IF($A608="","",SUMIF('入金消込'!$F$5:$F$1004,$A608,'入金消込'!$H$5:$H$1004)+SUMIF('入金消込'!$F$5:$F$1004,$A608,'入金消込'!$I$5:$I$1004))</f>
        <v/>
      </c>
      <c r="R608" s="28">
        <f>IF($A608="","",$L608-$P608-$Q608)</f>
        <v/>
      </c>
      <c r="S608" s="30">
        <f>IF($A608="","",IF($R608=0,IF($L608=0,"請求額0","回収済"),IF($L608&lt;0,IF($R608&lt;0,"差し引き待ち","差し引きすぎ"),IF($R608&lt;0,"入金が多い",IF($P608+$Q608=0,"未入金","一部入金")))))</f>
        <v/>
      </c>
      <c r="T608" s="31">
        <f>IF(OR($A608="",N($R608)&lt;=0,NOT(ISNUMBER($O608))),"",IF($O608&lt;'設定'!$B$7,'設定'!$B$7-$O608,""))</f>
        <v/>
      </c>
      <c r="U608" s="30">
        <f>IF(OR($A608="",N($R608)&lt;=0),"",IF(NOT(ISNUMBER($O608)),'設定'!$B$22,IF($O608&gt;='設定'!$B$7,'設定'!$B$17,IF('設定'!$B$7-$O608&lt;='設定'!$B$12,'設定'!$B$18,IF('設定'!$B$7-$O608&lt;='設定'!$B$13,'設定'!$B$19,IF('設定'!$B$7-$O608&lt;='設定'!$B$14,'設定'!$B$20,'設定'!$B$21))))))</f>
        <v/>
      </c>
      <c r="V608" s="56" t="n"/>
      <c r="W608" s="32">
        <f>IF($C608="","",IFERROR(MATCH($C608,'得意先'!$B$5:$B$104,0),"なし"))</f>
        <v/>
      </c>
      <c r="X608" s="33">
        <f>IF($A608="","",IF(ISNUMBER($E608),$E608,IF(ISNUMBER($B608),$B608,"")))</f>
        <v/>
      </c>
      <c r="Y608" s="34">
        <f>IF($T608="","",$O608+ROW()/1000000)</f>
        <v/>
      </c>
      <c r="Z608" s="35">
        <f>IF(OR($A608="",$C608="",$C608&lt;&gt;'売掛帳'!$B$3,NOT(ISNUMBER($X608))),"",IF(AND($X608&gt;='売掛帳'!$Q$3,$X608&lt;='売掛帳'!$Q$4),$X608+ROW()/10000000,""))</f>
        <v/>
      </c>
    </row>
    <row r="609" ht="18" customHeight="1">
      <c r="A609" s="18" t="n"/>
      <c r="B609" s="26" t="n"/>
      <c r="C609" s="18" t="n"/>
      <c r="D609" s="20">
        <f>IF($W609="","",IF($W609="なし","※得意先にないコード",INDEX('得意先'!$C$5:$C$104,$W609)&amp;""))</f>
        <v/>
      </c>
      <c r="E609" s="26" t="n"/>
      <c r="F609" s="19" t="n"/>
      <c r="G609" s="27" t="n"/>
      <c r="H609" s="27" t="n"/>
      <c r="I609" s="27" t="n"/>
      <c r="J609" s="28">
        <f>IF($A609="","",IF('設定'!$B$10="四捨五入",ROUND(IF('設定'!$B$9="税込",N($G609)*10/110,N($G609)*10/100),0),IF('設定'!$B$10="切り上げ",ROUNDUP(IF('設定'!$B$9="税込",N($G609)*10/110,N($G609)*10/100),0),ROUNDDOWN(IF('設定'!$B$9="税込",N($G609)*10/110,N($G609)*10/100),0))))</f>
        <v/>
      </c>
      <c r="K609" s="28">
        <f>IF($A609="","",IF('設定'!$B$10="四捨五入",ROUND(IF('設定'!$B$9="税込",N($H609)*8/108,N($H609)*8/100),0),IF('設定'!$B$10="切り上げ",ROUNDUP(IF('設定'!$B$9="税込",N($H609)*8/108,N($H609)*8/100),0),ROUNDDOWN(IF('設定'!$B$9="税込",N($H609)*8/108,N($H609)*8/100),0))))</f>
        <v/>
      </c>
      <c r="L609" s="28">
        <f>IF($A609="","",N($G609)+N($H609)+N($I609)+IF('設定'!$B$9="税込",0,$J609+$K609))</f>
        <v/>
      </c>
      <c r="M609" s="29">
        <f>IF(OR($A609="",NOT(ISNUMBER($W609)),NOT(ISNUMBER($X609))),"",IF(OR(INDEX('得意先'!$D$5:$D$104,$W609)="",INDEX('得意先'!$E$5:$E$104,$W609)="",INDEX('得意先'!$F$5:$F$104,$W609)=""),"",IF(INDEX('得意先'!$F$5:$F$104,$W609)="末",DATE(YEAR($X609),(MONTH($X609)+IF(INDEX('得意先'!$D$5:$D$104,$W609)="末",0,IF(DAY($X609)&lt;=INDEX('得意先'!$D$5:$D$104,$W609),0,1))+N(INDEX('得意先'!$E$5:$E$104,$W609)))+1,0),DATE(YEAR($X609),(MONTH($X609)+IF(INDEX('得意先'!$D$5:$D$104,$W609)="末",0,IF(DAY($X609)&lt;=INDEX('得意先'!$D$5:$D$104,$W609),0,1))+N(INDEX('得意先'!$E$5:$E$104,$W609))),MIN(INDEX('得意先'!$F$5:$F$104,$W609),DAY(DATE(YEAR($X609),(MONTH($X609)+IF(INDEX('得意先'!$D$5:$D$104,$W609)="末",0,IF(DAY($X609)&lt;=INDEX('得意先'!$D$5:$D$104,$W609),0,1))+N(INDEX('得意先'!$E$5:$E$104,$W609)))+1,0)))))))</f>
        <v/>
      </c>
      <c r="N609" s="26" t="n"/>
      <c r="O609" s="29">
        <f>IF($A609="","",IF(ISNUMBER($N609),$N609,$M609))</f>
        <v/>
      </c>
      <c r="P609" s="28">
        <f>IF($A609="","",SUMIF('入金消込'!$F$5:$F$1004,$A609,'入金消込'!$G$5:$G$1004))</f>
        <v/>
      </c>
      <c r="Q609" s="28">
        <f>IF($A609="","",SUMIF('入金消込'!$F$5:$F$1004,$A609,'入金消込'!$H$5:$H$1004)+SUMIF('入金消込'!$F$5:$F$1004,$A609,'入金消込'!$I$5:$I$1004))</f>
        <v/>
      </c>
      <c r="R609" s="28">
        <f>IF($A609="","",$L609-$P609-$Q609)</f>
        <v/>
      </c>
      <c r="S609" s="30">
        <f>IF($A609="","",IF($R609=0,IF($L609=0,"請求額0","回収済"),IF($L609&lt;0,IF($R609&lt;0,"差し引き待ち","差し引きすぎ"),IF($R609&lt;0,"入金が多い",IF($P609+$Q609=0,"未入金","一部入金")))))</f>
        <v/>
      </c>
      <c r="T609" s="31">
        <f>IF(OR($A609="",N($R609)&lt;=0,NOT(ISNUMBER($O609))),"",IF($O609&lt;'設定'!$B$7,'設定'!$B$7-$O609,""))</f>
        <v/>
      </c>
      <c r="U609" s="30">
        <f>IF(OR($A609="",N($R609)&lt;=0),"",IF(NOT(ISNUMBER($O609)),'設定'!$B$22,IF($O609&gt;='設定'!$B$7,'設定'!$B$17,IF('設定'!$B$7-$O609&lt;='設定'!$B$12,'設定'!$B$18,IF('設定'!$B$7-$O609&lt;='設定'!$B$13,'設定'!$B$19,IF('設定'!$B$7-$O609&lt;='設定'!$B$14,'設定'!$B$20,'設定'!$B$21))))))</f>
        <v/>
      </c>
      <c r="V609" s="56" t="n"/>
      <c r="W609" s="32">
        <f>IF($C609="","",IFERROR(MATCH($C609,'得意先'!$B$5:$B$104,0),"なし"))</f>
        <v/>
      </c>
      <c r="X609" s="33">
        <f>IF($A609="","",IF(ISNUMBER($E609),$E609,IF(ISNUMBER($B609),$B609,"")))</f>
        <v/>
      </c>
      <c r="Y609" s="34">
        <f>IF($T609="","",$O609+ROW()/1000000)</f>
        <v/>
      </c>
      <c r="Z609" s="35">
        <f>IF(OR($A609="",$C609="",$C609&lt;&gt;'売掛帳'!$B$3,NOT(ISNUMBER($X609))),"",IF(AND($X609&gt;='売掛帳'!$Q$3,$X609&lt;='売掛帳'!$Q$4),$X609+ROW()/10000000,""))</f>
        <v/>
      </c>
    </row>
    <row r="610" ht="18" customHeight="1">
      <c r="A610" s="18" t="n"/>
      <c r="B610" s="26" t="n"/>
      <c r="C610" s="18" t="n"/>
      <c r="D610" s="20">
        <f>IF($W610="","",IF($W610="なし","※得意先にないコード",INDEX('得意先'!$C$5:$C$104,$W610)&amp;""))</f>
        <v/>
      </c>
      <c r="E610" s="26" t="n"/>
      <c r="F610" s="19" t="n"/>
      <c r="G610" s="27" t="n"/>
      <c r="H610" s="27" t="n"/>
      <c r="I610" s="27" t="n"/>
      <c r="J610" s="28">
        <f>IF($A610="","",IF('設定'!$B$10="四捨五入",ROUND(IF('設定'!$B$9="税込",N($G610)*10/110,N($G610)*10/100),0),IF('設定'!$B$10="切り上げ",ROUNDUP(IF('設定'!$B$9="税込",N($G610)*10/110,N($G610)*10/100),0),ROUNDDOWN(IF('設定'!$B$9="税込",N($G610)*10/110,N($G610)*10/100),0))))</f>
        <v/>
      </c>
      <c r="K610" s="28">
        <f>IF($A610="","",IF('設定'!$B$10="四捨五入",ROUND(IF('設定'!$B$9="税込",N($H610)*8/108,N($H610)*8/100),0),IF('設定'!$B$10="切り上げ",ROUNDUP(IF('設定'!$B$9="税込",N($H610)*8/108,N($H610)*8/100),0),ROUNDDOWN(IF('設定'!$B$9="税込",N($H610)*8/108,N($H610)*8/100),0))))</f>
        <v/>
      </c>
      <c r="L610" s="28">
        <f>IF($A610="","",N($G610)+N($H610)+N($I610)+IF('設定'!$B$9="税込",0,$J610+$K610))</f>
        <v/>
      </c>
      <c r="M610" s="29">
        <f>IF(OR($A610="",NOT(ISNUMBER($W610)),NOT(ISNUMBER($X610))),"",IF(OR(INDEX('得意先'!$D$5:$D$104,$W610)="",INDEX('得意先'!$E$5:$E$104,$W610)="",INDEX('得意先'!$F$5:$F$104,$W610)=""),"",IF(INDEX('得意先'!$F$5:$F$104,$W610)="末",DATE(YEAR($X610),(MONTH($X610)+IF(INDEX('得意先'!$D$5:$D$104,$W610)="末",0,IF(DAY($X610)&lt;=INDEX('得意先'!$D$5:$D$104,$W610),0,1))+N(INDEX('得意先'!$E$5:$E$104,$W610)))+1,0),DATE(YEAR($X610),(MONTH($X610)+IF(INDEX('得意先'!$D$5:$D$104,$W610)="末",0,IF(DAY($X610)&lt;=INDEX('得意先'!$D$5:$D$104,$W610),0,1))+N(INDEX('得意先'!$E$5:$E$104,$W610))),MIN(INDEX('得意先'!$F$5:$F$104,$W610),DAY(DATE(YEAR($X610),(MONTH($X610)+IF(INDEX('得意先'!$D$5:$D$104,$W610)="末",0,IF(DAY($X610)&lt;=INDEX('得意先'!$D$5:$D$104,$W610),0,1))+N(INDEX('得意先'!$E$5:$E$104,$W610)))+1,0)))))))</f>
        <v/>
      </c>
      <c r="N610" s="26" t="n"/>
      <c r="O610" s="29">
        <f>IF($A610="","",IF(ISNUMBER($N610),$N610,$M610))</f>
        <v/>
      </c>
      <c r="P610" s="28">
        <f>IF($A610="","",SUMIF('入金消込'!$F$5:$F$1004,$A610,'入金消込'!$G$5:$G$1004))</f>
        <v/>
      </c>
      <c r="Q610" s="28">
        <f>IF($A610="","",SUMIF('入金消込'!$F$5:$F$1004,$A610,'入金消込'!$H$5:$H$1004)+SUMIF('入金消込'!$F$5:$F$1004,$A610,'入金消込'!$I$5:$I$1004))</f>
        <v/>
      </c>
      <c r="R610" s="28">
        <f>IF($A610="","",$L610-$P610-$Q610)</f>
        <v/>
      </c>
      <c r="S610" s="30">
        <f>IF($A610="","",IF($R610=0,IF($L610=0,"請求額0","回収済"),IF($L610&lt;0,IF($R610&lt;0,"差し引き待ち","差し引きすぎ"),IF($R610&lt;0,"入金が多い",IF($P610+$Q610=0,"未入金","一部入金")))))</f>
        <v/>
      </c>
      <c r="T610" s="31">
        <f>IF(OR($A610="",N($R610)&lt;=0,NOT(ISNUMBER($O610))),"",IF($O610&lt;'設定'!$B$7,'設定'!$B$7-$O610,""))</f>
        <v/>
      </c>
      <c r="U610" s="30">
        <f>IF(OR($A610="",N($R610)&lt;=0),"",IF(NOT(ISNUMBER($O610)),'設定'!$B$22,IF($O610&gt;='設定'!$B$7,'設定'!$B$17,IF('設定'!$B$7-$O610&lt;='設定'!$B$12,'設定'!$B$18,IF('設定'!$B$7-$O610&lt;='設定'!$B$13,'設定'!$B$19,IF('設定'!$B$7-$O610&lt;='設定'!$B$14,'設定'!$B$20,'設定'!$B$21))))))</f>
        <v/>
      </c>
      <c r="V610" s="56" t="n"/>
      <c r="W610" s="32">
        <f>IF($C610="","",IFERROR(MATCH($C610,'得意先'!$B$5:$B$104,0),"なし"))</f>
        <v/>
      </c>
      <c r="X610" s="33">
        <f>IF($A610="","",IF(ISNUMBER($E610),$E610,IF(ISNUMBER($B610),$B610,"")))</f>
        <v/>
      </c>
      <c r="Y610" s="34">
        <f>IF($T610="","",$O610+ROW()/1000000)</f>
        <v/>
      </c>
      <c r="Z610" s="35">
        <f>IF(OR($A610="",$C610="",$C610&lt;&gt;'売掛帳'!$B$3,NOT(ISNUMBER($X610))),"",IF(AND($X610&gt;='売掛帳'!$Q$3,$X610&lt;='売掛帳'!$Q$4),$X610+ROW()/10000000,""))</f>
        <v/>
      </c>
    </row>
    <row r="611" ht="18" customHeight="1">
      <c r="A611" s="18" t="n"/>
      <c r="B611" s="26" t="n"/>
      <c r="C611" s="18" t="n"/>
      <c r="D611" s="20">
        <f>IF($W611="","",IF($W611="なし","※得意先にないコード",INDEX('得意先'!$C$5:$C$104,$W611)&amp;""))</f>
        <v/>
      </c>
      <c r="E611" s="26" t="n"/>
      <c r="F611" s="19" t="n"/>
      <c r="G611" s="27" t="n"/>
      <c r="H611" s="27" t="n"/>
      <c r="I611" s="27" t="n"/>
      <c r="J611" s="28">
        <f>IF($A611="","",IF('設定'!$B$10="四捨五入",ROUND(IF('設定'!$B$9="税込",N($G611)*10/110,N($G611)*10/100),0),IF('設定'!$B$10="切り上げ",ROUNDUP(IF('設定'!$B$9="税込",N($G611)*10/110,N($G611)*10/100),0),ROUNDDOWN(IF('設定'!$B$9="税込",N($G611)*10/110,N($G611)*10/100),0))))</f>
        <v/>
      </c>
      <c r="K611" s="28">
        <f>IF($A611="","",IF('設定'!$B$10="四捨五入",ROUND(IF('設定'!$B$9="税込",N($H611)*8/108,N($H611)*8/100),0),IF('設定'!$B$10="切り上げ",ROUNDUP(IF('設定'!$B$9="税込",N($H611)*8/108,N($H611)*8/100),0),ROUNDDOWN(IF('設定'!$B$9="税込",N($H611)*8/108,N($H611)*8/100),0))))</f>
        <v/>
      </c>
      <c r="L611" s="28">
        <f>IF($A611="","",N($G611)+N($H611)+N($I611)+IF('設定'!$B$9="税込",0,$J611+$K611))</f>
        <v/>
      </c>
      <c r="M611" s="29">
        <f>IF(OR($A611="",NOT(ISNUMBER($W611)),NOT(ISNUMBER($X611))),"",IF(OR(INDEX('得意先'!$D$5:$D$104,$W611)="",INDEX('得意先'!$E$5:$E$104,$W611)="",INDEX('得意先'!$F$5:$F$104,$W611)=""),"",IF(INDEX('得意先'!$F$5:$F$104,$W611)="末",DATE(YEAR($X611),(MONTH($X611)+IF(INDEX('得意先'!$D$5:$D$104,$W611)="末",0,IF(DAY($X611)&lt;=INDEX('得意先'!$D$5:$D$104,$W611),0,1))+N(INDEX('得意先'!$E$5:$E$104,$W611)))+1,0),DATE(YEAR($X611),(MONTH($X611)+IF(INDEX('得意先'!$D$5:$D$104,$W611)="末",0,IF(DAY($X611)&lt;=INDEX('得意先'!$D$5:$D$104,$W611),0,1))+N(INDEX('得意先'!$E$5:$E$104,$W611))),MIN(INDEX('得意先'!$F$5:$F$104,$W611),DAY(DATE(YEAR($X611),(MONTH($X611)+IF(INDEX('得意先'!$D$5:$D$104,$W611)="末",0,IF(DAY($X611)&lt;=INDEX('得意先'!$D$5:$D$104,$W611),0,1))+N(INDEX('得意先'!$E$5:$E$104,$W611)))+1,0)))))))</f>
        <v/>
      </c>
      <c r="N611" s="26" t="n"/>
      <c r="O611" s="29">
        <f>IF($A611="","",IF(ISNUMBER($N611),$N611,$M611))</f>
        <v/>
      </c>
      <c r="P611" s="28">
        <f>IF($A611="","",SUMIF('入金消込'!$F$5:$F$1004,$A611,'入金消込'!$G$5:$G$1004))</f>
        <v/>
      </c>
      <c r="Q611" s="28">
        <f>IF($A611="","",SUMIF('入金消込'!$F$5:$F$1004,$A611,'入金消込'!$H$5:$H$1004)+SUMIF('入金消込'!$F$5:$F$1004,$A611,'入金消込'!$I$5:$I$1004))</f>
        <v/>
      </c>
      <c r="R611" s="28">
        <f>IF($A611="","",$L611-$P611-$Q611)</f>
        <v/>
      </c>
      <c r="S611" s="30">
        <f>IF($A611="","",IF($R611=0,IF($L611=0,"請求額0","回収済"),IF($L611&lt;0,IF($R611&lt;0,"差し引き待ち","差し引きすぎ"),IF($R611&lt;0,"入金が多い",IF($P611+$Q611=0,"未入金","一部入金")))))</f>
        <v/>
      </c>
      <c r="T611" s="31">
        <f>IF(OR($A611="",N($R611)&lt;=0,NOT(ISNUMBER($O611))),"",IF($O611&lt;'設定'!$B$7,'設定'!$B$7-$O611,""))</f>
        <v/>
      </c>
      <c r="U611" s="30">
        <f>IF(OR($A611="",N($R611)&lt;=0),"",IF(NOT(ISNUMBER($O611)),'設定'!$B$22,IF($O611&gt;='設定'!$B$7,'設定'!$B$17,IF('設定'!$B$7-$O611&lt;='設定'!$B$12,'設定'!$B$18,IF('設定'!$B$7-$O611&lt;='設定'!$B$13,'設定'!$B$19,IF('設定'!$B$7-$O611&lt;='設定'!$B$14,'設定'!$B$20,'設定'!$B$21))))))</f>
        <v/>
      </c>
      <c r="V611" s="56" t="n"/>
      <c r="W611" s="32">
        <f>IF($C611="","",IFERROR(MATCH($C611,'得意先'!$B$5:$B$104,0),"なし"))</f>
        <v/>
      </c>
      <c r="X611" s="33">
        <f>IF($A611="","",IF(ISNUMBER($E611),$E611,IF(ISNUMBER($B611),$B611,"")))</f>
        <v/>
      </c>
      <c r="Y611" s="34">
        <f>IF($T611="","",$O611+ROW()/1000000)</f>
        <v/>
      </c>
      <c r="Z611" s="35">
        <f>IF(OR($A611="",$C611="",$C611&lt;&gt;'売掛帳'!$B$3,NOT(ISNUMBER($X611))),"",IF(AND($X611&gt;='売掛帳'!$Q$3,$X611&lt;='売掛帳'!$Q$4),$X611+ROW()/10000000,""))</f>
        <v/>
      </c>
    </row>
    <row r="612" ht="18" customHeight="1">
      <c r="A612" s="18" t="n"/>
      <c r="B612" s="26" t="n"/>
      <c r="C612" s="18" t="n"/>
      <c r="D612" s="20">
        <f>IF($W612="","",IF($W612="なし","※得意先にないコード",INDEX('得意先'!$C$5:$C$104,$W612)&amp;""))</f>
        <v/>
      </c>
      <c r="E612" s="26" t="n"/>
      <c r="F612" s="19" t="n"/>
      <c r="G612" s="27" t="n"/>
      <c r="H612" s="27" t="n"/>
      <c r="I612" s="27" t="n"/>
      <c r="J612" s="28">
        <f>IF($A612="","",IF('設定'!$B$10="四捨五入",ROUND(IF('設定'!$B$9="税込",N($G612)*10/110,N($G612)*10/100),0),IF('設定'!$B$10="切り上げ",ROUNDUP(IF('設定'!$B$9="税込",N($G612)*10/110,N($G612)*10/100),0),ROUNDDOWN(IF('設定'!$B$9="税込",N($G612)*10/110,N($G612)*10/100),0))))</f>
        <v/>
      </c>
      <c r="K612" s="28">
        <f>IF($A612="","",IF('設定'!$B$10="四捨五入",ROUND(IF('設定'!$B$9="税込",N($H612)*8/108,N($H612)*8/100),0),IF('設定'!$B$10="切り上げ",ROUNDUP(IF('設定'!$B$9="税込",N($H612)*8/108,N($H612)*8/100),0),ROUNDDOWN(IF('設定'!$B$9="税込",N($H612)*8/108,N($H612)*8/100),0))))</f>
        <v/>
      </c>
      <c r="L612" s="28">
        <f>IF($A612="","",N($G612)+N($H612)+N($I612)+IF('設定'!$B$9="税込",0,$J612+$K612))</f>
        <v/>
      </c>
      <c r="M612" s="29">
        <f>IF(OR($A612="",NOT(ISNUMBER($W612)),NOT(ISNUMBER($X612))),"",IF(OR(INDEX('得意先'!$D$5:$D$104,$W612)="",INDEX('得意先'!$E$5:$E$104,$W612)="",INDEX('得意先'!$F$5:$F$104,$W612)=""),"",IF(INDEX('得意先'!$F$5:$F$104,$W612)="末",DATE(YEAR($X612),(MONTH($X612)+IF(INDEX('得意先'!$D$5:$D$104,$W612)="末",0,IF(DAY($X612)&lt;=INDEX('得意先'!$D$5:$D$104,$W612),0,1))+N(INDEX('得意先'!$E$5:$E$104,$W612)))+1,0),DATE(YEAR($X612),(MONTH($X612)+IF(INDEX('得意先'!$D$5:$D$104,$W612)="末",0,IF(DAY($X612)&lt;=INDEX('得意先'!$D$5:$D$104,$W612),0,1))+N(INDEX('得意先'!$E$5:$E$104,$W612))),MIN(INDEX('得意先'!$F$5:$F$104,$W612),DAY(DATE(YEAR($X612),(MONTH($X612)+IF(INDEX('得意先'!$D$5:$D$104,$W612)="末",0,IF(DAY($X612)&lt;=INDEX('得意先'!$D$5:$D$104,$W612),0,1))+N(INDEX('得意先'!$E$5:$E$104,$W612)))+1,0)))))))</f>
        <v/>
      </c>
      <c r="N612" s="26" t="n"/>
      <c r="O612" s="29">
        <f>IF($A612="","",IF(ISNUMBER($N612),$N612,$M612))</f>
        <v/>
      </c>
      <c r="P612" s="28">
        <f>IF($A612="","",SUMIF('入金消込'!$F$5:$F$1004,$A612,'入金消込'!$G$5:$G$1004))</f>
        <v/>
      </c>
      <c r="Q612" s="28">
        <f>IF($A612="","",SUMIF('入金消込'!$F$5:$F$1004,$A612,'入金消込'!$H$5:$H$1004)+SUMIF('入金消込'!$F$5:$F$1004,$A612,'入金消込'!$I$5:$I$1004))</f>
        <v/>
      </c>
      <c r="R612" s="28">
        <f>IF($A612="","",$L612-$P612-$Q612)</f>
        <v/>
      </c>
      <c r="S612" s="30">
        <f>IF($A612="","",IF($R612=0,IF($L612=0,"請求額0","回収済"),IF($L612&lt;0,IF($R612&lt;0,"差し引き待ち","差し引きすぎ"),IF($R612&lt;0,"入金が多い",IF($P612+$Q612=0,"未入金","一部入金")))))</f>
        <v/>
      </c>
      <c r="T612" s="31">
        <f>IF(OR($A612="",N($R612)&lt;=0,NOT(ISNUMBER($O612))),"",IF($O612&lt;'設定'!$B$7,'設定'!$B$7-$O612,""))</f>
        <v/>
      </c>
      <c r="U612" s="30">
        <f>IF(OR($A612="",N($R612)&lt;=0),"",IF(NOT(ISNUMBER($O612)),'設定'!$B$22,IF($O612&gt;='設定'!$B$7,'設定'!$B$17,IF('設定'!$B$7-$O612&lt;='設定'!$B$12,'設定'!$B$18,IF('設定'!$B$7-$O612&lt;='設定'!$B$13,'設定'!$B$19,IF('設定'!$B$7-$O612&lt;='設定'!$B$14,'設定'!$B$20,'設定'!$B$21))))))</f>
        <v/>
      </c>
      <c r="V612" s="56" t="n"/>
      <c r="W612" s="32">
        <f>IF($C612="","",IFERROR(MATCH($C612,'得意先'!$B$5:$B$104,0),"なし"))</f>
        <v/>
      </c>
      <c r="X612" s="33">
        <f>IF($A612="","",IF(ISNUMBER($E612),$E612,IF(ISNUMBER($B612),$B612,"")))</f>
        <v/>
      </c>
      <c r="Y612" s="34">
        <f>IF($T612="","",$O612+ROW()/1000000)</f>
        <v/>
      </c>
      <c r="Z612" s="35">
        <f>IF(OR($A612="",$C612="",$C612&lt;&gt;'売掛帳'!$B$3,NOT(ISNUMBER($X612))),"",IF(AND($X612&gt;='売掛帳'!$Q$3,$X612&lt;='売掛帳'!$Q$4),$X612+ROW()/10000000,""))</f>
        <v/>
      </c>
    </row>
    <row r="613" ht="18" customHeight="1">
      <c r="A613" s="18" t="n"/>
      <c r="B613" s="26" t="n"/>
      <c r="C613" s="18" t="n"/>
      <c r="D613" s="20">
        <f>IF($W613="","",IF($W613="なし","※得意先にないコード",INDEX('得意先'!$C$5:$C$104,$W613)&amp;""))</f>
        <v/>
      </c>
      <c r="E613" s="26" t="n"/>
      <c r="F613" s="19" t="n"/>
      <c r="G613" s="27" t="n"/>
      <c r="H613" s="27" t="n"/>
      <c r="I613" s="27" t="n"/>
      <c r="J613" s="28">
        <f>IF($A613="","",IF('設定'!$B$10="四捨五入",ROUND(IF('設定'!$B$9="税込",N($G613)*10/110,N($G613)*10/100),0),IF('設定'!$B$10="切り上げ",ROUNDUP(IF('設定'!$B$9="税込",N($G613)*10/110,N($G613)*10/100),0),ROUNDDOWN(IF('設定'!$B$9="税込",N($G613)*10/110,N($G613)*10/100),0))))</f>
        <v/>
      </c>
      <c r="K613" s="28">
        <f>IF($A613="","",IF('設定'!$B$10="四捨五入",ROUND(IF('設定'!$B$9="税込",N($H613)*8/108,N($H613)*8/100),0),IF('設定'!$B$10="切り上げ",ROUNDUP(IF('設定'!$B$9="税込",N($H613)*8/108,N($H613)*8/100),0),ROUNDDOWN(IF('設定'!$B$9="税込",N($H613)*8/108,N($H613)*8/100),0))))</f>
        <v/>
      </c>
      <c r="L613" s="28">
        <f>IF($A613="","",N($G613)+N($H613)+N($I613)+IF('設定'!$B$9="税込",0,$J613+$K613))</f>
        <v/>
      </c>
      <c r="M613" s="29">
        <f>IF(OR($A613="",NOT(ISNUMBER($W613)),NOT(ISNUMBER($X613))),"",IF(OR(INDEX('得意先'!$D$5:$D$104,$W613)="",INDEX('得意先'!$E$5:$E$104,$W613)="",INDEX('得意先'!$F$5:$F$104,$W613)=""),"",IF(INDEX('得意先'!$F$5:$F$104,$W613)="末",DATE(YEAR($X613),(MONTH($X613)+IF(INDEX('得意先'!$D$5:$D$104,$W613)="末",0,IF(DAY($X613)&lt;=INDEX('得意先'!$D$5:$D$104,$W613),0,1))+N(INDEX('得意先'!$E$5:$E$104,$W613)))+1,0),DATE(YEAR($X613),(MONTH($X613)+IF(INDEX('得意先'!$D$5:$D$104,$W613)="末",0,IF(DAY($X613)&lt;=INDEX('得意先'!$D$5:$D$104,$W613),0,1))+N(INDEX('得意先'!$E$5:$E$104,$W613))),MIN(INDEX('得意先'!$F$5:$F$104,$W613),DAY(DATE(YEAR($X613),(MONTH($X613)+IF(INDEX('得意先'!$D$5:$D$104,$W613)="末",0,IF(DAY($X613)&lt;=INDEX('得意先'!$D$5:$D$104,$W613),0,1))+N(INDEX('得意先'!$E$5:$E$104,$W613)))+1,0)))))))</f>
        <v/>
      </c>
      <c r="N613" s="26" t="n"/>
      <c r="O613" s="29">
        <f>IF($A613="","",IF(ISNUMBER($N613),$N613,$M613))</f>
        <v/>
      </c>
      <c r="P613" s="28">
        <f>IF($A613="","",SUMIF('入金消込'!$F$5:$F$1004,$A613,'入金消込'!$G$5:$G$1004))</f>
        <v/>
      </c>
      <c r="Q613" s="28">
        <f>IF($A613="","",SUMIF('入金消込'!$F$5:$F$1004,$A613,'入金消込'!$H$5:$H$1004)+SUMIF('入金消込'!$F$5:$F$1004,$A613,'入金消込'!$I$5:$I$1004))</f>
        <v/>
      </c>
      <c r="R613" s="28">
        <f>IF($A613="","",$L613-$P613-$Q613)</f>
        <v/>
      </c>
      <c r="S613" s="30">
        <f>IF($A613="","",IF($R613=0,IF($L613=0,"請求額0","回収済"),IF($L613&lt;0,IF($R613&lt;0,"差し引き待ち","差し引きすぎ"),IF($R613&lt;0,"入金が多い",IF($P613+$Q613=0,"未入金","一部入金")))))</f>
        <v/>
      </c>
      <c r="T613" s="31">
        <f>IF(OR($A613="",N($R613)&lt;=0,NOT(ISNUMBER($O613))),"",IF($O613&lt;'設定'!$B$7,'設定'!$B$7-$O613,""))</f>
        <v/>
      </c>
      <c r="U613" s="30">
        <f>IF(OR($A613="",N($R613)&lt;=0),"",IF(NOT(ISNUMBER($O613)),'設定'!$B$22,IF($O613&gt;='設定'!$B$7,'設定'!$B$17,IF('設定'!$B$7-$O613&lt;='設定'!$B$12,'設定'!$B$18,IF('設定'!$B$7-$O613&lt;='設定'!$B$13,'設定'!$B$19,IF('設定'!$B$7-$O613&lt;='設定'!$B$14,'設定'!$B$20,'設定'!$B$21))))))</f>
        <v/>
      </c>
      <c r="V613" s="56" t="n"/>
      <c r="W613" s="32">
        <f>IF($C613="","",IFERROR(MATCH($C613,'得意先'!$B$5:$B$104,0),"なし"))</f>
        <v/>
      </c>
      <c r="X613" s="33">
        <f>IF($A613="","",IF(ISNUMBER($E613),$E613,IF(ISNUMBER($B613),$B613,"")))</f>
        <v/>
      </c>
      <c r="Y613" s="34">
        <f>IF($T613="","",$O613+ROW()/1000000)</f>
        <v/>
      </c>
      <c r="Z613" s="35">
        <f>IF(OR($A613="",$C613="",$C613&lt;&gt;'売掛帳'!$B$3,NOT(ISNUMBER($X613))),"",IF(AND($X613&gt;='売掛帳'!$Q$3,$X613&lt;='売掛帳'!$Q$4),$X613+ROW()/10000000,""))</f>
        <v/>
      </c>
    </row>
    <row r="614" ht="18" customHeight="1">
      <c r="A614" s="18" t="n"/>
      <c r="B614" s="26" t="n"/>
      <c r="C614" s="18" t="n"/>
      <c r="D614" s="20">
        <f>IF($W614="","",IF($W614="なし","※得意先にないコード",INDEX('得意先'!$C$5:$C$104,$W614)&amp;""))</f>
        <v/>
      </c>
      <c r="E614" s="26" t="n"/>
      <c r="F614" s="19" t="n"/>
      <c r="G614" s="27" t="n"/>
      <c r="H614" s="27" t="n"/>
      <c r="I614" s="27" t="n"/>
      <c r="J614" s="28">
        <f>IF($A614="","",IF('設定'!$B$10="四捨五入",ROUND(IF('設定'!$B$9="税込",N($G614)*10/110,N($G614)*10/100),0),IF('設定'!$B$10="切り上げ",ROUNDUP(IF('設定'!$B$9="税込",N($G614)*10/110,N($G614)*10/100),0),ROUNDDOWN(IF('設定'!$B$9="税込",N($G614)*10/110,N($G614)*10/100),0))))</f>
        <v/>
      </c>
      <c r="K614" s="28">
        <f>IF($A614="","",IF('設定'!$B$10="四捨五入",ROUND(IF('設定'!$B$9="税込",N($H614)*8/108,N($H614)*8/100),0),IF('設定'!$B$10="切り上げ",ROUNDUP(IF('設定'!$B$9="税込",N($H614)*8/108,N($H614)*8/100),0),ROUNDDOWN(IF('設定'!$B$9="税込",N($H614)*8/108,N($H614)*8/100),0))))</f>
        <v/>
      </c>
      <c r="L614" s="28">
        <f>IF($A614="","",N($G614)+N($H614)+N($I614)+IF('設定'!$B$9="税込",0,$J614+$K614))</f>
        <v/>
      </c>
      <c r="M614" s="29">
        <f>IF(OR($A614="",NOT(ISNUMBER($W614)),NOT(ISNUMBER($X614))),"",IF(OR(INDEX('得意先'!$D$5:$D$104,$W614)="",INDEX('得意先'!$E$5:$E$104,$W614)="",INDEX('得意先'!$F$5:$F$104,$W614)=""),"",IF(INDEX('得意先'!$F$5:$F$104,$W614)="末",DATE(YEAR($X614),(MONTH($X614)+IF(INDEX('得意先'!$D$5:$D$104,$W614)="末",0,IF(DAY($X614)&lt;=INDEX('得意先'!$D$5:$D$104,$W614),0,1))+N(INDEX('得意先'!$E$5:$E$104,$W614)))+1,0),DATE(YEAR($X614),(MONTH($X614)+IF(INDEX('得意先'!$D$5:$D$104,$W614)="末",0,IF(DAY($X614)&lt;=INDEX('得意先'!$D$5:$D$104,$W614),0,1))+N(INDEX('得意先'!$E$5:$E$104,$W614))),MIN(INDEX('得意先'!$F$5:$F$104,$W614),DAY(DATE(YEAR($X614),(MONTH($X614)+IF(INDEX('得意先'!$D$5:$D$104,$W614)="末",0,IF(DAY($X614)&lt;=INDEX('得意先'!$D$5:$D$104,$W614),0,1))+N(INDEX('得意先'!$E$5:$E$104,$W614)))+1,0)))))))</f>
        <v/>
      </c>
      <c r="N614" s="26" t="n"/>
      <c r="O614" s="29">
        <f>IF($A614="","",IF(ISNUMBER($N614),$N614,$M614))</f>
        <v/>
      </c>
      <c r="P614" s="28">
        <f>IF($A614="","",SUMIF('入金消込'!$F$5:$F$1004,$A614,'入金消込'!$G$5:$G$1004))</f>
        <v/>
      </c>
      <c r="Q614" s="28">
        <f>IF($A614="","",SUMIF('入金消込'!$F$5:$F$1004,$A614,'入金消込'!$H$5:$H$1004)+SUMIF('入金消込'!$F$5:$F$1004,$A614,'入金消込'!$I$5:$I$1004))</f>
        <v/>
      </c>
      <c r="R614" s="28">
        <f>IF($A614="","",$L614-$P614-$Q614)</f>
        <v/>
      </c>
      <c r="S614" s="30">
        <f>IF($A614="","",IF($R614=0,IF($L614=0,"請求額0","回収済"),IF($L614&lt;0,IF($R614&lt;0,"差し引き待ち","差し引きすぎ"),IF($R614&lt;0,"入金が多い",IF($P614+$Q614=0,"未入金","一部入金")))))</f>
        <v/>
      </c>
      <c r="T614" s="31">
        <f>IF(OR($A614="",N($R614)&lt;=0,NOT(ISNUMBER($O614))),"",IF($O614&lt;'設定'!$B$7,'設定'!$B$7-$O614,""))</f>
        <v/>
      </c>
      <c r="U614" s="30">
        <f>IF(OR($A614="",N($R614)&lt;=0),"",IF(NOT(ISNUMBER($O614)),'設定'!$B$22,IF($O614&gt;='設定'!$B$7,'設定'!$B$17,IF('設定'!$B$7-$O614&lt;='設定'!$B$12,'設定'!$B$18,IF('設定'!$B$7-$O614&lt;='設定'!$B$13,'設定'!$B$19,IF('設定'!$B$7-$O614&lt;='設定'!$B$14,'設定'!$B$20,'設定'!$B$21))))))</f>
        <v/>
      </c>
      <c r="V614" s="56" t="n"/>
      <c r="W614" s="32">
        <f>IF($C614="","",IFERROR(MATCH($C614,'得意先'!$B$5:$B$104,0),"なし"))</f>
        <v/>
      </c>
      <c r="X614" s="33">
        <f>IF($A614="","",IF(ISNUMBER($E614),$E614,IF(ISNUMBER($B614),$B614,"")))</f>
        <v/>
      </c>
      <c r="Y614" s="34">
        <f>IF($T614="","",$O614+ROW()/1000000)</f>
        <v/>
      </c>
      <c r="Z614" s="35">
        <f>IF(OR($A614="",$C614="",$C614&lt;&gt;'売掛帳'!$B$3,NOT(ISNUMBER($X614))),"",IF(AND($X614&gt;='売掛帳'!$Q$3,$X614&lt;='売掛帳'!$Q$4),$X614+ROW()/10000000,""))</f>
        <v/>
      </c>
    </row>
    <row r="615" ht="18" customHeight="1">
      <c r="A615" s="18" t="n"/>
      <c r="B615" s="26" t="n"/>
      <c r="C615" s="18" t="n"/>
      <c r="D615" s="20">
        <f>IF($W615="","",IF($W615="なし","※得意先にないコード",INDEX('得意先'!$C$5:$C$104,$W615)&amp;""))</f>
        <v/>
      </c>
      <c r="E615" s="26" t="n"/>
      <c r="F615" s="19" t="n"/>
      <c r="G615" s="27" t="n"/>
      <c r="H615" s="27" t="n"/>
      <c r="I615" s="27" t="n"/>
      <c r="J615" s="28">
        <f>IF($A615="","",IF('設定'!$B$10="四捨五入",ROUND(IF('設定'!$B$9="税込",N($G615)*10/110,N($G615)*10/100),0),IF('設定'!$B$10="切り上げ",ROUNDUP(IF('設定'!$B$9="税込",N($G615)*10/110,N($G615)*10/100),0),ROUNDDOWN(IF('設定'!$B$9="税込",N($G615)*10/110,N($G615)*10/100),0))))</f>
        <v/>
      </c>
      <c r="K615" s="28">
        <f>IF($A615="","",IF('設定'!$B$10="四捨五入",ROUND(IF('設定'!$B$9="税込",N($H615)*8/108,N($H615)*8/100),0),IF('設定'!$B$10="切り上げ",ROUNDUP(IF('設定'!$B$9="税込",N($H615)*8/108,N($H615)*8/100),0),ROUNDDOWN(IF('設定'!$B$9="税込",N($H615)*8/108,N($H615)*8/100),0))))</f>
        <v/>
      </c>
      <c r="L615" s="28">
        <f>IF($A615="","",N($G615)+N($H615)+N($I615)+IF('設定'!$B$9="税込",0,$J615+$K615))</f>
        <v/>
      </c>
      <c r="M615" s="29">
        <f>IF(OR($A615="",NOT(ISNUMBER($W615)),NOT(ISNUMBER($X615))),"",IF(OR(INDEX('得意先'!$D$5:$D$104,$W615)="",INDEX('得意先'!$E$5:$E$104,$W615)="",INDEX('得意先'!$F$5:$F$104,$W615)=""),"",IF(INDEX('得意先'!$F$5:$F$104,$W615)="末",DATE(YEAR($X615),(MONTH($X615)+IF(INDEX('得意先'!$D$5:$D$104,$W615)="末",0,IF(DAY($X615)&lt;=INDEX('得意先'!$D$5:$D$104,$W615),0,1))+N(INDEX('得意先'!$E$5:$E$104,$W615)))+1,0),DATE(YEAR($X615),(MONTH($X615)+IF(INDEX('得意先'!$D$5:$D$104,$W615)="末",0,IF(DAY($X615)&lt;=INDEX('得意先'!$D$5:$D$104,$W615),0,1))+N(INDEX('得意先'!$E$5:$E$104,$W615))),MIN(INDEX('得意先'!$F$5:$F$104,$W615),DAY(DATE(YEAR($X615),(MONTH($X615)+IF(INDEX('得意先'!$D$5:$D$104,$W615)="末",0,IF(DAY($X615)&lt;=INDEX('得意先'!$D$5:$D$104,$W615),0,1))+N(INDEX('得意先'!$E$5:$E$104,$W615)))+1,0)))))))</f>
        <v/>
      </c>
      <c r="N615" s="26" t="n"/>
      <c r="O615" s="29">
        <f>IF($A615="","",IF(ISNUMBER($N615),$N615,$M615))</f>
        <v/>
      </c>
      <c r="P615" s="28">
        <f>IF($A615="","",SUMIF('入金消込'!$F$5:$F$1004,$A615,'入金消込'!$G$5:$G$1004))</f>
        <v/>
      </c>
      <c r="Q615" s="28">
        <f>IF($A615="","",SUMIF('入金消込'!$F$5:$F$1004,$A615,'入金消込'!$H$5:$H$1004)+SUMIF('入金消込'!$F$5:$F$1004,$A615,'入金消込'!$I$5:$I$1004))</f>
        <v/>
      </c>
      <c r="R615" s="28">
        <f>IF($A615="","",$L615-$P615-$Q615)</f>
        <v/>
      </c>
      <c r="S615" s="30">
        <f>IF($A615="","",IF($R615=0,IF($L615=0,"請求額0","回収済"),IF($L615&lt;0,IF($R615&lt;0,"差し引き待ち","差し引きすぎ"),IF($R615&lt;0,"入金が多い",IF($P615+$Q615=0,"未入金","一部入金")))))</f>
        <v/>
      </c>
      <c r="T615" s="31">
        <f>IF(OR($A615="",N($R615)&lt;=0,NOT(ISNUMBER($O615))),"",IF($O615&lt;'設定'!$B$7,'設定'!$B$7-$O615,""))</f>
        <v/>
      </c>
      <c r="U615" s="30">
        <f>IF(OR($A615="",N($R615)&lt;=0),"",IF(NOT(ISNUMBER($O615)),'設定'!$B$22,IF($O615&gt;='設定'!$B$7,'設定'!$B$17,IF('設定'!$B$7-$O615&lt;='設定'!$B$12,'設定'!$B$18,IF('設定'!$B$7-$O615&lt;='設定'!$B$13,'設定'!$B$19,IF('設定'!$B$7-$O615&lt;='設定'!$B$14,'設定'!$B$20,'設定'!$B$21))))))</f>
        <v/>
      </c>
      <c r="V615" s="56" t="n"/>
      <c r="W615" s="32">
        <f>IF($C615="","",IFERROR(MATCH($C615,'得意先'!$B$5:$B$104,0),"なし"))</f>
        <v/>
      </c>
      <c r="X615" s="33">
        <f>IF($A615="","",IF(ISNUMBER($E615),$E615,IF(ISNUMBER($B615),$B615,"")))</f>
        <v/>
      </c>
      <c r="Y615" s="34">
        <f>IF($T615="","",$O615+ROW()/1000000)</f>
        <v/>
      </c>
      <c r="Z615" s="35">
        <f>IF(OR($A615="",$C615="",$C615&lt;&gt;'売掛帳'!$B$3,NOT(ISNUMBER($X615))),"",IF(AND($X615&gt;='売掛帳'!$Q$3,$X615&lt;='売掛帳'!$Q$4),$X615+ROW()/10000000,""))</f>
        <v/>
      </c>
    </row>
    <row r="616" ht="18" customHeight="1">
      <c r="A616" s="18" t="n"/>
      <c r="B616" s="26" t="n"/>
      <c r="C616" s="18" t="n"/>
      <c r="D616" s="20">
        <f>IF($W616="","",IF($W616="なし","※得意先にないコード",INDEX('得意先'!$C$5:$C$104,$W616)&amp;""))</f>
        <v/>
      </c>
      <c r="E616" s="26" t="n"/>
      <c r="F616" s="19" t="n"/>
      <c r="G616" s="27" t="n"/>
      <c r="H616" s="27" t="n"/>
      <c r="I616" s="27" t="n"/>
      <c r="J616" s="28">
        <f>IF($A616="","",IF('設定'!$B$10="四捨五入",ROUND(IF('設定'!$B$9="税込",N($G616)*10/110,N($G616)*10/100),0),IF('設定'!$B$10="切り上げ",ROUNDUP(IF('設定'!$B$9="税込",N($G616)*10/110,N($G616)*10/100),0),ROUNDDOWN(IF('設定'!$B$9="税込",N($G616)*10/110,N($G616)*10/100),0))))</f>
        <v/>
      </c>
      <c r="K616" s="28">
        <f>IF($A616="","",IF('設定'!$B$10="四捨五入",ROUND(IF('設定'!$B$9="税込",N($H616)*8/108,N($H616)*8/100),0),IF('設定'!$B$10="切り上げ",ROUNDUP(IF('設定'!$B$9="税込",N($H616)*8/108,N($H616)*8/100),0),ROUNDDOWN(IF('設定'!$B$9="税込",N($H616)*8/108,N($H616)*8/100),0))))</f>
        <v/>
      </c>
      <c r="L616" s="28">
        <f>IF($A616="","",N($G616)+N($H616)+N($I616)+IF('設定'!$B$9="税込",0,$J616+$K616))</f>
        <v/>
      </c>
      <c r="M616" s="29">
        <f>IF(OR($A616="",NOT(ISNUMBER($W616)),NOT(ISNUMBER($X616))),"",IF(OR(INDEX('得意先'!$D$5:$D$104,$W616)="",INDEX('得意先'!$E$5:$E$104,$W616)="",INDEX('得意先'!$F$5:$F$104,$W616)=""),"",IF(INDEX('得意先'!$F$5:$F$104,$W616)="末",DATE(YEAR($X616),(MONTH($X616)+IF(INDEX('得意先'!$D$5:$D$104,$W616)="末",0,IF(DAY($X616)&lt;=INDEX('得意先'!$D$5:$D$104,$W616),0,1))+N(INDEX('得意先'!$E$5:$E$104,$W616)))+1,0),DATE(YEAR($X616),(MONTH($X616)+IF(INDEX('得意先'!$D$5:$D$104,$W616)="末",0,IF(DAY($X616)&lt;=INDEX('得意先'!$D$5:$D$104,$W616),0,1))+N(INDEX('得意先'!$E$5:$E$104,$W616))),MIN(INDEX('得意先'!$F$5:$F$104,$W616),DAY(DATE(YEAR($X616),(MONTH($X616)+IF(INDEX('得意先'!$D$5:$D$104,$W616)="末",0,IF(DAY($X616)&lt;=INDEX('得意先'!$D$5:$D$104,$W616),0,1))+N(INDEX('得意先'!$E$5:$E$104,$W616)))+1,0)))))))</f>
        <v/>
      </c>
      <c r="N616" s="26" t="n"/>
      <c r="O616" s="29">
        <f>IF($A616="","",IF(ISNUMBER($N616),$N616,$M616))</f>
        <v/>
      </c>
      <c r="P616" s="28">
        <f>IF($A616="","",SUMIF('入金消込'!$F$5:$F$1004,$A616,'入金消込'!$G$5:$G$1004))</f>
        <v/>
      </c>
      <c r="Q616" s="28">
        <f>IF($A616="","",SUMIF('入金消込'!$F$5:$F$1004,$A616,'入金消込'!$H$5:$H$1004)+SUMIF('入金消込'!$F$5:$F$1004,$A616,'入金消込'!$I$5:$I$1004))</f>
        <v/>
      </c>
      <c r="R616" s="28">
        <f>IF($A616="","",$L616-$P616-$Q616)</f>
        <v/>
      </c>
      <c r="S616" s="30">
        <f>IF($A616="","",IF($R616=0,IF($L616=0,"請求額0","回収済"),IF($L616&lt;0,IF($R616&lt;0,"差し引き待ち","差し引きすぎ"),IF($R616&lt;0,"入金が多い",IF($P616+$Q616=0,"未入金","一部入金")))))</f>
        <v/>
      </c>
      <c r="T616" s="31">
        <f>IF(OR($A616="",N($R616)&lt;=0,NOT(ISNUMBER($O616))),"",IF($O616&lt;'設定'!$B$7,'設定'!$B$7-$O616,""))</f>
        <v/>
      </c>
      <c r="U616" s="30">
        <f>IF(OR($A616="",N($R616)&lt;=0),"",IF(NOT(ISNUMBER($O616)),'設定'!$B$22,IF($O616&gt;='設定'!$B$7,'設定'!$B$17,IF('設定'!$B$7-$O616&lt;='設定'!$B$12,'設定'!$B$18,IF('設定'!$B$7-$O616&lt;='設定'!$B$13,'設定'!$B$19,IF('設定'!$B$7-$O616&lt;='設定'!$B$14,'設定'!$B$20,'設定'!$B$21))))))</f>
        <v/>
      </c>
      <c r="V616" s="56" t="n"/>
      <c r="W616" s="32">
        <f>IF($C616="","",IFERROR(MATCH($C616,'得意先'!$B$5:$B$104,0),"なし"))</f>
        <v/>
      </c>
      <c r="X616" s="33">
        <f>IF($A616="","",IF(ISNUMBER($E616),$E616,IF(ISNUMBER($B616),$B616,"")))</f>
        <v/>
      </c>
      <c r="Y616" s="34">
        <f>IF($T616="","",$O616+ROW()/1000000)</f>
        <v/>
      </c>
      <c r="Z616" s="35">
        <f>IF(OR($A616="",$C616="",$C616&lt;&gt;'売掛帳'!$B$3,NOT(ISNUMBER($X616))),"",IF(AND($X616&gt;='売掛帳'!$Q$3,$X616&lt;='売掛帳'!$Q$4),$X616+ROW()/10000000,""))</f>
        <v/>
      </c>
    </row>
    <row r="617" ht="18" customHeight="1">
      <c r="A617" s="18" t="n"/>
      <c r="B617" s="26" t="n"/>
      <c r="C617" s="18" t="n"/>
      <c r="D617" s="20">
        <f>IF($W617="","",IF($W617="なし","※得意先にないコード",INDEX('得意先'!$C$5:$C$104,$W617)&amp;""))</f>
        <v/>
      </c>
      <c r="E617" s="26" t="n"/>
      <c r="F617" s="19" t="n"/>
      <c r="G617" s="27" t="n"/>
      <c r="H617" s="27" t="n"/>
      <c r="I617" s="27" t="n"/>
      <c r="J617" s="28">
        <f>IF($A617="","",IF('設定'!$B$10="四捨五入",ROUND(IF('設定'!$B$9="税込",N($G617)*10/110,N($G617)*10/100),0),IF('設定'!$B$10="切り上げ",ROUNDUP(IF('設定'!$B$9="税込",N($G617)*10/110,N($G617)*10/100),0),ROUNDDOWN(IF('設定'!$B$9="税込",N($G617)*10/110,N($G617)*10/100),0))))</f>
        <v/>
      </c>
      <c r="K617" s="28">
        <f>IF($A617="","",IF('設定'!$B$10="四捨五入",ROUND(IF('設定'!$B$9="税込",N($H617)*8/108,N($H617)*8/100),0),IF('設定'!$B$10="切り上げ",ROUNDUP(IF('設定'!$B$9="税込",N($H617)*8/108,N($H617)*8/100),0),ROUNDDOWN(IF('設定'!$B$9="税込",N($H617)*8/108,N($H617)*8/100),0))))</f>
        <v/>
      </c>
      <c r="L617" s="28">
        <f>IF($A617="","",N($G617)+N($H617)+N($I617)+IF('設定'!$B$9="税込",0,$J617+$K617))</f>
        <v/>
      </c>
      <c r="M617" s="29">
        <f>IF(OR($A617="",NOT(ISNUMBER($W617)),NOT(ISNUMBER($X617))),"",IF(OR(INDEX('得意先'!$D$5:$D$104,$W617)="",INDEX('得意先'!$E$5:$E$104,$W617)="",INDEX('得意先'!$F$5:$F$104,$W617)=""),"",IF(INDEX('得意先'!$F$5:$F$104,$W617)="末",DATE(YEAR($X617),(MONTH($X617)+IF(INDEX('得意先'!$D$5:$D$104,$W617)="末",0,IF(DAY($X617)&lt;=INDEX('得意先'!$D$5:$D$104,$W617),0,1))+N(INDEX('得意先'!$E$5:$E$104,$W617)))+1,0),DATE(YEAR($X617),(MONTH($X617)+IF(INDEX('得意先'!$D$5:$D$104,$W617)="末",0,IF(DAY($X617)&lt;=INDEX('得意先'!$D$5:$D$104,$W617),0,1))+N(INDEX('得意先'!$E$5:$E$104,$W617))),MIN(INDEX('得意先'!$F$5:$F$104,$W617),DAY(DATE(YEAR($X617),(MONTH($X617)+IF(INDEX('得意先'!$D$5:$D$104,$W617)="末",0,IF(DAY($X617)&lt;=INDEX('得意先'!$D$5:$D$104,$W617),0,1))+N(INDEX('得意先'!$E$5:$E$104,$W617)))+1,0)))))))</f>
        <v/>
      </c>
      <c r="N617" s="26" t="n"/>
      <c r="O617" s="29">
        <f>IF($A617="","",IF(ISNUMBER($N617),$N617,$M617))</f>
        <v/>
      </c>
      <c r="P617" s="28">
        <f>IF($A617="","",SUMIF('入金消込'!$F$5:$F$1004,$A617,'入金消込'!$G$5:$G$1004))</f>
        <v/>
      </c>
      <c r="Q617" s="28">
        <f>IF($A617="","",SUMIF('入金消込'!$F$5:$F$1004,$A617,'入金消込'!$H$5:$H$1004)+SUMIF('入金消込'!$F$5:$F$1004,$A617,'入金消込'!$I$5:$I$1004))</f>
        <v/>
      </c>
      <c r="R617" s="28">
        <f>IF($A617="","",$L617-$P617-$Q617)</f>
        <v/>
      </c>
      <c r="S617" s="30">
        <f>IF($A617="","",IF($R617=0,IF($L617=0,"請求額0","回収済"),IF($L617&lt;0,IF($R617&lt;0,"差し引き待ち","差し引きすぎ"),IF($R617&lt;0,"入金が多い",IF($P617+$Q617=0,"未入金","一部入金")))))</f>
        <v/>
      </c>
      <c r="T617" s="31">
        <f>IF(OR($A617="",N($R617)&lt;=0,NOT(ISNUMBER($O617))),"",IF($O617&lt;'設定'!$B$7,'設定'!$B$7-$O617,""))</f>
        <v/>
      </c>
      <c r="U617" s="30">
        <f>IF(OR($A617="",N($R617)&lt;=0),"",IF(NOT(ISNUMBER($O617)),'設定'!$B$22,IF($O617&gt;='設定'!$B$7,'設定'!$B$17,IF('設定'!$B$7-$O617&lt;='設定'!$B$12,'設定'!$B$18,IF('設定'!$B$7-$O617&lt;='設定'!$B$13,'設定'!$B$19,IF('設定'!$B$7-$O617&lt;='設定'!$B$14,'設定'!$B$20,'設定'!$B$21))))))</f>
        <v/>
      </c>
      <c r="V617" s="56" t="n"/>
      <c r="W617" s="32">
        <f>IF($C617="","",IFERROR(MATCH($C617,'得意先'!$B$5:$B$104,0),"なし"))</f>
        <v/>
      </c>
      <c r="X617" s="33">
        <f>IF($A617="","",IF(ISNUMBER($E617),$E617,IF(ISNUMBER($B617),$B617,"")))</f>
        <v/>
      </c>
      <c r="Y617" s="34">
        <f>IF($T617="","",$O617+ROW()/1000000)</f>
        <v/>
      </c>
      <c r="Z617" s="35">
        <f>IF(OR($A617="",$C617="",$C617&lt;&gt;'売掛帳'!$B$3,NOT(ISNUMBER($X617))),"",IF(AND($X617&gt;='売掛帳'!$Q$3,$X617&lt;='売掛帳'!$Q$4),$X617+ROW()/10000000,""))</f>
        <v/>
      </c>
    </row>
    <row r="618" ht="18" customHeight="1">
      <c r="A618" s="18" t="n"/>
      <c r="B618" s="26" t="n"/>
      <c r="C618" s="18" t="n"/>
      <c r="D618" s="20">
        <f>IF($W618="","",IF($W618="なし","※得意先にないコード",INDEX('得意先'!$C$5:$C$104,$W618)&amp;""))</f>
        <v/>
      </c>
      <c r="E618" s="26" t="n"/>
      <c r="F618" s="19" t="n"/>
      <c r="G618" s="27" t="n"/>
      <c r="H618" s="27" t="n"/>
      <c r="I618" s="27" t="n"/>
      <c r="J618" s="28">
        <f>IF($A618="","",IF('設定'!$B$10="四捨五入",ROUND(IF('設定'!$B$9="税込",N($G618)*10/110,N($G618)*10/100),0),IF('設定'!$B$10="切り上げ",ROUNDUP(IF('設定'!$B$9="税込",N($G618)*10/110,N($G618)*10/100),0),ROUNDDOWN(IF('設定'!$B$9="税込",N($G618)*10/110,N($G618)*10/100),0))))</f>
        <v/>
      </c>
      <c r="K618" s="28">
        <f>IF($A618="","",IF('設定'!$B$10="四捨五入",ROUND(IF('設定'!$B$9="税込",N($H618)*8/108,N($H618)*8/100),0),IF('設定'!$B$10="切り上げ",ROUNDUP(IF('設定'!$B$9="税込",N($H618)*8/108,N($H618)*8/100),0),ROUNDDOWN(IF('設定'!$B$9="税込",N($H618)*8/108,N($H618)*8/100),0))))</f>
        <v/>
      </c>
      <c r="L618" s="28">
        <f>IF($A618="","",N($G618)+N($H618)+N($I618)+IF('設定'!$B$9="税込",0,$J618+$K618))</f>
        <v/>
      </c>
      <c r="M618" s="29">
        <f>IF(OR($A618="",NOT(ISNUMBER($W618)),NOT(ISNUMBER($X618))),"",IF(OR(INDEX('得意先'!$D$5:$D$104,$W618)="",INDEX('得意先'!$E$5:$E$104,$W618)="",INDEX('得意先'!$F$5:$F$104,$W618)=""),"",IF(INDEX('得意先'!$F$5:$F$104,$W618)="末",DATE(YEAR($X618),(MONTH($X618)+IF(INDEX('得意先'!$D$5:$D$104,$W618)="末",0,IF(DAY($X618)&lt;=INDEX('得意先'!$D$5:$D$104,$W618),0,1))+N(INDEX('得意先'!$E$5:$E$104,$W618)))+1,0),DATE(YEAR($X618),(MONTH($X618)+IF(INDEX('得意先'!$D$5:$D$104,$W618)="末",0,IF(DAY($X618)&lt;=INDEX('得意先'!$D$5:$D$104,$W618),0,1))+N(INDEX('得意先'!$E$5:$E$104,$W618))),MIN(INDEX('得意先'!$F$5:$F$104,$W618),DAY(DATE(YEAR($X618),(MONTH($X618)+IF(INDEX('得意先'!$D$5:$D$104,$W618)="末",0,IF(DAY($X618)&lt;=INDEX('得意先'!$D$5:$D$104,$W618),0,1))+N(INDEX('得意先'!$E$5:$E$104,$W618)))+1,0)))))))</f>
        <v/>
      </c>
      <c r="N618" s="26" t="n"/>
      <c r="O618" s="29">
        <f>IF($A618="","",IF(ISNUMBER($N618),$N618,$M618))</f>
        <v/>
      </c>
      <c r="P618" s="28">
        <f>IF($A618="","",SUMIF('入金消込'!$F$5:$F$1004,$A618,'入金消込'!$G$5:$G$1004))</f>
        <v/>
      </c>
      <c r="Q618" s="28">
        <f>IF($A618="","",SUMIF('入金消込'!$F$5:$F$1004,$A618,'入金消込'!$H$5:$H$1004)+SUMIF('入金消込'!$F$5:$F$1004,$A618,'入金消込'!$I$5:$I$1004))</f>
        <v/>
      </c>
      <c r="R618" s="28">
        <f>IF($A618="","",$L618-$P618-$Q618)</f>
        <v/>
      </c>
      <c r="S618" s="30">
        <f>IF($A618="","",IF($R618=0,IF($L618=0,"請求額0","回収済"),IF($L618&lt;0,IF($R618&lt;0,"差し引き待ち","差し引きすぎ"),IF($R618&lt;0,"入金が多い",IF($P618+$Q618=0,"未入金","一部入金")))))</f>
        <v/>
      </c>
      <c r="T618" s="31">
        <f>IF(OR($A618="",N($R618)&lt;=0,NOT(ISNUMBER($O618))),"",IF($O618&lt;'設定'!$B$7,'設定'!$B$7-$O618,""))</f>
        <v/>
      </c>
      <c r="U618" s="30">
        <f>IF(OR($A618="",N($R618)&lt;=0),"",IF(NOT(ISNUMBER($O618)),'設定'!$B$22,IF($O618&gt;='設定'!$B$7,'設定'!$B$17,IF('設定'!$B$7-$O618&lt;='設定'!$B$12,'設定'!$B$18,IF('設定'!$B$7-$O618&lt;='設定'!$B$13,'設定'!$B$19,IF('設定'!$B$7-$O618&lt;='設定'!$B$14,'設定'!$B$20,'設定'!$B$21))))))</f>
        <v/>
      </c>
      <c r="V618" s="56" t="n"/>
      <c r="W618" s="32">
        <f>IF($C618="","",IFERROR(MATCH($C618,'得意先'!$B$5:$B$104,0),"なし"))</f>
        <v/>
      </c>
      <c r="X618" s="33">
        <f>IF($A618="","",IF(ISNUMBER($E618),$E618,IF(ISNUMBER($B618),$B618,"")))</f>
        <v/>
      </c>
      <c r="Y618" s="34">
        <f>IF($T618="","",$O618+ROW()/1000000)</f>
        <v/>
      </c>
      <c r="Z618" s="35">
        <f>IF(OR($A618="",$C618="",$C618&lt;&gt;'売掛帳'!$B$3,NOT(ISNUMBER($X618))),"",IF(AND($X618&gt;='売掛帳'!$Q$3,$X618&lt;='売掛帳'!$Q$4),$X618+ROW()/10000000,""))</f>
        <v/>
      </c>
    </row>
    <row r="619" ht="18" customHeight="1">
      <c r="A619" s="18" t="n"/>
      <c r="B619" s="26" t="n"/>
      <c r="C619" s="18" t="n"/>
      <c r="D619" s="20">
        <f>IF($W619="","",IF($W619="なし","※得意先にないコード",INDEX('得意先'!$C$5:$C$104,$W619)&amp;""))</f>
        <v/>
      </c>
      <c r="E619" s="26" t="n"/>
      <c r="F619" s="19" t="n"/>
      <c r="G619" s="27" t="n"/>
      <c r="H619" s="27" t="n"/>
      <c r="I619" s="27" t="n"/>
      <c r="J619" s="28">
        <f>IF($A619="","",IF('設定'!$B$10="四捨五入",ROUND(IF('設定'!$B$9="税込",N($G619)*10/110,N($G619)*10/100),0),IF('設定'!$B$10="切り上げ",ROUNDUP(IF('設定'!$B$9="税込",N($G619)*10/110,N($G619)*10/100),0),ROUNDDOWN(IF('設定'!$B$9="税込",N($G619)*10/110,N($G619)*10/100),0))))</f>
        <v/>
      </c>
      <c r="K619" s="28">
        <f>IF($A619="","",IF('設定'!$B$10="四捨五入",ROUND(IF('設定'!$B$9="税込",N($H619)*8/108,N($H619)*8/100),0),IF('設定'!$B$10="切り上げ",ROUNDUP(IF('設定'!$B$9="税込",N($H619)*8/108,N($H619)*8/100),0),ROUNDDOWN(IF('設定'!$B$9="税込",N($H619)*8/108,N($H619)*8/100),0))))</f>
        <v/>
      </c>
      <c r="L619" s="28">
        <f>IF($A619="","",N($G619)+N($H619)+N($I619)+IF('設定'!$B$9="税込",0,$J619+$K619))</f>
        <v/>
      </c>
      <c r="M619" s="29">
        <f>IF(OR($A619="",NOT(ISNUMBER($W619)),NOT(ISNUMBER($X619))),"",IF(OR(INDEX('得意先'!$D$5:$D$104,$W619)="",INDEX('得意先'!$E$5:$E$104,$W619)="",INDEX('得意先'!$F$5:$F$104,$W619)=""),"",IF(INDEX('得意先'!$F$5:$F$104,$W619)="末",DATE(YEAR($X619),(MONTH($X619)+IF(INDEX('得意先'!$D$5:$D$104,$W619)="末",0,IF(DAY($X619)&lt;=INDEX('得意先'!$D$5:$D$104,$W619),0,1))+N(INDEX('得意先'!$E$5:$E$104,$W619)))+1,0),DATE(YEAR($X619),(MONTH($X619)+IF(INDEX('得意先'!$D$5:$D$104,$W619)="末",0,IF(DAY($X619)&lt;=INDEX('得意先'!$D$5:$D$104,$W619),0,1))+N(INDEX('得意先'!$E$5:$E$104,$W619))),MIN(INDEX('得意先'!$F$5:$F$104,$W619),DAY(DATE(YEAR($X619),(MONTH($X619)+IF(INDEX('得意先'!$D$5:$D$104,$W619)="末",0,IF(DAY($X619)&lt;=INDEX('得意先'!$D$5:$D$104,$W619),0,1))+N(INDEX('得意先'!$E$5:$E$104,$W619)))+1,0)))))))</f>
        <v/>
      </c>
      <c r="N619" s="26" t="n"/>
      <c r="O619" s="29">
        <f>IF($A619="","",IF(ISNUMBER($N619),$N619,$M619))</f>
        <v/>
      </c>
      <c r="P619" s="28">
        <f>IF($A619="","",SUMIF('入金消込'!$F$5:$F$1004,$A619,'入金消込'!$G$5:$G$1004))</f>
        <v/>
      </c>
      <c r="Q619" s="28">
        <f>IF($A619="","",SUMIF('入金消込'!$F$5:$F$1004,$A619,'入金消込'!$H$5:$H$1004)+SUMIF('入金消込'!$F$5:$F$1004,$A619,'入金消込'!$I$5:$I$1004))</f>
        <v/>
      </c>
      <c r="R619" s="28">
        <f>IF($A619="","",$L619-$P619-$Q619)</f>
        <v/>
      </c>
      <c r="S619" s="30">
        <f>IF($A619="","",IF($R619=0,IF($L619=0,"請求額0","回収済"),IF($L619&lt;0,IF($R619&lt;0,"差し引き待ち","差し引きすぎ"),IF($R619&lt;0,"入金が多い",IF($P619+$Q619=0,"未入金","一部入金")))))</f>
        <v/>
      </c>
      <c r="T619" s="31">
        <f>IF(OR($A619="",N($R619)&lt;=0,NOT(ISNUMBER($O619))),"",IF($O619&lt;'設定'!$B$7,'設定'!$B$7-$O619,""))</f>
        <v/>
      </c>
      <c r="U619" s="30">
        <f>IF(OR($A619="",N($R619)&lt;=0),"",IF(NOT(ISNUMBER($O619)),'設定'!$B$22,IF($O619&gt;='設定'!$B$7,'設定'!$B$17,IF('設定'!$B$7-$O619&lt;='設定'!$B$12,'設定'!$B$18,IF('設定'!$B$7-$O619&lt;='設定'!$B$13,'設定'!$B$19,IF('設定'!$B$7-$O619&lt;='設定'!$B$14,'設定'!$B$20,'設定'!$B$21))))))</f>
        <v/>
      </c>
      <c r="V619" s="56" t="n"/>
      <c r="W619" s="32">
        <f>IF($C619="","",IFERROR(MATCH($C619,'得意先'!$B$5:$B$104,0),"なし"))</f>
        <v/>
      </c>
      <c r="X619" s="33">
        <f>IF($A619="","",IF(ISNUMBER($E619),$E619,IF(ISNUMBER($B619),$B619,"")))</f>
        <v/>
      </c>
      <c r="Y619" s="34">
        <f>IF($T619="","",$O619+ROW()/1000000)</f>
        <v/>
      </c>
      <c r="Z619" s="35">
        <f>IF(OR($A619="",$C619="",$C619&lt;&gt;'売掛帳'!$B$3,NOT(ISNUMBER($X619))),"",IF(AND($X619&gt;='売掛帳'!$Q$3,$X619&lt;='売掛帳'!$Q$4),$X619+ROW()/10000000,""))</f>
        <v/>
      </c>
    </row>
    <row r="620" ht="18" customHeight="1">
      <c r="A620" s="18" t="n"/>
      <c r="B620" s="26" t="n"/>
      <c r="C620" s="18" t="n"/>
      <c r="D620" s="20">
        <f>IF($W620="","",IF($W620="なし","※得意先にないコード",INDEX('得意先'!$C$5:$C$104,$W620)&amp;""))</f>
        <v/>
      </c>
      <c r="E620" s="26" t="n"/>
      <c r="F620" s="19" t="n"/>
      <c r="G620" s="27" t="n"/>
      <c r="H620" s="27" t="n"/>
      <c r="I620" s="27" t="n"/>
      <c r="J620" s="28">
        <f>IF($A620="","",IF('設定'!$B$10="四捨五入",ROUND(IF('設定'!$B$9="税込",N($G620)*10/110,N($G620)*10/100),0),IF('設定'!$B$10="切り上げ",ROUNDUP(IF('設定'!$B$9="税込",N($G620)*10/110,N($G620)*10/100),0),ROUNDDOWN(IF('設定'!$B$9="税込",N($G620)*10/110,N($G620)*10/100),0))))</f>
        <v/>
      </c>
      <c r="K620" s="28">
        <f>IF($A620="","",IF('設定'!$B$10="四捨五入",ROUND(IF('設定'!$B$9="税込",N($H620)*8/108,N($H620)*8/100),0),IF('設定'!$B$10="切り上げ",ROUNDUP(IF('設定'!$B$9="税込",N($H620)*8/108,N($H620)*8/100),0),ROUNDDOWN(IF('設定'!$B$9="税込",N($H620)*8/108,N($H620)*8/100),0))))</f>
        <v/>
      </c>
      <c r="L620" s="28">
        <f>IF($A620="","",N($G620)+N($H620)+N($I620)+IF('設定'!$B$9="税込",0,$J620+$K620))</f>
        <v/>
      </c>
      <c r="M620" s="29">
        <f>IF(OR($A620="",NOT(ISNUMBER($W620)),NOT(ISNUMBER($X620))),"",IF(OR(INDEX('得意先'!$D$5:$D$104,$W620)="",INDEX('得意先'!$E$5:$E$104,$W620)="",INDEX('得意先'!$F$5:$F$104,$W620)=""),"",IF(INDEX('得意先'!$F$5:$F$104,$W620)="末",DATE(YEAR($X620),(MONTH($X620)+IF(INDEX('得意先'!$D$5:$D$104,$W620)="末",0,IF(DAY($X620)&lt;=INDEX('得意先'!$D$5:$D$104,$W620),0,1))+N(INDEX('得意先'!$E$5:$E$104,$W620)))+1,0),DATE(YEAR($X620),(MONTH($X620)+IF(INDEX('得意先'!$D$5:$D$104,$W620)="末",0,IF(DAY($X620)&lt;=INDEX('得意先'!$D$5:$D$104,$W620),0,1))+N(INDEX('得意先'!$E$5:$E$104,$W620))),MIN(INDEX('得意先'!$F$5:$F$104,$W620),DAY(DATE(YEAR($X620),(MONTH($X620)+IF(INDEX('得意先'!$D$5:$D$104,$W620)="末",0,IF(DAY($X620)&lt;=INDEX('得意先'!$D$5:$D$104,$W620),0,1))+N(INDEX('得意先'!$E$5:$E$104,$W620)))+1,0)))))))</f>
        <v/>
      </c>
      <c r="N620" s="26" t="n"/>
      <c r="O620" s="29">
        <f>IF($A620="","",IF(ISNUMBER($N620),$N620,$M620))</f>
        <v/>
      </c>
      <c r="P620" s="28">
        <f>IF($A620="","",SUMIF('入金消込'!$F$5:$F$1004,$A620,'入金消込'!$G$5:$G$1004))</f>
        <v/>
      </c>
      <c r="Q620" s="28">
        <f>IF($A620="","",SUMIF('入金消込'!$F$5:$F$1004,$A620,'入金消込'!$H$5:$H$1004)+SUMIF('入金消込'!$F$5:$F$1004,$A620,'入金消込'!$I$5:$I$1004))</f>
        <v/>
      </c>
      <c r="R620" s="28">
        <f>IF($A620="","",$L620-$P620-$Q620)</f>
        <v/>
      </c>
      <c r="S620" s="30">
        <f>IF($A620="","",IF($R620=0,IF($L620=0,"請求額0","回収済"),IF($L620&lt;0,IF($R620&lt;0,"差し引き待ち","差し引きすぎ"),IF($R620&lt;0,"入金が多い",IF($P620+$Q620=0,"未入金","一部入金")))))</f>
        <v/>
      </c>
      <c r="T620" s="31">
        <f>IF(OR($A620="",N($R620)&lt;=0,NOT(ISNUMBER($O620))),"",IF($O620&lt;'設定'!$B$7,'設定'!$B$7-$O620,""))</f>
        <v/>
      </c>
      <c r="U620" s="30">
        <f>IF(OR($A620="",N($R620)&lt;=0),"",IF(NOT(ISNUMBER($O620)),'設定'!$B$22,IF($O620&gt;='設定'!$B$7,'設定'!$B$17,IF('設定'!$B$7-$O620&lt;='設定'!$B$12,'設定'!$B$18,IF('設定'!$B$7-$O620&lt;='設定'!$B$13,'設定'!$B$19,IF('設定'!$B$7-$O620&lt;='設定'!$B$14,'設定'!$B$20,'設定'!$B$21))))))</f>
        <v/>
      </c>
      <c r="V620" s="56" t="n"/>
      <c r="W620" s="32">
        <f>IF($C620="","",IFERROR(MATCH($C620,'得意先'!$B$5:$B$104,0),"なし"))</f>
        <v/>
      </c>
      <c r="X620" s="33">
        <f>IF($A620="","",IF(ISNUMBER($E620),$E620,IF(ISNUMBER($B620),$B620,"")))</f>
        <v/>
      </c>
      <c r="Y620" s="34">
        <f>IF($T620="","",$O620+ROW()/1000000)</f>
        <v/>
      </c>
      <c r="Z620" s="35">
        <f>IF(OR($A620="",$C620="",$C620&lt;&gt;'売掛帳'!$B$3,NOT(ISNUMBER($X620))),"",IF(AND($X620&gt;='売掛帳'!$Q$3,$X620&lt;='売掛帳'!$Q$4),$X620+ROW()/10000000,""))</f>
        <v/>
      </c>
    </row>
    <row r="621" ht="18" customHeight="1">
      <c r="A621" s="18" t="n"/>
      <c r="B621" s="26" t="n"/>
      <c r="C621" s="18" t="n"/>
      <c r="D621" s="20">
        <f>IF($W621="","",IF($W621="なし","※得意先にないコード",INDEX('得意先'!$C$5:$C$104,$W621)&amp;""))</f>
        <v/>
      </c>
      <c r="E621" s="26" t="n"/>
      <c r="F621" s="19" t="n"/>
      <c r="G621" s="27" t="n"/>
      <c r="H621" s="27" t="n"/>
      <c r="I621" s="27" t="n"/>
      <c r="J621" s="28">
        <f>IF($A621="","",IF('設定'!$B$10="四捨五入",ROUND(IF('設定'!$B$9="税込",N($G621)*10/110,N($G621)*10/100),0),IF('設定'!$B$10="切り上げ",ROUNDUP(IF('設定'!$B$9="税込",N($G621)*10/110,N($G621)*10/100),0),ROUNDDOWN(IF('設定'!$B$9="税込",N($G621)*10/110,N($G621)*10/100),0))))</f>
        <v/>
      </c>
      <c r="K621" s="28">
        <f>IF($A621="","",IF('設定'!$B$10="四捨五入",ROUND(IF('設定'!$B$9="税込",N($H621)*8/108,N($H621)*8/100),0),IF('設定'!$B$10="切り上げ",ROUNDUP(IF('設定'!$B$9="税込",N($H621)*8/108,N($H621)*8/100),0),ROUNDDOWN(IF('設定'!$B$9="税込",N($H621)*8/108,N($H621)*8/100),0))))</f>
        <v/>
      </c>
      <c r="L621" s="28">
        <f>IF($A621="","",N($G621)+N($H621)+N($I621)+IF('設定'!$B$9="税込",0,$J621+$K621))</f>
        <v/>
      </c>
      <c r="M621" s="29">
        <f>IF(OR($A621="",NOT(ISNUMBER($W621)),NOT(ISNUMBER($X621))),"",IF(OR(INDEX('得意先'!$D$5:$D$104,$W621)="",INDEX('得意先'!$E$5:$E$104,$W621)="",INDEX('得意先'!$F$5:$F$104,$W621)=""),"",IF(INDEX('得意先'!$F$5:$F$104,$W621)="末",DATE(YEAR($X621),(MONTH($X621)+IF(INDEX('得意先'!$D$5:$D$104,$W621)="末",0,IF(DAY($X621)&lt;=INDEX('得意先'!$D$5:$D$104,$W621),0,1))+N(INDEX('得意先'!$E$5:$E$104,$W621)))+1,0),DATE(YEAR($X621),(MONTH($X621)+IF(INDEX('得意先'!$D$5:$D$104,$W621)="末",0,IF(DAY($X621)&lt;=INDEX('得意先'!$D$5:$D$104,$W621),0,1))+N(INDEX('得意先'!$E$5:$E$104,$W621))),MIN(INDEX('得意先'!$F$5:$F$104,$W621),DAY(DATE(YEAR($X621),(MONTH($X621)+IF(INDEX('得意先'!$D$5:$D$104,$W621)="末",0,IF(DAY($X621)&lt;=INDEX('得意先'!$D$5:$D$104,$W621),0,1))+N(INDEX('得意先'!$E$5:$E$104,$W621)))+1,0)))))))</f>
        <v/>
      </c>
      <c r="N621" s="26" t="n"/>
      <c r="O621" s="29">
        <f>IF($A621="","",IF(ISNUMBER($N621),$N621,$M621))</f>
        <v/>
      </c>
      <c r="P621" s="28">
        <f>IF($A621="","",SUMIF('入金消込'!$F$5:$F$1004,$A621,'入金消込'!$G$5:$G$1004))</f>
        <v/>
      </c>
      <c r="Q621" s="28">
        <f>IF($A621="","",SUMIF('入金消込'!$F$5:$F$1004,$A621,'入金消込'!$H$5:$H$1004)+SUMIF('入金消込'!$F$5:$F$1004,$A621,'入金消込'!$I$5:$I$1004))</f>
        <v/>
      </c>
      <c r="R621" s="28">
        <f>IF($A621="","",$L621-$P621-$Q621)</f>
        <v/>
      </c>
      <c r="S621" s="30">
        <f>IF($A621="","",IF($R621=0,IF($L621=0,"請求額0","回収済"),IF($L621&lt;0,IF($R621&lt;0,"差し引き待ち","差し引きすぎ"),IF($R621&lt;0,"入金が多い",IF($P621+$Q621=0,"未入金","一部入金")))))</f>
        <v/>
      </c>
      <c r="T621" s="31">
        <f>IF(OR($A621="",N($R621)&lt;=0,NOT(ISNUMBER($O621))),"",IF($O621&lt;'設定'!$B$7,'設定'!$B$7-$O621,""))</f>
        <v/>
      </c>
      <c r="U621" s="30">
        <f>IF(OR($A621="",N($R621)&lt;=0),"",IF(NOT(ISNUMBER($O621)),'設定'!$B$22,IF($O621&gt;='設定'!$B$7,'設定'!$B$17,IF('設定'!$B$7-$O621&lt;='設定'!$B$12,'設定'!$B$18,IF('設定'!$B$7-$O621&lt;='設定'!$B$13,'設定'!$B$19,IF('設定'!$B$7-$O621&lt;='設定'!$B$14,'設定'!$B$20,'設定'!$B$21))))))</f>
        <v/>
      </c>
      <c r="V621" s="56" t="n"/>
      <c r="W621" s="32">
        <f>IF($C621="","",IFERROR(MATCH($C621,'得意先'!$B$5:$B$104,0),"なし"))</f>
        <v/>
      </c>
      <c r="X621" s="33">
        <f>IF($A621="","",IF(ISNUMBER($E621),$E621,IF(ISNUMBER($B621),$B621,"")))</f>
        <v/>
      </c>
      <c r="Y621" s="34">
        <f>IF($T621="","",$O621+ROW()/1000000)</f>
        <v/>
      </c>
      <c r="Z621" s="35">
        <f>IF(OR($A621="",$C621="",$C621&lt;&gt;'売掛帳'!$B$3,NOT(ISNUMBER($X621))),"",IF(AND($X621&gt;='売掛帳'!$Q$3,$X621&lt;='売掛帳'!$Q$4),$X621+ROW()/10000000,""))</f>
        <v/>
      </c>
    </row>
    <row r="622" ht="18" customHeight="1">
      <c r="A622" s="18" t="n"/>
      <c r="B622" s="26" t="n"/>
      <c r="C622" s="18" t="n"/>
      <c r="D622" s="20">
        <f>IF($W622="","",IF($W622="なし","※得意先にないコード",INDEX('得意先'!$C$5:$C$104,$W622)&amp;""))</f>
        <v/>
      </c>
      <c r="E622" s="26" t="n"/>
      <c r="F622" s="19" t="n"/>
      <c r="G622" s="27" t="n"/>
      <c r="H622" s="27" t="n"/>
      <c r="I622" s="27" t="n"/>
      <c r="J622" s="28">
        <f>IF($A622="","",IF('設定'!$B$10="四捨五入",ROUND(IF('設定'!$B$9="税込",N($G622)*10/110,N($G622)*10/100),0),IF('設定'!$B$10="切り上げ",ROUNDUP(IF('設定'!$B$9="税込",N($G622)*10/110,N($G622)*10/100),0),ROUNDDOWN(IF('設定'!$B$9="税込",N($G622)*10/110,N($G622)*10/100),0))))</f>
        <v/>
      </c>
      <c r="K622" s="28">
        <f>IF($A622="","",IF('設定'!$B$10="四捨五入",ROUND(IF('設定'!$B$9="税込",N($H622)*8/108,N($H622)*8/100),0),IF('設定'!$B$10="切り上げ",ROUNDUP(IF('設定'!$B$9="税込",N($H622)*8/108,N($H622)*8/100),0),ROUNDDOWN(IF('設定'!$B$9="税込",N($H622)*8/108,N($H622)*8/100),0))))</f>
        <v/>
      </c>
      <c r="L622" s="28">
        <f>IF($A622="","",N($G622)+N($H622)+N($I622)+IF('設定'!$B$9="税込",0,$J622+$K622))</f>
        <v/>
      </c>
      <c r="M622" s="29">
        <f>IF(OR($A622="",NOT(ISNUMBER($W622)),NOT(ISNUMBER($X622))),"",IF(OR(INDEX('得意先'!$D$5:$D$104,$W622)="",INDEX('得意先'!$E$5:$E$104,$W622)="",INDEX('得意先'!$F$5:$F$104,$W622)=""),"",IF(INDEX('得意先'!$F$5:$F$104,$W622)="末",DATE(YEAR($X622),(MONTH($X622)+IF(INDEX('得意先'!$D$5:$D$104,$W622)="末",0,IF(DAY($X622)&lt;=INDEX('得意先'!$D$5:$D$104,$W622),0,1))+N(INDEX('得意先'!$E$5:$E$104,$W622)))+1,0),DATE(YEAR($X622),(MONTH($X622)+IF(INDEX('得意先'!$D$5:$D$104,$W622)="末",0,IF(DAY($X622)&lt;=INDEX('得意先'!$D$5:$D$104,$W622),0,1))+N(INDEX('得意先'!$E$5:$E$104,$W622))),MIN(INDEX('得意先'!$F$5:$F$104,$W622),DAY(DATE(YEAR($X622),(MONTH($X622)+IF(INDEX('得意先'!$D$5:$D$104,$W622)="末",0,IF(DAY($X622)&lt;=INDEX('得意先'!$D$5:$D$104,$W622),0,1))+N(INDEX('得意先'!$E$5:$E$104,$W622)))+1,0)))))))</f>
        <v/>
      </c>
      <c r="N622" s="26" t="n"/>
      <c r="O622" s="29">
        <f>IF($A622="","",IF(ISNUMBER($N622),$N622,$M622))</f>
        <v/>
      </c>
      <c r="P622" s="28">
        <f>IF($A622="","",SUMIF('入金消込'!$F$5:$F$1004,$A622,'入金消込'!$G$5:$G$1004))</f>
        <v/>
      </c>
      <c r="Q622" s="28">
        <f>IF($A622="","",SUMIF('入金消込'!$F$5:$F$1004,$A622,'入金消込'!$H$5:$H$1004)+SUMIF('入金消込'!$F$5:$F$1004,$A622,'入金消込'!$I$5:$I$1004))</f>
        <v/>
      </c>
      <c r="R622" s="28">
        <f>IF($A622="","",$L622-$P622-$Q622)</f>
        <v/>
      </c>
      <c r="S622" s="30">
        <f>IF($A622="","",IF($R622=0,IF($L622=0,"請求額0","回収済"),IF($L622&lt;0,IF($R622&lt;0,"差し引き待ち","差し引きすぎ"),IF($R622&lt;0,"入金が多い",IF($P622+$Q622=0,"未入金","一部入金")))))</f>
        <v/>
      </c>
      <c r="T622" s="31">
        <f>IF(OR($A622="",N($R622)&lt;=0,NOT(ISNUMBER($O622))),"",IF($O622&lt;'設定'!$B$7,'設定'!$B$7-$O622,""))</f>
        <v/>
      </c>
      <c r="U622" s="30">
        <f>IF(OR($A622="",N($R622)&lt;=0),"",IF(NOT(ISNUMBER($O622)),'設定'!$B$22,IF($O622&gt;='設定'!$B$7,'設定'!$B$17,IF('設定'!$B$7-$O622&lt;='設定'!$B$12,'設定'!$B$18,IF('設定'!$B$7-$O622&lt;='設定'!$B$13,'設定'!$B$19,IF('設定'!$B$7-$O622&lt;='設定'!$B$14,'設定'!$B$20,'設定'!$B$21))))))</f>
        <v/>
      </c>
      <c r="V622" s="56" t="n"/>
      <c r="W622" s="32">
        <f>IF($C622="","",IFERROR(MATCH($C622,'得意先'!$B$5:$B$104,0),"なし"))</f>
        <v/>
      </c>
      <c r="X622" s="33">
        <f>IF($A622="","",IF(ISNUMBER($E622),$E622,IF(ISNUMBER($B622),$B622,"")))</f>
        <v/>
      </c>
      <c r="Y622" s="34">
        <f>IF($T622="","",$O622+ROW()/1000000)</f>
        <v/>
      </c>
      <c r="Z622" s="35">
        <f>IF(OR($A622="",$C622="",$C622&lt;&gt;'売掛帳'!$B$3,NOT(ISNUMBER($X622))),"",IF(AND($X622&gt;='売掛帳'!$Q$3,$X622&lt;='売掛帳'!$Q$4),$X622+ROW()/10000000,""))</f>
        <v/>
      </c>
    </row>
    <row r="623" ht="18" customHeight="1">
      <c r="A623" s="18" t="n"/>
      <c r="B623" s="26" t="n"/>
      <c r="C623" s="18" t="n"/>
      <c r="D623" s="20">
        <f>IF($W623="","",IF($W623="なし","※得意先にないコード",INDEX('得意先'!$C$5:$C$104,$W623)&amp;""))</f>
        <v/>
      </c>
      <c r="E623" s="26" t="n"/>
      <c r="F623" s="19" t="n"/>
      <c r="G623" s="27" t="n"/>
      <c r="H623" s="27" t="n"/>
      <c r="I623" s="27" t="n"/>
      <c r="J623" s="28">
        <f>IF($A623="","",IF('設定'!$B$10="四捨五入",ROUND(IF('設定'!$B$9="税込",N($G623)*10/110,N($G623)*10/100),0),IF('設定'!$B$10="切り上げ",ROUNDUP(IF('設定'!$B$9="税込",N($G623)*10/110,N($G623)*10/100),0),ROUNDDOWN(IF('設定'!$B$9="税込",N($G623)*10/110,N($G623)*10/100),0))))</f>
        <v/>
      </c>
      <c r="K623" s="28">
        <f>IF($A623="","",IF('設定'!$B$10="四捨五入",ROUND(IF('設定'!$B$9="税込",N($H623)*8/108,N($H623)*8/100),0),IF('設定'!$B$10="切り上げ",ROUNDUP(IF('設定'!$B$9="税込",N($H623)*8/108,N($H623)*8/100),0),ROUNDDOWN(IF('設定'!$B$9="税込",N($H623)*8/108,N($H623)*8/100),0))))</f>
        <v/>
      </c>
      <c r="L623" s="28">
        <f>IF($A623="","",N($G623)+N($H623)+N($I623)+IF('設定'!$B$9="税込",0,$J623+$K623))</f>
        <v/>
      </c>
      <c r="M623" s="29">
        <f>IF(OR($A623="",NOT(ISNUMBER($W623)),NOT(ISNUMBER($X623))),"",IF(OR(INDEX('得意先'!$D$5:$D$104,$W623)="",INDEX('得意先'!$E$5:$E$104,$W623)="",INDEX('得意先'!$F$5:$F$104,$W623)=""),"",IF(INDEX('得意先'!$F$5:$F$104,$W623)="末",DATE(YEAR($X623),(MONTH($X623)+IF(INDEX('得意先'!$D$5:$D$104,$W623)="末",0,IF(DAY($X623)&lt;=INDEX('得意先'!$D$5:$D$104,$W623),0,1))+N(INDEX('得意先'!$E$5:$E$104,$W623)))+1,0),DATE(YEAR($X623),(MONTH($X623)+IF(INDEX('得意先'!$D$5:$D$104,$W623)="末",0,IF(DAY($X623)&lt;=INDEX('得意先'!$D$5:$D$104,$W623),0,1))+N(INDEX('得意先'!$E$5:$E$104,$W623))),MIN(INDEX('得意先'!$F$5:$F$104,$W623),DAY(DATE(YEAR($X623),(MONTH($X623)+IF(INDEX('得意先'!$D$5:$D$104,$W623)="末",0,IF(DAY($X623)&lt;=INDEX('得意先'!$D$5:$D$104,$W623),0,1))+N(INDEX('得意先'!$E$5:$E$104,$W623)))+1,0)))))))</f>
        <v/>
      </c>
      <c r="N623" s="26" t="n"/>
      <c r="O623" s="29">
        <f>IF($A623="","",IF(ISNUMBER($N623),$N623,$M623))</f>
        <v/>
      </c>
      <c r="P623" s="28">
        <f>IF($A623="","",SUMIF('入金消込'!$F$5:$F$1004,$A623,'入金消込'!$G$5:$G$1004))</f>
        <v/>
      </c>
      <c r="Q623" s="28">
        <f>IF($A623="","",SUMIF('入金消込'!$F$5:$F$1004,$A623,'入金消込'!$H$5:$H$1004)+SUMIF('入金消込'!$F$5:$F$1004,$A623,'入金消込'!$I$5:$I$1004))</f>
        <v/>
      </c>
      <c r="R623" s="28">
        <f>IF($A623="","",$L623-$P623-$Q623)</f>
        <v/>
      </c>
      <c r="S623" s="30">
        <f>IF($A623="","",IF($R623=0,IF($L623=0,"請求額0","回収済"),IF($L623&lt;0,IF($R623&lt;0,"差し引き待ち","差し引きすぎ"),IF($R623&lt;0,"入金が多い",IF($P623+$Q623=0,"未入金","一部入金")))))</f>
        <v/>
      </c>
      <c r="T623" s="31">
        <f>IF(OR($A623="",N($R623)&lt;=0,NOT(ISNUMBER($O623))),"",IF($O623&lt;'設定'!$B$7,'設定'!$B$7-$O623,""))</f>
        <v/>
      </c>
      <c r="U623" s="30">
        <f>IF(OR($A623="",N($R623)&lt;=0),"",IF(NOT(ISNUMBER($O623)),'設定'!$B$22,IF($O623&gt;='設定'!$B$7,'設定'!$B$17,IF('設定'!$B$7-$O623&lt;='設定'!$B$12,'設定'!$B$18,IF('設定'!$B$7-$O623&lt;='設定'!$B$13,'設定'!$B$19,IF('設定'!$B$7-$O623&lt;='設定'!$B$14,'設定'!$B$20,'設定'!$B$21))))))</f>
        <v/>
      </c>
      <c r="V623" s="56" t="n"/>
      <c r="W623" s="32">
        <f>IF($C623="","",IFERROR(MATCH($C623,'得意先'!$B$5:$B$104,0),"なし"))</f>
        <v/>
      </c>
      <c r="X623" s="33">
        <f>IF($A623="","",IF(ISNUMBER($E623),$E623,IF(ISNUMBER($B623),$B623,"")))</f>
        <v/>
      </c>
      <c r="Y623" s="34">
        <f>IF($T623="","",$O623+ROW()/1000000)</f>
        <v/>
      </c>
      <c r="Z623" s="35">
        <f>IF(OR($A623="",$C623="",$C623&lt;&gt;'売掛帳'!$B$3,NOT(ISNUMBER($X623))),"",IF(AND($X623&gt;='売掛帳'!$Q$3,$X623&lt;='売掛帳'!$Q$4),$X623+ROW()/10000000,""))</f>
        <v/>
      </c>
    </row>
    <row r="624" ht="18" customHeight="1">
      <c r="A624" s="18" t="n"/>
      <c r="B624" s="26" t="n"/>
      <c r="C624" s="18" t="n"/>
      <c r="D624" s="20">
        <f>IF($W624="","",IF($W624="なし","※得意先にないコード",INDEX('得意先'!$C$5:$C$104,$W624)&amp;""))</f>
        <v/>
      </c>
      <c r="E624" s="26" t="n"/>
      <c r="F624" s="19" t="n"/>
      <c r="G624" s="27" t="n"/>
      <c r="H624" s="27" t="n"/>
      <c r="I624" s="27" t="n"/>
      <c r="J624" s="28">
        <f>IF($A624="","",IF('設定'!$B$10="四捨五入",ROUND(IF('設定'!$B$9="税込",N($G624)*10/110,N($G624)*10/100),0),IF('設定'!$B$10="切り上げ",ROUNDUP(IF('設定'!$B$9="税込",N($G624)*10/110,N($G624)*10/100),0),ROUNDDOWN(IF('設定'!$B$9="税込",N($G624)*10/110,N($G624)*10/100),0))))</f>
        <v/>
      </c>
      <c r="K624" s="28">
        <f>IF($A624="","",IF('設定'!$B$10="四捨五入",ROUND(IF('設定'!$B$9="税込",N($H624)*8/108,N($H624)*8/100),0),IF('設定'!$B$10="切り上げ",ROUNDUP(IF('設定'!$B$9="税込",N($H624)*8/108,N($H624)*8/100),0),ROUNDDOWN(IF('設定'!$B$9="税込",N($H624)*8/108,N($H624)*8/100),0))))</f>
        <v/>
      </c>
      <c r="L624" s="28">
        <f>IF($A624="","",N($G624)+N($H624)+N($I624)+IF('設定'!$B$9="税込",0,$J624+$K624))</f>
        <v/>
      </c>
      <c r="M624" s="29">
        <f>IF(OR($A624="",NOT(ISNUMBER($W624)),NOT(ISNUMBER($X624))),"",IF(OR(INDEX('得意先'!$D$5:$D$104,$W624)="",INDEX('得意先'!$E$5:$E$104,$W624)="",INDEX('得意先'!$F$5:$F$104,$W624)=""),"",IF(INDEX('得意先'!$F$5:$F$104,$W624)="末",DATE(YEAR($X624),(MONTH($X624)+IF(INDEX('得意先'!$D$5:$D$104,$W624)="末",0,IF(DAY($X624)&lt;=INDEX('得意先'!$D$5:$D$104,$W624),0,1))+N(INDEX('得意先'!$E$5:$E$104,$W624)))+1,0),DATE(YEAR($X624),(MONTH($X624)+IF(INDEX('得意先'!$D$5:$D$104,$W624)="末",0,IF(DAY($X624)&lt;=INDEX('得意先'!$D$5:$D$104,$W624),0,1))+N(INDEX('得意先'!$E$5:$E$104,$W624))),MIN(INDEX('得意先'!$F$5:$F$104,$W624),DAY(DATE(YEAR($X624),(MONTH($X624)+IF(INDEX('得意先'!$D$5:$D$104,$W624)="末",0,IF(DAY($X624)&lt;=INDEX('得意先'!$D$5:$D$104,$W624),0,1))+N(INDEX('得意先'!$E$5:$E$104,$W624)))+1,0)))))))</f>
        <v/>
      </c>
      <c r="N624" s="26" t="n"/>
      <c r="O624" s="29">
        <f>IF($A624="","",IF(ISNUMBER($N624),$N624,$M624))</f>
        <v/>
      </c>
      <c r="P624" s="28">
        <f>IF($A624="","",SUMIF('入金消込'!$F$5:$F$1004,$A624,'入金消込'!$G$5:$G$1004))</f>
        <v/>
      </c>
      <c r="Q624" s="28">
        <f>IF($A624="","",SUMIF('入金消込'!$F$5:$F$1004,$A624,'入金消込'!$H$5:$H$1004)+SUMIF('入金消込'!$F$5:$F$1004,$A624,'入金消込'!$I$5:$I$1004))</f>
        <v/>
      </c>
      <c r="R624" s="28">
        <f>IF($A624="","",$L624-$P624-$Q624)</f>
        <v/>
      </c>
      <c r="S624" s="30">
        <f>IF($A624="","",IF($R624=0,IF($L624=0,"請求額0","回収済"),IF($L624&lt;0,IF($R624&lt;0,"差し引き待ち","差し引きすぎ"),IF($R624&lt;0,"入金が多い",IF($P624+$Q624=0,"未入金","一部入金")))))</f>
        <v/>
      </c>
      <c r="T624" s="31">
        <f>IF(OR($A624="",N($R624)&lt;=0,NOT(ISNUMBER($O624))),"",IF($O624&lt;'設定'!$B$7,'設定'!$B$7-$O624,""))</f>
        <v/>
      </c>
      <c r="U624" s="30">
        <f>IF(OR($A624="",N($R624)&lt;=0),"",IF(NOT(ISNUMBER($O624)),'設定'!$B$22,IF($O624&gt;='設定'!$B$7,'設定'!$B$17,IF('設定'!$B$7-$O624&lt;='設定'!$B$12,'設定'!$B$18,IF('設定'!$B$7-$O624&lt;='設定'!$B$13,'設定'!$B$19,IF('設定'!$B$7-$O624&lt;='設定'!$B$14,'設定'!$B$20,'設定'!$B$21))))))</f>
        <v/>
      </c>
      <c r="V624" s="56" t="n"/>
      <c r="W624" s="32">
        <f>IF($C624="","",IFERROR(MATCH($C624,'得意先'!$B$5:$B$104,0),"なし"))</f>
        <v/>
      </c>
      <c r="X624" s="33">
        <f>IF($A624="","",IF(ISNUMBER($E624),$E624,IF(ISNUMBER($B624),$B624,"")))</f>
        <v/>
      </c>
      <c r="Y624" s="34">
        <f>IF($T624="","",$O624+ROW()/1000000)</f>
        <v/>
      </c>
      <c r="Z624" s="35">
        <f>IF(OR($A624="",$C624="",$C624&lt;&gt;'売掛帳'!$B$3,NOT(ISNUMBER($X624))),"",IF(AND($X624&gt;='売掛帳'!$Q$3,$X624&lt;='売掛帳'!$Q$4),$X624+ROW()/10000000,""))</f>
        <v/>
      </c>
    </row>
    <row r="625" ht="18" customHeight="1">
      <c r="A625" s="18" t="n"/>
      <c r="B625" s="26" t="n"/>
      <c r="C625" s="18" t="n"/>
      <c r="D625" s="20">
        <f>IF($W625="","",IF($W625="なし","※得意先にないコード",INDEX('得意先'!$C$5:$C$104,$W625)&amp;""))</f>
        <v/>
      </c>
      <c r="E625" s="26" t="n"/>
      <c r="F625" s="19" t="n"/>
      <c r="G625" s="27" t="n"/>
      <c r="H625" s="27" t="n"/>
      <c r="I625" s="27" t="n"/>
      <c r="J625" s="28">
        <f>IF($A625="","",IF('設定'!$B$10="四捨五入",ROUND(IF('設定'!$B$9="税込",N($G625)*10/110,N($G625)*10/100),0),IF('設定'!$B$10="切り上げ",ROUNDUP(IF('設定'!$B$9="税込",N($G625)*10/110,N($G625)*10/100),0),ROUNDDOWN(IF('設定'!$B$9="税込",N($G625)*10/110,N($G625)*10/100),0))))</f>
        <v/>
      </c>
      <c r="K625" s="28">
        <f>IF($A625="","",IF('設定'!$B$10="四捨五入",ROUND(IF('設定'!$B$9="税込",N($H625)*8/108,N($H625)*8/100),0),IF('設定'!$B$10="切り上げ",ROUNDUP(IF('設定'!$B$9="税込",N($H625)*8/108,N($H625)*8/100),0),ROUNDDOWN(IF('設定'!$B$9="税込",N($H625)*8/108,N($H625)*8/100),0))))</f>
        <v/>
      </c>
      <c r="L625" s="28">
        <f>IF($A625="","",N($G625)+N($H625)+N($I625)+IF('設定'!$B$9="税込",0,$J625+$K625))</f>
        <v/>
      </c>
      <c r="M625" s="29">
        <f>IF(OR($A625="",NOT(ISNUMBER($W625)),NOT(ISNUMBER($X625))),"",IF(OR(INDEX('得意先'!$D$5:$D$104,$W625)="",INDEX('得意先'!$E$5:$E$104,$W625)="",INDEX('得意先'!$F$5:$F$104,$W625)=""),"",IF(INDEX('得意先'!$F$5:$F$104,$W625)="末",DATE(YEAR($X625),(MONTH($X625)+IF(INDEX('得意先'!$D$5:$D$104,$W625)="末",0,IF(DAY($X625)&lt;=INDEX('得意先'!$D$5:$D$104,$W625),0,1))+N(INDEX('得意先'!$E$5:$E$104,$W625)))+1,0),DATE(YEAR($X625),(MONTH($X625)+IF(INDEX('得意先'!$D$5:$D$104,$W625)="末",0,IF(DAY($X625)&lt;=INDEX('得意先'!$D$5:$D$104,$W625),0,1))+N(INDEX('得意先'!$E$5:$E$104,$W625))),MIN(INDEX('得意先'!$F$5:$F$104,$W625),DAY(DATE(YEAR($X625),(MONTH($X625)+IF(INDEX('得意先'!$D$5:$D$104,$W625)="末",0,IF(DAY($X625)&lt;=INDEX('得意先'!$D$5:$D$104,$W625),0,1))+N(INDEX('得意先'!$E$5:$E$104,$W625)))+1,0)))))))</f>
        <v/>
      </c>
      <c r="N625" s="26" t="n"/>
      <c r="O625" s="29">
        <f>IF($A625="","",IF(ISNUMBER($N625),$N625,$M625))</f>
        <v/>
      </c>
      <c r="P625" s="28">
        <f>IF($A625="","",SUMIF('入金消込'!$F$5:$F$1004,$A625,'入金消込'!$G$5:$G$1004))</f>
        <v/>
      </c>
      <c r="Q625" s="28">
        <f>IF($A625="","",SUMIF('入金消込'!$F$5:$F$1004,$A625,'入金消込'!$H$5:$H$1004)+SUMIF('入金消込'!$F$5:$F$1004,$A625,'入金消込'!$I$5:$I$1004))</f>
        <v/>
      </c>
      <c r="R625" s="28">
        <f>IF($A625="","",$L625-$P625-$Q625)</f>
        <v/>
      </c>
      <c r="S625" s="30">
        <f>IF($A625="","",IF($R625=0,IF($L625=0,"請求額0","回収済"),IF($L625&lt;0,IF($R625&lt;0,"差し引き待ち","差し引きすぎ"),IF($R625&lt;0,"入金が多い",IF($P625+$Q625=0,"未入金","一部入金")))))</f>
        <v/>
      </c>
      <c r="T625" s="31">
        <f>IF(OR($A625="",N($R625)&lt;=0,NOT(ISNUMBER($O625))),"",IF($O625&lt;'設定'!$B$7,'設定'!$B$7-$O625,""))</f>
        <v/>
      </c>
      <c r="U625" s="30">
        <f>IF(OR($A625="",N($R625)&lt;=0),"",IF(NOT(ISNUMBER($O625)),'設定'!$B$22,IF($O625&gt;='設定'!$B$7,'設定'!$B$17,IF('設定'!$B$7-$O625&lt;='設定'!$B$12,'設定'!$B$18,IF('設定'!$B$7-$O625&lt;='設定'!$B$13,'設定'!$B$19,IF('設定'!$B$7-$O625&lt;='設定'!$B$14,'設定'!$B$20,'設定'!$B$21))))))</f>
        <v/>
      </c>
      <c r="V625" s="56" t="n"/>
      <c r="W625" s="32">
        <f>IF($C625="","",IFERROR(MATCH($C625,'得意先'!$B$5:$B$104,0),"なし"))</f>
        <v/>
      </c>
      <c r="X625" s="33">
        <f>IF($A625="","",IF(ISNUMBER($E625),$E625,IF(ISNUMBER($B625),$B625,"")))</f>
        <v/>
      </c>
      <c r="Y625" s="34">
        <f>IF($T625="","",$O625+ROW()/1000000)</f>
        <v/>
      </c>
      <c r="Z625" s="35">
        <f>IF(OR($A625="",$C625="",$C625&lt;&gt;'売掛帳'!$B$3,NOT(ISNUMBER($X625))),"",IF(AND($X625&gt;='売掛帳'!$Q$3,$X625&lt;='売掛帳'!$Q$4),$X625+ROW()/10000000,""))</f>
        <v/>
      </c>
    </row>
    <row r="626" ht="18" customHeight="1">
      <c r="A626" s="18" t="n"/>
      <c r="B626" s="26" t="n"/>
      <c r="C626" s="18" t="n"/>
      <c r="D626" s="20">
        <f>IF($W626="","",IF($W626="なし","※得意先にないコード",INDEX('得意先'!$C$5:$C$104,$W626)&amp;""))</f>
        <v/>
      </c>
      <c r="E626" s="26" t="n"/>
      <c r="F626" s="19" t="n"/>
      <c r="G626" s="27" t="n"/>
      <c r="H626" s="27" t="n"/>
      <c r="I626" s="27" t="n"/>
      <c r="J626" s="28">
        <f>IF($A626="","",IF('設定'!$B$10="四捨五入",ROUND(IF('設定'!$B$9="税込",N($G626)*10/110,N($G626)*10/100),0),IF('設定'!$B$10="切り上げ",ROUNDUP(IF('設定'!$B$9="税込",N($G626)*10/110,N($G626)*10/100),0),ROUNDDOWN(IF('設定'!$B$9="税込",N($G626)*10/110,N($G626)*10/100),0))))</f>
        <v/>
      </c>
      <c r="K626" s="28">
        <f>IF($A626="","",IF('設定'!$B$10="四捨五入",ROUND(IF('設定'!$B$9="税込",N($H626)*8/108,N($H626)*8/100),0),IF('設定'!$B$10="切り上げ",ROUNDUP(IF('設定'!$B$9="税込",N($H626)*8/108,N($H626)*8/100),0),ROUNDDOWN(IF('設定'!$B$9="税込",N($H626)*8/108,N($H626)*8/100),0))))</f>
        <v/>
      </c>
      <c r="L626" s="28">
        <f>IF($A626="","",N($G626)+N($H626)+N($I626)+IF('設定'!$B$9="税込",0,$J626+$K626))</f>
        <v/>
      </c>
      <c r="M626" s="29">
        <f>IF(OR($A626="",NOT(ISNUMBER($W626)),NOT(ISNUMBER($X626))),"",IF(OR(INDEX('得意先'!$D$5:$D$104,$W626)="",INDEX('得意先'!$E$5:$E$104,$W626)="",INDEX('得意先'!$F$5:$F$104,$W626)=""),"",IF(INDEX('得意先'!$F$5:$F$104,$W626)="末",DATE(YEAR($X626),(MONTH($X626)+IF(INDEX('得意先'!$D$5:$D$104,$W626)="末",0,IF(DAY($X626)&lt;=INDEX('得意先'!$D$5:$D$104,$W626),0,1))+N(INDEX('得意先'!$E$5:$E$104,$W626)))+1,0),DATE(YEAR($X626),(MONTH($X626)+IF(INDEX('得意先'!$D$5:$D$104,$W626)="末",0,IF(DAY($X626)&lt;=INDEX('得意先'!$D$5:$D$104,$W626),0,1))+N(INDEX('得意先'!$E$5:$E$104,$W626))),MIN(INDEX('得意先'!$F$5:$F$104,$W626),DAY(DATE(YEAR($X626),(MONTH($X626)+IF(INDEX('得意先'!$D$5:$D$104,$W626)="末",0,IF(DAY($X626)&lt;=INDEX('得意先'!$D$5:$D$104,$W626),0,1))+N(INDEX('得意先'!$E$5:$E$104,$W626)))+1,0)))))))</f>
        <v/>
      </c>
      <c r="N626" s="26" t="n"/>
      <c r="O626" s="29">
        <f>IF($A626="","",IF(ISNUMBER($N626),$N626,$M626))</f>
        <v/>
      </c>
      <c r="P626" s="28">
        <f>IF($A626="","",SUMIF('入金消込'!$F$5:$F$1004,$A626,'入金消込'!$G$5:$G$1004))</f>
        <v/>
      </c>
      <c r="Q626" s="28">
        <f>IF($A626="","",SUMIF('入金消込'!$F$5:$F$1004,$A626,'入金消込'!$H$5:$H$1004)+SUMIF('入金消込'!$F$5:$F$1004,$A626,'入金消込'!$I$5:$I$1004))</f>
        <v/>
      </c>
      <c r="R626" s="28">
        <f>IF($A626="","",$L626-$P626-$Q626)</f>
        <v/>
      </c>
      <c r="S626" s="30">
        <f>IF($A626="","",IF($R626=0,IF($L626=0,"請求額0","回収済"),IF($L626&lt;0,IF($R626&lt;0,"差し引き待ち","差し引きすぎ"),IF($R626&lt;0,"入金が多い",IF($P626+$Q626=0,"未入金","一部入金")))))</f>
        <v/>
      </c>
      <c r="T626" s="31">
        <f>IF(OR($A626="",N($R626)&lt;=0,NOT(ISNUMBER($O626))),"",IF($O626&lt;'設定'!$B$7,'設定'!$B$7-$O626,""))</f>
        <v/>
      </c>
      <c r="U626" s="30">
        <f>IF(OR($A626="",N($R626)&lt;=0),"",IF(NOT(ISNUMBER($O626)),'設定'!$B$22,IF($O626&gt;='設定'!$B$7,'設定'!$B$17,IF('設定'!$B$7-$O626&lt;='設定'!$B$12,'設定'!$B$18,IF('設定'!$B$7-$O626&lt;='設定'!$B$13,'設定'!$B$19,IF('設定'!$B$7-$O626&lt;='設定'!$B$14,'設定'!$B$20,'設定'!$B$21))))))</f>
        <v/>
      </c>
      <c r="V626" s="56" t="n"/>
      <c r="W626" s="32">
        <f>IF($C626="","",IFERROR(MATCH($C626,'得意先'!$B$5:$B$104,0),"なし"))</f>
        <v/>
      </c>
      <c r="X626" s="33">
        <f>IF($A626="","",IF(ISNUMBER($E626),$E626,IF(ISNUMBER($B626),$B626,"")))</f>
        <v/>
      </c>
      <c r="Y626" s="34">
        <f>IF($T626="","",$O626+ROW()/1000000)</f>
        <v/>
      </c>
      <c r="Z626" s="35">
        <f>IF(OR($A626="",$C626="",$C626&lt;&gt;'売掛帳'!$B$3,NOT(ISNUMBER($X626))),"",IF(AND($X626&gt;='売掛帳'!$Q$3,$X626&lt;='売掛帳'!$Q$4),$X626+ROW()/10000000,""))</f>
        <v/>
      </c>
    </row>
    <row r="627" ht="18" customHeight="1">
      <c r="A627" s="18" t="n"/>
      <c r="B627" s="26" t="n"/>
      <c r="C627" s="18" t="n"/>
      <c r="D627" s="20">
        <f>IF($W627="","",IF($W627="なし","※得意先にないコード",INDEX('得意先'!$C$5:$C$104,$W627)&amp;""))</f>
        <v/>
      </c>
      <c r="E627" s="26" t="n"/>
      <c r="F627" s="19" t="n"/>
      <c r="G627" s="27" t="n"/>
      <c r="H627" s="27" t="n"/>
      <c r="I627" s="27" t="n"/>
      <c r="J627" s="28">
        <f>IF($A627="","",IF('設定'!$B$10="四捨五入",ROUND(IF('設定'!$B$9="税込",N($G627)*10/110,N($G627)*10/100),0),IF('設定'!$B$10="切り上げ",ROUNDUP(IF('設定'!$B$9="税込",N($G627)*10/110,N($G627)*10/100),0),ROUNDDOWN(IF('設定'!$B$9="税込",N($G627)*10/110,N($G627)*10/100),0))))</f>
        <v/>
      </c>
      <c r="K627" s="28">
        <f>IF($A627="","",IF('設定'!$B$10="四捨五入",ROUND(IF('設定'!$B$9="税込",N($H627)*8/108,N($H627)*8/100),0),IF('設定'!$B$10="切り上げ",ROUNDUP(IF('設定'!$B$9="税込",N($H627)*8/108,N($H627)*8/100),0),ROUNDDOWN(IF('設定'!$B$9="税込",N($H627)*8/108,N($H627)*8/100),0))))</f>
        <v/>
      </c>
      <c r="L627" s="28">
        <f>IF($A627="","",N($G627)+N($H627)+N($I627)+IF('設定'!$B$9="税込",0,$J627+$K627))</f>
        <v/>
      </c>
      <c r="M627" s="29">
        <f>IF(OR($A627="",NOT(ISNUMBER($W627)),NOT(ISNUMBER($X627))),"",IF(OR(INDEX('得意先'!$D$5:$D$104,$W627)="",INDEX('得意先'!$E$5:$E$104,$W627)="",INDEX('得意先'!$F$5:$F$104,$W627)=""),"",IF(INDEX('得意先'!$F$5:$F$104,$W627)="末",DATE(YEAR($X627),(MONTH($X627)+IF(INDEX('得意先'!$D$5:$D$104,$W627)="末",0,IF(DAY($X627)&lt;=INDEX('得意先'!$D$5:$D$104,$W627),0,1))+N(INDEX('得意先'!$E$5:$E$104,$W627)))+1,0),DATE(YEAR($X627),(MONTH($X627)+IF(INDEX('得意先'!$D$5:$D$104,$W627)="末",0,IF(DAY($X627)&lt;=INDEX('得意先'!$D$5:$D$104,$W627),0,1))+N(INDEX('得意先'!$E$5:$E$104,$W627))),MIN(INDEX('得意先'!$F$5:$F$104,$W627),DAY(DATE(YEAR($X627),(MONTH($X627)+IF(INDEX('得意先'!$D$5:$D$104,$W627)="末",0,IF(DAY($X627)&lt;=INDEX('得意先'!$D$5:$D$104,$W627),0,1))+N(INDEX('得意先'!$E$5:$E$104,$W627)))+1,0)))))))</f>
        <v/>
      </c>
      <c r="N627" s="26" t="n"/>
      <c r="O627" s="29">
        <f>IF($A627="","",IF(ISNUMBER($N627),$N627,$M627))</f>
        <v/>
      </c>
      <c r="P627" s="28">
        <f>IF($A627="","",SUMIF('入金消込'!$F$5:$F$1004,$A627,'入金消込'!$G$5:$G$1004))</f>
        <v/>
      </c>
      <c r="Q627" s="28">
        <f>IF($A627="","",SUMIF('入金消込'!$F$5:$F$1004,$A627,'入金消込'!$H$5:$H$1004)+SUMIF('入金消込'!$F$5:$F$1004,$A627,'入金消込'!$I$5:$I$1004))</f>
        <v/>
      </c>
      <c r="R627" s="28">
        <f>IF($A627="","",$L627-$P627-$Q627)</f>
        <v/>
      </c>
      <c r="S627" s="30">
        <f>IF($A627="","",IF($R627=0,IF($L627=0,"請求額0","回収済"),IF($L627&lt;0,IF($R627&lt;0,"差し引き待ち","差し引きすぎ"),IF($R627&lt;0,"入金が多い",IF($P627+$Q627=0,"未入金","一部入金")))))</f>
        <v/>
      </c>
      <c r="T627" s="31">
        <f>IF(OR($A627="",N($R627)&lt;=0,NOT(ISNUMBER($O627))),"",IF($O627&lt;'設定'!$B$7,'設定'!$B$7-$O627,""))</f>
        <v/>
      </c>
      <c r="U627" s="30">
        <f>IF(OR($A627="",N($R627)&lt;=0),"",IF(NOT(ISNUMBER($O627)),'設定'!$B$22,IF($O627&gt;='設定'!$B$7,'設定'!$B$17,IF('設定'!$B$7-$O627&lt;='設定'!$B$12,'設定'!$B$18,IF('設定'!$B$7-$O627&lt;='設定'!$B$13,'設定'!$B$19,IF('設定'!$B$7-$O627&lt;='設定'!$B$14,'設定'!$B$20,'設定'!$B$21))))))</f>
        <v/>
      </c>
      <c r="V627" s="56" t="n"/>
      <c r="W627" s="32">
        <f>IF($C627="","",IFERROR(MATCH($C627,'得意先'!$B$5:$B$104,0),"なし"))</f>
        <v/>
      </c>
      <c r="X627" s="33">
        <f>IF($A627="","",IF(ISNUMBER($E627),$E627,IF(ISNUMBER($B627),$B627,"")))</f>
        <v/>
      </c>
      <c r="Y627" s="34">
        <f>IF($T627="","",$O627+ROW()/1000000)</f>
        <v/>
      </c>
      <c r="Z627" s="35">
        <f>IF(OR($A627="",$C627="",$C627&lt;&gt;'売掛帳'!$B$3,NOT(ISNUMBER($X627))),"",IF(AND($X627&gt;='売掛帳'!$Q$3,$X627&lt;='売掛帳'!$Q$4),$X627+ROW()/10000000,""))</f>
        <v/>
      </c>
    </row>
    <row r="628" ht="18" customHeight="1">
      <c r="A628" s="18" t="n"/>
      <c r="B628" s="26" t="n"/>
      <c r="C628" s="18" t="n"/>
      <c r="D628" s="20">
        <f>IF($W628="","",IF($W628="なし","※得意先にないコード",INDEX('得意先'!$C$5:$C$104,$W628)&amp;""))</f>
        <v/>
      </c>
      <c r="E628" s="26" t="n"/>
      <c r="F628" s="19" t="n"/>
      <c r="G628" s="27" t="n"/>
      <c r="H628" s="27" t="n"/>
      <c r="I628" s="27" t="n"/>
      <c r="J628" s="28">
        <f>IF($A628="","",IF('設定'!$B$10="四捨五入",ROUND(IF('設定'!$B$9="税込",N($G628)*10/110,N($G628)*10/100),0),IF('設定'!$B$10="切り上げ",ROUNDUP(IF('設定'!$B$9="税込",N($G628)*10/110,N($G628)*10/100),0),ROUNDDOWN(IF('設定'!$B$9="税込",N($G628)*10/110,N($G628)*10/100),0))))</f>
        <v/>
      </c>
      <c r="K628" s="28">
        <f>IF($A628="","",IF('設定'!$B$10="四捨五入",ROUND(IF('設定'!$B$9="税込",N($H628)*8/108,N($H628)*8/100),0),IF('設定'!$B$10="切り上げ",ROUNDUP(IF('設定'!$B$9="税込",N($H628)*8/108,N($H628)*8/100),0),ROUNDDOWN(IF('設定'!$B$9="税込",N($H628)*8/108,N($H628)*8/100),0))))</f>
        <v/>
      </c>
      <c r="L628" s="28">
        <f>IF($A628="","",N($G628)+N($H628)+N($I628)+IF('設定'!$B$9="税込",0,$J628+$K628))</f>
        <v/>
      </c>
      <c r="M628" s="29">
        <f>IF(OR($A628="",NOT(ISNUMBER($W628)),NOT(ISNUMBER($X628))),"",IF(OR(INDEX('得意先'!$D$5:$D$104,$W628)="",INDEX('得意先'!$E$5:$E$104,$W628)="",INDEX('得意先'!$F$5:$F$104,$W628)=""),"",IF(INDEX('得意先'!$F$5:$F$104,$W628)="末",DATE(YEAR($X628),(MONTH($X628)+IF(INDEX('得意先'!$D$5:$D$104,$W628)="末",0,IF(DAY($X628)&lt;=INDEX('得意先'!$D$5:$D$104,$W628),0,1))+N(INDEX('得意先'!$E$5:$E$104,$W628)))+1,0),DATE(YEAR($X628),(MONTH($X628)+IF(INDEX('得意先'!$D$5:$D$104,$W628)="末",0,IF(DAY($X628)&lt;=INDEX('得意先'!$D$5:$D$104,$W628),0,1))+N(INDEX('得意先'!$E$5:$E$104,$W628))),MIN(INDEX('得意先'!$F$5:$F$104,$W628),DAY(DATE(YEAR($X628),(MONTH($X628)+IF(INDEX('得意先'!$D$5:$D$104,$W628)="末",0,IF(DAY($X628)&lt;=INDEX('得意先'!$D$5:$D$104,$W628),0,1))+N(INDEX('得意先'!$E$5:$E$104,$W628)))+1,0)))))))</f>
        <v/>
      </c>
      <c r="N628" s="26" t="n"/>
      <c r="O628" s="29">
        <f>IF($A628="","",IF(ISNUMBER($N628),$N628,$M628))</f>
        <v/>
      </c>
      <c r="P628" s="28">
        <f>IF($A628="","",SUMIF('入金消込'!$F$5:$F$1004,$A628,'入金消込'!$G$5:$G$1004))</f>
        <v/>
      </c>
      <c r="Q628" s="28">
        <f>IF($A628="","",SUMIF('入金消込'!$F$5:$F$1004,$A628,'入金消込'!$H$5:$H$1004)+SUMIF('入金消込'!$F$5:$F$1004,$A628,'入金消込'!$I$5:$I$1004))</f>
        <v/>
      </c>
      <c r="R628" s="28">
        <f>IF($A628="","",$L628-$P628-$Q628)</f>
        <v/>
      </c>
      <c r="S628" s="30">
        <f>IF($A628="","",IF($R628=0,IF($L628=0,"請求額0","回収済"),IF($L628&lt;0,IF($R628&lt;0,"差し引き待ち","差し引きすぎ"),IF($R628&lt;0,"入金が多い",IF($P628+$Q628=0,"未入金","一部入金")))))</f>
        <v/>
      </c>
      <c r="T628" s="31">
        <f>IF(OR($A628="",N($R628)&lt;=0,NOT(ISNUMBER($O628))),"",IF($O628&lt;'設定'!$B$7,'設定'!$B$7-$O628,""))</f>
        <v/>
      </c>
      <c r="U628" s="30">
        <f>IF(OR($A628="",N($R628)&lt;=0),"",IF(NOT(ISNUMBER($O628)),'設定'!$B$22,IF($O628&gt;='設定'!$B$7,'設定'!$B$17,IF('設定'!$B$7-$O628&lt;='設定'!$B$12,'設定'!$B$18,IF('設定'!$B$7-$O628&lt;='設定'!$B$13,'設定'!$B$19,IF('設定'!$B$7-$O628&lt;='設定'!$B$14,'設定'!$B$20,'設定'!$B$21))))))</f>
        <v/>
      </c>
      <c r="V628" s="56" t="n"/>
      <c r="W628" s="32">
        <f>IF($C628="","",IFERROR(MATCH($C628,'得意先'!$B$5:$B$104,0),"なし"))</f>
        <v/>
      </c>
      <c r="X628" s="33">
        <f>IF($A628="","",IF(ISNUMBER($E628),$E628,IF(ISNUMBER($B628),$B628,"")))</f>
        <v/>
      </c>
      <c r="Y628" s="34">
        <f>IF($T628="","",$O628+ROW()/1000000)</f>
        <v/>
      </c>
      <c r="Z628" s="35">
        <f>IF(OR($A628="",$C628="",$C628&lt;&gt;'売掛帳'!$B$3,NOT(ISNUMBER($X628))),"",IF(AND($X628&gt;='売掛帳'!$Q$3,$X628&lt;='売掛帳'!$Q$4),$X628+ROW()/10000000,""))</f>
        <v/>
      </c>
    </row>
    <row r="629" ht="18" customHeight="1">
      <c r="A629" s="18" t="n"/>
      <c r="B629" s="26" t="n"/>
      <c r="C629" s="18" t="n"/>
      <c r="D629" s="20">
        <f>IF($W629="","",IF($W629="なし","※得意先にないコード",INDEX('得意先'!$C$5:$C$104,$W629)&amp;""))</f>
        <v/>
      </c>
      <c r="E629" s="26" t="n"/>
      <c r="F629" s="19" t="n"/>
      <c r="G629" s="27" t="n"/>
      <c r="H629" s="27" t="n"/>
      <c r="I629" s="27" t="n"/>
      <c r="J629" s="28">
        <f>IF($A629="","",IF('設定'!$B$10="四捨五入",ROUND(IF('設定'!$B$9="税込",N($G629)*10/110,N($G629)*10/100),0),IF('設定'!$B$10="切り上げ",ROUNDUP(IF('設定'!$B$9="税込",N($G629)*10/110,N($G629)*10/100),0),ROUNDDOWN(IF('設定'!$B$9="税込",N($G629)*10/110,N($G629)*10/100),0))))</f>
        <v/>
      </c>
      <c r="K629" s="28">
        <f>IF($A629="","",IF('設定'!$B$10="四捨五入",ROUND(IF('設定'!$B$9="税込",N($H629)*8/108,N($H629)*8/100),0),IF('設定'!$B$10="切り上げ",ROUNDUP(IF('設定'!$B$9="税込",N($H629)*8/108,N($H629)*8/100),0),ROUNDDOWN(IF('設定'!$B$9="税込",N($H629)*8/108,N($H629)*8/100),0))))</f>
        <v/>
      </c>
      <c r="L629" s="28">
        <f>IF($A629="","",N($G629)+N($H629)+N($I629)+IF('設定'!$B$9="税込",0,$J629+$K629))</f>
        <v/>
      </c>
      <c r="M629" s="29">
        <f>IF(OR($A629="",NOT(ISNUMBER($W629)),NOT(ISNUMBER($X629))),"",IF(OR(INDEX('得意先'!$D$5:$D$104,$W629)="",INDEX('得意先'!$E$5:$E$104,$W629)="",INDEX('得意先'!$F$5:$F$104,$W629)=""),"",IF(INDEX('得意先'!$F$5:$F$104,$W629)="末",DATE(YEAR($X629),(MONTH($X629)+IF(INDEX('得意先'!$D$5:$D$104,$W629)="末",0,IF(DAY($X629)&lt;=INDEX('得意先'!$D$5:$D$104,$W629),0,1))+N(INDEX('得意先'!$E$5:$E$104,$W629)))+1,0),DATE(YEAR($X629),(MONTH($X629)+IF(INDEX('得意先'!$D$5:$D$104,$W629)="末",0,IF(DAY($X629)&lt;=INDEX('得意先'!$D$5:$D$104,$W629),0,1))+N(INDEX('得意先'!$E$5:$E$104,$W629))),MIN(INDEX('得意先'!$F$5:$F$104,$W629),DAY(DATE(YEAR($X629),(MONTH($X629)+IF(INDEX('得意先'!$D$5:$D$104,$W629)="末",0,IF(DAY($X629)&lt;=INDEX('得意先'!$D$5:$D$104,$W629),0,1))+N(INDEX('得意先'!$E$5:$E$104,$W629)))+1,0)))))))</f>
        <v/>
      </c>
      <c r="N629" s="26" t="n"/>
      <c r="O629" s="29">
        <f>IF($A629="","",IF(ISNUMBER($N629),$N629,$M629))</f>
        <v/>
      </c>
      <c r="P629" s="28">
        <f>IF($A629="","",SUMIF('入金消込'!$F$5:$F$1004,$A629,'入金消込'!$G$5:$G$1004))</f>
        <v/>
      </c>
      <c r="Q629" s="28">
        <f>IF($A629="","",SUMIF('入金消込'!$F$5:$F$1004,$A629,'入金消込'!$H$5:$H$1004)+SUMIF('入金消込'!$F$5:$F$1004,$A629,'入金消込'!$I$5:$I$1004))</f>
        <v/>
      </c>
      <c r="R629" s="28">
        <f>IF($A629="","",$L629-$P629-$Q629)</f>
        <v/>
      </c>
      <c r="S629" s="30">
        <f>IF($A629="","",IF($R629=0,IF($L629=0,"請求額0","回収済"),IF($L629&lt;0,IF($R629&lt;0,"差し引き待ち","差し引きすぎ"),IF($R629&lt;0,"入金が多い",IF($P629+$Q629=0,"未入金","一部入金")))))</f>
        <v/>
      </c>
      <c r="T629" s="31">
        <f>IF(OR($A629="",N($R629)&lt;=0,NOT(ISNUMBER($O629))),"",IF($O629&lt;'設定'!$B$7,'設定'!$B$7-$O629,""))</f>
        <v/>
      </c>
      <c r="U629" s="30">
        <f>IF(OR($A629="",N($R629)&lt;=0),"",IF(NOT(ISNUMBER($O629)),'設定'!$B$22,IF($O629&gt;='設定'!$B$7,'設定'!$B$17,IF('設定'!$B$7-$O629&lt;='設定'!$B$12,'設定'!$B$18,IF('設定'!$B$7-$O629&lt;='設定'!$B$13,'設定'!$B$19,IF('設定'!$B$7-$O629&lt;='設定'!$B$14,'設定'!$B$20,'設定'!$B$21))))))</f>
        <v/>
      </c>
      <c r="V629" s="56" t="n"/>
      <c r="W629" s="32">
        <f>IF($C629="","",IFERROR(MATCH($C629,'得意先'!$B$5:$B$104,0),"なし"))</f>
        <v/>
      </c>
      <c r="X629" s="33">
        <f>IF($A629="","",IF(ISNUMBER($E629),$E629,IF(ISNUMBER($B629),$B629,"")))</f>
        <v/>
      </c>
      <c r="Y629" s="34">
        <f>IF($T629="","",$O629+ROW()/1000000)</f>
        <v/>
      </c>
      <c r="Z629" s="35">
        <f>IF(OR($A629="",$C629="",$C629&lt;&gt;'売掛帳'!$B$3,NOT(ISNUMBER($X629))),"",IF(AND($X629&gt;='売掛帳'!$Q$3,$X629&lt;='売掛帳'!$Q$4),$X629+ROW()/10000000,""))</f>
        <v/>
      </c>
    </row>
    <row r="630" ht="18" customHeight="1">
      <c r="A630" s="18" t="n"/>
      <c r="B630" s="26" t="n"/>
      <c r="C630" s="18" t="n"/>
      <c r="D630" s="20">
        <f>IF($W630="","",IF($W630="なし","※得意先にないコード",INDEX('得意先'!$C$5:$C$104,$W630)&amp;""))</f>
        <v/>
      </c>
      <c r="E630" s="26" t="n"/>
      <c r="F630" s="19" t="n"/>
      <c r="G630" s="27" t="n"/>
      <c r="H630" s="27" t="n"/>
      <c r="I630" s="27" t="n"/>
      <c r="J630" s="28">
        <f>IF($A630="","",IF('設定'!$B$10="四捨五入",ROUND(IF('設定'!$B$9="税込",N($G630)*10/110,N($G630)*10/100),0),IF('設定'!$B$10="切り上げ",ROUNDUP(IF('設定'!$B$9="税込",N($G630)*10/110,N($G630)*10/100),0),ROUNDDOWN(IF('設定'!$B$9="税込",N($G630)*10/110,N($G630)*10/100),0))))</f>
        <v/>
      </c>
      <c r="K630" s="28">
        <f>IF($A630="","",IF('設定'!$B$10="四捨五入",ROUND(IF('設定'!$B$9="税込",N($H630)*8/108,N($H630)*8/100),0),IF('設定'!$B$10="切り上げ",ROUNDUP(IF('設定'!$B$9="税込",N($H630)*8/108,N($H630)*8/100),0),ROUNDDOWN(IF('設定'!$B$9="税込",N($H630)*8/108,N($H630)*8/100),0))))</f>
        <v/>
      </c>
      <c r="L630" s="28">
        <f>IF($A630="","",N($G630)+N($H630)+N($I630)+IF('設定'!$B$9="税込",0,$J630+$K630))</f>
        <v/>
      </c>
      <c r="M630" s="29">
        <f>IF(OR($A630="",NOT(ISNUMBER($W630)),NOT(ISNUMBER($X630))),"",IF(OR(INDEX('得意先'!$D$5:$D$104,$W630)="",INDEX('得意先'!$E$5:$E$104,$W630)="",INDEX('得意先'!$F$5:$F$104,$W630)=""),"",IF(INDEX('得意先'!$F$5:$F$104,$W630)="末",DATE(YEAR($X630),(MONTH($X630)+IF(INDEX('得意先'!$D$5:$D$104,$W630)="末",0,IF(DAY($X630)&lt;=INDEX('得意先'!$D$5:$D$104,$W630),0,1))+N(INDEX('得意先'!$E$5:$E$104,$W630)))+1,0),DATE(YEAR($X630),(MONTH($X630)+IF(INDEX('得意先'!$D$5:$D$104,$W630)="末",0,IF(DAY($X630)&lt;=INDEX('得意先'!$D$5:$D$104,$W630),0,1))+N(INDEX('得意先'!$E$5:$E$104,$W630))),MIN(INDEX('得意先'!$F$5:$F$104,$W630),DAY(DATE(YEAR($X630),(MONTH($X630)+IF(INDEX('得意先'!$D$5:$D$104,$W630)="末",0,IF(DAY($X630)&lt;=INDEX('得意先'!$D$5:$D$104,$W630),0,1))+N(INDEX('得意先'!$E$5:$E$104,$W630)))+1,0)))))))</f>
        <v/>
      </c>
      <c r="N630" s="26" t="n"/>
      <c r="O630" s="29">
        <f>IF($A630="","",IF(ISNUMBER($N630),$N630,$M630))</f>
        <v/>
      </c>
      <c r="P630" s="28">
        <f>IF($A630="","",SUMIF('入金消込'!$F$5:$F$1004,$A630,'入金消込'!$G$5:$G$1004))</f>
        <v/>
      </c>
      <c r="Q630" s="28">
        <f>IF($A630="","",SUMIF('入金消込'!$F$5:$F$1004,$A630,'入金消込'!$H$5:$H$1004)+SUMIF('入金消込'!$F$5:$F$1004,$A630,'入金消込'!$I$5:$I$1004))</f>
        <v/>
      </c>
      <c r="R630" s="28">
        <f>IF($A630="","",$L630-$P630-$Q630)</f>
        <v/>
      </c>
      <c r="S630" s="30">
        <f>IF($A630="","",IF($R630=0,IF($L630=0,"請求額0","回収済"),IF($L630&lt;0,IF($R630&lt;0,"差し引き待ち","差し引きすぎ"),IF($R630&lt;0,"入金が多い",IF($P630+$Q630=0,"未入金","一部入金")))))</f>
        <v/>
      </c>
      <c r="T630" s="31">
        <f>IF(OR($A630="",N($R630)&lt;=0,NOT(ISNUMBER($O630))),"",IF($O630&lt;'設定'!$B$7,'設定'!$B$7-$O630,""))</f>
        <v/>
      </c>
      <c r="U630" s="30">
        <f>IF(OR($A630="",N($R630)&lt;=0),"",IF(NOT(ISNUMBER($O630)),'設定'!$B$22,IF($O630&gt;='設定'!$B$7,'設定'!$B$17,IF('設定'!$B$7-$O630&lt;='設定'!$B$12,'設定'!$B$18,IF('設定'!$B$7-$O630&lt;='設定'!$B$13,'設定'!$B$19,IF('設定'!$B$7-$O630&lt;='設定'!$B$14,'設定'!$B$20,'設定'!$B$21))))))</f>
        <v/>
      </c>
      <c r="V630" s="56" t="n"/>
      <c r="W630" s="32">
        <f>IF($C630="","",IFERROR(MATCH($C630,'得意先'!$B$5:$B$104,0),"なし"))</f>
        <v/>
      </c>
      <c r="X630" s="33">
        <f>IF($A630="","",IF(ISNUMBER($E630),$E630,IF(ISNUMBER($B630),$B630,"")))</f>
        <v/>
      </c>
      <c r="Y630" s="34">
        <f>IF($T630="","",$O630+ROW()/1000000)</f>
        <v/>
      </c>
      <c r="Z630" s="35">
        <f>IF(OR($A630="",$C630="",$C630&lt;&gt;'売掛帳'!$B$3,NOT(ISNUMBER($X630))),"",IF(AND($X630&gt;='売掛帳'!$Q$3,$X630&lt;='売掛帳'!$Q$4),$X630+ROW()/10000000,""))</f>
        <v/>
      </c>
    </row>
    <row r="631" ht="18" customHeight="1">
      <c r="A631" s="18" t="n"/>
      <c r="B631" s="26" t="n"/>
      <c r="C631" s="18" t="n"/>
      <c r="D631" s="20">
        <f>IF($W631="","",IF($W631="なし","※得意先にないコード",INDEX('得意先'!$C$5:$C$104,$W631)&amp;""))</f>
        <v/>
      </c>
      <c r="E631" s="26" t="n"/>
      <c r="F631" s="19" t="n"/>
      <c r="G631" s="27" t="n"/>
      <c r="H631" s="27" t="n"/>
      <c r="I631" s="27" t="n"/>
      <c r="J631" s="28">
        <f>IF($A631="","",IF('設定'!$B$10="四捨五入",ROUND(IF('設定'!$B$9="税込",N($G631)*10/110,N($G631)*10/100),0),IF('設定'!$B$10="切り上げ",ROUNDUP(IF('設定'!$B$9="税込",N($G631)*10/110,N($G631)*10/100),0),ROUNDDOWN(IF('設定'!$B$9="税込",N($G631)*10/110,N($G631)*10/100),0))))</f>
        <v/>
      </c>
      <c r="K631" s="28">
        <f>IF($A631="","",IF('設定'!$B$10="四捨五入",ROUND(IF('設定'!$B$9="税込",N($H631)*8/108,N($H631)*8/100),0),IF('設定'!$B$10="切り上げ",ROUNDUP(IF('設定'!$B$9="税込",N($H631)*8/108,N($H631)*8/100),0),ROUNDDOWN(IF('設定'!$B$9="税込",N($H631)*8/108,N($H631)*8/100),0))))</f>
        <v/>
      </c>
      <c r="L631" s="28">
        <f>IF($A631="","",N($G631)+N($H631)+N($I631)+IF('設定'!$B$9="税込",0,$J631+$K631))</f>
        <v/>
      </c>
      <c r="M631" s="29">
        <f>IF(OR($A631="",NOT(ISNUMBER($W631)),NOT(ISNUMBER($X631))),"",IF(OR(INDEX('得意先'!$D$5:$D$104,$W631)="",INDEX('得意先'!$E$5:$E$104,$W631)="",INDEX('得意先'!$F$5:$F$104,$W631)=""),"",IF(INDEX('得意先'!$F$5:$F$104,$W631)="末",DATE(YEAR($X631),(MONTH($X631)+IF(INDEX('得意先'!$D$5:$D$104,$W631)="末",0,IF(DAY($X631)&lt;=INDEX('得意先'!$D$5:$D$104,$W631),0,1))+N(INDEX('得意先'!$E$5:$E$104,$W631)))+1,0),DATE(YEAR($X631),(MONTH($X631)+IF(INDEX('得意先'!$D$5:$D$104,$W631)="末",0,IF(DAY($X631)&lt;=INDEX('得意先'!$D$5:$D$104,$W631),0,1))+N(INDEX('得意先'!$E$5:$E$104,$W631))),MIN(INDEX('得意先'!$F$5:$F$104,$W631),DAY(DATE(YEAR($X631),(MONTH($X631)+IF(INDEX('得意先'!$D$5:$D$104,$W631)="末",0,IF(DAY($X631)&lt;=INDEX('得意先'!$D$5:$D$104,$W631),0,1))+N(INDEX('得意先'!$E$5:$E$104,$W631)))+1,0)))))))</f>
        <v/>
      </c>
      <c r="N631" s="26" t="n"/>
      <c r="O631" s="29">
        <f>IF($A631="","",IF(ISNUMBER($N631),$N631,$M631))</f>
        <v/>
      </c>
      <c r="P631" s="28">
        <f>IF($A631="","",SUMIF('入金消込'!$F$5:$F$1004,$A631,'入金消込'!$G$5:$G$1004))</f>
        <v/>
      </c>
      <c r="Q631" s="28">
        <f>IF($A631="","",SUMIF('入金消込'!$F$5:$F$1004,$A631,'入金消込'!$H$5:$H$1004)+SUMIF('入金消込'!$F$5:$F$1004,$A631,'入金消込'!$I$5:$I$1004))</f>
        <v/>
      </c>
      <c r="R631" s="28">
        <f>IF($A631="","",$L631-$P631-$Q631)</f>
        <v/>
      </c>
      <c r="S631" s="30">
        <f>IF($A631="","",IF($R631=0,IF($L631=0,"請求額0","回収済"),IF($L631&lt;0,IF($R631&lt;0,"差し引き待ち","差し引きすぎ"),IF($R631&lt;0,"入金が多い",IF($P631+$Q631=0,"未入金","一部入金")))))</f>
        <v/>
      </c>
      <c r="T631" s="31">
        <f>IF(OR($A631="",N($R631)&lt;=0,NOT(ISNUMBER($O631))),"",IF($O631&lt;'設定'!$B$7,'設定'!$B$7-$O631,""))</f>
        <v/>
      </c>
      <c r="U631" s="30">
        <f>IF(OR($A631="",N($R631)&lt;=0),"",IF(NOT(ISNUMBER($O631)),'設定'!$B$22,IF($O631&gt;='設定'!$B$7,'設定'!$B$17,IF('設定'!$B$7-$O631&lt;='設定'!$B$12,'設定'!$B$18,IF('設定'!$B$7-$O631&lt;='設定'!$B$13,'設定'!$B$19,IF('設定'!$B$7-$O631&lt;='設定'!$B$14,'設定'!$B$20,'設定'!$B$21))))))</f>
        <v/>
      </c>
      <c r="V631" s="56" t="n"/>
      <c r="W631" s="32">
        <f>IF($C631="","",IFERROR(MATCH($C631,'得意先'!$B$5:$B$104,0),"なし"))</f>
        <v/>
      </c>
      <c r="X631" s="33">
        <f>IF($A631="","",IF(ISNUMBER($E631),$E631,IF(ISNUMBER($B631),$B631,"")))</f>
        <v/>
      </c>
      <c r="Y631" s="34">
        <f>IF($T631="","",$O631+ROW()/1000000)</f>
        <v/>
      </c>
      <c r="Z631" s="35">
        <f>IF(OR($A631="",$C631="",$C631&lt;&gt;'売掛帳'!$B$3,NOT(ISNUMBER($X631))),"",IF(AND($X631&gt;='売掛帳'!$Q$3,$X631&lt;='売掛帳'!$Q$4),$X631+ROW()/10000000,""))</f>
        <v/>
      </c>
    </row>
    <row r="632" ht="18" customHeight="1">
      <c r="A632" s="18" t="n"/>
      <c r="B632" s="26" t="n"/>
      <c r="C632" s="18" t="n"/>
      <c r="D632" s="20">
        <f>IF($W632="","",IF($W632="なし","※得意先にないコード",INDEX('得意先'!$C$5:$C$104,$W632)&amp;""))</f>
        <v/>
      </c>
      <c r="E632" s="26" t="n"/>
      <c r="F632" s="19" t="n"/>
      <c r="G632" s="27" t="n"/>
      <c r="H632" s="27" t="n"/>
      <c r="I632" s="27" t="n"/>
      <c r="J632" s="28">
        <f>IF($A632="","",IF('設定'!$B$10="四捨五入",ROUND(IF('設定'!$B$9="税込",N($G632)*10/110,N($G632)*10/100),0),IF('設定'!$B$10="切り上げ",ROUNDUP(IF('設定'!$B$9="税込",N($G632)*10/110,N($G632)*10/100),0),ROUNDDOWN(IF('設定'!$B$9="税込",N($G632)*10/110,N($G632)*10/100),0))))</f>
        <v/>
      </c>
      <c r="K632" s="28">
        <f>IF($A632="","",IF('設定'!$B$10="四捨五入",ROUND(IF('設定'!$B$9="税込",N($H632)*8/108,N($H632)*8/100),0),IF('設定'!$B$10="切り上げ",ROUNDUP(IF('設定'!$B$9="税込",N($H632)*8/108,N($H632)*8/100),0),ROUNDDOWN(IF('設定'!$B$9="税込",N($H632)*8/108,N($H632)*8/100),0))))</f>
        <v/>
      </c>
      <c r="L632" s="28">
        <f>IF($A632="","",N($G632)+N($H632)+N($I632)+IF('設定'!$B$9="税込",0,$J632+$K632))</f>
        <v/>
      </c>
      <c r="M632" s="29">
        <f>IF(OR($A632="",NOT(ISNUMBER($W632)),NOT(ISNUMBER($X632))),"",IF(OR(INDEX('得意先'!$D$5:$D$104,$W632)="",INDEX('得意先'!$E$5:$E$104,$W632)="",INDEX('得意先'!$F$5:$F$104,$W632)=""),"",IF(INDEX('得意先'!$F$5:$F$104,$W632)="末",DATE(YEAR($X632),(MONTH($X632)+IF(INDEX('得意先'!$D$5:$D$104,$W632)="末",0,IF(DAY($X632)&lt;=INDEX('得意先'!$D$5:$D$104,$W632),0,1))+N(INDEX('得意先'!$E$5:$E$104,$W632)))+1,0),DATE(YEAR($X632),(MONTH($X632)+IF(INDEX('得意先'!$D$5:$D$104,$W632)="末",0,IF(DAY($X632)&lt;=INDEX('得意先'!$D$5:$D$104,$W632),0,1))+N(INDEX('得意先'!$E$5:$E$104,$W632))),MIN(INDEX('得意先'!$F$5:$F$104,$W632),DAY(DATE(YEAR($X632),(MONTH($X632)+IF(INDEX('得意先'!$D$5:$D$104,$W632)="末",0,IF(DAY($X632)&lt;=INDEX('得意先'!$D$5:$D$104,$W632),0,1))+N(INDEX('得意先'!$E$5:$E$104,$W632)))+1,0)))))))</f>
        <v/>
      </c>
      <c r="N632" s="26" t="n"/>
      <c r="O632" s="29">
        <f>IF($A632="","",IF(ISNUMBER($N632),$N632,$M632))</f>
        <v/>
      </c>
      <c r="P632" s="28">
        <f>IF($A632="","",SUMIF('入金消込'!$F$5:$F$1004,$A632,'入金消込'!$G$5:$G$1004))</f>
        <v/>
      </c>
      <c r="Q632" s="28">
        <f>IF($A632="","",SUMIF('入金消込'!$F$5:$F$1004,$A632,'入金消込'!$H$5:$H$1004)+SUMIF('入金消込'!$F$5:$F$1004,$A632,'入金消込'!$I$5:$I$1004))</f>
        <v/>
      </c>
      <c r="R632" s="28">
        <f>IF($A632="","",$L632-$P632-$Q632)</f>
        <v/>
      </c>
      <c r="S632" s="30">
        <f>IF($A632="","",IF($R632=0,IF($L632=0,"請求額0","回収済"),IF($L632&lt;0,IF($R632&lt;0,"差し引き待ち","差し引きすぎ"),IF($R632&lt;0,"入金が多い",IF($P632+$Q632=0,"未入金","一部入金")))))</f>
        <v/>
      </c>
      <c r="T632" s="31">
        <f>IF(OR($A632="",N($R632)&lt;=0,NOT(ISNUMBER($O632))),"",IF($O632&lt;'設定'!$B$7,'設定'!$B$7-$O632,""))</f>
        <v/>
      </c>
      <c r="U632" s="30">
        <f>IF(OR($A632="",N($R632)&lt;=0),"",IF(NOT(ISNUMBER($O632)),'設定'!$B$22,IF($O632&gt;='設定'!$B$7,'設定'!$B$17,IF('設定'!$B$7-$O632&lt;='設定'!$B$12,'設定'!$B$18,IF('設定'!$B$7-$O632&lt;='設定'!$B$13,'設定'!$B$19,IF('設定'!$B$7-$O632&lt;='設定'!$B$14,'設定'!$B$20,'設定'!$B$21))))))</f>
        <v/>
      </c>
      <c r="V632" s="56" t="n"/>
      <c r="W632" s="32">
        <f>IF($C632="","",IFERROR(MATCH($C632,'得意先'!$B$5:$B$104,0),"なし"))</f>
        <v/>
      </c>
      <c r="X632" s="33">
        <f>IF($A632="","",IF(ISNUMBER($E632),$E632,IF(ISNUMBER($B632),$B632,"")))</f>
        <v/>
      </c>
      <c r="Y632" s="34">
        <f>IF($T632="","",$O632+ROW()/1000000)</f>
        <v/>
      </c>
      <c r="Z632" s="35">
        <f>IF(OR($A632="",$C632="",$C632&lt;&gt;'売掛帳'!$B$3,NOT(ISNUMBER($X632))),"",IF(AND($X632&gt;='売掛帳'!$Q$3,$X632&lt;='売掛帳'!$Q$4),$X632+ROW()/10000000,""))</f>
        <v/>
      </c>
    </row>
    <row r="633" ht="18" customHeight="1">
      <c r="A633" s="18" t="n"/>
      <c r="B633" s="26" t="n"/>
      <c r="C633" s="18" t="n"/>
      <c r="D633" s="20">
        <f>IF($W633="","",IF($W633="なし","※得意先にないコード",INDEX('得意先'!$C$5:$C$104,$W633)&amp;""))</f>
        <v/>
      </c>
      <c r="E633" s="26" t="n"/>
      <c r="F633" s="19" t="n"/>
      <c r="G633" s="27" t="n"/>
      <c r="H633" s="27" t="n"/>
      <c r="I633" s="27" t="n"/>
      <c r="J633" s="28">
        <f>IF($A633="","",IF('設定'!$B$10="四捨五入",ROUND(IF('設定'!$B$9="税込",N($G633)*10/110,N($G633)*10/100),0),IF('設定'!$B$10="切り上げ",ROUNDUP(IF('設定'!$B$9="税込",N($G633)*10/110,N($G633)*10/100),0),ROUNDDOWN(IF('設定'!$B$9="税込",N($G633)*10/110,N($G633)*10/100),0))))</f>
        <v/>
      </c>
      <c r="K633" s="28">
        <f>IF($A633="","",IF('設定'!$B$10="四捨五入",ROUND(IF('設定'!$B$9="税込",N($H633)*8/108,N($H633)*8/100),0),IF('設定'!$B$10="切り上げ",ROUNDUP(IF('設定'!$B$9="税込",N($H633)*8/108,N($H633)*8/100),0),ROUNDDOWN(IF('設定'!$B$9="税込",N($H633)*8/108,N($H633)*8/100),0))))</f>
        <v/>
      </c>
      <c r="L633" s="28">
        <f>IF($A633="","",N($G633)+N($H633)+N($I633)+IF('設定'!$B$9="税込",0,$J633+$K633))</f>
        <v/>
      </c>
      <c r="M633" s="29">
        <f>IF(OR($A633="",NOT(ISNUMBER($W633)),NOT(ISNUMBER($X633))),"",IF(OR(INDEX('得意先'!$D$5:$D$104,$W633)="",INDEX('得意先'!$E$5:$E$104,$W633)="",INDEX('得意先'!$F$5:$F$104,$W633)=""),"",IF(INDEX('得意先'!$F$5:$F$104,$W633)="末",DATE(YEAR($X633),(MONTH($X633)+IF(INDEX('得意先'!$D$5:$D$104,$W633)="末",0,IF(DAY($X633)&lt;=INDEX('得意先'!$D$5:$D$104,$W633),0,1))+N(INDEX('得意先'!$E$5:$E$104,$W633)))+1,0),DATE(YEAR($X633),(MONTH($X633)+IF(INDEX('得意先'!$D$5:$D$104,$W633)="末",0,IF(DAY($X633)&lt;=INDEX('得意先'!$D$5:$D$104,$W633),0,1))+N(INDEX('得意先'!$E$5:$E$104,$W633))),MIN(INDEX('得意先'!$F$5:$F$104,$W633),DAY(DATE(YEAR($X633),(MONTH($X633)+IF(INDEX('得意先'!$D$5:$D$104,$W633)="末",0,IF(DAY($X633)&lt;=INDEX('得意先'!$D$5:$D$104,$W633),0,1))+N(INDEX('得意先'!$E$5:$E$104,$W633)))+1,0)))))))</f>
        <v/>
      </c>
      <c r="N633" s="26" t="n"/>
      <c r="O633" s="29">
        <f>IF($A633="","",IF(ISNUMBER($N633),$N633,$M633))</f>
        <v/>
      </c>
      <c r="P633" s="28">
        <f>IF($A633="","",SUMIF('入金消込'!$F$5:$F$1004,$A633,'入金消込'!$G$5:$G$1004))</f>
        <v/>
      </c>
      <c r="Q633" s="28">
        <f>IF($A633="","",SUMIF('入金消込'!$F$5:$F$1004,$A633,'入金消込'!$H$5:$H$1004)+SUMIF('入金消込'!$F$5:$F$1004,$A633,'入金消込'!$I$5:$I$1004))</f>
        <v/>
      </c>
      <c r="R633" s="28">
        <f>IF($A633="","",$L633-$P633-$Q633)</f>
        <v/>
      </c>
      <c r="S633" s="30">
        <f>IF($A633="","",IF($R633=0,IF($L633=0,"請求額0","回収済"),IF($L633&lt;0,IF($R633&lt;0,"差し引き待ち","差し引きすぎ"),IF($R633&lt;0,"入金が多い",IF($P633+$Q633=0,"未入金","一部入金")))))</f>
        <v/>
      </c>
      <c r="T633" s="31">
        <f>IF(OR($A633="",N($R633)&lt;=0,NOT(ISNUMBER($O633))),"",IF($O633&lt;'設定'!$B$7,'設定'!$B$7-$O633,""))</f>
        <v/>
      </c>
      <c r="U633" s="30">
        <f>IF(OR($A633="",N($R633)&lt;=0),"",IF(NOT(ISNUMBER($O633)),'設定'!$B$22,IF($O633&gt;='設定'!$B$7,'設定'!$B$17,IF('設定'!$B$7-$O633&lt;='設定'!$B$12,'設定'!$B$18,IF('設定'!$B$7-$O633&lt;='設定'!$B$13,'設定'!$B$19,IF('設定'!$B$7-$O633&lt;='設定'!$B$14,'設定'!$B$20,'設定'!$B$21))))))</f>
        <v/>
      </c>
      <c r="V633" s="56" t="n"/>
      <c r="W633" s="32">
        <f>IF($C633="","",IFERROR(MATCH($C633,'得意先'!$B$5:$B$104,0),"なし"))</f>
        <v/>
      </c>
      <c r="X633" s="33">
        <f>IF($A633="","",IF(ISNUMBER($E633),$E633,IF(ISNUMBER($B633),$B633,"")))</f>
        <v/>
      </c>
      <c r="Y633" s="34">
        <f>IF($T633="","",$O633+ROW()/1000000)</f>
        <v/>
      </c>
      <c r="Z633" s="35">
        <f>IF(OR($A633="",$C633="",$C633&lt;&gt;'売掛帳'!$B$3,NOT(ISNUMBER($X633))),"",IF(AND($X633&gt;='売掛帳'!$Q$3,$X633&lt;='売掛帳'!$Q$4),$X633+ROW()/10000000,""))</f>
        <v/>
      </c>
    </row>
    <row r="634" ht="18" customHeight="1">
      <c r="A634" s="18" t="n"/>
      <c r="B634" s="26" t="n"/>
      <c r="C634" s="18" t="n"/>
      <c r="D634" s="20">
        <f>IF($W634="","",IF($W634="なし","※得意先にないコード",INDEX('得意先'!$C$5:$C$104,$W634)&amp;""))</f>
        <v/>
      </c>
      <c r="E634" s="26" t="n"/>
      <c r="F634" s="19" t="n"/>
      <c r="G634" s="27" t="n"/>
      <c r="H634" s="27" t="n"/>
      <c r="I634" s="27" t="n"/>
      <c r="J634" s="28">
        <f>IF($A634="","",IF('設定'!$B$10="四捨五入",ROUND(IF('設定'!$B$9="税込",N($G634)*10/110,N($G634)*10/100),0),IF('設定'!$B$10="切り上げ",ROUNDUP(IF('設定'!$B$9="税込",N($G634)*10/110,N($G634)*10/100),0),ROUNDDOWN(IF('設定'!$B$9="税込",N($G634)*10/110,N($G634)*10/100),0))))</f>
        <v/>
      </c>
      <c r="K634" s="28">
        <f>IF($A634="","",IF('設定'!$B$10="四捨五入",ROUND(IF('設定'!$B$9="税込",N($H634)*8/108,N($H634)*8/100),0),IF('設定'!$B$10="切り上げ",ROUNDUP(IF('設定'!$B$9="税込",N($H634)*8/108,N($H634)*8/100),0),ROUNDDOWN(IF('設定'!$B$9="税込",N($H634)*8/108,N($H634)*8/100),0))))</f>
        <v/>
      </c>
      <c r="L634" s="28">
        <f>IF($A634="","",N($G634)+N($H634)+N($I634)+IF('設定'!$B$9="税込",0,$J634+$K634))</f>
        <v/>
      </c>
      <c r="M634" s="29">
        <f>IF(OR($A634="",NOT(ISNUMBER($W634)),NOT(ISNUMBER($X634))),"",IF(OR(INDEX('得意先'!$D$5:$D$104,$W634)="",INDEX('得意先'!$E$5:$E$104,$W634)="",INDEX('得意先'!$F$5:$F$104,$W634)=""),"",IF(INDEX('得意先'!$F$5:$F$104,$W634)="末",DATE(YEAR($X634),(MONTH($X634)+IF(INDEX('得意先'!$D$5:$D$104,$W634)="末",0,IF(DAY($X634)&lt;=INDEX('得意先'!$D$5:$D$104,$W634),0,1))+N(INDEX('得意先'!$E$5:$E$104,$W634)))+1,0),DATE(YEAR($X634),(MONTH($X634)+IF(INDEX('得意先'!$D$5:$D$104,$W634)="末",0,IF(DAY($X634)&lt;=INDEX('得意先'!$D$5:$D$104,$W634),0,1))+N(INDEX('得意先'!$E$5:$E$104,$W634))),MIN(INDEX('得意先'!$F$5:$F$104,$W634),DAY(DATE(YEAR($X634),(MONTH($X634)+IF(INDEX('得意先'!$D$5:$D$104,$W634)="末",0,IF(DAY($X634)&lt;=INDEX('得意先'!$D$5:$D$104,$W634),0,1))+N(INDEX('得意先'!$E$5:$E$104,$W634)))+1,0)))))))</f>
        <v/>
      </c>
      <c r="N634" s="26" t="n"/>
      <c r="O634" s="29">
        <f>IF($A634="","",IF(ISNUMBER($N634),$N634,$M634))</f>
        <v/>
      </c>
      <c r="P634" s="28">
        <f>IF($A634="","",SUMIF('入金消込'!$F$5:$F$1004,$A634,'入金消込'!$G$5:$G$1004))</f>
        <v/>
      </c>
      <c r="Q634" s="28">
        <f>IF($A634="","",SUMIF('入金消込'!$F$5:$F$1004,$A634,'入金消込'!$H$5:$H$1004)+SUMIF('入金消込'!$F$5:$F$1004,$A634,'入金消込'!$I$5:$I$1004))</f>
        <v/>
      </c>
      <c r="R634" s="28">
        <f>IF($A634="","",$L634-$P634-$Q634)</f>
        <v/>
      </c>
      <c r="S634" s="30">
        <f>IF($A634="","",IF($R634=0,IF($L634=0,"請求額0","回収済"),IF($L634&lt;0,IF($R634&lt;0,"差し引き待ち","差し引きすぎ"),IF($R634&lt;0,"入金が多い",IF($P634+$Q634=0,"未入金","一部入金")))))</f>
        <v/>
      </c>
      <c r="T634" s="31">
        <f>IF(OR($A634="",N($R634)&lt;=0,NOT(ISNUMBER($O634))),"",IF($O634&lt;'設定'!$B$7,'設定'!$B$7-$O634,""))</f>
        <v/>
      </c>
      <c r="U634" s="30">
        <f>IF(OR($A634="",N($R634)&lt;=0),"",IF(NOT(ISNUMBER($O634)),'設定'!$B$22,IF($O634&gt;='設定'!$B$7,'設定'!$B$17,IF('設定'!$B$7-$O634&lt;='設定'!$B$12,'設定'!$B$18,IF('設定'!$B$7-$O634&lt;='設定'!$B$13,'設定'!$B$19,IF('設定'!$B$7-$O634&lt;='設定'!$B$14,'設定'!$B$20,'設定'!$B$21))))))</f>
        <v/>
      </c>
      <c r="V634" s="56" t="n"/>
      <c r="W634" s="32">
        <f>IF($C634="","",IFERROR(MATCH($C634,'得意先'!$B$5:$B$104,0),"なし"))</f>
        <v/>
      </c>
      <c r="X634" s="33">
        <f>IF($A634="","",IF(ISNUMBER($E634),$E634,IF(ISNUMBER($B634),$B634,"")))</f>
        <v/>
      </c>
      <c r="Y634" s="34">
        <f>IF($T634="","",$O634+ROW()/1000000)</f>
        <v/>
      </c>
      <c r="Z634" s="35">
        <f>IF(OR($A634="",$C634="",$C634&lt;&gt;'売掛帳'!$B$3,NOT(ISNUMBER($X634))),"",IF(AND($X634&gt;='売掛帳'!$Q$3,$X634&lt;='売掛帳'!$Q$4),$X634+ROW()/10000000,""))</f>
        <v/>
      </c>
    </row>
    <row r="635" ht="18" customHeight="1">
      <c r="A635" s="18" t="n"/>
      <c r="B635" s="26" t="n"/>
      <c r="C635" s="18" t="n"/>
      <c r="D635" s="20">
        <f>IF($W635="","",IF($W635="なし","※得意先にないコード",INDEX('得意先'!$C$5:$C$104,$W635)&amp;""))</f>
        <v/>
      </c>
      <c r="E635" s="26" t="n"/>
      <c r="F635" s="19" t="n"/>
      <c r="G635" s="27" t="n"/>
      <c r="H635" s="27" t="n"/>
      <c r="I635" s="27" t="n"/>
      <c r="J635" s="28">
        <f>IF($A635="","",IF('設定'!$B$10="四捨五入",ROUND(IF('設定'!$B$9="税込",N($G635)*10/110,N($G635)*10/100),0),IF('設定'!$B$10="切り上げ",ROUNDUP(IF('設定'!$B$9="税込",N($G635)*10/110,N($G635)*10/100),0),ROUNDDOWN(IF('設定'!$B$9="税込",N($G635)*10/110,N($G635)*10/100),0))))</f>
        <v/>
      </c>
      <c r="K635" s="28">
        <f>IF($A635="","",IF('設定'!$B$10="四捨五入",ROUND(IF('設定'!$B$9="税込",N($H635)*8/108,N($H635)*8/100),0),IF('設定'!$B$10="切り上げ",ROUNDUP(IF('設定'!$B$9="税込",N($H635)*8/108,N($H635)*8/100),0),ROUNDDOWN(IF('設定'!$B$9="税込",N($H635)*8/108,N($H635)*8/100),0))))</f>
        <v/>
      </c>
      <c r="L635" s="28">
        <f>IF($A635="","",N($G635)+N($H635)+N($I635)+IF('設定'!$B$9="税込",0,$J635+$K635))</f>
        <v/>
      </c>
      <c r="M635" s="29">
        <f>IF(OR($A635="",NOT(ISNUMBER($W635)),NOT(ISNUMBER($X635))),"",IF(OR(INDEX('得意先'!$D$5:$D$104,$W635)="",INDEX('得意先'!$E$5:$E$104,$W635)="",INDEX('得意先'!$F$5:$F$104,$W635)=""),"",IF(INDEX('得意先'!$F$5:$F$104,$W635)="末",DATE(YEAR($X635),(MONTH($X635)+IF(INDEX('得意先'!$D$5:$D$104,$W635)="末",0,IF(DAY($X635)&lt;=INDEX('得意先'!$D$5:$D$104,$W635),0,1))+N(INDEX('得意先'!$E$5:$E$104,$W635)))+1,0),DATE(YEAR($X635),(MONTH($X635)+IF(INDEX('得意先'!$D$5:$D$104,$W635)="末",0,IF(DAY($X635)&lt;=INDEX('得意先'!$D$5:$D$104,$W635),0,1))+N(INDEX('得意先'!$E$5:$E$104,$W635))),MIN(INDEX('得意先'!$F$5:$F$104,$W635),DAY(DATE(YEAR($X635),(MONTH($X635)+IF(INDEX('得意先'!$D$5:$D$104,$W635)="末",0,IF(DAY($X635)&lt;=INDEX('得意先'!$D$5:$D$104,$W635),0,1))+N(INDEX('得意先'!$E$5:$E$104,$W635)))+1,0)))))))</f>
        <v/>
      </c>
      <c r="N635" s="26" t="n"/>
      <c r="O635" s="29">
        <f>IF($A635="","",IF(ISNUMBER($N635),$N635,$M635))</f>
        <v/>
      </c>
      <c r="P635" s="28">
        <f>IF($A635="","",SUMIF('入金消込'!$F$5:$F$1004,$A635,'入金消込'!$G$5:$G$1004))</f>
        <v/>
      </c>
      <c r="Q635" s="28">
        <f>IF($A635="","",SUMIF('入金消込'!$F$5:$F$1004,$A635,'入金消込'!$H$5:$H$1004)+SUMIF('入金消込'!$F$5:$F$1004,$A635,'入金消込'!$I$5:$I$1004))</f>
        <v/>
      </c>
      <c r="R635" s="28">
        <f>IF($A635="","",$L635-$P635-$Q635)</f>
        <v/>
      </c>
      <c r="S635" s="30">
        <f>IF($A635="","",IF($R635=0,IF($L635=0,"請求額0","回収済"),IF($L635&lt;0,IF($R635&lt;0,"差し引き待ち","差し引きすぎ"),IF($R635&lt;0,"入金が多い",IF($P635+$Q635=0,"未入金","一部入金")))))</f>
        <v/>
      </c>
      <c r="T635" s="31">
        <f>IF(OR($A635="",N($R635)&lt;=0,NOT(ISNUMBER($O635))),"",IF($O635&lt;'設定'!$B$7,'設定'!$B$7-$O635,""))</f>
        <v/>
      </c>
      <c r="U635" s="30">
        <f>IF(OR($A635="",N($R635)&lt;=0),"",IF(NOT(ISNUMBER($O635)),'設定'!$B$22,IF($O635&gt;='設定'!$B$7,'設定'!$B$17,IF('設定'!$B$7-$O635&lt;='設定'!$B$12,'設定'!$B$18,IF('設定'!$B$7-$O635&lt;='設定'!$B$13,'設定'!$B$19,IF('設定'!$B$7-$O635&lt;='設定'!$B$14,'設定'!$B$20,'設定'!$B$21))))))</f>
        <v/>
      </c>
      <c r="V635" s="56" t="n"/>
      <c r="W635" s="32">
        <f>IF($C635="","",IFERROR(MATCH($C635,'得意先'!$B$5:$B$104,0),"なし"))</f>
        <v/>
      </c>
      <c r="X635" s="33">
        <f>IF($A635="","",IF(ISNUMBER($E635),$E635,IF(ISNUMBER($B635),$B635,"")))</f>
        <v/>
      </c>
      <c r="Y635" s="34">
        <f>IF($T635="","",$O635+ROW()/1000000)</f>
        <v/>
      </c>
      <c r="Z635" s="35">
        <f>IF(OR($A635="",$C635="",$C635&lt;&gt;'売掛帳'!$B$3,NOT(ISNUMBER($X635))),"",IF(AND($X635&gt;='売掛帳'!$Q$3,$X635&lt;='売掛帳'!$Q$4),$X635+ROW()/10000000,""))</f>
        <v/>
      </c>
    </row>
    <row r="636" ht="18" customHeight="1">
      <c r="A636" s="18" t="n"/>
      <c r="B636" s="26" t="n"/>
      <c r="C636" s="18" t="n"/>
      <c r="D636" s="20">
        <f>IF($W636="","",IF($W636="なし","※得意先にないコード",INDEX('得意先'!$C$5:$C$104,$W636)&amp;""))</f>
        <v/>
      </c>
      <c r="E636" s="26" t="n"/>
      <c r="F636" s="19" t="n"/>
      <c r="G636" s="27" t="n"/>
      <c r="H636" s="27" t="n"/>
      <c r="I636" s="27" t="n"/>
      <c r="J636" s="28">
        <f>IF($A636="","",IF('設定'!$B$10="四捨五入",ROUND(IF('設定'!$B$9="税込",N($G636)*10/110,N($G636)*10/100),0),IF('設定'!$B$10="切り上げ",ROUNDUP(IF('設定'!$B$9="税込",N($G636)*10/110,N($G636)*10/100),0),ROUNDDOWN(IF('設定'!$B$9="税込",N($G636)*10/110,N($G636)*10/100),0))))</f>
        <v/>
      </c>
      <c r="K636" s="28">
        <f>IF($A636="","",IF('設定'!$B$10="四捨五入",ROUND(IF('設定'!$B$9="税込",N($H636)*8/108,N($H636)*8/100),0),IF('設定'!$B$10="切り上げ",ROUNDUP(IF('設定'!$B$9="税込",N($H636)*8/108,N($H636)*8/100),0),ROUNDDOWN(IF('設定'!$B$9="税込",N($H636)*8/108,N($H636)*8/100),0))))</f>
        <v/>
      </c>
      <c r="L636" s="28">
        <f>IF($A636="","",N($G636)+N($H636)+N($I636)+IF('設定'!$B$9="税込",0,$J636+$K636))</f>
        <v/>
      </c>
      <c r="M636" s="29">
        <f>IF(OR($A636="",NOT(ISNUMBER($W636)),NOT(ISNUMBER($X636))),"",IF(OR(INDEX('得意先'!$D$5:$D$104,$W636)="",INDEX('得意先'!$E$5:$E$104,$W636)="",INDEX('得意先'!$F$5:$F$104,$W636)=""),"",IF(INDEX('得意先'!$F$5:$F$104,$W636)="末",DATE(YEAR($X636),(MONTH($X636)+IF(INDEX('得意先'!$D$5:$D$104,$W636)="末",0,IF(DAY($X636)&lt;=INDEX('得意先'!$D$5:$D$104,$W636),0,1))+N(INDEX('得意先'!$E$5:$E$104,$W636)))+1,0),DATE(YEAR($X636),(MONTH($X636)+IF(INDEX('得意先'!$D$5:$D$104,$W636)="末",0,IF(DAY($X636)&lt;=INDEX('得意先'!$D$5:$D$104,$W636),0,1))+N(INDEX('得意先'!$E$5:$E$104,$W636))),MIN(INDEX('得意先'!$F$5:$F$104,$W636),DAY(DATE(YEAR($X636),(MONTH($X636)+IF(INDEX('得意先'!$D$5:$D$104,$W636)="末",0,IF(DAY($X636)&lt;=INDEX('得意先'!$D$5:$D$104,$W636),0,1))+N(INDEX('得意先'!$E$5:$E$104,$W636)))+1,0)))))))</f>
        <v/>
      </c>
      <c r="N636" s="26" t="n"/>
      <c r="O636" s="29">
        <f>IF($A636="","",IF(ISNUMBER($N636),$N636,$M636))</f>
        <v/>
      </c>
      <c r="P636" s="28">
        <f>IF($A636="","",SUMIF('入金消込'!$F$5:$F$1004,$A636,'入金消込'!$G$5:$G$1004))</f>
        <v/>
      </c>
      <c r="Q636" s="28">
        <f>IF($A636="","",SUMIF('入金消込'!$F$5:$F$1004,$A636,'入金消込'!$H$5:$H$1004)+SUMIF('入金消込'!$F$5:$F$1004,$A636,'入金消込'!$I$5:$I$1004))</f>
        <v/>
      </c>
      <c r="R636" s="28">
        <f>IF($A636="","",$L636-$P636-$Q636)</f>
        <v/>
      </c>
      <c r="S636" s="30">
        <f>IF($A636="","",IF($R636=0,IF($L636=0,"請求額0","回収済"),IF($L636&lt;0,IF($R636&lt;0,"差し引き待ち","差し引きすぎ"),IF($R636&lt;0,"入金が多い",IF($P636+$Q636=0,"未入金","一部入金")))))</f>
        <v/>
      </c>
      <c r="T636" s="31">
        <f>IF(OR($A636="",N($R636)&lt;=0,NOT(ISNUMBER($O636))),"",IF($O636&lt;'設定'!$B$7,'設定'!$B$7-$O636,""))</f>
        <v/>
      </c>
      <c r="U636" s="30">
        <f>IF(OR($A636="",N($R636)&lt;=0),"",IF(NOT(ISNUMBER($O636)),'設定'!$B$22,IF($O636&gt;='設定'!$B$7,'設定'!$B$17,IF('設定'!$B$7-$O636&lt;='設定'!$B$12,'設定'!$B$18,IF('設定'!$B$7-$O636&lt;='設定'!$B$13,'設定'!$B$19,IF('設定'!$B$7-$O636&lt;='設定'!$B$14,'設定'!$B$20,'設定'!$B$21))))))</f>
        <v/>
      </c>
      <c r="V636" s="56" t="n"/>
      <c r="W636" s="32">
        <f>IF($C636="","",IFERROR(MATCH($C636,'得意先'!$B$5:$B$104,0),"なし"))</f>
        <v/>
      </c>
      <c r="X636" s="33">
        <f>IF($A636="","",IF(ISNUMBER($E636),$E636,IF(ISNUMBER($B636),$B636,"")))</f>
        <v/>
      </c>
      <c r="Y636" s="34">
        <f>IF($T636="","",$O636+ROW()/1000000)</f>
        <v/>
      </c>
      <c r="Z636" s="35">
        <f>IF(OR($A636="",$C636="",$C636&lt;&gt;'売掛帳'!$B$3,NOT(ISNUMBER($X636))),"",IF(AND($X636&gt;='売掛帳'!$Q$3,$X636&lt;='売掛帳'!$Q$4),$X636+ROW()/10000000,""))</f>
        <v/>
      </c>
    </row>
    <row r="637" ht="18" customHeight="1">
      <c r="A637" s="18" t="n"/>
      <c r="B637" s="26" t="n"/>
      <c r="C637" s="18" t="n"/>
      <c r="D637" s="20">
        <f>IF($W637="","",IF($W637="なし","※得意先にないコード",INDEX('得意先'!$C$5:$C$104,$W637)&amp;""))</f>
        <v/>
      </c>
      <c r="E637" s="26" t="n"/>
      <c r="F637" s="19" t="n"/>
      <c r="G637" s="27" t="n"/>
      <c r="H637" s="27" t="n"/>
      <c r="I637" s="27" t="n"/>
      <c r="J637" s="28">
        <f>IF($A637="","",IF('設定'!$B$10="四捨五入",ROUND(IF('設定'!$B$9="税込",N($G637)*10/110,N($G637)*10/100),0),IF('設定'!$B$10="切り上げ",ROUNDUP(IF('設定'!$B$9="税込",N($G637)*10/110,N($G637)*10/100),0),ROUNDDOWN(IF('設定'!$B$9="税込",N($G637)*10/110,N($G637)*10/100),0))))</f>
        <v/>
      </c>
      <c r="K637" s="28">
        <f>IF($A637="","",IF('設定'!$B$10="四捨五入",ROUND(IF('設定'!$B$9="税込",N($H637)*8/108,N($H637)*8/100),0),IF('設定'!$B$10="切り上げ",ROUNDUP(IF('設定'!$B$9="税込",N($H637)*8/108,N($H637)*8/100),0),ROUNDDOWN(IF('設定'!$B$9="税込",N($H637)*8/108,N($H637)*8/100),0))))</f>
        <v/>
      </c>
      <c r="L637" s="28">
        <f>IF($A637="","",N($G637)+N($H637)+N($I637)+IF('設定'!$B$9="税込",0,$J637+$K637))</f>
        <v/>
      </c>
      <c r="M637" s="29">
        <f>IF(OR($A637="",NOT(ISNUMBER($W637)),NOT(ISNUMBER($X637))),"",IF(OR(INDEX('得意先'!$D$5:$D$104,$W637)="",INDEX('得意先'!$E$5:$E$104,$W637)="",INDEX('得意先'!$F$5:$F$104,$W637)=""),"",IF(INDEX('得意先'!$F$5:$F$104,$W637)="末",DATE(YEAR($X637),(MONTH($X637)+IF(INDEX('得意先'!$D$5:$D$104,$W637)="末",0,IF(DAY($X637)&lt;=INDEX('得意先'!$D$5:$D$104,$W637),0,1))+N(INDEX('得意先'!$E$5:$E$104,$W637)))+1,0),DATE(YEAR($X637),(MONTH($X637)+IF(INDEX('得意先'!$D$5:$D$104,$W637)="末",0,IF(DAY($X637)&lt;=INDEX('得意先'!$D$5:$D$104,$W637),0,1))+N(INDEX('得意先'!$E$5:$E$104,$W637))),MIN(INDEX('得意先'!$F$5:$F$104,$W637),DAY(DATE(YEAR($X637),(MONTH($X637)+IF(INDEX('得意先'!$D$5:$D$104,$W637)="末",0,IF(DAY($X637)&lt;=INDEX('得意先'!$D$5:$D$104,$W637),0,1))+N(INDEX('得意先'!$E$5:$E$104,$W637)))+1,0)))))))</f>
        <v/>
      </c>
      <c r="N637" s="26" t="n"/>
      <c r="O637" s="29">
        <f>IF($A637="","",IF(ISNUMBER($N637),$N637,$M637))</f>
        <v/>
      </c>
      <c r="P637" s="28">
        <f>IF($A637="","",SUMIF('入金消込'!$F$5:$F$1004,$A637,'入金消込'!$G$5:$G$1004))</f>
        <v/>
      </c>
      <c r="Q637" s="28">
        <f>IF($A637="","",SUMIF('入金消込'!$F$5:$F$1004,$A637,'入金消込'!$H$5:$H$1004)+SUMIF('入金消込'!$F$5:$F$1004,$A637,'入金消込'!$I$5:$I$1004))</f>
        <v/>
      </c>
      <c r="R637" s="28">
        <f>IF($A637="","",$L637-$P637-$Q637)</f>
        <v/>
      </c>
      <c r="S637" s="30">
        <f>IF($A637="","",IF($R637=0,IF($L637=0,"請求額0","回収済"),IF($L637&lt;0,IF($R637&lt;0,"差し引き待ち","差し引きすぎ"),IF($R637&lt;0,"入金が多い",IF($P637+$Q637=0,"未入金","一部入金")))))</f>
        <v/>
      </c>
      <c r="T637" s="31">
        <f>IF(OR($A637="",N($R637)&lt;=0,NOT(ISNUMBER($O637))),"",IF($O637&lt;'設定'!$B$7,'設定'!$B$7-$O637,""))</f>
        <v/>
      </c>
      <c r="U637" s="30">
        <f>IF(OR($A637="",N($R637)&lt;=0),"",IF(NOT(ISNUMBER($O637)),'設定'!$B$22,IF($O637&gt;='設定'!$B$7,'設定'!$B$17,IF('設定'!$B$7-$O637&lt;='設定'!$B$12,'設定'!$B$18,IF('設定'!$B$7-$O637&lt;='設定'!$B$13,'設定'!$B$19,IF('設定'!$B$7-$O637&lt;='設定'!$B$14,'設定'!$B$20,'設定'!$B$21))))))</f>
        <v/>
      </c>
      <c r="V637" s="56" t="n"/>
      <c r="W637" s="32">
        <f>IF($C637="","",IFERROR(MATCH($C637,'得意先'!$B$5:$B$104,0),"なし"))</f>
        <v/>
      </c>
      <c r="X637" s="33">
        <f>IF($A637="","",IF(ISNUMBER($E637),$E637,IF(ISNUMBER($B637),$B637,"")))</f>
        <v/>
      </c>
      <c r="Y637" s="34">
        <f>IF($T637="","",$O637+ROW()/1000000)</f>
        <v/>
      </c>
      <c r="Z637" s="35">
        <f>IF(OR($A637="",$C637="",$C637&lt;&gt;'売掛帳'!$B$3,NOT(ISNUMBER($X637))),"",IF(AND($X637&gt;='売掛帳'!$Q$3,$X637&lt;='売掛帳'!$Q$4),$X637+ROW()/10000000,""))</f>
        <v/>
      </c>
    </row>
    <row r="638" ht="18" customHeight="1">
      <c r="A638" s="18" t="n"/>
      <c r="B638" s="26" t="n"/>
      <c r="C638" s="18" t="n"/>
      <c r="D638" s="20">
        <f>IF($W638="","",IF($W638="なし","※得意先にないコード",INDEX('得意先'!$C$5:$C$104,$W638)&amp;""))</f>
        <v/>
      </c>
      <c r="E638" s="26" t="n"/>
      <c r="F638" s="19" t="n"/>
      <c r="G638" s="27" t="n"/>
      <c r="H638" s="27" t="n"/>
      <c r="I638" s="27" t="n"/>
      <c r="J638" s="28">
        <f>IF($A638="","",IF('設定'!$B$10="四捨五入",ROUND(IF('設定'!$B$9="税込",N($G638)*10/110,N($G638)*10/100),0),IF('設定'!$B$10="切り上げ",ROUNDUP(IF('設定'!$B$9="税込",N($G638)*10/110,N($G638)*10/100),0),ROUNDDOWN(IF('設定'!$B$9="税込",N($G638)*10/110,N($G638)*10/100),0))))</f>
        <v/>
      </c>
      <c r="K638" s="28">
        <f>IF($A638="","",IF('設定'!$B$10="四捨五入",ROUND(IF('設定'!$B$9="税込",N($H638)*8/108,N($H638)*8/100),0),IF('設定'!$B$10="切り上げ",ROUNDUP(IF('設定'!$B$9="税込",N($H638)*8/108,N($H638)*8/100),0),ROUNDDOWN(IF('設定'!$B$9="税込",N($H638)*8/108,N($H638)*8/100),0))))</f>
        <v/>
      </c>
      <c r="L638" s="28">
        <f>IF($A638="","",N($G638)+N($H638)+N($I638)+IF('設定'!$B$9="税込",0,$J638+$K638))</f>
        <v/>
      </c>
      <c r="M638" s="29">
        <f>IF(OR($A638="",NOT(ISNUMBER($W638)),NOT(ISNUMBER($X638))),"",IF(OR(INDEX('得意先'!$D$5:$D$104,$W638)="",INDEX('得意先'!$E$5:$E$104,$W638)="",INDEX('得意先'!$F$5:$F$104,$W638)=""),"",IF(INDEX('得意先'!$F$5:$F$104,$W638)="末",DATE(YEAR($X638),(MONTH($X638)+IF(INDEX('得意先'!$D$5:$D$104,$W638)="末",0,IF(DAY($X638)&lt;=INDEX('得意先'!$D$5:$D$104,$W638),0,1))+N(INDEX('得意先'!$E$5:$E$104,$W638)))+1,0),DATE(YEAR($X638),(MONTH($X638)+IF(INDEX('得意先'!$D$5:$D$104,$W638)="末",0,IF(DAY($X638)&lt;=INDEX('得意先'!$D$5:$D$104,$W638),0,1))+N(INDEX('得意先'!$E$5:$E$104,$W638))),MIN(INDEX('得意先'!$F$5:$F$104,$W638),DAY(DATE(YEAR($X638),(MONTH($X638)+IF(INDEX('得意先'!$D$5:$D$104,$W638)="末",0,IF(DAY($X638)&lt;=INDEX('得意先'!$D$5:$D$104,$W638),0,1))+N(INDEX('得意先'!$E$5:$E$104,$W638)))+1,0)))))))</f>
        <v/>
      </c>
      <c r="N638" s="26" t="n"/>
      <c r="O638" s="29">
        <f>IF($A638="","",IF(ISNUMBER($N638),$N638,$M638))</f>
        <v/>
      </c>
      <c r="P638" s="28">
        <f>IF($A638="","",SUMIF('入金消込'!$F$5:$F$1004,$A638,'入金消込'!$G$5:$G$1004))</f>
        <v/>
      </c>
      <c r="Q638" s="28">
        <f>IF($A638="","",SUMIF('入金消込'!$F$5:$F$1004,$A638,'入金消込'!$H$5:$H$1004)+SUMIF('入金消込'!$F$5:$F$1004,$A638,'入金消込'!$I$5:$I$1004))</f>
        <v/>
      </c>
      <c r="R638" s="28">
        <f>IF($A638="","",$L638-$P638-$Q638)</f>
        <v/>
      </c>
      <c r="S638" s="30">
        <f>IF($A638="","",IF($R638=0,IF($L638=0,"請求額0","回収済"),IF($L638&lt;0,IF($R638&lt;0,"差し引き待ち","差し引きすぎ"),IF($R638&lt;0,"入金が多い",IF($P638+$Q638=0,"未入金","一部入金")))))</f>
        <v/>
      </c>
      <c r="T638" s="31">
        <f>IF(OR($A638="",N($R638)&lt;=0,NOT(ISNUMBER($O638))),"",IF($O638&lt;'設定'!$B$7,'設定'!$B$7-$O638,""))</f>
        <v/>
      </c>
      <c r="U638" s="30">
        <f>IF(OR($A638="",N($R638)&lt;=0),"",IF(NOT(ISNUMBER($O638)),'設定'!$B$22,IF($O638&gt;='設定'!$B$7,'設定'!$B$17,IF('設定'!$B$7-$O638&lt;='設定'!$B$12,'設定'!$B$18,IF('設定'!$B$7-$O638&lt;='設定'!$B$13,'設定'!$B$19,IF('設定'!$B$7-$O638&lt;='設定'!$B$14,'設定'!$B$20,'設定'!$B$21))))))</f>
        <v/>
      </c>
      <c r="V638" s="56" t="n"/>
      <c r="W638" s="32">
        <f>IF($C638="","",IFERROR(MATCH($C638,'得意先'!$B$5:$B$104,0),"なし"))</f>
        <v/>
      </c>
      <c r="X638" s="33">
        <f>IF($A638="","",IF(ISNUMBER($E638),$E638,IF(ISNUMBER($B638),$B638,"")))</f>
        <v/>
      </c>
      <c r="Y638" s="34">
        <f>IF($T638="","",$O638+ROW()/1000000)</f>
        <v/>
      </c>
      <c r="Z638" s="35">
        <f>IF(OR($A638="",$C638="",$C638&lt;&gt;'売掛帳'!$B$3,NOT(ISNUMBER($X638))),"",IF(AND($X638&gt;='売掛帳'!$Q$3,$X638&lt;='売掛帳'!$Q$4),$X638+ROW()/10000000,""))</f>
        <v/>
      </c>
    </row>
    <row r="639" ht="18" customHeight="1">
      <c r="A639" s="18" t="n"/>
      <c r="B639" s="26" t="n"/>
      <c r="C639" s="18" t="n"/>
      <c r="D639" s="20">
        <f>IF($W639="","",IF($W639="なし","※得意先にないコード",INDEX('得意先'!$C$5:$C$104,$W639)&amp;""))</f>
        <v/>
      </c>
      <c r="E639" s="26" t="n"/>
      <c r="F639" s="19" t="n"/>
      <c r="G639" s="27" t="n"/>
      <c r="H639" s="27" t="n"/>
      <c r="I639" s="27" t="n"/>
      <c r="J639" s="28">
        <f>IF($A639="","",IF('設定'!$B$10="四捨五入",ROUND(IF('設定'!$B$9="税込",N($G639)*10/110,N($G639)*10/100),0),IF('設定'!$B$10="切り上げ",ROUNDUP(IF('設定'!$B$9="税込",N($G639)*10/110,N($G639)*10/100),0),ROUNDDOWN(IF('設定'!$B$9="税込",N($G639)*10/110,N($G639)*10/100),0))))</f>
        <v/>
      </c>
      <c r="K639" s="28">
        <f>IF($A639="","",IF('設定'!$B$10="四捨五入",ROUND(IF('設定'!$B$9="税込",N($H639)*8/108,N($H639)*8/100),0),IF('設定'!$B$10="切り上げ",ROUNDUP(IF('設定'!$B$9="税込",N($H639)*8/108,N($H639)*8/100),0),ROUNDDOWN(IF('設定'!$B$9="税込",N($H639)*8/108,N($H639)*8/100),0))))</f>
        <v/>
      </c>
      <c r="L639" s="28">
        <f>IF($A639="","",N($G639)+N($H639)+N($I639)+IF('設定'!$B$9="税込",0,$J639+$K639))</f>
        <v/>
      </c>
      <c r="M639" s="29">
        <f>IF(OR($A639="",NOT(ISNUMBER($W639)),NOT(ISNUMBER($X639))),"",IF(OR(INDEX('得意先'!$D$5:$D$104,$W639)="",INDEX('得意先'!$E$5:$E$104,$W639)="",INDEX('得意先'!$F$5:$F$104,$W639)=""),"",IF(INDEX('得意先'!$F$5:$F$104,$W639)="末",DATE(YEAR($X639),(MONTH($X639)+IF(INDEX('得意先'!$D$5:$D$104,$W639)="末",0,IF(DAY($X639)&lt;=INDEX('得意先'!$D$5:$D$104,$W639),0,1))+N(INDEX('得意先'!$E$5:$E$104,$W639)))+1,0),DATE(YEAR($X639),(MONTH($X639)+IF(INDEX('得意先'!$D$5:$D$104,$W639)="末",0,IF(DAY($X639)&lt;=INDEX('得意先'!$D$5:$D$104,$W639),0,1))+N(INDEX('得意先'!$E$5:$E$104,$W639))),MIN(INDEX('得意先'!$F$5:$F$104,$W639),DAY(DATE(YEAR($X639),(MONTH($X639)+IF(INDEX('得意先'!$D$5:$D$104,$W639)="末",0,IF(DAY($X639)&lt;=INDEX('得意先'!$D$5:$D$104,$W639),0,1))+N(INDEX('得意先'!$E$5:$E$104,$W639)))+1,0)))))))</f>
        <v/>
      </c>
      <c r="N639" s="26" t="n"/>
      <c r="O639" s="29">
        <f>IF($A639="","",IF(ISNUMBER($N639),$N639,$M639))</f>
        <v/>
      </c>
      <c r="P639" s="28">
        <f>IF($A639="","",SUMIF('入金消込'!$F$5:$F$1004,$A639,'入金消込'!$G$5:$G$1004))</f>
        <v/>
      </c>
      <c r="Q639" s="28">
        <f>IF($A639="","",SUMIF('入金消込'!$F$5:$F$1004,$A639,'入金消込'!$H$5:$H$1004)+SUMIF('入金消込'!$F$5:$F$1004,$A639,'入金消込'!$I$5:$I$1004))</f>
        <v/>
      </c>
      <c r="R639" s="28">
        <f>IF($A639="","",$L639-$P639-$Q639)</f>
        <v/>
      </c>
      <c r="S639" s="30">
        <f>IF($A639="","",IF($R639=0,IF($L639=0,"請求額0","回収済"),IF($L639&lt;0,IF($R639&lt;0,"差し引き待ち","差し引きすぎ"),IF($R639&lt;0,"入金が多い",IF($P639+$Q639=0,"未入金","一部入金")))))</f>
        <v/>
      </c>
      <c r="T639" s="31">
        <f>IF(OR($A639="",N($R639)&lt;=0,NOT(ISNUMBER($O639))),"",IF($O639&lt;'設定'!$B$7,'設定'!$B$7-$O639,""))</f>
        <v/>
      </c>
      <c r="U639" s="30">
        <f>IF(OR($A639="",N($R639)&lt;=0),"",IF(NOT(ISNUMBER($O639)),'設定'!$B$22,IF($O639&gt;='設定'!$B$7,'設定'!$B$17,IF('設定'!$B$7-$O639&lt;='設定'!$B$12,'設定'!$B$18,IF('設定'!$B$7-$O639&lt;='設定'!$B$13,'設定'!$B$19,IF('設定'!$B$7-$O639&lt;='設定'!$B$14,'設定'!$B$20,'設定'!$B$21))))))</f>
        <v/>
      </c>
      <c r="V639" s="56" t="n"/>
      <c r="W639" s="32">
        <f>IF($C639="","",IFERROR(MATCH($C639,'得意先'!$B$5:$B$104,0),"なし"))</f>
        <v/>
      </c>
      <c r="X639" s="33">
        <f>IF($A639="","",IF(ISNUMBER($E639),$E639,IF(ISNUMBER($B639),$B639,"")))</f>
        <v/>
      </c>
      <c r="Y639" s="34">
        <f>IF($T639="","",$O639+ROW()/1000000)</f>
        <v/>
      </c>
      <c r="Z639" s="35">
        <f>IF(OR($A639="",$C639="",$C639&lt;&gt;'売掛帳'!$B$3,NOT(ISNUMBER($X639))),"",IF(AND($X639&gt;='売掛帳'!$Q$3,$X639&lt;='売掛帳'!$Q$4),$X639+ROW()/10000000,""))</f>
        <v/>
      </c>
    </row>
    <row r="640" ht="18" customHeight="1">
      <c r="A640" s="18" t="n"/>
      <c r="B640" s="26" t="n"/>
      <c r="C640" s="18" t="n"/>
      <c r="D640" s="20">
        <f>IF($W640="","",IF($W640="なし","※得意先にないコード",INDEX('得意先'!$C$5:$C$104,$W640)&amp;""))</f>
        <v/>
      </c>
      <c r="E640" s="26" t="n"/>
      <c r="F640" s="19" t="n"/>
      <c r="G640" s="27" t="n"/>
      <c r="H640" s="27" t="n"/>
      <c r="I640" s="27" t="n"/>
      <c r="J640" s="28">
        <f>IF($A640="","",IF('設定'!$B$10="四捨五入",ROUND(IF('設定'!$B$9="税込",N($G640)*10/110,N($G640)*10/100),0),IF('設定'!$B$10="切り上げ",ROUNDUP(IF('設定'!$B$9="税込",N($G640)*10/110,N($G640)*10/100),0),ROUNDDOWN(IF('設定'!$B$9="税込",N($G640)*10/110,N($G640)*10/100),0))))</f>
        <v/>
      </c>
      <c r="K640" s="28">
        <f>IF($A640="","",IF('設定'!$B$10="四捨五入",ROUND(IF('設定'!$B$9="税込",N($H640)*8/108,N($H640)*8/100),0),IF('設定'!$B$10="切り上げ",ROUNDUP(IF('設定'!$B$9="税込",N($H640)*8/108,N($H640)*8/100),0),ROUNDDOWN(IF('設定'!$B$9="税込",N($H640)*8/108,N($H640)*8/100),0))))</f>
        <v/>
      </c>
      <c r="L640" s="28">
        <f>IF($A640="","",N($G640)+N($H640)+N($I640)+IF('設定'!$B$9="税込",0,$J640+$K640))</f>
        <v/>
      </c>
      <c r="M640" s="29">
        <f>IF(OR($A640="",NOT(ISNUMBER($W640)),NOT(ISNUMBER($X640))),"",IF(OR(INDEX('得意先'!$D$5:$D$104,$W640)="",INDEX('得意先'!$E$5:$E$104,$W640)="",INDEX('得意先'!$F$5:$F$104,$W640)=""),"",IF(INDEX('得意先'!$F$5:$F$104,$W640)="末",DATE(YEAR($X640),(MONTH($X640)+IF(INDEX('得意先'!$D$5:$D$104,$W640)="末",0,IF(DAY($X640)&lt;=INDEX('得意先'!$D$5:$D$104,$W640),0,1))+N(INDEX('得意先'!$E$5:$E$104,$W640)))+1,0),DATE(YEAR($X640),(MONTH($X640)+IF(INDEX('得意先'!$D$5:$D$104,$W640)="末",0,IF(DAY($X640)&lt;=INDEX('得意先'!$D$5:$D$104,$W640),0,1))+N(INDEX('得意先'!$E$5:$E$104,$W640))),MIN(INDEX('得意先'!$F$5:$F$104,$W640),DAY(DATE(YEAR($X640),(MONTH($X640)+IF(INDEX('得意先'!$D$5:$D$104,$W640)="末",0,IF(DAY($X640)&lt;=INDEX('得意先'!$D$5:$D$104,$W640),0,1))+N(INDEX('得意先'!$E$5:$E$104,$W640)))+1,0)))))))</f>
        <v/>
      </c>
      <c r="N640" s="26" t="n"/>
      <c r="O640" s="29">
        <f>IF($A640="","",IF(ISNUMBER($N640),$N640,$M640))</f>
        <v/>
      </c>
      <c r="P640" s="28">
        <f>IF($A640="","",SUMIF('入金消込'!$F$5:$F$1004,$A640,'入金消込'!$G$5:$G$1004))</f>
        <v/>
      </c>
      <c r="Q640" s="28">
        <f>IF($A640="","",SUMIF('入金消込'!$F$5:$F$1004,$A640,'入金消込'!$H$5:$H$1004)+SUMIF('入金消込'!$F$5:$F$1004,$A640,'入金消込'!$I$5:$I$1004))</f>
        <v/>
      </c>
      <c r="R640" s="28">
        <f>IF($A640="","",$L640-$P640-$Q640)</f>
        <v/>
      </c>
      <c r="S640" s="30">
        <f>IF($A640="","",IF($R640=0,IF($L640=0,"請求額0","回収済"),IF($L640&lt;0,IF($R640&lt;0,"差し引き待ち","差し引きすぎ"),IF($R640&lt;0,"入金が多い",IF($P640+$Q640=0,"未入金","一部入金")))))</f>
        <v/>
      </c>
      <c r="T640" s="31">
        <f>IF(OR($A640="",N($R640)&lt;=0,NOT(ISNUMBER($O640))),"",IF($O640&lt;'設定'!$B$7,'設定'!$B$7-$O640,""))</f>
        <v/>
      </c>
      <c r="U640" s="30">
        <f>IF(OR($A640="",N($R640)&lt;=0),"",IF(NOT(ISNUMBER($O640)),'設定'!$B$22,IF($O640&gt;='設定'!$B$7,'設定'!$B$17,IF('設定'!$B$7-$O640&lt;='設定'!$B$12,'設定'!$B$18,IF('設定'!$B$7-$O640&lt;='設定'!$B$13,'設定'!$B$19,IF('設定'!$B$7-$O640&lt;='設定'!$B$14,'設定'!$B$20,'設定'!$B$21))))))</f>
        <v/>
      </c>
      <c r="V640" s="56" t="n"/>
      <c r="W640" s="32">
        <f>IF($C640="","",IFERROR(MATCH($C640,'得意先'!$B$5:$B$104,0),"なし"))</f>
        <v/>
      </c>
      <c r="X640" s="33">
        <f>IF($A640="","",IF(ISNUMBER($E640),$E640,IF(ISNUMBER($B640),$B640,"")))</f>
        <v/>
      </c>
      <c r="Y640" s="34">
        <f>IF($T640="","",$O640+ROW()/1000000)</f>
        <v/>
      </c>
      <c r="Z640" s="35">
        <f>IF(OR($A640="",$C640="",$C640&lt;&gt;'売掛帳'!$B$3,NOT(ISNUMBER($X640))),"",IF(AND($X640&gt;='売掛帳'!$Q$3,$X640&lt;='売掛帳'!$Q$4),$X640+ROW()/10000000,""))</f>
        <v/>
      </c>
    </row>
    <row r="641" ht="18" customHeight="1">
      <c r="A641" s="18" t="n"/>
      <c r="B641" s="26" t="n"/>
      <c r="C641" s="18" t="n"/>
      <c r="D641" s="20">
        <f>IF($W641="","",IF($W641="なし","※得意先にないコード",INDEX('得意先'!$C$5:$C$104,$W641)&amp;""))</f>
        <v/>
      </c>
      <c r="E641" s="26" t="n"/>
      <c r="F641" s="19" t="n"/>
      <c r="G641" s="27" t="n"/>
      <c r="H641" s="27" t="n"/>
      <c r="I641" s="27" t="n"/>
      <c r="J641" s="28">
        <f>IF($A641="","",IF('設定'!$B$10="四捨五入",ROUND(IF('設定'!$B$9="税込",N($G641)*10/110,N($G641)*10/100),0),IF('設定'!$B$10="切り上げ",ROUNDUP(IF('設定'!$B$9="税込",N($G641)*10/110,N($G641)*10/100),0),ROUNDDOWN(IF('設定'!$B$9="税込",N($G641)*10/110,N($G641)*10/100),0))))</f>
        <v/>
      </c>
      <c r="K641" s="28">
        <f>IF($A641="","",IF('設定'!$B$10="四捨五入",ROUND(IF('設定'!$B$9="税込",N($H641)*8/108,N($H641)*8/100),0),IF('設定'!$B$10="切り上げ",ROUNDUP(IF('設定'!$B$9="税込",N($H641)*8/108,N($H641)*8/100),0),ROUNDDOWN(IF('設定'!$B$9="税込",N($H641)*8/108,N($H641)*8/100),0))))</f>
        <v/>
      </c>
      <c r="L641" s="28">
        <f>IF($A641="","",N($G641)+N($H641)+N($I641)+IF('設定'!$B$9="税込",0,$J641+$K641))</f>
        <v/>
      </c>
      <c r="M641" s="29">
        <f>IF(OR($A641="",NOT(ISNUMBER($W641)),NOT(ISNUMBER($X641))),"",IF(OR(INDEX('得意先'!$D$5:$D$104,$W641)="",INDEX('得意先'!$E$5:$E$104,$W641)="",INDEX('得意先'!$F$5:$F$104,$W641)=""),"",IF(INDEX('得意先'!$F$5:$F$104,$W641)="末",DATE(YEAR($X641),(MONTH($X641)+IF(INDEX('得意先'!$D$5:$D$104,$W641)="末",0,IF(DAY($X641)&lt;=INDEX('得意先'!$D$5:$D$104,$W641),0,1))+N(INDEX('得意先'!$E$5:$E$104,$W641)))+1,0),DATE(YEAR($X641),(MONTH($X641)+IF(INDEX('得意先'!$D$5:$D$104,$W641)="末",0,IF(DAY($X641)&lt;=INDEX('得意先'!$D$5:$D$104,$W641),0,1))+N(INDEX('得意先'!$E$5:$E$104,$W641))),MIN(INDEX('得意先'!$F$5:$F$104,$W641),DAY(DATE(YEAR($X641),(MONTH($X641)+IF(INDEX('得意先'!$D$5:$D$104,$W641)="末",0,IF(DAY($X641)&lt;=INDEX('得意先'!$D$5:$D$104,$W641),0,1))+N(INDEX('得意先'!$E$5:$E$104,$W641)))+1,0)))))))</f>
        <v/>
      </c>
      <c r="N641" s="26" t="n"/>
      <c r="O641" s="29">
        <f>IF($A641="","",IF(ISNUMBER($N641),$N641,$M641))</f>
        <v/>
      </c>
      <c r="P641" s="28">
        <f>IF($A641="","",SUMIF('入金消込'!$F$5:$F$1004,$A641,'入金消込'!$G$5:$G$1004))</f>
        <v/>
      </c>
      <c r="Q641" s="28">
        <f>IF($A641="","",SUMIF('入金消込'!$F$5:$F$1004,$A641,'入金消込'!$H$5:$H$1004)+SUMIF('入金消込'!$F$5:$F$1004,$A641,'入金消込'!$I$5:$I$1004))</f>
        <v/>
      </c>
      <c r="R641" s="28">
        <f>IF($A641="","",$L641-$P641-$Q641)</f>
        <v/>
      </c>
      <c r="S641" s="30">
        <f>IF($A641="","",IF($R641=0,IF($L641=0,"請求額0","回収済"),IF($L641&lt;0,IF($R641&lt;0,"差し引き待ち","差し引きすぎ"),IF($R641&lt;0,"入金が多い",IF($P641+$Q641=0,"未入金","一部入金")))))</f>
        <v/>
      </c>
      <c r="T641" s="31">
        <f>IF(OR($A641="",N($R641)&lt;=0,NOT(ISNUMBER($O641))),"",IF($O641&lt;'設定'!$B$7,'設定'!$B$7-$O641,""))</f>
        <v/>
      </c>
      <c r="U641" s="30">
        <f>IF(OR($A641="",N($R641)&lt;=0),"",IF(NOT(ISNUMBER($O641)),'設定'!$B$22,IF($O641&gt;='設定'!$B$7,'設定'!$B$17,IF('設定'!$B$7-$O641&lt;='設定'!$B$12,'設定'!$B$18,IF('設定'!$B$7-$O641&lt;='設定'!$B$13,'設定'!$B$19,IF('設定'!$B$7-$O641&lt;='設定'!$B$14,'設定'!$B$20,'設定'!$B$21))))))</f>
        <v/>
      </c>
      <c r="V641" s="56" t="n"/>
      <c r="W641" s="32">
        <f>IF($C641="","",IFERROR(MATCH($C641,'得意先'!$B$5:$B$104,0),"なし"))</f>
        <v/>
      </c>
      <c r="X641" s="33">
        <f>IF($A641="","",IF(ISNUMBER($E641),$E641,IF(ISNUMBER($B641),$B641,"")))</f>
        <v/>
      </c>
      <c r="Y641" s="34">
        <f>IF($T641="","",$O641+ROW()/1000000)</f>
        <v/>
      </c>
      <c r="Z641" s="35">
        <f>IF(OR($A641="",$C641="",$C641&lt;&gt;'売掛帳'!$B$3,NOT(ISNUMBER($X641))),"",IF(AND($X641&gt;='売掛帳'!$Q$3,$X641&lt;='売掛帳'!$Q$4),$X641+ROW()/10000000,""))</f>
        <v/>
      </c>
    </row>
    <row r="642" ht="18" customHeight="1">
      <c r="A642" s="18" t="n"/>
      <c r="B642" s="26" t="n"/>
      <c r="C642" s="18" t="n"/>
      <c r="D642" s="20">
        <f>IF($W642="","",IF($W642="なし","※得意先にないコード",INDEX('得意先'!$C$5:$C$104,$W642)&amp;""))</f>
        <v/>
      </c>
      <c r="E642" s="26" t="n"/>
      <c r="F642" s="19" t="n"/>
      <c r="G642" s="27" t="n"/>
      <c r="H642" s="27" t="n"/>
      <c r="I642" s="27" t="n"/>
      <c r="J642" s="28">
        <f>IF($A642="","",IF('設定'!$B$10="四捨五入",ROUND(IF('設定'!$B$9="税込",N($G642)*10/110,N($G642)*10/100),0),IF('設定'!$B$10="切り上げ",ROUNDUP(IF('設定'!$B$9="税込",N($G642)*10/110,N($G642)*10/100),0),ROUNDDOWN(IF('設定'!$B$9="税込",N($G642)*10/110,N($G642)*10/100),0))))</f>
        <v/>
      </c>
      <c r="K642" s="28">
        <f>IF($A642="","",IF('設定'!$B$10="四捨五入",ROUND(IF('設定'!$B$9="税込",N($H642)*8/108,N($H642)*8/100),0),IF('設定'!$B$10="切り上げ",ROUNDUP(IF('設定'!$B$9="税込",N($H642)*8/108,N($H642)*8/100),0),ROUNDDOWN(IF('設定'!$B$9="税込",N($H642)*8/108,N($H642)*8/100),0))))</f>
        <v/>
      </c>
      <c r="L642" s="28">
        <f>IF($A642="","",N($G642)+N($H642)+N($I642)+IF('設定'!$B$9="税込",0,$J642+$K642))</f>
        <v/>
      </c>
      <c r="M642" s="29">
        <f>IF(OR($A642="",NOT(ISNUMBER($W642)),NOT(ISNUMBER($X642))),"",IF(OR(INDEX('得意先'!$D$5:$D$104,$W642)="",INDEX('得意先'!$E$5:$E$104,$W642)="",INDEX('得意先'!$F$5:$F$104,$W642)=""),"",IF(INDEX('得意先'!$F$5:$F$104,$W642)="末",DATE(YEAR($X642),(MONTH($X642)+IF(INDEX('得意先'!$D$5:$D$104,$W642)="末",0,IF(DAY($X642)&lt;=INDEX('得意先'!$D$5:$D$104,$W642),0,1))+N(INDEX('得意先'!$E$5:$E$104,$W642)))+1,0),DATE(YEAR($X642),(MONTH($X642)+IF(INDEX('得意先'!$D$5:$D$104,$W642)="末",0,IF(DAY($X642)&lt;=INDEX('得意先'!$D$5:$D$104,$W642),0,1))+N(INDEX('得意先'!$E$5:$E$104,$W642))),MIN(INDEX('得意先'!$F$5:$F$104,$W642),DAY(DATE(YEAR($X642),(MONTH($X642)+IF(INDEX('得意先'!$D$5:$D$104,$W642)="末",0,IF(DAY($X642)&lt;=INDEX('得意先'!$D$5:$D$104,$W642),0,1))+N(INDEX('得意先'!$E$5:$E$104,$W642)))+1,0)))))))</f>
        <v/>
      </c>
      <c r="N642" s="26" t="n"/>
      <c r="O642" s="29">
        <f>IF($A642="","",IF(ISNUMBER($N642),$N642,$M642))</f>
        <v/>
      </c>
      <c r="P642" s="28">
        <f>IF($A642="","",SUMIF('入金消込'!$F$5:$F$1004,$A642,'入金消込'!$G$5:$G$1004))</f>
        <v/>
      </c>
      <c r="Q642" s="28">
        <f>IF($A642="","",SUMIF('入金消込'!$F$5:$F$1004,$A642,'入金消込'!$H$5:$H$1004)+SUMIF('入金消込'!$F$5:$F$1004,$A642,'入金消込'!$I$5:$I$1004))</f>
        <v/>
      </c>
      <c r="R642" s="28">
        <f>IF($A642="","",$L642-$P642-$Q642)</f>
        <v/>
      </c>
      <c r="S642" s="30">
        <f>IF($A642="","",IF($R642=0,IF($L642=0,"請求額0","回収済"),IF($L642&lt;0,IF($R642&lt;0,"差し引き待ち","差し引きすぎ"),IF($R642&lt;0,"入金が多い",IF($P642+$Q642=0,"未入金","一部入金")))))</f>
        <v/>
      </c>
      <c r="T642" s="31">
        <f>IF(OR($A642="",N($R642)&lt;=0,NOT(ISNUMBER($O642))),"",IF($O642&lt;'設定'!$B$7,'設定'!$B$7-$O642,""))</f>
        <v/>
      </c>
      <c r="U642" s="30">
        <f>IF(OR($A642="",N($R642)&lt;=0),"",IF(NOT(ISNUMBER($O642)),'設定'!$B$22,IF($O642&gt;='設定'!$B$7,'設定'!$B$17,IF('設定'!$B$7-$O642&lt;='設定'!$B$12,'設定'!$B$18,IF('設定'!$B$7-$O642&lt;='設定'!$B$13,'設定'!$B$19,IF('設定'!$B$7-$O642&lt;='設定'!$B$14,'設定'!$B$20,'設定'!$B$21))))))</f>
        <v/>
      </c>
      <c r="V642" s="56" t="n"/>
      <c r="W642" s="32">
        <f>IF($C642="","",IFERROR(MATCH($C642,'得意先'!$B$5:$B$104,0),"なし"))</f>
        <v/>
      </c>
      <c r="X642" s="33">
        <f>IF($A642="","",IF(ISNUMBER($E642),$E642,IF(ISNUMBER($B642),$B642,"")))</f>
        <v/>
      </c>
      <c r="Y642" s="34">
        <f>IF($T642="","",$O642+ROW()/1000000)</f>
        <v/>
      </c>
      <c r="Z642" s="35">
        <f>IF(OR($A642="",$C642="",$C642&lt;&gt;'売掛帳'!$B$3,NOT(ISNUMBER($X642))),"",IF(AND($X642&gt;='売掛帳'!$Q$3,$X642&lt;='売掛帳'!$Q$4),$X642+ROW()/10000000,""))</f>
        <v/>
      </c>
    </row>
    <row r="643" ht="18" customHeight="1">
      <c r="A643" s="18" t="n"/>
      <c r="B643" s="26" t="n"/>
      <c r="C643" s="18" t="n"/>
      <c r="D643" s="20">
        <f>IF($W643="","",IF($W643="なし","※得意先にないコード",INDEX('得意先'!$C$5:$C$104,$W643)&amp;""))</f>
        <v/>
      </c>
      <c r="E643" s="26" t="n"/>
      <c r="F643" s="19" t="n"/>
      <c r="G643" s="27" t="n"/>
      <c r="H643" s="27" t="n"/>
      <c r="I643" s="27" t="n"/>
      <c r="J643" s="28">
        <f>IF($A643="","",IF('設定'!$B$10="四捨五入",ROUND(IF('設定'!$B$9="税込",N($G643)*10/110,N($G643)*10/100),0),IF('設定'!$B$10="切り上げ",ROUNDUP(IF('設定'!$B$9="税込",N($G643)*10/110,N($G643)*10/100),0),ROUNDDOWN(IF('設定'!$B$9="税込",N($G643)*10/110,N($G643)*10/100),0))))</f>
        <v/>
      </c>
      <c r="K643" s="28">
        <f>IF($A643="","",IF('設定'!$B$10="四捨五入",ROUND(IF('設定'!$B$9="税込",N($H643)*8/108,N($H643)*8/100),0),IF('設定'!$B$10="切り上げ",ROUNDUP(IF('設定'!$B$9="税込",N($H643)*8/108,N($H643)*8/100),0),ROUNDDOWN(IF('設定'!$B$9="税込",N($H643)*8/108,N($H643)*8/100),0))))</f>
        <v/>
      </c>
      <c r="L643" s="28">
        <f>IF($A643="","",N($G643)+N($H643)+N($I643)+IF('設定'!$B$9="税込",0,$J643+$K643))</f>
        <v/>
      </c>
      <c r="M643" s="29">
        <f>IF(OR($A643="",NOT(ISNUMBER($W643)),NOT(ISNUMBER($X643))),"",IF(OR(INDEX('得意先'!$D$5:$D$104,$W643)="",INDEX('得意先'!$E$5:$E$104,$W643)="",INDEX('得意先'!$F$5:$F$104,$W643)=""),"",IF(INDEX('得意先'!$F$5:$F$104,$W643)="末",DATE(YEAR($X643),(MONTH($X643)+IF(INDEX('得意先'!$D$5:$D$104,$W643)="末",0,IF(DAY($X643)&lt;=INDEX('得意先'!$D$5:$D$104,$W643),0,1))+N(INDEX('得意先'!$E$5:$E$104,$W643)))+1,0),DATE(YEAR($X643),(MONTH($X643)+IF(INDEX('得意先'!$D$5:$D$104,$W643)="末",0,IF(DAY($X643)&lt;=INDEX('得意先'!$D$5:$D$104,$W643),0,1))+N(INDEX('得意先'!$E$5:$E$104,$W643))),MIN(INDEX('得意先'!$F$5:$F$104,$W643),DAY(DATE(YEAR($X643),(MONTH($X643)+IF(INDEX('得意先'!$D$5:$D$104,$W643)="末",0,IF(DAY($X643)&lt;=INDEX('得意先'!$D$5:$D$104,$W643),0,1))+N(INDEX('得意先'!$E$5:$E$104,$W643)))+1,0)))))))</f>
        <v/>
      </c>
      <c r="N643" s="26" t="n"/>
      <c r="O643" s="29">
        <f>IF($A643="","",IF(ISNUMBER($N643),$N643,$M643))</f>
        <v/>
      </c>
      <c r="P643" s="28">
        <f>IF($A643="","",SUMIF('入金消込'!$F$5:$F$1004,$A643,'入金消込'!$G$5:$G$1004))</f>
        <v/>
      </c>
      <c r="Q643" s="28">
        <f>IF($A643="","",SUMIF('入金消込'!$F$5:$F$1004,$A643,'入金消込'!$H$5:$H$1004)+SUMIF('入金消込'!$F$5:$F$1004,$A643,'入金消込'!$I$5:$I$1004))</f>
        <v/>
      </c>
      <c r="R643" s="28">
        <f>IF($A643="","",$L643-$P643-$Q643)</f>
        <v/>
      </c>
      <c r="S643" s="30">
        <f>IF($A643="","",IF($R643=0,IF($L643=0,"請求額0","回収済"),IF($L643&lt;0,IF($R643&lt;0,"差し引き待ち","差し引きすぎ"),IF($R643&lt;0,"入金が多い",IF($P643+$Q643=0,"未入金","一部入金")))))</f>
        <v/>
      </c>
      <c r="T643" s="31">
        <f>IF(OR($A643="",N($R643)&lt;=0,NOT(ISNUMBER($O643))),"",IF($O643&lt;'設定'!$B$7,'設定'!$B$7-$O643,""))</f>
        <v/>
      </c>
      <c r="U643" s="30">
        <f>IF(OR($A643="",N($R643)&lt;=0),"",IF(NOT(ISNUMBER($O643)),'設定'!$B$22,IF($O643&gt;='設定'!$B$7,'設定'!$B$17,IF('設定'!$B$7-$O643&lt;='設定'!$B$12,'設定'!$B$18,IF('設定'!$B$7-$O643&lt;='設定'!$B$13,'設定'!$B$19,IF('設定'!$B$7-$O643&lt;='設定'!$B$14,'設定'!$B$20,'設定'!$B$21))))))</f>
        <v/>
      </c>
      <c r="V643" s="56" t="n"/>
      <c r="W643" s="32">
        <f>IF($C643="","",IFERROR(MATCH($C643,'得意先'!$B$5:$B$104,0),"なし"))</f>
        <v/>
      </c>
      <c r="X643" s="33">
        <f>IF($A643="","",IF(ISNUMBER($E643),$E643,IF(ISNUMBER($B643),$B643,"")))</f>
        <v/>
      </c>
      <c r="Y643" s="34">
        <f>IF($T643="","",$O643+ROW()/1000000)</f>
        <v/>
      </c>
      <c r="Z643" s="35">
        <f>IF(OR($A643="",$C643="",$C643&lt;&gt;'売掛帳'!$B$3,NOT(ISNUMBER($X643))),"",IF(AND($X643&gt;='売掛帳'!$Q$3,$X643&lt;='売掛帳'!$Q$4),$X643+ROW()/10000000,""))</f>
        <v/>
      </c>
    </row>
    <row r="644" ht="18" customHeight="1">
      <c r="A644" s="18" t="n"/>
      <c r="B644" s="26" t="n"/>
      <c r="C644" s="18" t="n"/>
      <c r="D644" s="20">
        <f>IF($W644="","",IF($W644="なし","※得意先にないコード",INDEX('得意先'!$C$5:$C$104,$W644)&amp;""))</f>
        <v/>
      </c>
      <c r="E644" s="26" t="n"/>
      <c r="F644" s="19" t="n"/>
      <c r="G644" s="27" t="n"/>
      <c r="H644" s="27" t="n"/>
      <c r="I644" s="27" t="n"/>
      <c r="J644" s="28">
        <f>IF($A644="","",IF('設定'!$B$10="四捨五入",ROUND(IF('設定'!$B$9="税込",N($G644)*10/110,N($G644)*10/100),0),IF('設定'!$B$10="切り上げ",ROUNDUP(IF('設定'!$B$9="税込",N($G644)*10/110,N($G644)*10/100),0),ROUNDDOWN(IF('設定'!$B$9="税込",N($G644)*10/110,N($G644)*10/100),0))))</f>
        <v/>
      </c>
      <c r="K644" s="28">
        <f>IF($A644="","",IF('設定'!$B$10="四捨五入",ROUND(IF('設定'!$B$9="税込",N($H644)*8/108,N($H644)*8/100),0),IF('設定'!$B$10="切り上げ",ROUNDUP(IF('設定'!$B$9="税込",N($H644)*8/108,N($H644)*8/100),0),ROUNDDOWN(IF('設定'!$B$9="税込",N($H644)*8/108,N($H644)*8/100),0))))</f>
        <v/>
      </c>
      <c r="L644" s="28">
        <f>IF($A644="","",N($G644)+N($H644)+N($I644)+IF('設定'!$B$9="税込",0,$J644+$K644))</f>
        <v/>
      </c>
      <c r="M644" s="29">
        <f>IF(OR($A644="",NOT(ISNUMBER($W644)),NOT(ISNUMBER($X644))),"",IF(OR(INDEX('得意先'!$D$5:$D$104,$W644)="",INDEX('得意先'!$E$5:$E$104,$W644)="",INDEX('得意先'!$F$5:$F$104,$W644)=""),"",IF(INDEX('得意先'!$F$5:$F$104,$W644)="末",DATE(YEAR($X644),(MONTH($X644)+IF(INDEX('得意先'!$D$5:$D$104,$W644)="末",0,IF(DAY($X644)&lt;=INDEX('得意先'!$D$5:$D$104,$W644),0,1))+N(INDEX('得意先'!$E$5:$E$104,$W644)))+1,0),DATE(YEAR($X644),(MONTH($X644)+IF(INDEX('得意先'!$D$5:$D$104,$W644)="末",0,IF(DAY($X644)&lt;=INDEX('得意先'!$D$5:$D$104,$W644),0,1))+N(INDEX('得意先'!$E$5:$E$104,$W644))),MIN(INDEX('得意先'!$F$5:$F$104,$W644),DAY(DATE(YEAR($X644),(MONTH($X644)+IF(INDEX('得意先'!$D$5:$D$104,$W644)="末",0,IF(DAY($X644)&lt;=INDEX('得意先'!$D$5:$D$104,$W644),0,1))+N(INDEX('得意先'!$E$5:$E$104,$W644)))+1,0)))))))</f>
        <v/>
      </c>
      <c r="N644" s="26" t="n"/>
      <c r="O644" s="29">
        <f>IF($A644="","",IF(ISNUMBER($N644),$N644,$M644))</f>
        <v/>
      </c>
      <c r="P644" s="28">
        <f>IF($A644="","",SUMIF('入金消込'!$F$5:$F$1004,$A644,'入金消込'!$G$5:$G$1004))</f>
        <v/>
      </c>
      <c r="Q644" s="28">
        <f>IF($A644="","",SUMIF('入金消込'!$F$5:$F$1004,$A644,'入金消込'!$H$5:$H$1004)+SUMIF('入金消込'!$F$5:$F$1004,$A644,'入金消込'!$I$5:$I$1004))</f>
        <v/>
      </c>
      <c r="R644" s="28">
        <f>IF($A644="","",$L644-$P644-$Q644)</f>
        <v/>
      </c>
      <c r="S644" s="30">
        <f>IF($A644="","",IF($R644=0,IF($L644=0,"請求額0","回収済"),IF($L644&lt;0,IF($R644&lt;0,"差し引き待ち","差し引きすぎ"),IF($R644&lt;0,"入金が多い",IF($P644+$Q644=0,"未入金","一部入金")))))</f>
        <v/>
      </c>
      <c r="T644" s="31">
        <f>IF(OR($A644="",N($R644)&lt;=0,NOT(ISNUMBER($O644))),"",IF($O644&lt;'設定'!$B$7,'設定'!$B$7-$O644,""))</f>
        <v/>
      </c>
      <c r="U644" s="30">
        <f>IF(OR($A644="",N($R644)&lt;=0),"",IF(NOT(ISNUMBER($O644)),'設定'!$B$22,IF($O644&gt;='設定'!$B$7,'設定'!$B$17,IF('設定'!$B$7-$O644&lt;='設定'!$B$12,'設定'!$B$18,IF('設定'!$B$7-$O644&lt;='設定'!$B$13,'設定'!$B$19,IF('設定'!$B$7-$O644&lt;='設定'!$B$14,'設定'!$B$20,'設定'!$B$21))))))</f>
        <v/>
      </c>
      <c r="V644" s="56" t="n"/>
      <c r="W644" s="32">
        <f>IF($C644="","",IFERROR(MATCH($C644,'得意先'!$B$5:$B$104,0),"なし"))</f>
        <v/>
      </c>
      <c r="X644" s="33">
        <f>IF($A644="","",IF(ISNUMBER($E644),$E644,IF(ISNUMBER($B644),$B644,"")))</f>
        <v/>
      </c>
      <c r="Y644" s="34">
        <f>IF($T644="","",$O644+ROW()/1000000)</f>
        <v/>
      </c>
      <c r="Z644" s="35">
        <f>IF(OR($A644="",$C644="",$C644&lt;&gt;'売掛帳'!$B$3,NOT(ISNUMBER($X644))),"",IF(AND($X644&gt;='売掛帳'!$Q$3,$X644&lt;='売掛帳'!$Q$4),$X644+ROW()/10000000,""))</f>
        <v/>
      </c>
    </row>
    <row r="645" ht="18" customHeight="1">
      <c r="A645" s="18" t="n"/>
      <c r="B645" s="26" t="n"/>
      <c r="C645" s="18" t="n"/>
      <c r="D645" s="20">
        <f>IF($W645="","",IF($W645="なし","※得意先にないコード",INDEX('得意先'!$C$5:$C$104,$W645)&amp;""))</f>
        <v/>
      </c>
      <c r="E645" s="26" t="n"/>
      <c r="F645" s="19" t="n"/>
      <c r="G645" s="27" t="n"/>
      <c r="H645" s="27" t="n"/>
      <c r="I645" s="27" t="n"/>
      <c r="J645" s="28">
        <f>IF($A645="","",IF('設定'!$B$10="四捨五入",ROUND(IF('設定'!$B$9="税込",N($G645)*10/110,N($G645)*10/100),0),IF('設定'!$B$10="切り上げ",ROUNDUP(IF('設定'!$B$9="税込",N($G645)*10/110,N($G645)*10/100),0),ROUNDDOWN(IF('設定'!$B$9="税込",N($G645)*10/110,N($G645)*10/100),0))))</f>
        <v/>
      </c>
      <c r="K645" s="28">
        <f>IF($A645="","",IF('設定'!$B$10="四捨五入",ROUND(IF('設定'!$B$9="税込",N($H645)*8/108,N($H645)*8/100),0),IF('設定'!$B$10="切り上げ",ROUNDUP(IF('設定'!$B$9="税込",N($H645)*8/108,N($H645)*8/100),0),ROUNDDOWN(IF('設定'!$B$9="税込",N($H645)*8/108,N($H645)*8/100),0))))</f>
        <v/>
      </c>
      <c r="L645" s="28">
        <f>IF($A645="","",N($G645)+N($H645)+N($I645)+IF('設定'!$B$9="税込",0,$J645+$K645))</f>
        <v/>
      </c>
      <c r="M645" s="29">
        <f>IF(OR($A645="",NOT(ISNUMBER($W645)),NOT(ISNUMBER($X645))),"",IF(OR(INDEX('得意先'!$D$5:$D$104,$W645)="",INDEX('得意先'!$E$5:$E$104,$W645)="",INDEX('得意先'!$F$5:$F$104,$W645)=""),"",IF(INDEX('得意先'!$F$5:$F$104,$W645)="末",DATE(YEAR($X645),(MONTH($X645)+IF(INDEX('得意先'!$D$5:$D$104,$W645)="末",0,IF(DAY($X645)&lt;=INDEX('得意先'!$D$5:$D$104,$W645),0,1))+N(INDEX('得意先'!$E$5:$E$104,$W645)))+1,0),DATE(YEAR($X645),(MONTH($X645)+IF(INDEX('得意先'!$D$5:$D$104,$W645)="末",0,IF(DAY($X645)&lt;=INDEX('得意先'!$D$5:$D$104,$W645),0,1))+N(INDEX('得意先'!$E$5:$E$104,$W645))),MIN(INDEX('得意先'!$F$5:$F$104,$W645),DAY(DATE(YEAR($X645),(MONTH($X645)+IF(INDEX('得意先'!$D$5:$D$104,$W645)="末",0,IF(DAY($X645)&lt;=INDEX('得意先'!$D$5:$D$104,$W645),0,1))+N(INDEX('得意先'!$E$5:$E$104,$W645)))+1,0)))))))</f>
        <v/>
      </c>
      <c r="N645" s="26" t="n"/>
      <c r="O645" s="29">
        <f>IF($A645="","",IF(ISNUMBER($N645),$N645,$M645))</f>
        <v/>
      </c>
      <c r="P645" s="28">
        <f>IF($A645="","",SUMIF('入金消込'!$F$5:$F$1004,$A645,'入金消込'!$G$5:$G$1004))</f>
        <v/>
      </c>
      <c r="Q645" s="28">
        <f>IF($A645="","",SUMIF('入金消込'!$F$5:$F$1004,$A645,'入金消込'!$H$5:$H$1004)+SUMIF('入金消込'!$F$5:$F$1004,$A645,'入金消込'!$I$5:$I$1004))</f>
        <v/>
      </c>
      <c r="R645" s="28">
        <f>IF($A645="","",$L645-$P645-$Q645)</f>
        <v/>
      </c>
      <c r="S645" s="30">
        <f>IF($A645="","",IF($R645=0,IF($L645=0,"請求額0","回収済"),IF($L645&lt;0,IF($R645&lt;0,"差し引き待ち","差し引きすぎ"),IF($R645&lt;0,"入金が多い",IF($P645+$Q645=0,"未入金","一部入金")))))</f>
        <v/>
      </c>
      <c r="T645" s="31">
        <f>IF(OR($A645="",N($R645)&lt;=0,NOT(ISNUMBER($O645))),"",IF($O645&lt;'設定'!$B$7,'設定'!$B$7-$O645,""))</f>
        <v/>
      </c>
      <c r="U645" s="30">
        <f>IF(OR($A645="",N($R645)&lt;=0),"",IF(NOT(ISNUMBER($O645)),'設定'!$B$22,IF($O645&gt;='設定'!$B$7,'設定'!$B$17,IF('設定'!$B$7-$O645&lt;='設定'!$B$12,'設定'!$B$18,IF('設定'!$B$7-$O645&lt;='設定'!$B$13,'設定'!$B$19,IF('設定'!$B$7-$O645&lt;='設定'!$B$14,'設定'!$B$20,'設定'!$B$21))))))</f>
        <v/>
      </c>
      <c r="V645" s="56" t="n"/>
      <c r="W645" s="32">
        <f>IF($C645="","",IFERROR(MATCH($C645,'得意先'!$B$5:$B$104,0),"なし"))</f>
        <v/>
      </c>
      <c r="X645" s="33">
        <f>IF($A645="","",IF(ISNUMBER($E645),$E645,IF(ISNUMBER($B645),$B645,"")))</f>
        <v/>
      </c>
      <c r="Y645" s="34">
        <f>IF($T645="","",$O645+ROW()/1000000)</f>
        <v/>
      </c>
      <c r="Z645" s="35">
        <f>IF(OR($A645="",$C645="",$C645&lt;&gt;'売掛帳'!$B$3,NOT(ISNUMBER($X645))),"",IF(AND($X645&gt;='売掛帳'!$Q$3,$X645&lt;='売掛帳'!$Q$4),$X645+ROW()/10000000,""))</f>
        <v/>
      </c>
    </row>
    <row r="646" ht="18" customHeight="1">
      <c r="A646" s="18" t="n"/>
      <c r="B646" s="26" t="n"/>
      <c r="C646" s="18" t="n"/>
      <c r="D646" s="20">
        <f>IF($W646="","",IF($W646="なし","※得意先にないコード",INDEX('得意先'!$C$5:$C$104,$W646)&amp;""))</f>
        <v/>
      </c>
      <c r="E646" s="26" t="n"/>
      <c r="F646" s="19" t="n"/>
      <c r="G646" s="27" t="n"/>
      <c r="H646" s="27" t="n"/>
      <c r="I646" s="27" t="n"/>
      <c r="J646" s="28">
        <f>IF($A646="","",IF('設定'!$B$10="四捨五入",ROUND(IF('設定'!$B$9="税込",N($G646)*10/110,N($G646)*10/100),0),IF('設定'!$B$10="切り上げ",ROUNDUP(IF('設定'!$B$9="税込",N($G646)*10/110,N($G646)*10/100),0),ROUNDDOWN(IF('設定'!$B$9="税込",N($G646)*10/110,N($G646)*10/100),0))))</f>
        <v/>
      </c>
      <c r="K646" s="28">
        <f>IF($A646="","",IF('設定'!$B$10="四捨五入",ROUND(IF('設定'!$B$9="税込",N($H646)*8/108,N($H646)*8/100),0),IF('設定'!$B$10="切り上げ",ROUNDUP(IF('設定'!$B$9="税込",N($H646)*8/108,N($H646)*8/100),0),ROUNDDOWN(IF('設定'!$B$9="税込",N($H646)*8/108,N($H646)*8/100),0))))</f>
        <v/>
      </c>
      <c r="L646" s="28">
        <f>IF($A646="","",N($G646)+N($H646)+N($I646)+IF('設定'!$B$9="税込",0,$J646+$K646))</f>
        <v/>
      </c>
      <c r="M646" s="29">
        <f>IF(OR($A646="",NOT(ISNUMBER($W646)),NOT(ISNUMBER($X646))),"",IF(OR(INDEX('得意先'!$D$5:$D$104,$W646)="",INDEX('得意先'!$E$5:$E$104,$W646)="",INDEX('得意先'!$F$5:$F$104,$W646)=""),"",IF(INDEX('得意先'!$F$5:$F$104,$W646)="末",DATE(YEAR($X646),(MONTH($X646)+IF(INDEX('得意先'!$D$5:$D$104,$W646)="末",0,IF(DAY($X646)&lt;=INDEX('得意先'!$D$5:$D$104,$W646),0,1))+N(INDEX('得意先'!$E$5:$E$104,$W646)))+1,0),DATE(YEAR($X646),(MONTH($X646)+IF(INDEX('得意先'!$D$5:$D$104,$W646)="末",0,IF(DAY($X646)&lt;=INDEX('得意先'!$D$5:$D$104,$W646),0,1))+N(INDEX('得意先'!$E$5:$E$104,$W646))),MIN(INDEX('得意先'!$F$5:$F$104,$W646),DAY(DATE(YEAR($X646),(MONTH($X646)+IF(INDEX('得意先'!$D$5:$D$104,$W646)="末",0,IF(DAY($X646)&lt;=INDEX('得意先'!$D$5:$D$104,$W646),0,1))+N(INDEX('得意先'!$E$5:$E$104,$W646)))+1,0)))))))</f>
        <v/>
      </c>
      <c r="N646" s="26" t="n"/>
      <c r="O646" s="29">
        <f>IF($A646="","",IF(ISNUMBER($N646),$N646,$M646))</f>
        <v/>
      </c>
      <c r="P646" s="28">
        <f>IF($A646="","",SUMIF('入金消込'!$F$5:$F$1004,$A646,'入金消込'!$G$5:$G$1004))</f>
        <v/>
      </c>
      <c r="Q646" s="28">
        <f>IF($A646="","",SUMIF('入金消込'!$F$5:$F$1004,$A646,'入金消込'!$H$5:$H$1004)+SUMIF('入金消込'!$F$5:$F$1004,$A646,'入金消込'!$I$5:$I$1004))</f>
        <v/>
      </c>
      <c r="R646" s="28">
        <f>IF($A646="","",$L646-$P646-$Q646)</f>
        <v/>
      </c>
      <c r="S646" s="30">
        <f>IF($A646="","",IF($R646=0,IF($L646=0,"請求額0","回収済"),IF($L646&lt;0,IF($R646&lt;0,"差し引き待ち","差し引きすぎ"),IF($R646&lt;0,"入金が多い",IF($P646+$Q646=0,"未入金","一部入金")))))</f>
        <v/>
      </c>
      <c r="T646" s="31">
        <f>IF(OR($A646="",N($R646)&lt;=0,NOT(ISNUMBER($O646))),"",IF($O646&lt;'設定'!$B$7,'設定'!$B$7-$O646,""))</f>
        <v/>
      </c>
      <c r="U646" s="30">
        <f>IF(OR($A646="",N($R646)&lt;=0),"",IF(NOT(ISNUMBER($O646)),'設定'!$B$22,IF($O646&gt;='設定'!$B$7,'設定'!$B$17,IF('設定'!$B$7-$O646&lt;='設定'!$B$12,'設定'!$B$18,IF('設定'!$B$7-$O646&lt;='設定'!$B$13,'設定'!$B$19,IF('設定'!$B$7-$O646&lt;='設定'!$B$14,'設定'!$B$20,'設定'!$B$21))))))</f>
        <v/>
      </c>
      <c r="V646" s="56" t="n"/>
      <c r="W646" s="32">
        <f>IF($C646="","",IFERROR(MATCH($C646,'得意先'!$B$5:$B$104,0),"なし"))</f>
        <v/>
      </c>
      <c r="X646" s="33">
        <f>IF($A646="","",IF(ISNUMBER($E646),$E646,IF(ISNUMBER($B646),$B646,"")))</f>
        <v/>
      </c>
      <c r="Y646" s="34">
        <f>IF($T646="","",$O646+ROW()/1000000)</f>
        <v/>
      </c>
      <c r="Z646" s="35">
        <f>IF(OR($A646="",$C646="",$C646&lt;&gt;'売掛帳'!$B$3,NOT(ISNUMBER($X646))),"",IF(AND($X646&gt;='売掛帳'!$Q$3,$X646&lt;='売掛帳'!$Q$4),$X646+ROW()/10000000,""))</f>
        <v/>
      </c>
    </row>
    <row r="647" ht="18" customHeight="1">
      <c r="A647" s="18" t="n"/>
      <c r="B647" s="26" t="n"/>
      <c r="C647" s="18" t="n"/>
      <c r="D647" s="20">
        <f>IF($W647="","",IF($W647="なし","※得意先にないコード",INDEX('得意先'!$C$5:$C$104,$W647)&amp;""))</f>
        <v/>
      </c>
      <c r="E647" s="26" t="n"/>
      <c r="F647" s="19" t="n"/>
      <c r="G647" s="27" t="n"/>
      <c r="H647" s="27" t="n"/>
      <c r="I647" s="27" t="n"/>
      <c r="J647" s="28">
        <f>IF($A647="","",IF('設定'!$B$10="四捨五入",ROUND(IF('設定'!$B$9="税込",N($G647)*10/110,N($G647)*10/100),0),IF('設定'!$B$10="切り上げ",ROUNDUP(IF('設定'!$B$9="税込",N($G647)*10/110,N($G647)*10/100),0),ROUNDDOWN(IF('設定'!$B$9="税込",N($G647)*10/110,N($G647)*10/100),0))))</f>
        <v/>
      </c>
      <c r="K647" s="28">
        <f>IF($A647="","",IF('設定'!$B$10="四捨五入",ROUND(IF('設定'!$B$9="税込",N($H647)*8/108,N($H647)*8/100),0),IF('設定'!$B$10="切り上げ",ROUNDUP(IF('設定'!$B$9="税込",N($H647)*8/108,N($H647)*8/100),0),ROUNDDOWN(IF('設定'!$B$9="税込",N($H647)*8/108,N($H647)*8/100),0))))</f>
        <v/>
      </c>
      <c r="L647" s="28">
        <f>IF($A647="","",N($G647)+N($H647)+N($I647)+IF('設定'!$B$9="税込",0,$J647+$K647))</f>
        <v/>
      </c>
      <c r="M647" s="29">
        <f>IF(OR($A647="",NOT(ISNUMBER($W647)),NOT(ISNUMBER($X647))),"",IF(OR(INDEX('得意先'!$D$5:$D$104,$W647)="",INDEX('得意先'!$E$5:$E$104,$W647)="",INDEX('得意先'!$F$5:$F$104,$W647)=""),"",IF(INDEX('得意先'!$F$5:$F$104,$W647)="末",DATE(YEAR($X647),(MONTH($X647)+IF(INDEX('得意先'!$D$5:$D$104,$W647)="末",0,IF(DAY($X647)&lt;=INDEX('得意先'!$D$5:$D$104,$W647),0,1))+N(INDEX('得意先'!$E$5:$E$104,$W647)))+1,0),DATE(YEAR($X647),(MONTH($X647)+IF(INDEX('得意先'!$D$5:$D$104,$W647)="末",0,IF(DAY($X647)&lt;=INDEX('得意先'!$D$5:$D$104,$W647),0,1))+N(INDEX('得意先'!$E$5:$E$104,$W647))),MIN(INDEX('得意先'!$F$5:$F$104,$W647),DAY(DATE(YEAR($X647),(MONTH($X647)+IF(INDEX('得意先'!$D$5:$D$104,$W647)="末",0,IF(DAY($X647)&lt;=INDEX('得意先'!$D$5:$D$104,$W647),0,1))+N(INDEX('得意先'!$E$5:$E$104,$W647)))+1,0)))))))</f>
        <v/>
      </c>
      <c r="N647" s="26" t="n"/>
      <c r="O647" s="29">
        <f>IF($A647="","",IF(ISNUMBER($N647),$N647,$M647))</f>
        <v/>
      </c>
      <c r="P647" s="28">
        <f>IF($A647="","",SUMIF('入金消込'!$F$5:$F$1004,$A647,'入金消込'!$G$5:$G$1004))</f>
        <v/>
      </c>
      <c r="Q647" s="28">
        <f>IF($A647="","",SUMIF('入金消込'!$F$5:$F$1004,$A647,'入金消込'!$H$5:$H$1004)+SUMIF('入金消込'!$F$5:$F$1004,$A647,'入金消込'!$I$5:$I$1004))</f>
        <v/>
      </c>
      <c r="R647" s="28">
        <f>IF($A647="","",$L647-$P647-$Q647)</f>
        <v/>
      </c>
      <c r="S647" s="30">
        <f>IF($A647="","",IF($R647=0,IF($L647=0,"請求額0","回収済"),IF($L647&lt;0,IF($R647&lt;0,"差し引き待ち","差し引きすぎ"),IF($R647&lt;0,"入金が多い",IF($P647+$Q647=0,"未入金","一部入金")))))</f>
        <v/>
      </c>
      <c r="T647" s="31">
        <f>IF(OR($A647="",N($R647)&lt;=0,NOT(ISNUMBER($O647))),"",IF($O647&lt;'設定'!$B$7,'設定'!$B$7-$O647,""))</f>
        <v/>
      </c>
      <c r="U647" s="30">
        <f>IF(OR($A647="",N($R647)&lt;=0),"",IF(NOT(ISNUMBER($O647)),'設定'!$B$22,IF($O647&gt;='設定'!$B$7,'設定'!$B$17,IF('設定'!$B$7-$O647&lt;='設定'!$B$12,'設定'!$B$18,IF('設定'!$B$7-$O647&lt;='設定'!$B$13,'設定'!$B$19,IF('設定'!$B$7-$O647&lt;='設定'!$B$14,'設定'!$B$20,'設定'!$B$21))))))</f>
        <v/>
      </c>
      <c r="V647" s="56" t="n"/>
      <c r="W647" s="32">
        <f>IF($C647="","",IFERROR(MATCH($C647,'得意先'!$B$5:$B$104,0),"なし"))</f>
        <v/>
      </c>
      <c r="X647" s="33">
        <f>IF($A647="","",IF(ISNUMBER($E647),$E647,IF(ISNUMBER($B647),$B647,"")))</f>
        <v/>
      </c>
      <c r="Y647" s="34">
        <f>IF($T647="","",$O647+ROW()/1000000)</f>
        <v/>
      </c>
      <c r="Z647" s="35">
        <f>IF(OR($A647="",$C647="",$C647&lt;&gt;'売掛帳'!$B$3,NOT(ISNUMBER($X647))),"",IF(AND($X647&gt;='売掛帳'!$Q$3,$X647&lt;='売掛帳'!$Q$4),$X647+ROW()/10000000,""))</f>
        <v/>
      </c>
    </row>
    <row r="648" ht="18" customHeight="1">
      <c r="A648" s="18" t="n"/>
      <c r="B648" s="26" t="n"/>
      <c r="C648" s="18" t="n"/>
      <c r="D648" s="20">
        <f>IF($W648="","",IF($W648="なし","※得意先にないコード",INDEX('得意先'!$C$5:$C$104,$W648)&amp;""))</f>
        <v/>
      </c>
      <c r="E648" s="26" t="n"/>
      <c r="F648" s="19" t="n"/>
      <c r="G648" s="27" t="n"/>
      <c r="H648" s="27" t="n"/>
      <c r="I648" s="27" t="n"/>
      <c r="J648" s="28">
        <f>IF($A648="","",IF('設定'!$B$10="四捨五入",ROUND(IF('設定'!$B$9="税込",N($G648)*10/110,N($G648)*10/100),0),IF('設定'!$B$10="切り上げ",ROUNDUP(IF('設定'!$B$9="税込",N($G648)*10/110,N($G648)*10/100),0),ROUNDDOWN(IF('設定'!$B$9="税込",N($G648)*10/110,N($G648)*10/100),0))))</f>
        <v/>
      </c>
      <c r="K648" s="28">
        <f>IF($A648="","",IF('設定'!$B$10="四捨五入",ROUND(IF('設定'!$B$9="税込",N($H648)*8/108,N($H648)*8/100),0),IF('設定'!$B$10="切り上げ",ROUNDUP(IF('設定'!$B$9="税込",N($H648)*8/108,N($H648)*8/100),0),ROUNDDOWN(IF('設定'!$B$9="税込",N($H648)*8/108,N($H648)*8/100),0))))</f>
        <v/>
      </c>
      <c r="L648" s="28">
        <f>IF($A648="","",N($G648)+N($H648)+N($I648)+IF('設定'!$B$9="税込",0,$J648+$K648))</f>
        <v/>
      </c>
      <c r="M648" s="29">
        <f>IF(OR($A648="",NOT(ISNUMBER($W648)),NOT(ISNUMBER($X648))),"",IF(OR(INDEX('得意先'!$D$5:$D$104,$W648)="",INDEX('得意先'!$E$5:$E$104,$W648)="",INDEX('得意先'!$F$5:$F$104,$W648)=""),"",IF(INDEX('得意先'!$F$5:$F$104,$W648)="末",DATE(YEAR($X648),(MONTH($X648)+IF(INDEX('得意先'!$D$5:$D$104,$W648)="末",0,IF(DAY($X648)&lt;=INDEX('得意先'!$D$5:$D$104,$W648),0,1))+N(INDEX('得意先'!$E$5:$E$104,$W648)))+1,0),DATE(YEAR($X648),(MONTH($X648)+IF(INDEX('得意先'!$D$5:$D$104,$W648)="末",0,IF(DAY($X648)&lt;=INDEX('得意先'!$D$5:$D$104,$W648),0,1))+N(INDEX('得意先'!$E$5:$E$104,$W648))),MIN(INDEX('得意先'!$F$5:$F$104,$W648),DAY(DATE(YEAR($X648),(MONTH($X648)+IF(INDEX('得意先'!$D$5:$D$104,$W648)="末",0,IF(DAY($X648)&lt;=INDEX('得意先'!$D$5:$D$104,$W648),0,1))+N(INDEX('得意先'!$E$5:$E$104,$W648)))+1,0)))))))</f>
        <v/>
      </c>
      <c r="N648" s="26" t="n"/>
      <c r="O648" s="29">
        <f>IF($A648="","",IF(ISNUMBER($N648),$N648,$M648))</f>
        <v/>
      </c>
      <c r="P648" s="28">
        <f>IF($A648="","",SUMIF('入金消込'!$F$5:$F$1004,$A648,'入金消込'!$G$5:$G$1004))</f>
        <v/>
      </c>
      <c r="Q648" s="28">
        <f>IF($A648="","",SUMIF('入金消込'!$F$5:$F$1004,$A648,'入金消込'!$H$5:$H$1004)+SUMIF('入金消込'!$F$5:$F$1004,$A648,'入金消込'!$I$5:$I$1004))</f>
        <v/>
      </c>
      <c r="R648" s="28">
        <f>IF($A648="","",$L648-$P648-$Q648)</f>
        <v/>
      </c>
      <c r="S648" s="30">
        <f>IF($A648="","",IF($R648=0,IF($L648=0,"請求額0","回収済"),IF($L648&lt;0,IF($R648&lt;0,"差し引き待ち","差し引きすぎ"),IF($R648&lt;0,"入金が多い",IF($P648+$Q648=0,"未入金","一部入金")))))</f>
        <v/>
      </c>
      <c r="T648" s="31">
        <f>IF(OR($A648="",N($R648)&lt;=0,NOT(ISNUMBER($O648))),"",IF($O648&lt;'設定'!$B$7,'設定'!$B$7-$O648,""))</f>
        <v/>
      </c>
      <c r="U648" s="30">
        <f>IF(OR($A648="",N($R648)&lt;=0),"",IF(NOT(ISNUMBER($O648)),'設定'!$B$22,IF($O648&gt;='設定'!$B$7,'設定'!$B$17,IF('設定'!$B$7-$O648&lt;='設定'!$B$12,'設定'!$B$18,IF('設定'!$B$7-$O648&lt;='設定'!$B$13,'設定'!$B$19,IF('設定'!$B$7-$O648&lt;='設定'!$B$14,'設定'!$B$20,'設定'!$B$21))))))</f>
        <v/>
      </c>
      <c r="V648" s="56" t="n"/>
      <c r="W648" s="32">
        <f>IF($C648="","",IFERROR(MATCH($C648,'得意先'!$B$5:$B$104,0),"なし"))</f>
        <v/>
      </c>
      <c r="X648" s="33">
        <f>IF($A648="","",IF(ISNUMBER($E648),$E648,IF(ISNUMBER($B648),$B648,"")))</f>
        <v/>
      </c>
      <c r="Y648" s="34">
        <f>IF($T648="","",$O648+ROW()/1000000)</f>
        <v/>
      </c>
      <c r="Z648" s="35">
        <f>IF(OR($A648="",$C648="",$C648&lt;&gt;'売掛帳'!$B$3,NOT(ISNUMBER($X648))),"",IF(AND($X648&gt;='売掛帳'!$Q$3,$X648&lt;='売掛帳'!$Q$4),$X648+ROW()/10000000,""))</f>
        <v/>
      </c>
    </row>
    <row r="649" ht="18" customHeight="1">
      <c r="A649" s="18" t="n"/>
      <c r="B649" s="26" t="n"/>
      <c r="C649" s="18" t="n"/>
      <c r="D649" s="20">
        <f>IF($W649="","",IF($W649="なし","※得意先にないコード",INDEX('得意先'!$C$5:$C$104,$W649)&amp;""))</f>
        <v/>
      </c>
      <c r="E649" s="26" t="n"/>
      <c r="F649" s="19" t="n"/>
      <c r="G649" s="27" t="n"/>
      <c r="H649" s="27" t="n"/>
      <c r="I649" s="27" t="n"/>
      <c r="J649" s="28">
        <f>IF($A649="","",IF('設定'!$B$10="四捨五入",ROUND(IF('設定'!$B$9="税込",N($G649)*10/110,N($G649)*10/100),0),IF('設定'!$B$10="切り上げ",ROUNDUP(IF('設定'!$B$9="税込",N($G649)*10/110,N($G649)*10/100),0),ROUNDDOWN(IF('設定'!$B$9="税込",N($G649)*10/110,N($G649)*10/100),0))))</f>
        <v/>
      </c>
      <c r="K649" s="28">
        <f>IF($A649="","",IF('設定'!$B$10="四捨五入",ROUND(IF('設定'!$B$9="税込",N($H649)*8/108,N($H649)*8/100),0),IF('設定'!$B$10="切り上げ",ROUNDUP(IF('設定'!$B$9="税込",N($H649)*8/108,N($H649)*8/100),0),ROUNDDOWN(IF('設定'!$B$9="税込",N($H649)*8/108,N($H649)*8/100),0))))</f>
        <v/>
      </c>
      <c r="L649" s="28">
        <f>IF($A649="","",N($G649)+N($H649)+N($I649)+IF('設定'!$B$9="税込",0,$J649+$K649))</f>
        <v/>
      </c>
      <c r="M649" s="29">
        <f>IF(OR($A649="",NOT(ISNUMBER($W649)),NOT(ISNUMBER($X649))),"",IF(OR(INDEX('得意先'!$D$5:$D$104,$W649)="",INDEX('得意先'!$E$5:$E$104,$W649)="",INDEX('得意先'!$F$5:$F$104,$W649)=""),"",IF(INDEX('得意先'!$F$5:$F$104,$W649)="末",DATE(YEAR($X649),(MONTH($X649)+IF(INDEX('得意先'!$D$5:$D$104,$W649)="末",0,IF(DAY($X649)&lt;=INDEX('得意先'!$D$5:$D$104,$W649),0,1))+N(INDEX('得意先'!$E$5:$E$104,$W649)))+1,0),DATE(YEAR($X649),(MONTH($X649)+IF(INDEX('得意先'!$D$5:$D$104,$W649)="末",0,IF(DAY($X649)&lt;=INDEX('得意先'!$D$5:$D$104,$W649),0,1))+N(INDEX('得意先'!$E$5:$E$104,$W649))),MIN(INDEX('得意先'!$F$5:$F$104,$W649),DAY(DATE(YEAR($X649),(MONTH($X649)+IF(INDEX('得意先'!$D$5:$D$104,$W649)="末",0,IF(DAY($X649)&lt;=INDEX('得意先'!$D$5:$D$104,$W649),0,1))+N(INDEX('得意先'!$E$5:$E$104,$W649)))+1,0)))))))</f>
        <v/>
      </c>
      <c r="N649" s="26" t="n"/>
      <c r="O649" s="29">
        <f>IF($A649="","",IF(ISNUMBER($N649),$N649,$M649))</f>
        <v/>
      </c>
      <c r="P649" s="28">
        <f>IF($A649="","",SUMIF('入金消込'!$F$5:$F$1004,$A649,'入金消込'!$G$5:$G$1004))</f>
        <v/>
      </c>
      <c r="Q649" s="28">
        <f>IF($A649="","",SUMIF('入金消込'!$F$5:$F$1004,$A649,'入金消込'!$H$5:$H$1004)+SUMIF('入金消込'!$F$5:$F$1004,$A649,'入金消込'!$I$5:$I$1004))</f>
        <v/>
      </c>
      <c r="R649" s="28">
        <f>IF($A649="","",$L649-$P649-$Q649)</f>
        <v/>
      </c>
      <c r="S649" s="30">
        <f>IF($A649="","",IF($R649=0,IF($L649=0,"請求額0","回収済"),IF($L649&lt;0,IF($R649&lt;0,"差し引き待ち","差し引きすぎ"),IF($R649&lt;0,"入金が多い",IF($P649+$Q649=0,"未入金","一部入金")))))</f>
        <v/>
      </c>
      <c r="T649" s="31">
        <f>IF(OR($A649="",N($R649)&lt;=0,NOT(ISNUMBER($O649))),"",IF($O649&lt;'設定'!$B$7,'設定'!$B$7-$O649,""))</f>
        <v/>
      </c>
      <c r="U649" s="30">
        <f>IF(OR($A649="",N($R649)&lt;=0),"",IF(NOT(ISNUMBER($O649)),'設定'!$B$22,IF($O649&gt;='設定'!$B$7,'設定'!$B$17,IF('設定'!$B$7-$O649&lt;='設定'!$B$12,'設定'!$B$18,IF('設定'!$B$7-$O649&lt;='設定'!$B$13,'設定'!$B$19,IF('設定'!$B$7-$O649&lt;='設定'!$B$14,'設定'!$B$20,'設定'!$B$21))))))</f>
        <v/>
      </c>
      <c r="V649" s="56" t="n"/>
      <c r="W649" s="32">
        <f>IF($C649="","",IFERROR(MATCH($C649,'得意先'!$B$5:$B$104,0),"なし"))</f>
        <v/>
      </c>
      <c r="X649" s="33">
        <f>IF($A649="","",IF(ISNUMBER($E649),$E649,IF(ISNUMBER($B649),$B649,"")))</f>
        <v/>
      </c>
      <c r="Y649" s="34">
        <f>IF($T649="","",$O649+ROW()/1000000)</f>
        <v/>
      </c>
      <c r="Z649" s="35">
        <f>IF(OR($A649="",$C649="",$C649&lt;&gt;'売掛帳'!$B$3,NOT(ISNUMBER($X649))),"",IF(AND($X649&gt;='売掛帳'!$Q$3,$X649&lt;='売掛帳'!$Q$4),$X649+ROW()/10000000,""))</f>
        <v/>
      </c>
    </row>
    <row r="650" ht="18" customHeight="1">
      <c r="A650" s="18" t="n"/>
      <c r="B650" s="26" t="n"/>
      <c r="C650" s="18" t="n"/>
      <c r="D650" s="20">
        <f>IF($W650="","",IF($W650="なし","※得意先にないコード",INDEX('得意先'!$C$5:$C$104,$W650)&amp;""))</f>
        <v/>
      </c>
      <c r="E650" s="26" t="n"/>
      <c r="F650" s="19" t="n"/>
      <c r="G650" s="27" t="n"/>
      <c r="H650" s="27" t="n"/>
      <c r="I650" s="27" t="n"/>
      <c r="J650" s="28">
        <f>IF($A650="","",IF('設定'!$B$10="四捨五入",ROUND(IF('設定'!$B$9="税込",N($G650)*10/110,N($G650)*10/100),0),IF('設定'!$B$10="切り上げ",ROUNDUP(IF('設定'!$B$9="税込",N($G650)*10/110,N($G650)*10/100),0),ROUNDDOWN(IF('設定'!$B$9="税込",N($G650)*10/110,N($G650)*10/100),0))))</f>
        <v/>
      </c>
      <c r="K650" s="28">
        <f>IF($A650="","",IF('設定'!$B$10="四捨五入",ROUND(IF('設定'!$B$9="税込",N($H650)*8/108,N($H650)*8/100),0),IF('設定'!$B$10="切り上げ",ROUNDUP(IF('設定'!$B$9="税込",N($H650)*8/108,N($H650)*8/100),0),ROUNDDOWN(IF('設定'!$B$9="税込",N($H650)*8/108,N($H650)*8/100),0))))</f>
        <v/>
      </c>
      <c r="L650" s="28">
        <f>IF($A650="","",N($G650)+N($H650)+N($I650)+IF('設定'!$B$9="税込",0,$J650+$K650))</f>
        <v/>
      </c>
      <c r="M650" s="29">
        <f>IF(OR($A650="",NOT(ISNUMBER($W650)),NOT(ISNUMBER($X650))),"",IF(OR(INDEX('得意先'!$D$5:$D$104,$W650)="",INDEX('得意先'!$E$5:$E$104,$W650)="",INDEX('得意先'!$F$5:$F$104,$W650)=""),"",IF(INDEX('得意先'!$F$5:$F$104,$W650)="末",DATE(YEAR($X650),(MONTH($X650)+IF(INDEX('得意先'!$D$5:$D$104,$W650)="末",0,IF(DAY($X650)&lt;=INDEX('得意先'!$D$5:$D$104,$W650),0,1))+N(INDEX('得意先'!$E$5:$E$104,$W650)))+1,0),DATE(YEAR($X650),(MONTH($X650)+IF(INDEX('得意先'!$D$5:$D$104,$W650)="末",0,IF(DAY($X650)&lt;=INDEX('得意先'!$D$5:$D$104,$W650),0,1))+N(INDEX('得意先'!$E$5:$E$104,$W650))),MIN(INDEX('得意先'!$F$5:$F$104,$W650),DAY(DATE(YEAR($X650),(MONTH($X650)+IF(INDEX('得意先'!$D$5:$D$104,$W650)="末",0,IF(DAY($X650)&lt;=INDEX('得意先'!$D$5:$D$104,$W650),0,1))+N(INDEX('得意先'!$E$5:$E$104,$W650)))+1,0)))))))</f>
        <v/>
      </c>
      <c r="N650" s="26" t="n"/>
      <c r="O650" s="29">
        <f>IF($A650="","",IF(ISNUMBER($N650),$N650,$M650))</f>
        <v/>
      </c>
      <c r="P650" s="28">
        <f>IF($A650="","",SUMIF('入金消込'!$F$5:$F$1004,$A650,'入金消込'!$G$5:$G$1004))</f>
        <v/>
      </c>
      <c r="Q650" s="28">
        <f>IF($A650="","",SUMIF('入金消込'!$F$5:$F$1004,$A650,'入金消込'!$H$5:$H$1004)+SUMIF('入金消込'!$F$5:$F$1004,$A650,'入金消込'!$I$5:$I$1004))</f>
        <v/>
      </c>
      <c r="R650" s="28">
        <f>IF($A650="","",$L650-$P650-$Q650)</f>
        <v/>
      </c>
      <c r="S650" s="30">
        <f>IF($A650="","",IF($R650=0,IF($L650=0,"請求額0","回収済"),IF($L650&lt;0,IF($R650&lt;0,"差し引き待ち","差し引きすぎ"),IF($R650&lt;0,"入金が多い",IF($P650+$Q650=0,"未入金","一部入金")))))</f>
        <v/>
      </c>
      <c r="T650" s="31">
        <f>IF(OR($A650="",N($R650)&lt;=0,NOT(ISNUMBER($O650))),"",IF($O650&lt;'設定'!$B$7,'設定'!$B$7-$O650,""))</f>
        <v/>
      </c>
      <c r="U650" s="30">
        <f>IF(OR($A650="",N($R650)&lt;=0),"",IF(NOT(ISNUMBER($O650)),'設定'!$B$22,IF($O650&gt;='設定'!$B$7,'設定'!$B$17,IF('設定'!$B$7-$O650&lt;='設定'!$B$12,'設定'!$B$18,IF('設定'!$B$7-$O650&lt;='設定'!$B$13,'設定'!$B$19,IF('設定'!$B$7-$O650&lt;='設定'!$B$14,'設定'!$B$20,'設定'!$B$21))))))</f>
        <v/>
      </c>
      <c r="V650" s="56" t="n"/>
      <c r="W650" s="32">
        <f>IF($C650="","",IFERROR(MATCH($C650,'得意先'!$B$5:$B$104,0),"なし"))</f>
        <v/>
      </c>
      <c r="X650" s="33">
        <f>IF($A650="","",IF(ISNUMBER($E650),$E650,IF(ISNUMBER($B650),$B650,"")))</f>
        <v/>
      </c>
      <c r="Y650" s="34">
        <f>IF($T650="","",$O650+ROW()/1000000)</f>
        <v/>
      </c>
      <c r="Z650" s="35">
        <f>IF(OR($A650="",$C650="",$C650&lt;&gt;'売掛帳'!$B$3,NOT(ISNUMBER($X650))),"",IF(AND($X650&gt;='売掛帳'!$Q$3,$X650&lt;='売掛帳'!$Q$4),$X650+ROW()/10000000,""))</f>
        <v/>
      </c>
    </row>
    <row r="651" ht="18" customHeight="1">
      <c r="A651" s="18" t="n"/>
      <c r="B651" s="26" t="n"/>
      <c r="C651" s="18" t="n"/>
      <c r="D651" s="20">
        <f>IF($W651="","",IF($W651="なし","※得意先にないコード",INDEX('得意先'!$C$5:$C$104,$W651)&amp;""))</f>
        <v/>
      </c>
      <c r="E651" s="26" t="n"/>
      <c r="F651" s="19" t="n"/>
      <c r="G651" s="27" t="n"/>
      <c r="H651" s="27" t="n"/>
      <c r="I651" s="27" t="n"/>
      <c r="J651" s="28">
        <f>IF($A651="","",IF('設定'!$B$10="四捨五入",ROUND(IF('設定'!$B$9="税込",N($G651)*10/110,N($G651)*10/100),0),IF('設定'!$B$10="切り上げ",ROUNDUP(IF('設定'!$B$9="税込",N($G651)*10/110,N($G651)*10/100),0),ROUNDDOWN(IF('設定'!$B$9="税込",N($G651)*10/110,N($G651)*10/100),0))))</f>
        <v/>
      </c>
      <c r="K651" s="28">
        <f>IF($A651="","",IF('設定'!$B$10="四捨五入",ROUND(IF('設定'!$B$9="税込",N($H651)*8/108,N($H651)*8/100),0),IF('設定'!$B$10="切り上げ",ROUNDUP(IF('設定'!$B$9="税込",N($H651)*8/108,N($H651)*8/100),0),ROUNDDOWN(IF('設定'!$B$9="税込",N($H651)*8/108,N($H651)*8/100),0))))</f>
        <v/>
      </c>
      <c r="L651" s="28">
        <f>IF($A651="","",N($G651)+N($H651)+N($I651)+IF('設定'!$B$9="税込",0,$J651+$K651))</f>
        <v/>
      </c>
      <c r="M651" s="29">
        <f>IF(OR($A651="",NOT(ISNUMBER($W651)),NOT(ISNUMBER($X651))),"",IF(OR(INDEX('得意先'!$D$5:$D$104,$W651)="",INDEX('得意先'!$E$5:$E$104,$W651)="",INDEX('得意先'!$F$5:$F$104,$W651)=""),"",IF(INDEX('得意先'!$F$5:$F$104,$W651)="末",DATE(YEAR($X651),(MONTH($X651)+IF(INDEX('得意先'!$D$5:$D$104,$W651)="末",0,IF(DAY($X651)&lt;=INDEX('得意先'!$D$5:$D$104,$W651),0,1))+N(INDEX('得意先'!$E$5:$E$104,$W651)))+1,0),DATE(YEAR($X651),(MONTH($X651)+IF(INDEX('得意先'!$D$5:$D$104,$W651)="末",0,IF(DAY($X651)&lt;=INDEX('得意先'!$D$5:$D$104,$W651),0,1))+N(INDEX('得意先'!$E$5:$E$104,$W651))),MIN(INDEX('得意先'!$F$5:$F$104,$W651),DAY(DATE(YEAR($X651),(MONTH($X651)+IF(INDEX('得意先'!$D$5:$D$104,$W651)="末",0,IF(DAY($X651)&lt;=INDEX('得意先'!$D$5:$D$104,$W651),0,1))+N(INDEX('得意先'!$E$5:$E$104,$W651)))+1,0)))))))</f>
        <v/>
      </c>
      <c r="N651" s="26" t="n"/>
      <c r="O651" s="29">
        <f>IF($A651="","",IF(ISNUMBER($N651),$N651,$M651))</f>
        <v/>
      </c>
      <c r="P651" s="28">
        <f>IF($A651="","",SUMIF('入金消込'!$F$5:$F$1004,$A651,'入金消込'!$G$5:$G$1004))</f>
        <v/>
      </c>
      <c r="Q651" s="28">
        <f>IF($A651="","",SUMIF('入金消込'!$F$5:$F$1004,$A651,'入金消込'!$H$5:$H$1004)+SUMIF('入金消込'!$F$5:$F$1004,$A651,'入金消込'!$I$5:$I$1004))</f>
        <v/>
      </c>
      <c r="R651" s="28">
        <f>IF($A651="","",$L651-$P651-$Q651)</f>
        <v/>
      </c>
      <c r="S651" s="30">
        <f>IF($A651="","",IF($R651=0,IF($L651=0,"請求額0","回収済"),IF($L651&lt;0,IF($R651&lt;0,"差し引き待ち","差し引きすぎ"),IF($R651&lt;0,"入金が多い",IF($P651+$Q651=0,"未入金","一部入金")))))</f>
        <v/>
      </c>
      <c r="T651" s="31">
        <f>IF(OR($A651="",N($R651)&lt;=0,NOT(ISNUMBER($O651))),"",IF($O651&lt;'設定'!$B$7,'設定'!$B$7-$O651,""))</f>
        <v/>
      </c>
      <c r="U651" s="30">
        <f>IF(OR($A651="",N($R651)&lt;=0),"",IF(NOT(ISNUMBER($O651)),'設定'!$B$22,IF($O651&gt;='設定'!$B$7,'設定'!$B$17,IF('設定'!$B$7-$O651&lt;='設定'!$B$12,'設定'!$B$18,IF('設定'!$B$7-$O651&lt;='設定'!$B$13,'設定'!$B$19,IF('設定'!$B$7-$O651&lt;='設定'!$B$14,'設定'!$B$20,'設定'!$B$21))))))</f>
        <v/>
      </c>
      <c r="V651" s="56" t="n"/>
      <c r="W651" s="32">
        <f>IF($C651="","",IFERROR(MATCH($C651,'得意先'!$B$5:$B$104,0),"なし"))</f>
        <v/>
      </c>
      <c r="X651" s="33">
        <f>IF($A651="","",IF(ISNUMBER($E651),$E651,IF(ISNUMBER($B651),$B651,"")))</f>
        <v/>
      </c>
      <c r="Y651" s="34">
        <f>IF($T651="","",$O651+ROW()/1000000)</f>
        <v/>
      </c>
      <c r="Z651" s="35">
        <f>IF(OR($A651="",$C651="",$C651&lt;&gt;'売掛帳'!$B$3,NOT(ISNUMBER($X651))),"",IF(AND($X651&gt;='売掛帳'!$Q$3,$X651&lt;='売掛帳'!$Q$4),$X651+ROW()/10000000,""))</f>
        <v/>
      </c>
    </row>
    <row r="652" ht="18" customHeight="1">
      <c r="A652" s="18" t="n"/>
      <c r="B652" s="26" t="n"/>
      <c r="C652" s="18" t="n"/>
      <c r="D652" s="20">
        <f>IF($W652="","",IF($W652="なし","※得意先にないコード",INDEX('得意先'!$C$5:$C$104,$W652)&amp;""))</f>
        <v/>
      </c>
      <c r="E652" s="26" t="n"/>
      <c r="F652" s="19" t="n"/>
      <c r="G652" s="27" t="n"/>
      <c r="H652" s="27" t="n"/>
      <c r="I652" s="27" t="n"/>
      <c r="J652" s="28">
        <f>IF($A652="","",IF('設定'!$B$10="四捨五入",ROUND(IF('設定'!$B$9="税込",N($G652)*10/110,N($G652)*10/100),0),IF('設定'!$B$10="切り上げ",ROUNDUP(IF('設定'!$B$9="税込",N($G652)*10/110,N($G652)*10/100),0),ROUNDDOWN(IF('設定'!$B$9="税込",N($G652)*10/110,N($G652)*10/100),0))))</f>
        <v/>
      </c>
      <c r="K652" s="28">
        <f>IF($A652="","",IF('設定'!$B$10="四捨五入",ROUND(IF('設定'!$B$9="税込",N($H652)*8/108,N($H652)*8/100),0),IF('設定'!$B$10="切り上げ",ROUNDUP(IF('設定'!$B$9="税込",N($H652)*8/108,N($H652)*8/100),0),ROUNDDOWN(IF('設定'!$B$9="税込",N($H652)*8/108,N($H652)*8/100),0))))</f>
        <v/>
      </c>
      <c r="L652" s="28">
        <f>IF($A652="","",N($G652)+N($H652)+N($I652)+IF('設定'!$B$9="税込",0,$J652+$K652))</f>
        <v/>
      </c>
      <c r="M652" s="29">
        <f>IF(OR($A652="",NOT(ISNUMBER($W652)),NOT(ISNUMBER($X652))),"",IF(OR(INDEX('得意先'!$D$5:$D$104,$W652)="",INDEX('得意先'!$E$5:$E$104,$W652)="",INDEX('得意先'!$F$5:$F$104,$W652)=""),"",IF(INDEX('得意先'!$F$5:$F$104,$W652)="末",DATE(YEAR($X652),(MONTH($X652)+IF(INDEX('得意先'!$D$5:$D$104,$W652)="末",0,IF(DAY($X652)&lt;=INDEX('得意先'!$D$5:$D$104,$W652),0,1))+N(INDEX('得意先'!$E$5:$E$104,$W652)))+1,0),DATE(YEAR($X652),(MONTH($X652)+IF(INDEX('得意先'!$D$5:$D$104,$W652)="末",0,IF(DAY($X652)&lt;=INDEX('得意先'!$D$5:$D$104,$W652),0,1))+N(INDEX('得意先'!$E$5:$E$104,$W652))),MIN(INDEX('得意先'!$F$5:$F$104,$W652),DAY(DATE(YEAR($X652),(MONTH($X652)+IF(INDEX('得意先'!$D$5:$D$104,$W652)="末",0,IF(DAY($X652)&lt;=INDEX('得意先'!$D$5:$D$104,$W652),0,1))+N(INDEX('得意先'!$E$5:$E$104,$W652)))+1,0)))))))</f>
        <v/>
      </c>
      <c r="N652" s="26" t="n"/>
      <c r="O652" s="29">
        <f>IF($A652="","",IF(ISNUMBER($N652),$N652,$M652))</f>
        <v/>
      </c>
      <c r="P652" s="28">
        <f>IF($A652="","",SUMIF('入金消込'!$F$5:$F$1004,$A652,'入金消込'!$G$5:$G$1004))</f>
        <v/>
      </c>
      <c r="Q652" s="28">
        <f>IF($A652="","",SUMIF('入金消込'!$F$5:$F$1004,$A652,'入金消込'!$H$5:$H$1004)+SUMIF('入金消込'!$F$5:$F$1004,$A652,'入金消込'!$I$5:$I$1004))</f>
        <v/>
      </c>
      <c r="R652" s="28">
        <f>IF($A652="","",$L652-$P652-$Q652)</f>
        <v/>
      </c>
      <c r="S652" s="30">
        <f>IF($A652="","",IF($R652=0,IF($L652=0,"請求額0","回収済"),IF($L652&lt;0,IF($R652&lt;0,"差し引き待ち","差し引きすぎ"),IF($R652&lt;0,"入金が多い",IF($P652+$Q652=0,"未入金","一部入金")))))</f>
        <v/>
      </c>
      <c r="T652" s="31">
        <f>IF(OR($A652="",N($R652)&lt;=0,NOT(ISNUMBER($O652))),"",IF($O652&lt;'設定'!$B$7,'設定'!$B$7-$O652,""))</f>
        <v/>
      </c>
      <c r="U652" s="30">
        <f>IF(OR($A652="",N($R652)&lt;=0),"",IF(NOT(ISNUMBER($O652)),'設定'!$B$22,IF($O652&gt;='設定'!$B$7,'設定'!$B$17,IF('設定'!$B$7-$O652&lt;='設定'!$B$12,'設定'!$B$18,IF('設定'!$B$7-$O652&lt;='設定'!$B$13,'設定'!$B$19,IF('設定'!$B$7-$O652&lt;='設定'!$B$14,'設定'!$B$20,'設定'!$B$21))))))</f>
        <v/>
      </c>
      <c r="V652" s="56" t="n"/>
      <c r="W652" s="32">
        <f>IF($C652="","",IFERROR(MATCH($C652,'得意先'!$B$5:$B$104,0),"なし"))</f>
        <v/>
      </c>
      <c r="X652" s="33">
        <f>IF($A652="","",IF(ISNUMBER($E652),$E652,IF(ISNUMBER($B652),$B652,"")))</f>
        <v/>
      </c>
      <c r="Y652" s="34">
        <f>IF($T652="","",$O652+ROW()/1000000)</f>
        <v/>
      </c>
      <c r="Z652" s="35">
        <f>IF(OR($A652="",$C652="",$C652&lt;&gt;'売掛帳'!$B$3,NOT(ISNUMBER($X652))),"",IF(AND($X652&gt;='売掛帳'!$Q$3,$X652&lt;='売掛帳'!$Q$4),$X652+ROW()/10000000,""))</f>
        <v/>
      </c>
    </row>
    <row r="653" ht="18" customHeight="1">
      <c r="A653" s="18" t="n"/>
      <c r="B653" s="26" t="n"/>
      <c r="C653" s="18" t="n"/>
      <c r="D653" s="20">
        <f>IF($W653="","",IF($W653="なし","※得意先にないコード",INDEX('得意先'!$C$5:$C$104,$W653)&amp;""))</f>
        <v/>
      </c>
      <c r="E653" s="26" t="n"/>
      <c r="F653" s="19" t="n"/>
      <c r="G653" s="27" t="n"/>
      <c r="H653" s="27" t="n"/>
      <c r="I653" s="27" t="n"/>
      <c r="J653" s="28">
        <f>IF($A653="","",IF('設定'!$B$10="四捨五入",ROUND(IF('設定'!$B$9="税込",N($G653)*10/110,N($G653)*10/100),0),IF('設定'!$B$10="切り上げ",ROUNDUP(IF('設定'!$B$9="税込",N($G653)*10/110,N($G653)*10/100),0),ROUNDDOWN(IF('設定'!$B$9="税込",N($G653)*10/110,N($G653)*10/100),0))))</f>
        <v/>
      </c>
      <c r="K653" s="28">
        <f>IF($A653="","",IF('設定'!$B$10="四捨五入",ROUND(IF('設定'!$B$9="税込",N($H653)*8/108,N($H653)*8/100),0),IF('設定'!$B$10="切り上げ",ROUNDUP(IF('設定'!$B$9="税込",N($H653)*8/108,N($H653)*8/100),0),ROUNDDOWN(IF('設定'!$B$9="税込",N($H653)*8/108,N($H653)*8/100),0))))</f>
        <v/>
      </c>
      <c r="L653" s="28">
        <f>IF($A653="","",N($G653)+N($H653)+N($I653)+IF('設定'!$B$9="税込",0,$J653+$K653))</f>
        <v/>
      </c>
      <c r="M653" s="29">
        <f>IF(OR($A653="",NOT(ISNUMBER($W653)),NOT(ISNUMBER($X653))),"",IF(OR(INDEX('得意先'!$D$5:$D$104,$W653)="",INDEX('得意先'!$E$5:$E$104,$W653)="",INDEX('得意先'!$F$5:$F$104,$W653)=""),"",IF(INDEX('得意先'!$F$5:$F$104,$W653)="末",DATE(YEAR($X653),(MONTH($X653)+IF(INDEX('得意先'!$D$5:$D$104,$W653)="末",0,IF(DAY($X653)&lt;=INDEX('得意先'!$D$5:$D$104,$W653),0,1))+N(INDEX('得意先'!$E$5:$E$104,$W653)))+1,0),DATE(YEAR($X653),(MONTH($X653)+IF(INDEX('得意先'!$D$5:$D$104,$W653)="末",0,IF(DAY($X653)&lt;=INDEX('得意先'!$D$5:$D$104,$W653),0,1))+N(INDEX('得意先'!$E$5:$E$104,$W653))),MIN(INDEX('得意先'!$F$5:$F$104,$W653),DAY(DATE(YEAR($X653),(MONTH($X653)+IF(INDEX('得意先'!$D$5:$D$104,$W653)="末",0,IF(DAY($X653)&lt;=INDEX('得意先'!$D$5:$D$104,$W653),0,1))+N(INDEX('得意先'!$E$5:$E$104,$W653)))+1,0)))))))</f>
        <v/>
      </c>
      <c r="N653" s="26" t="n"/>
      <c r="O653" s="29">
        <f>IF($A653="","",IF(ISNUMBER($N653),$N653,$M653))</f>
        <v/>
      </c>
      <c r="P653" s="28">
        <f>IF($A653="","",SUMIF('入金消込'!$F$5:$F$1004,$A653,'入金消込'!$G$5:$G$1004))</f>
        <v/>
      </c>
      <c r="Q653" s="28">
        <f>IF($A653="","",SUMIF('入金消込'!$F$5:$F$1004,$A653,'入金消込'!$H$5:$H$1004)+SUMIF('入金消込'!$F$5:$F$1004,$A653,'入金消込'!$I$5:$I$1004))</f>
        <v/>
      </c>
      <c r="R653" s="28">
        <f>IF($A653="","",$L653-$P653-$Q653)</f>
        <v/>
      </c>
      <c r="S653" s="30">
        <f>IF($A653="","",IF($R653=0,IF($L653=0,"請求額0","回収済"),IF($L653&lt;0,IF($R653&lt;0,"差し引き待ち","差し引きすぎ"),IF($R653&lt;0,"入金が多い",IF($P653+$Q653=0,"未入金","一部入金")))))</f>
        <v/>
      </c>
      <c r="T653" s="31">
        <f>IF(OR($A653="",N($R653)&lt;=0,NOT(ISNUMBER($O653))),"",IF($O653&lt;'設定'!$B$7,'設定'!$B$7-$O653,""))</f>
        <v/>
      </c>
      <c r="U653" s="30">
        <f>IF(OR($A653="",N($R653)&lt;=0),"",IF(NOT(ISNUMBER($O653)),'設定'!$B$22,IF($O653&gt;='設定'!$B$7,'設定'!$B$17,IF('設定'!$B$7-$O653&lt;='設定'!$B$12,'設定'!$B$18,IF('設定'!$B$7-$O653&lt;='設定'!$B$13,'設定'!$B$19,IF('設定'!$B$7-$O653&lt;='設定'!$B$14,'設定'!$B$20,'設定'!$B$21))))))</f>
        <v/>
      </c>
      <c r="V653" s="56" t="n"/>
      <c r="W653" s="32">
        <f>IF($C653="","",IFERROR(MATCH($C653,'得意先'!$B$5:$B$104,0),"なし"))</f>
        <v/>
      </c>
      <c r="X653" s="33">
        <f>IF($A653="","",IF(ISNUMBER($E653),$E653,IF(ISNUMBER($B653),$B653,"")))</f>
        <v/>
      </c>
      <c r="Y653" s="34">
        <f>IF($T653="","",$O653+ROW()/1000000)</f>
        <v/>
      </c>
      <c r="Z653" s="35">
        <f>IF(OR($A653="",$C653="",$C653&lt;&gt;'売掛帳'!$B$3,NOT(ISNUMBER($X653))),"",IF(AND($X653&gt;='売掛帳'!$Q$3,$X653&lt;='売掛帳'!$Q$4),$X653+ROW()/10000000,""))</f>
        <v/>
      </c>
    </row>
    <row r="654" ht="18" customHeight="1">
      <c r="A654" s="18" t="n"/>
      <c r="B654" s="26" t="n"/>
      <c r="C654" s="18" t="n"/>
      <c r="D654" s="20">
        <f>IF($W654="","",IF($W654="なし","※得意先にないコード",INDEX('得意先'!$C$5:$C$104,$W654)&amp;""))</f>
        <v/>
      </c>
      <c r="E654" s="26" t="n"/>
      <c r="F654" s="19" t="n"/>
      <c r="G654" s="27" t="n"/>
      <c r="H654" s="27" t="n"/>
      <c r="I654" s="27" t="n"/>
      <c r="J654" s="28">
        <f>IF($A654="","",IF('設定'!$B$10="四捨五入",ROUND(IF('設定'!$B$9="税込",N($G654)*10/110,N($G654)*10/100),0),IF('設定'!$B$10="切り上げ",ROUNDUP(IF('設定'!$B$9="税込",N($G654)*10/110,N($G654)*10/100),0),ROUNDDOWN(IF('設定'!$B$9="税込",N($G654)*10/110,N($G654)*10/100),0))))</f>
        <v/>
      </c>
      <c r="K654" s="28">
        <f>IF($A654="","",IF('設定'!$B$10="四捨五入",ROUND(IF('設定'!$B$9="税込",N($H654)*8/108,N($H654)*8/100),0),IF('設定'!$B$10="切り上げ",ROUNDUP(IF('設定'!$B$9="税込",N($H654)*8/108,N($H654)*8/100),0),ROUNDDOWN(IF('設定'!$B$9="税込",N($H654)*8/108,N($H654)*8/100),0))))</f>
        <v/>
      </c>
      <c r="L654" s="28">
        <f>IF($A654="","",N($G654)+N($H654)+N($I654)+IF('設定'!$B$9="税込",0,$J654+$K654))</f>
        <v/>
      </c>
      <c r="M654" s="29">
        <f>IF(OR($A654="",NOT(ISNUMBER($W654)),NOT(ISNUMBER($X654))),"",IF(OR(INDEX('得意先'!$D$5:$D$104,$W654)="",INDEX('得意先'!$E$5:$E$104,$W654)="",INDEX('得意先'!$F$5:$F$104,$W654)=""),"",IF(INDEX('得意先'!$F$5:$F$104,$W654)="末",DATE(YEAR($X654),(MONTH($X654)+IF(INDEX('得意先'!$D$5:$D$104,$W654)="末",0,IF(DAY($X654)&lt;=INDEX('得意先'!$D$5:$D$104,$W654),0,1))+N(INDEX('得意先'!$E$5:$E$104,$W654)))+1,0),DATE(YEAR($X654),(MONTH($X654)+IF(INDEX('得意先'!$D$5:$D$104,$W654)="末",0,IF(DAY($X654)&lt;=INDEX('得意先'!$D$5:$D$104,$W654),0,1))+N(INDEX('得意先'!$E$5:$E$104,$W654))),MIN(INDEX('得意先'!$F$5:$F$104,$W654),DAY(DATE(YEAR($X654),(MONTH($X654)+IF(INDEX('得意先'!$D$5:$D$104,$W654)="末",0,IF(DAY($X654)&lt;=INDEX('得意先'!$D$5:$D$104,$W654),0,1))+N(INDEX('得意先'!$E$5:$E$104,$W654)))+1,0)))))))</f>
        <v/>
      </c>
      <c r="N654" s="26" t="n"/>
      <c r="O654" s="29">
        <f>IF($A654="","",IF(ISNUMBER($N654),$N654,$M654))</f>
        <v/>
      </c>
      <c r="P654" s="28">
        <f>IF($A654="","",SUMIF('入金消込'!$F$5:$F$1004,$A654,'入金消込'!$G$5:$G$1004))</f>
        <v/>
      </c>
      <c r="Q654" s="28">
        <f>IF($A654="","",SUMIF('入金消込'!$F$5:$F$1004,$A654,'入金消込'!$H$5:$H$1004)+SUMIF('入金消込'!$F$5:$F$1004,$A654,'入金消込'!$I$5:$I$1004))</f>
        <v/>
      </c>
      <c r="R654" s="28">
        <f>IF($A654="","",$L654-$P654-$Q654)</f>
        <v/>
      </c>
      <c r="S654" s="30">
        <f>IF($A654="","",IF($R654=0,IF($L654=0,"請求額0","回収済"),IF($L654&lt;0,IF($R654&lt;0,"差し引き待ち","差し引きすぎ"),IF($R654&lt;0,"入金が多い",IF($P654+$Q654=0,"未入金","一部入金")))))</f>
        <v/>
      </c>
      <c r="T654" s="31">
        <f>IF(OR($A654="",N($R654)&lt;=0,NOT(ISNUMBER($O654))),"",IF($O654&lt;'設定'!$B$7,'設定'!$B$7-$O654,""))</f>
        <v/>
      </c>
      <c r="U654" s="30">
        <f>IF(OR($A654="",N($R654)&lt;=0),"",IF(NOT(ISNUMBER($O654)),'設定'!$B$22,IF($O654&gt;='設定'!$B$7,'設定'!$B$17,IF('設定'!$B$7-$O654&lt;='設定'!$B$12,'設定'!$B$18,IF('設定'!$B$7-$O654&lt;='設定'!$B$13,'設定'!$B$19,IF('設定'!$B$7-$O654&lt;='設定'!$B$14,'設定'!$B$20,'設定'!$B$21))))))</f>
        <v/>
      </c>
      <c r="V654" s="56" t="n"/>
      <c r="W654" s="32">
        <f>IF($C654="","",IFERROR(MATCH($C654,'得意先'!$B$5:$B$104,0),"なし"))</f>
        <v/>
      </c>
      <c r="X654" s="33">
        <f>IF($A654="","",IF(ISNUMBER($E654),$E654,IF(ISNUMBER($B654),$B654,"")))</f>
        <v/>
      </c>
      <c r="Y654" s="34">
        <f>IF($T654="","",$O654+ROW()/1000000)</f>
        <v/>
      </c>
      <c r="Z654" s="35">
        <f>IF(OR($A654="",$C654="",$C654&lt;&gt;'売掛帳'!$B$3,NOT(ISNUMBER($X654))),"",IF(AND($X654&gt;='売掛帳'!$Q$3,$X654&lt;='売掛帳'!$Q$4),$X654+ROW()/10000000,""))</f>
        <v/>
      </c>
    </row>
    <row r="655" ht="18" customHeight="1">
      <c r="A655" s="18" t="n"/>
      <c r="B655" s="26" t="n"/>
      <c r="C655" s="18" t="n"/>
      <c r="D655" s="20">
        <f>IF($W655="","",IF($W655="なし","※得意先にないコード",INDEX('得意先'!$C$5:$C$104,$W655)&amp;""))</f>
        <v/>
      </c>
      <c r="E655" s="26" t="n"/>
      <c r="F655" s="19" t="n"/>
      <c r="G655" s="27" t="n"/>
      <c r="H655" s="27" t="n"/>
      <c r="I655" s="27" t="n"/>
      <c r="J655" s="28">
        <f>IF($A655="","",IF('設定'!$B$10="四捨五入",ROUND(IF('設定'!$B$9="税込",N($G655)*10/110,N($G655)*10/100),0),IF('設定'!$B$10="切り上げ",ROUNDUP(IF('設定'!$B$9="税込",N($G655)*10/110,N($G655)*10/100),0),ROUNDDOWN(IF('設定'!$B$9="税込",N($G655)*10/110,N($G655)*10/100),0))))</f>
        <v/>
      </c>
      <c r="K655" s="28">
        <f>IF($A655="","",IF('設定'!$B$10="四捨五入",ROUND(IF('設定'!$B$9="税込",N($H655)*8/108,N($H655)*8/100),0),IF('設定'!$B$10="切り上げ",ROUNDUP(IF('設定'!$B$9="税込",N($H655)*8/108,N($H655)*8/100),0),ROUNDDOWN(IF('設定'!$B$9="税込",N($H655)*8/108,N($H655)*8/100),0))))</f>
        <v/>
      </c>
      <c r="L655" s="28">
        <f>IF($A655="","",N($G655)+N($H655)+N($I655)+IF('設定'!$B$9="税込",0,$J655+$K655))</f>
        <v/>
      </c>
      <c r="M655" s="29">
        <f>IF(OR($A655="",NOT(ISNUMBER($W655)),NOT(ISNUMBER($X655))),"",IF(OR(INDEX('得意先'!$D$5:$D$104,$W655)="",INDEX('得意先'!$E$5:$E$104,$W655)="",INDEX('得意先'!$F$5:$F$104,$W655)=""),"",IF(INDEX('得意先'!$F$5:$F$104,$W655)="末",DATE(YEAR($X655),(MONTH($X655)+IF(INDEX('得意先'!$D$5:$D$104,$W655)="末",0,IF(DAY($X655)&lt;=INDEX('得意先'!$D$5:$D$104,$W655),0,1))+N(INDEX('得意先'!$E$5:$E$104,$W655)))+1,0),DATE(YEAR($X655),(MONTH($X655)+IF(INDEX('得意先'!$D$5:$D$104,$W655)="末",0,IF(DAY($X655)&lt;=INDEX('得意先'!$D$5:$D$104,$W655),0,1))+N(INDEX('得意先'!$E$5:$E$104,$W655))),MIN(INDEX('得意先'!$F$5:$F$104,$W655),DAY(DATE(YEAR($X655),(MONTH($X655)+IF(INDEX('得意先'!$D$5:$D$104,$W655)="末",0,IF(DAY($X655)&lt;=INDEX('得意先'!$D$5:$D$104,$W655),0,1))+N(INDEX('得意先'!$E$5:$E$104,$W655)))+1,0)))))))</f>
        <v/>
      </c>
      <c r="N655" s="26" t="n"/>
      <c r="O655" s="29">
        <f>IF($A655="","",IF(ISNUMBER($N655),$N655,$M655))</f>
        <v/>
      </c>
      <c r="P655" s="28">
        <f>IF($A655="","",SUMIF('入金消込'!$F$5:$F$1004,$A655,'入金消込'!$G$5:$G$1004))</f>
        <v/>
      </c>
      <c r="Q655" s="28">
        <f>IF($A655="","",SUMIF('入金消込'!$F$5:$F$1004,$A655,'入金消込'!$H$5:$H$1004)+SUMIF('入金消込'!$F$5:$F$1004,$A655,'入金消込'!$I$5:$I$1004))</f>
        <v/>
      </c>
      <c r="R655" s="28">
        <f>IF($A655="","",$L655-$P655-$Q655)</f>
        <v/>
      </c>
      <c r="S655" s="30">
        <f>IF($A655="","",IF($R655=0,IF($L655=0,"請求額0","回収済"),IF($L655&lt;0,IF($R655&lt;0,"差し引き待ち","差し引きすぎ"),IF($R655&lt;0,"入金が多い",IF($P655+$Q655=0,"未入金","一部入金")))))</f>
        <v/>
      </c>
      <c r="T655" s="31">
        <f>IF(OR($A655="",N($R655)&lt;=0,NOT(ISNUMBER($O655))),"",IF($O655&lt;'設定'!$B$7,'設定'!$B$7-$O655,""))</f>
        <v/>
      </c>
      <c r="U655" s="30">
        <f>IF(OR($A655="",N($R655)&lt;=0),"",IF(NOT(ISNUMBER($O655)),'設定'!$B$22,IF($O655&gt;='設定'!$B$7,'設定'!$B$17,IF('設定'!$B$7-$O655&lt;='設定'!$B$12,'設定'!$B$18,IF('設定'!$B$7-$O655&lt;='設定'!$B$13,'設定'!$B$19,IF('設定'!$B$7-$O655&lt;='設定'!$B$14,'設定'!$B$20,'設定'!$B$21))))))</f>
        <v/>
      </c>
      <c r="V655" s="56" t="n"/>
      <c r="W655" s="32">
        <f>IF($C655="","",IFERROR(MATCH($C655,'得意先'!$B$5:$B$104,0),"なし"))</f>
        <v/>
      </c>
      <c r="X655" s="33">
        <f>IF($A655="","",IF(ISNUMBER($E655),$E655,IF(ISNUMBER($B655),$B655,"")))</f>
        <v/>
      </c>
      <c r="Y655" s="34">
        <f>IF($T655="","",$O655+ROW()/1000000)</f>
        <v/>
      </c>
      <c r="Z655" s="35">
        <f>IF(OR($A655="",$C655="",$C655&lt;&gt;'売掛帳'!$B$3,NOT(ISNUMBER($X655))),"",IF(AND($X655&gt;='売掛帳'!$Q$3,$X655&lt;='売掛帳'!$Q$4),$X655+ROW()/10000000,""))</f>
        <v/>
      </c>
    </row>
    <row r="656" ht="18" customHeight="1">
      <c r="A656" s="18" t="n"/>
      <c r="B656" s="26" t="n"/>
      <c r="C656" s="18" t="n"/>
      <c r="D656" s="20">
        <f>IF($W656="","",IF($W656="なし","※得意先にないコード",INDEX('得意先'!$C$5:$C$104,$W656)&amp;""))</f>
        <v/>
      </c>
      <c r="E656" s="26" t="n"/>
      <c r="F656" s="19" t="n"/>
      <c r="G656" s="27" t="n"/>
      <c r="H656" s="27" t="n"/>
      <c r="I656" s="27" t="n"/>
      <c r="J656" s="28">
        <f>IF($A656="","",IF('設定'!$B$10="四捨五入",ROUND(IF('設定'!$B$9="税込",N($G656)*10/110,N($G656)*10/100),0),IF('設定'!$B$10="切り上げ",ROUNDUP(IF('設定'!$B$9="税込",N($G656)*10/110,N($G656)*10/100),0),ROUNDDOWN(IF('設定'!$B$9="税込",N($G656)*10/110,N($G656)*10/100),0))))</f>
        <v/>
      </c>
      <c r="K656" s="28">
        <f>IF($A656="","",IF('設定'!$B$10="四捨五入",ROUND(IF('設定'!$B$9="税込",N($H656)*8/108,N($H656)*8/100),0),IF('設定'!$B$10="切り上げ",ROUNDUP(IF('設定'!$B$9="税込",N($H656)*8/108,N($H656)*8/100),0),ROUNDDOWN(IF('設定'!$B$9="税込",N($H656)*8/108,N($H656)*8/100),0))))</f>
        <v/>
      </c>
      <c r="L656" s="28">
        <f>IF($A656="","",N($G656)+N($H656)+N($I656)+IF('設定'!$B$9="税込",0,$J656+$K656))</f>
        <v/>
      </c>
      <c r="M656" s="29">
        <f>IF(OR($A656="",NOT(ISNUMBER($W656)),NOT(ISNUMBER($X656))),"",IF(OR(INDEX('得意先'!$D$5:$D$104,$W656)="",INDEX('得意先'!$E$5:$E$104,$W656)="",INDEX('得意先'!$F$5:$F$104,$W656)=""),"",IF(INDEX('得意先'!$F$5:$F$104,$W656)="末",DATE(YEAR($X656),(MONTH($X656)+IF(INDEX('得意先'!$D$5:$D$104,$W656)="末",0,IF(DAY($X656)&lt;=INDEX('得意先'!$D$5:$D$104,$W656),0,1))+N(INDEX('得意先'!$E$5:$E$104,$W656)))+1,0),DATE(YEAR($X656),(MONTH($X656)+IF(INDEX('得意先'!$D$5:$D$104,$W656)="末",0,IF(DAY($X656)&lt;=INDEX('得意先'!$D$5:$D$104,$W656),0,1))+N(INDEX('得意先'!$E$5:$E$104,$W656))),MIN(INDEX('得意先'!$F$5:$F$104,$W656),DAY(DATE(YEAR($X656),(MONTH($X656)+IF(INDEX('得意先'!$D$5:$D$104,$W656)="末",0,IF(DAY($X656)&lt;=INDEX('得意先'!$D$5:$D$104,$W656),0,1))+N(INDEX('得意先'!$E$5:$E$104,$W656)))+1,0)))))))</f>
        <v/>
      </c>
      <c r="N656" s="26" t="n"/>
      <c r="O656" s="29">
        <f>IF($A656="","",IF(ISNUMBER($N656),$N656,$M656))</f>
        <v/>
      </c>
      <c r="P656" s="28">
        <f>IF($A656="","",SUMIF('入金消込'!$F$5:$F$1004,$A656,'入金消込'!$G$5:$G$1004))</f>
        <v/>
      </c>
      <c r="Q656" s="28">
        <f>IF($A656="","",SUMIF('入金消込'!$F$5:$F$1004,$A656,'入金消込'!$H$5:$H$1004)+SUMIF('入金消込'!$F$5:$F$1004,$A656,'入金消込'!$I$5:$I$1004))</f>
        <v/>
      </c>
      <c r="R656" s="28">
        <f>IF($A656="","",$L656-$P656-$Q656)</f>
        <v/>
      </c>
      <c r="S656" s="30">
        <f>IF($A656="","",IF($R656=0,IF($L656=0,"請求額0","回収済"),IF($L656&lt;0,IF($R656&lt;0,"差し引き待ち","差し引きすぎ"),IF($R656&lt;0,"入金が多い",IF($P656+$Q656=0,"未入金","一部入金")))))</f>
        <v/>
      </c>
      <c r="T656" s="31">
        <f>IF(OR($A656="",N($R656)&lt;=0,NOT(ISNUMBER($O656))),"",IF($O656&lt;'設定'!$B$7,'設定'!$B$7-$O656,""))</f>
        <v/>
      </c>
      <c r="U656" s="30">
        <f>IF(OR($A656="",N($R656)&lt;=0),"",IF(NOT(ISNUMBER($O656)),'設定'!$B$22,IF($O656&gt;='設定'!$B$7,'設定'!$B$17,IF('設定'!$B$7-$O656&lt;='設定'!$B$12,'設定'!$B$18,IF('設定'!$B$7-$O656&lt;='設定'!$B$13,'設定'!$B$19,IF('設定'!$B$7-$O656&lt;='設定'!$B$14,'設定'!$B$20,'設定'!$B$21))))))</f>
        <v/>
      </c>
      <c r="V656" s="56" t="n"/>
      <c r="W656" s="32">
        <f>IF($C656="","",IFERROR(MATCH($C656,'得意先'!$B$5:$B$104,0),"なし"))</f>
        <v/>
      </c>
      <c r="X656" s="33">
        <f>IF($A656="","",IF(ISNUMBER($E656),$E656,IF(ISNUMBER($B656),$B656,"")))</f>
        <v/>
      </c>
      <c r="Y656" s="34">
        <f>IF($T656="","",$O656+ROW()/1000000)</f>
        <v/>
      </c>
      <c r="Z656" s="35">
        <f>IF(OR($A656="",$C656="",$C656&lt;&gt;'売掛帳'!$B$3,NOT(ISNUMBER($X656))),"",IF(AND($X656&gt;='売掛帳'!$Q$3,$X656&lt;='売掛帳'!$Q$4),$X656+ROW()/10000000,""))</f>
        <v/>
      </c>
    </row>
    <row r="657" ht="18" customHeight="1">
      <c r="A657" s="18" t="n"/>
      <c r="B657" s="26" t="n"/>
      <c r="C657" s="18" t="n"/>
      <c r="D657" s="20">
        <f>IF($W657="","",IF($W657="なし","※得意先にないコード",INDEX('得意先'!$C$5:$C$104,$W657)&amp;""))</f>
        <v/>
      </c>
      <c r="E657" s="26" t="n"/>
      <c r="F657" s="19" t="n"/>
      <c r="G657" s="27" t="n"/>
      <c r="H657" s="27" t="n"/>
      <c r="I657" s="27" t="n"/>
      <c r="J657" s="28">
        <f>IF($A657="","",IF('設定'!$B$10="四捨五入",ROUND(IF('設定'!$B$9="税込",N($G657)*10/110,N($G657)*10/100),0),IF('設定'!$B$10="切り上げ",ROUNDUP(IF('設定'!$B$9="税込",N($G657)*10/110,N($G657)*10/100),0),ROUNDDOWN(IF('設定'!$B$9="税込",N($G657)*10/110,N($G657)*10/100),0))))</f>
        <v/>
      </c>
      <c r="K657" s="28">
        <f>IF($A657="","",IF('設定'!$B$10="四捨五入",ROUND(IF('設定'!$B$9="税込",N($H657)*8/108,N($H657)*8/100),0),IF('設定'!$B$10="切り上げ",ROUNDUP(IF('設定'!$B$9="税込",N($H657)*8/108,N($H657)*8/100),0),ROUNDDOWN(IF('設定'!$B$9="税込",N($H657)*8/108,N($H657)*8/100),0))))</f>
        <v/>
      </c>
      <c r="L657" s="28">
        <f>IF($A657="","",N($G657)+N($H657)+N($I657)+IF('設定'!$B$9="税込",0,$J657+$K657))</f>
        <v/>
      </c>
      <c r="M657" s="29">
        <f>IF(OR($A657="",NOT(ISNUMBER($W657)),NOT(ISNUMBER($X657))),"",IF(OR(INDEX('得意先'!$D$5:$D$104,$W657)="",INDEX('得意先'!$E$5:$E$104,$W657)="",INDEX('得意先'!$F$5:$F$104,$W657)=""),"",IF(INDEX('得意先'!$F$5:$F$104,$W657)="末",DATE(YEAR($X657),(MONTH($X657)+IF(INDEX('得意先'!$D$5:$D$104,$W657)="末",0,IF(DAY($X657)&lt;=INDEX('得意先'!$D$5:$D$104,$W657),0,1))+N(INDEX('得意先'!$E$5:$E$104,$W657)))+1,0),DATE(YEAR($X657),(MONTH($X657)+IF(INDEX('得意先'!$D$5:$D$104,$W657)="末",0,IF(DAY($X657)&lt;=INDEX('得意先'!$D$5:$D$104,$W657),0,1))+N(INDEX('得意先'!$E$5:$E$104,$W657))),MIN(INDEX('得意先'!$F$5:$F$104,$W657),DAY(DATE(YEAR($X657),(MONTH($X657)+IF(INDEX('得意先'!$D$5:$D$104,$W657)="末",0,IF(DAY($X657)&lt;=INDEX('得意先'!$D$5:$D$104,$W657),0,1))+N(INDEX('得意先'!$E$5:$E$104,$W657)))+1,0)))))))</f>
        <v/>
      </c>
      <c r="N657" s="26" t="n"/>
      <c r="O657" s="29">
        <f>IF($A657="","",IF(ISNUMBER($N657),$N657,$M657))</f>
        <v/>
      </c>
      <c r="P657" s="28">
        <f>IF($A657="","",SUMIF('入金消込'!$F$5:$F$1004,$A657,'入金消込'!$G$5:$G$1004))</f>
        <v/>
      </c>
      <c r="Q657" s="28">
        <f>IF($A657="","",SUMIF('入金消込'!$F$5:$F$1004,$A657,'入金消込'!$H$5:$H$1004)+SUMIF('入金消込'!$F$5:$F$1004,$A657,'入金消込'!$I$5:$I$1004))</f>
        <v/>
      </c>
      <c r="R657" s="28">
        <f>IF($A657="","",$L657-$P657-$Q657)</f>
        <v/>
      </c>
      <c r="S657" s="30">
        <f>IF($A657="","",IF($R657=0,IF($L657=0,"請求額0","回収済"),IF($L657&lt;0,IF($R657&lt;0,"差し引き待ち","差し引きすぎ"),IF($R657&lt;0,"入金が多い",IF($P657+$Q657=0,"未入金","一部入金")))))</f>
        <v/>
      </c>
      <c r="T657" s="31">
        <f>IF(OR($A657="",N($R657)&lt;=0,NOT(ISNUMBER($O657))),"",IF($O657&lt;'設定'!$B$7,'設定'!$B$7-$O657,""))</f>
        <v/>
      </c>
      <c r="U657" s="30">
        <f>IF(OR($A657="",N($R657)&lt;=0),"",IF(NOT(ISNUMBER($O657)),'設定'!$B$22,IF($O657&gt;='設定'!$B$7,'設定'!$B$17,IF('設定'!$B$7-$O657&lt;='設定'!$B$12,'設定'!$B$18,IF('設定'!$B$7-$O657&lt;='設定'!$B$13,'設定'!$B$19,IF('設定'!$B$7-$O657&lt;='設定'!$B$14,'設定'!$B$20,'設定'!$B$21))))))</f>
        <v/>
      </c>
      <c r="V657" s="56" t="n"/>
      <c r="W657" s="32">
        <f>IF($C657="","",IFERROR(MATCH($C657,'得意先'!$B$5:$B$104,0),"なし"))</f>
        <v/>
      </c>
      <c r="X657" s="33">
        <f>IF($A657="","",IF(ISNUMBER($E657),$E657,IF(ISNUMBER($B657),$B657,"")))</f>
        <v/>
      </c>
      <c r="Y657" s="34">
        <f>IF($T657="","",$O657+ROW()/1000000)</f>
        <v/>
      </c>
      <c r="Z657" s="35">
        <f>IF(OR($A657="",$C657="",$C657&lt;&gt;'売掛帳'!$B$3,NOT(ISNUMBER($X657))),"",IF(AND($X657&gt;='売掛帳'!$Q$3,$X657&lt;='売掛帳'!$Q$4),$X657+ROW()/10000000,""))</f>
        <v/>
      </c>
    </row>
    <row r="658" ht="18" customHeight="1">
      <c r="A658" s="18" t="n"/>
      <c r="B658" s="26" t="n"/>
      <c r="C658" s="18" t="n"/>
      <c r="D658" s="20">
        <f>IF($W658="","",IF($W658="なし","※得意先にないコード",INDEX('得意先'!$C$5:$C$104,$W658)&amp;""))</f>
        <v/>
      </c>
      <c r="E658" s="26" t="n"/>
      <c r="F658" s="19" t="n"/>
      <c r="G658" s="27" t="n"/>
      <c r="H658" s="27" t="n"/>
      <c r="I658" s="27" t="n"/>
      <c r="J658" s="28">
        <f>IF($A658="","",IF('設定'!$B$10="四捨五入",ROUND(IF('設定'!$B$9="税込",N($G658)*10/110,N($G658)*10/100),0),IF('設定'!$B$10="切り上げ",ROUNDUP(IF('設定'!$B$9="税込",N($G658)*10/110,N($G658)*10/100),0),ROUNDDOWN(IF('設定'!$B$9="税込",N($G658)*10/110,N($G658)*10/100),0))))</f>
        <v/>
      </c>
      <c r="K658" s="28">
        <f>IF($A658="","",IF('設定'!$B$10="四捨五入",ROUND(IF('設定'!$B$9="税込",N($H658)*8/108,N($H658)*8/100),0),IF('設定'!$B$10="切り上げ",ROUNDUP(IF('設定'!$B$9="税込",N($H658)*8/108,N($H658)*8/100),0),ROUNDDOWN(IF('設定'!$B$9="税込",N($H658)*8/108,N($H658)*8/100),0))))</f>
        <v/>
      </c>
      <c r="L658" s="28">
        <f>IF($A658="","",N($G658)+N($H658)+N($I658)+IF('設定'!$B$9="税込",0,$J658+$K658))</f>
        <v/>
      </c>
      <c r="M658" s="29">
        <f>IF(OR($A658="",NOT(ISNUMBER($W658)),NOT(ISNUMBER($X658))),"",IF(OR(INDEX('得意先'!$D$5:$D$104,$W658)="",INDEX('得意先'!$E$5:$E$104,$W658)="",INDEX('得意先'!$F$5:$F$104,$W658)=""),"",IF(INDEX('得意先'!$F$5:$F$104,$W658)="末",DATE(YEAR($X658),(MONTH($X658)+IF(INDEX('得意先'!$D$5:$D$104,$W658)="末",0,IF(DAY($X658)&lt;=INDEX('得意先'!$D$5:$D$104,$W658),0,1))+N(INDEX('得意先'!$E$5:$E$104,$W658)))+1,0),DATE(YEAR($X658),(MONTH($X658)+IF(INDEX('得意先'!$D$5:$D$104,$W658)="末",0,IF(DAY($X658)&lt;=INDEX('得意先'!$D$5:$D$104,$W658),0,1))+N(INDEX('得意先'!$E$5:$E$104,$W658))),MIN(INDEX('得意先'!$F$5:$F$104,$W658),DAY(DATE(YEAR($X658),(MONTH($X658)+IF(INDEX('得意先'!$D$5:$D$104,$W658)="末",0,IF(DAY($X658)&lt;=INDEX('得意先'!$D$5:$D$104,$W658),0,1))+N(INDEX('得意先'!$E$5:$E$104,$W658)))+1,0)))))))</f>
        <v/>
      </c>
      <c r="N658" s="26" t="n"/>
      <c r="O658" s="29">
        <f>IF($A658="","",IF(ISNUMBER($N658),$N658,$M658))</f>
        <v/>
      </c>
      <c r="P658" s="28">
        <f>IF($A658="","",SUMIF('入金消込'!$F$5:$F$1004,$A658,'入金消込'!$G$5:$G$1004))</f>
        <v/>
      </c>
      <c r="Q658" s="28">
        <f>IF($A658="","",SUMIF('入金消込'!$F$5:$F$1004,$A658,'入金消込'!$H$5:$H$1004)+SUMIF('入金消込'!$F$5:$F$1004,$A658,'入金消込'!$I$5:$I$1004))</f>
        <v/>
      </c>
      <c r="R658" s="28">
        <f>IF($A658="","",$L658-$P658-$Q658)</f>
        <v/>
      </c>
      <c r="S658" s="30">
        <f>IF($A658="","",IF($R658=0,IF($L658=0,"請求額0","回収済"),IF($L658&lt;0,IF($R658&lt;0,"差し引き待ち","差し引きすぎ"),IF($R658&lt;0,"入金が多い",IF($P658+$Q658=0,"未入金","一部入金")))))</f>
        <v/>
      </c>
      <c r="T658" s="31">
        <f>IF(OR($A658="",N($R658)&lt;=0,NOT(ISNUMBER($O658))),"",IF($O658&lt;'設定'!$B$7,'設定'!$B$7-$O658,""))</f>
        <v/>
      </c>
      <c r="U658" s="30">
        <f>IF(OR($A658="",N($R658)&lt;=0),"",IF(NOT(ISNUMBER($O658)),'設定'!$B$22,IF($O658&gt;='設定'!$B$7,'設定'!$B$17,IF('設定'!$B$7-$O658&lt;='設定'!$B$12,'設定'!$B$18,IF('設定'!$B$7-$O658&lt;='設定'!$B$13,'設定'!$B$19,IF('設定'!$B$7-$O658&lt;='設定'!$B$14,'設定'!$B$20,'設定'!$B$21))))))</f>
        <v/>
      </c>
      <c r="V658" s="56" t="n"/>
      <c r="W658" s="32">
        <f>IF($C658="","",IFERROR(MATCH($C658,'得意先'!$B$5:$B$104,0),"なし"))</f>
        <v/>
      </c>
      <c r="X658" s="33">
        <f>IF($A658="","",IF(ISNUMBER($E658),$E658,IF(ISNUMBER($B658),$B658,"")))</f>
        <v/>
      </c>
      <c r="Y658" s="34">
        <f>IF($T658="","",$O658+ROW()/1000000)</f>
        <v/>
      </c>
      <c r="Z658" s="35">
        <f>IF(OR($A658="",$C658="",$C658&lt;&gt;'売掛帳'!$B$3,NOT(ISNUMBER($X658))),"",IF(AND($X658&gt;='売掛帳'!$Q$3,$X658&lt;='売掛帳'!$Q$4),$X658+ROW()/10000000,""))</f>
        <v/>
      </c>
    </row>
    <row r="659" ht="18" customHeight="1">
      <c r="A659" s="18" t="n"/>
      <c r="B659" s="26" t="n"/>
      <c r="C659" s="18" t="n"/>
      <c r="D659" s="20">
        <f>IF($W659="","",IF($W659="なし","※得意先にないコード",INDEX('得意先'!$C$5:$C$104,$W659)&amp;""))</f>
        <v/>
      </c>
      <c r="E659" s="26" t="n"/>
      <c r="F659" s="19" t="n"/>
      <c r="G659" s="27" t="n"/>
      <c r="H659" s="27" t="n"/>
      <c r="I659" s="27" t="n"/>
      <c r="J659" s="28">
        <f>IF($A659="","",IF('設定'!$B$10="四捨五入",ROUND(IF('設定'!$B$9="税込",N($G659)*10/110,N($G659)*10/100),0),IF('設定'!$B$10="切り上げ",ROUNDUP(IF('設定'!$B$9="税込",N($G659)*10/110,N($G659)*10/100),0),ROUNDDOWN(IF('設定'!$B$9="税込",N($G659)*10/110,N($G659)*10/100),0))))</f>
        <v/>
      </c>
      <c r="K659" s="28">
        <f>IF($A659="","",IF('設定'!$B$10="四捨五入",ROUND(IF('設定'!$B$9="税込",N($H659)*8/108,N($H659)*8/100),0),IF('設定'!$B$10="切り上げ",ROUNDUP(IF('設定'!$B$9="税込",N($H659)*8/108,N($H659)*8/100),0),ROUNDDOWN(IF('設定'!$B$9="税込",N($H659)*8/108,N($H659)*8/100),0))))</f>
        <v/>
      </c>
      <c r="L659" s="28">
        <f>IF($A659="","",N($G659)+N($H659)+N($I659)+IF('設定'!$B$9="税込",0,$J659+$K659))</f>
        <v/>
      </c>
      <c r="M659" s="29">
        <f>IF(OR($A659="",NOT(ISNUMBER($W659)),NOT(ISNUMBER($X659))),"",IF(OR(INDEX('得意先'!$D$5:$D$104,$W659)="",INDEX('得意先'!$E$5:$E$104,$W659)="",INDEX('得意先'!$F$5:$F$104,$W659)=""),"",IF(INDEX('得意先'!$F$5:$F$104,$W659)="末",DATE(YEAR($X659),(MONTH($X659)+IF(INDEX('得意先'!$D$5:$D$104,$W659)="末",0,IF(DAY($X659)&lt;=INDEX('得意先'!$D$5:$D$104,$W659),0,1))+N(INDEX('得意先'!$E$5:$E$104,$W659)))+1,0),DATE(YEAR($X659),(MONTH($X659)+IF(INDEX('得意先'!$D$5:$D$104,$W659)="末",0,IF(DAY($X659)&lt;=INDEX('得意先'!$D$5:$D$104,$W659),0,1))+N(INDEX('得意先'!$E$5:$E$104,$W659))),MIN(INDEX('得意先'!$F$5:$F$104,$W659),DAY(DATE(YEAR($X659),(MONTH($X659)+IF(INDEX('得意先'!$D$5:$D$104,$W659)="末",0,IF(DAY($X659)&lt;=INDEX('得意先'!$D$5:$D$104,$W659),0,1))+N(INDEX('得意先'!$E$5:$E$104,$W659)))+1,0)))))))</f>
        <v/>
      </c>
      <c r="N659" s="26" t="n"/>
      <c r="O659" s="29">
        <f>IF($A659="","",IF(ISNUMBER($N659),$N659,$M659))</f>
        <v/>
      </c>
      <c r="P659" s="28">
        <f>IF($A659="","",SUMIF('入金消込'!$F$5:$F$1004,$A659,'入金消込'!$G$5:$G$1004))</f>
        <v/>
      </c>
      <c r="Q659" s="28">
        <f>IF($A659="","",SUMIF('入金消込'!$F$5:$F$1004,$A659,'入金消込'!$H$5:$H$1004)+SUMIF('入金消込'!$F$5:$F$1004,$A659,'入金消込'!$I$5:$I$1004))</f>
        <v/>
      </c>
      <c r="R659" s="28">
        <f>IF($A659="","",$L659-$P659-$Q659)</f>
        <v/>
      </c>
      <c r="S659" s="30">
        <f>IF($A659="","",IF($R659=0,IF($L659=0,"請求額0","回収済"),IF($L659&lt;0,IF($R659&lt;0,"差し引き待ち","差し引きすぎ"),IF($R659&lt;0,"入金が多い",IF($P659+$Q659=0,"未入金","一部入金")))))</f>
        <v/>
      </c>
      <c r="T659" s="31">
        <f>IF(OR($A659="",N($R659)&lt;=0,NOT(ISNUMBER($O659))),"",IF($O659&lt;'設定'!$B$7,'設定'!$B$7-$O659,""))</f>
        <v/>
      </c>
      <c r="U659" s="30">
        <f>IF(OR($A659="",N($R659)&lt;=0),"",IF(NOT(ISNUMBER($O659)),'設定'!$B$22,IF($O659&gt;='設定'!$B$7,'設定'!$B$17,IF('設定'!$B$7-$O659&lt;='設定'!$B$12,'設定'!$B$18,IF('設定'!$B$7-$O659&lt;='設定'!$B$13,'設定'!$B$19,IF('設定'!$B$7-$O659&lt;='設定'!$B$14,'設定'!$B$20,'設定'!$B$21))))))</f>
        <v/>
      </c>
      <c r="V659" s="56" t="n"/>
      <c r="W659" s="32">
        <f>IF($C659="","",IFERROR(MATCH($C659,'得意先'!$B$5:$B$104,0),"なし"))</f>
        <v/>
      </c>
      <c r="X659" s="33">
        <f>IF($A659="","",IF(ISNUMBER($E659),$E659,IF(ISNUMBER($B659),$B659,"")))</f>
        <v/>
      </c>
      <c r="Y659" s="34">
        <f>IF($T659="","",$O659+ROW()/1000000)</f>
        <v/>
      </c>
      <c r="Z659" s="35">
        <f>IF(OR($A659="",$C659="",$C659&lt;&gt;'売掛帳'!$B$3,NOT(ISNUMBER($X659))),"",IF(AND($X659&gt;='売掛帳'!$Q$3,$X659&lt;='売掛帳'!$Q$4),$X659+ROW()/10000000,""))</f>
        <v/>
      </c>
    </row>
    <row r="660" ht="18" customHeight="1">
      <c r="A660" s="18" t="n"/>
      <c r="B660" s="26" t="n"/>
      <c r="C660" s="18" t="n"/>
      <c r="D660" s="20">
        <f>IF($W660="","",IF($W660="なし","※得意先にないコード",INDEX('得意先'!$C$5:$C$104,$W660)&amp;""))</f>
        <v/>
      </c>
      <c r="E660" s="26" t="n"/>
      <c r="F660" s="19" t="n"/>
      <c r="G660" s="27" t="n"/>
      <c r="H660" s="27" t="n"/>
      <c r="I660" s="27" t="n"/>
      <c r="J660" s="28">
        <f>IF($A660="","",IF('設定'!$B$10="四捨五入",ROUND(IF('設定'!$B$9="税込",N($G660)*10/110,N($G660)*10/100),0),IF('設定'!$B$10="切り上げ",ROUNDUP(IF('設定'!$B$9="税込",N($G660)*10/110,N($G660)*10/100),0),ROUNDDOWN(IF('設定'!$B$9="税込",N($G660)*10/110,N($G660)*10/100),0))))</f>
        <v/>
      </c>
      <c r="K660" s="28">
        <f>IF($A660="","",IF('設定'!$B$10="四捨五入",ROUND(IF('設定'!$B$9="税込",N($H660)*8/108,N($H660)*8/100),0),IF('設定'!$B$10="切り上げ",ROUNDUP(IF('設定'!$B$9="税込",N($H660)*8/108,N($H660)*8/100),0),ROUNDDOWN(IF('設定'!$B$9="税込",N($H660)*8/108,N($H660)*8/100),0))))</f>
        <v/>
      </c>
      <c r="L660" s="28">
        <f>IF($A660="","",N($G660)+N($H660)+N($I660)+IF('設定'!$B$9="税込",0,$J660+$K660))</f>
        <v/>
      </c>
      <c r="M660" s="29">
        <f>IF(OR($A660="",NOT(ISNUMBER($W660)),NOT(ISNUMBER($X660))),"",IF(OR(INDEX('得意先'!$D$5:$D$104,$W660)="",INDEX('得意先'!$E$5:$E$104,$W660)="",INDEX('得意先'!$F$5:$F$104,$W660)=""),"",IF(INDEX('得意先'!$F$5:$F$104,$W660)="末",DATE(YEAR($X660),(MONTH($X660)+IF(INDEX('得意先'!$D$5:$D$104,$W660)="末",0,IF(DAY($X660)&lt;=INDEX('得意先'!$D$5:$D$104,$W660),0,1))+N(INDEX('得意先'!$E$5:$E$104,$W660)))+1,0),DATE(YEAR($X660),(MONTH($X660)+IF(INDEX('得意先'!$D$5:$D$104,$W660)="末",0,IF(DAY($X660)&lt;=INDEX('得意先'!$D$5:$D$104,$W660),0,1))+N(INDEX('得意先'!$E$5:$E$104,$W660))),MIN(INDEX('得意先'!$F$5:$F$104,$W660),DAY(DATE(YEAR($X660),(MONTH($X660)+IF(INDEX('得意先'!$D$5:$D$104,$W660)="末",0,IF(DAY($X660)&lt;=INDEX('得意先'!$D$5:$D$104,$W660),0,1))+N(INDEX('得意先'!$E$5:$E$104,$W660)))+1,0)))))))</f>
        <v/>
      </c>
      <c r="N660" s="26" t="n"/>
      <c r="O660" s="29">
        <f>IF($A660="","",IF(ISNUMBER($N660),$N660,$M660))</f>
        <v/>
      </c>
      <c r="P660" s="28">
        <f>IF($A660="","",SUMIF('入金消込'!$F$5:$F$1004,$A660,'入金消込'!$G$5:$G$1004))</f>
        <v/>
      </c>
      <c r="Q660" s="28">
        <f>IF($A660="","",SUMIF('入金消込'!$F$5:$F$1004,$A660,'入金消込'!$H$5:$H$1004)+SUMIF('入金消込'!$F$5:$F$1004,$A660,'入金消込'!$I$5:$I$1004))</f>
        <v/>
      </c>
      <c r="R660" s="28">
        <f>IF($A660="","",$L660-$P660-$Q660)</f>
        <v/>
      </c>
      <c r="S660" s="30">
        <f>IF($A660="","",IF($R660=0,IF($L660=0,"請求額0","回収済"),IF($L660&lt;0,IF($R660&lt;0,"差し引き待ち","差し引きすぎ"),IF($R660&lt;0,"入金が多い",IF($P660+$Q660=0,"未入金","一部入金")))))</f>
        <v/>
      </c>
      <c r="T660" s="31">
        <f>IF(OR($A660="",N($R660)&lt;=0,NOT(ISNUMBER($O660))),"",IF($O660&lt;'設定'!$B$7,'設定'!$B$7-$O660,""))</f>
        <v/>
      </c>
      <c r="U660" s="30">
        <f>IF(OR($A660="",N($R660)&lt;=0),"",IF(NOT(ISNUMBER($O660)),'設定'!$B$22,IF($O660&gt;='設定'!$B$7,'設定'!$B$17,IF('設定'!$B$7-$O660&lt;='設定'!$B$12,'設定'!$B$18,IF('設定'!$B$7-$O660&lt;='設定'!$B$13,'設定'!$B$19,IF('設定'!$B$7-$O660&lt;='設定'!$B$14,'設定'!$B$20,'設定'!$B$21))))))</f>
        <v/>
      </c>
      <c r="V660" s="56" t="n"/>
      <c r="W660" s="32">
        <f>IF($C660="","",IFERROR(MATCH($C660,'得意先'!$B$5:$B$104,0),"なし"))</f>
        <v/>
      </c>
      <c r="X660" s="33">
        <f>IF($A660="","",IF(ISNUMBER($E660),$E660,IF(ISNUMBER($B660),$B660,"")))</f>
        <v/>
      </c>
      <c r="Y660" s="34">
        <f>IF($T660="","",$O660+ROW()/1000000)</f>
        <v/>
      </c>
      <c r="Z660" s="35">
        <f>IF(OR($A660="",$C660="",$C660&lt;&gt;'売掛帳'!$B$3,NOT(ISNUMBER($X660))),"",IF(AND($X660&gt;='売掛帳'!$Q$3,$X660&lt;='売掛帳'!$Q$4),$X660+ROW()/10000000,""))</f>
        <v/>
      </c>
    </row>
    <row r="661" ht="18" customHeight="1">
      <c r="A661" s="18" t="n"/>
      <c r="B661" s="26" t="n"/>
      <c r="C661" s="18" t="n"/>
      <c r="D661" s="20">
        <f>IF($W661="","",IF($W661="なし","※得意先にないコード",INDEX('得意先'!$C$5:$C$104,$W661)&amp;""))</f>
        <v/>
      </c>
      <c r="E661" s="26" t="n"/>
      <c r="F661" s="19" t="n"/>
      <c r="G661" s="27" t="n"/>
      <c r="H661" s="27" t="n"/>
      <c r="I661" s="27" t="n"/>
      <c r="J661" s="28">
        <f>IF($A661="","",IF('設定'!$B$10="四捨五入",ROUND(IF('設定'!$B$9="税込",N($G661)*10/110,N($G661)*10/100),0),IF('設定'!$B$10="切り上げ",ROUNDUP(IF('設定'!$B$9="税込",N($G661)*10/110,N($G661)*10/100),0),ROUNDDOWN(IF('設定'!$B$9="税込",N($G661)*10/110,N($G661)*10/100),0))))</f>
        <v/>
      </c>
      <c r="K661" s="28">
        <f>IF($A661="","",IF('設定'!$B$10="四捨五入",ROUND(IF('設定'!$B$9="税込",N($H661)*8/108,N($H661)*8/100),0),IF('設定'!$B$10="切り上げ",ROUNDUP(IF('設定'!$B$9="税込",N($H661)*8/108,N($H661)*8/100),0),ROUNDDOWN(IF('設定'!$B$9="税込",N($H661)*8/108,N($H661)*8/100),0))))</f>
        <v/>
      </c>
      <c r="L661" s="28">
        <f>IF($A661="","",N($G661)+N($H661)+N($I661)+IF('設定'!$B$9="税込",0,$J661+$K661))</f>
        <v/>
      </c>
      <c r="M661" s="29">
        <f>IF(OR($A661="",NOT(ISNUMBER($W661)),NOT(ISNUMBER($X661))),"",IF(OR(INDEX('得意先'!$D$5:$D$104,$W661)="",INDEX('得意先'!$E$5:$E$104,$W661)="",INDEX('得意先'!$F$5:$F$104,$W661)=""),"",IF(INDEX('得意先'!$F$5:$F$104,$W661)="末",DATE(YEAR($X661),(MONTH($X661)+IF(INDEX('得意先'!$D$5:$D$104,$W661)="末",0,IF(DAY($X661)&lt;=INDEX('得意先'!$D$5:$D$104,$W661),0,1))+N(INDEX('得意先'!$E$5:$E$104,$W661)))+1,0),DATE(YEAR($X661),(MONTH($X661)+IF(INDEX('得意先'!$D$5:$D$104,$W661)="末",0,IF(DAY($X661)&lt;=INDEX('得意先'!$D$5:$D$104,$W661),0,1))+N(INDEX('得意先'!$E$5:$E$104,$W661))),MIN(INDEX('得意先'!$F$5:$F$104,$W661),DAY(DATE(YEAR($X661),(MONTH($X661)+IF(INDEX('得意先'!$D$5:$D$104,$W661)="末",0,IF(DAY($X661)&lt;=INDEX('得意先'!$D$5:$D$104,$W661),0,1))+N(INDEX('得意先'!$E$5:$E$104,$W661)))+1,0)))))))</f>
        <v/>
      </c>
      <c r="N661" s="26" t="n"/>
      <c r="O661" s="29">
        <f>IF($A661="","",IF(ISNUMBER($N661),$N661,$M661))</f>
        <v/>
      </c>
      <c r="P661" s="28">
        <f>IF($A661="","",SUMIF('入金消込'!$F$5:$F$1004,$A661,'入金消込'!$G$5:$G$1004))</f>
        <v/>
      </c>
      <c r="Q661" s="28">
        <f>IF($A661="","",SUMIF('入金消込'!$F$5:$F$1004,$A661,'入金消込'!$H$5:$H$1004)+SUMIF('入金消込'!$F$5:$F$1004,$A661,'入金消込'!$I$5:$I$1004))</f>
        <v/>
      </c>
      <c r="R661" s="28">
        <f>IF($A661="","",$L661-$P661-$Q661)</f>
        <v/>
      </c>
      <c r="S661" s="30">
        <f>IF($A661="","",IF($R661=0,IF($L661=0,"請求額0","回収済"),IF($L661&lt;0,IF($R661&lt;0,"差し引き待ち","差し引きすぎ"),IF($R661&lt;0,"入金が多い",IF($P661+$Q661=0,"未入金","一部入金")))))</f>
        <v/>
      </c>
      <c r="T661" s="31">
        <f>IF(OR($A661="",N($R661)&lt;=0,NOT(ISNUMBER($O661))),"",IF($O661&lt;'設定'!$B$7,'設定'!$B$7-$O661,""))</f>
        <v/>
      </c>
      <c r="U661" s="30">
        <f>IF(OR($A661="",N($R661)&lt;=0),"",IF(NOT(ISNUMBER($O661)),'設定'!$B$22,IF($O661&gt;='設定'!$B$7,'設定'!$B$17,IF('設定'!$B$7-$O661&lt;='設定'!$B$12,'設定'!$B$18,IF('設定'!$B$7-$O661&lt;='設定'!$B$13,'設定'!$B$19,IF('設定'!$B$7-$O661&lt;='設定'!$B$14,'設定'!$B$20,'設定'!$B$21))))))</f>
        <v/>
      </c>
      <c r="V661" s="56" t="n"/>
      <c r="W661" s="32">
        <f>IF($C661="","",IFERROR(MATCH($C661,'得意先'!$B$5:$B$104,0),"なし"))</f>
        <v/>
      </c>
      <c r="X661" s="33">
        <f>IF($A661="","",IF(ISNUMBER($E661),$E661,IF(ISNUMBER($B661),$B661,"")))</f>
        <v/>
      </c>
      <c r="Y661" s="34">
        <f>IF($T661="","",$O661+ROW()/1000000)</f>
        <v/>
      </c>
      <c r="Z661" s="35">
        <f>IF(OR($A661="",$C661="",$C661&lt;&gt;'売掛帳'!$B$3,NOT(ISNUMBER($X661))),"",IF(AND($X661&gt;='売掛帳'!$Q$3,$X661&lt;='売掛帳'!$Q$4),$X661+ROW()/10000000,""))</f>
        <v/>
      </c>
    </row>
    <row r="662" ht="18" customHeight="1">
      <c r="A662" s="18" t="n"/>
      <c r="B662" s="26" t="n"/>
      <c r="C662" s="18" t="n"/>
      <c r="D662" s="20">
        <f>IF($W662="","",IF($W662="なし","※得意先にないコード",INDEX('得意先'!$C$5:$C$104,$W662)&amp;""))</f>
        <v/>
      </c>
      <c r="E662" s="26" t="n"/>
      <c r="F662" s="19" t="n"/>
      <c r="G662" s="27" t="n"/>
      <c r="H662" s="27" t="n"/>
      <c r="I662" s="27" t="n"/>
      <c r="J662" s="28">
        <f>IF($A662="","",IF('設定'!$B$10="四捨五入",ROUND(IF('設定'!$B$9="税込",N($G662)*10/110,N($G662)*10/100),0),IF('設定'!$B$10="切り上げ",ROUNDUP(IF('設定'!$B$9="税込",N($G662)*10/110,N($G662)*10/100),0),ROUNDDOWN(IF('設定'!$B$9="税込",N($G662)*10/110,N($G662)*10/100),0))))</f>
        <v/>
      </c>
      <c r="K662" s="28">
        <f>IF($A662="","",IF('設定'!$B$10="四捨五入",ROUND(IF('設定'!$B$9="税込",N($H662)*8/108,N($H662)*8/100),0),IF('設定'!$B$10="切り上げ",ROUNDUP(IF('設定'!$B$9="税込",N($H662)*8/108,N($H662)*8/100),0),ROUNDDOWN(IF('設定'!$B$9="税込",N($H662)*8/108,N($H662)*8/100),0))))</f>
        <v/>
      </c>
      <c r="L662" s="28">
        <f>IF($A662="","",N($G662)+N($H662)+N($I662)+IF('設定'!$B$9="税込",0,$J662+$K662))</f>
        <v/>
      </c>
      <c r="M662" s="29">
        <f>IF(OR($A662="",NOT(ISNUMBER($W662)),NOT(ISNUMBER($X662))),"",IF(OR(INDEX('得意先'!$D$5:$D$104,$W662)="",INDEX('得意先'!$E$5:$E$104,$W662)="",INDEX('得意先'!$F$5:$F$104,$W662)=""),"",IF(INDEX('得意先'!$F$5:$F$104,$W662)="末",DATE(YEAR($X662),(MONTH($X662)+IF(INDEX('得意先'!$D$5:$D$104,$W662)="末",0,IF(DAY($X662)&lt;=INDEX('得意先'!$D$5:$D$104,$W662),0,1))+N(INDEX('得意先'!$E$5:$E$104,$W662)))+1,0),DATE(YEAR($X662),(MONTH($X662)+IF(INDEX('得意先'!$D$5:$D$104,$W662)="末",0,IF(DAY($X662)&lt;=INDEX('得意先'!$D$5:$D$104,$W662),0,1))+N(INDEX('得意先'!$E$5:$E$104,$W662))),MIN(INDEX('得意先'!$F$5:$F$104,$W662),DAY(DATE(YEAR($X662),(MONTH($X662)+IF(INDEX('得意先'!$D$5:$D$104,$W662)="末",0,IF(DAY($X662)&lt;=INDEX('得意先'!$D$5:$D$104,$W662),0,1))+N(INDEX('得意先'!$E$5:$E$104,$W662)))+1,0)))))))</f>
        <v/>
      </c>
      <c r="N662" s="26" t="n"/>
      <c r="O662" s="29">
        <f>IF($A662="","",IF(ISNUMBER($N662),$N662,$M662))</f>
        <v/>
      </c>
      <c r="P662" s="28">
        <f>IF($A662="","",SUMIF('入金消込'!$F$5:$F$1004,$A662,'入金消込'!$G$5:$G$1004))</f>
        <v/>
      </c>
      <c r="Q662" s="28">
        <f>IF($A662="","",SUMIF('入金消込'!$F$5:$F$1004,$A662,'入金消込'!$H$5:$H$1004)+SUMIF('入金消込'!$F$5:$F$1004,$A662,'入金消込'!$I$5:$I$1004))</f>
        <v/>
      </c>
      <c r="R662" s="28">
        <f>IF($A662="","",$L662-$P662-$Q662)</f>
        <v/>
      </c>
      <c r="S662" s="30">
        <f>IF($A662="","",IF($R662=0,IF($L662=0,"請求額0","回収済"),IF($L662&lt;0,IF($R662&lt;0,"差し引き待ち","差し引きすぎ"),IF($R662&lt;0,"入金が多い",IF($P662+$Q662=0,"未入金","一部入金")))))</f>
        <v/>
      </c>
      <c r="T662" s="31">
        <f>IF(OR($A662="",N($R662)&lt;=0,NOT(ISNUMBER($O662))),"",IF($O662&lt;'設定'!$B$7,'設定'!$B$7-$O662,""))</f>
        <v/>
      </c>
      <c r="U662" s="30">
        <f>IF(OR($A662="",N($R662)&lt;=0),"",IF(NOT(ISNUMBER($O662)),'設定'!$B$22,IF($O662&gt;='設定'!$B$7,'設定'!$B$17,IF('設定'!$B$7-$O662&lt;='設定'!$B$12,'設定'!$B$18,IF('設定'!$B$7-$O662&lt;='設定'!$B$13,'設定'!$B$19,IF('設定'!$B$7-$O662&lt;='設定'!$B$14,'設定'!$B$20,'設定'!$B$21))))))</f>
        <v/>
      </c>
      <c r="V662" s="56" t="n"/>
      <c r="W662" s="32">
        <f>IF($C662="","",IFERROR(MATCH($C662,'得意先'!$B$5:$B$104,0),"なし"))</f>
        <v/>
      </c>
      <c r="X662" s="33">
        <f>IF($A662="","",IF(ISNUMBER($E662),$E662,IF(ISNUMBER($B662),$B662,"")))</f>
        <v/>
      </c>
      <c r="Y662" s="34">
        <f>IF($T662="","",$O662+ROW()/1000000)</f>
        <v/>
      </c>
      <c r="Z662" s="35">
        <f>IF(OR($A662="",$C662="",$C662&lt;&gt;'売掛帳'!$B$3,NOT(ISNUMBER($X662))),"",IF(AND($X662&gt;='売掛帳'!$Q$3,$X662&lt;='売掛帳'!$Q$4),$X662+ROW()/10000000,""))</f>
        <v/>
      </c>
    </row>
    <row r="663" ht="18" customHeight="1">
      <c r="A663" s="18" t="n"/>
      <c r="B663" s="26" t="n"/>
      <c r="C663" s="18" t="n"/>
      <c r="D663" s="20">
        <f>IF($W663="","",IF($W663="なし","※得意先にないコード",INDEX('得意先'!$C$5:$C$104,$W663)&amp;""))</f>
        <v/>
      </c>
      <c r="E663" s="26" t="n"/>
      <c r="F663" s="19" t="n"/>
      <c r="G663" s="27" t="n"/>
      <c r="H663" s="27" t="n"/>
      <c r="I663" s="27" t="n"/>
      <c r="J663" s="28">
        <f>IF($A663="","",IF('設定'!$B$10="四捨五入",ROUND(IF('設定'!$B$9="税込",N($G663)*10/110,N($G663)*10/100),0),IF('設定'!$B$10="切り上げ",ROUNDUP(IF('設定'!$B$9="税込",N($G663)*10/110,N($G663)*10/100),0),ROUNDDOWN(IF('設定'!$B$9="税込",N($G663)*10/110,N($G663)*10/100),0))))</f>
        <v/>
      </c>
      <c r="K663" s="28">
        <f>IF($A663="","",IF('設定'!$B$10="四捨五入",ROUND(IF('設定'!$B$9="税込",N($H663)*8/108,N($H663)*8/100),0),IF('設定'!$B$10="切り上げ",ROUNDUP(IF('設定'!$B$9="税込",N($H663)*8/108,N($H663)*8/100),0),ROUNDDOWN(IF('設定'!$B$9="税込",N($H663)*8/108,N($H663)*8/100),0))))</f>
        <v/>
      </c>
      <c r="L663" s="28">
        <f>IF($A663="","",N($G663)+N($H663)+N($I663)+IF('設定'!$B$9="税込",0,$J663+$K663))</f>
        <v/>
      </c>
      <c r="M663" s="29">
        <f>IF(OR($A663="",NOT(ISNUMBER($W663)),NOT(ISNUMBER($X663))),"",IF(OR(INDEX('得意先'!$D$5:$D$104,$W663)="",INDEX('得意先'!$E$5:$E$104,$W663)="",INDEX('得意先'!$F$5:$F$104,$W663)=""),"",IF(INDEX('得意先'!$F$5:$F$104,$W663)="末",DATE(YEAR($X663),(MONTH($X663)+IF(INDEX('得意先'!$D$5:$D$104,$W663)="末",0,IF(DAY($X663)&lt;=INDEX('得意先'!$D$5:$D$104,$W663),0,1))+N(INDEX('得意先'!$E$5:$E$104,$W663)))+1,0),DATE(YEAR($X663),(MONTH($X663)+IF(INDEX('得意先'!$D$5:$D$104,$W663)="末",0,IF(DAY($X663)&lt;=INDEX('得意先'!$D$5:$D$104,$W663),0,1))+N(INDEX('得意先'!$E$5:$E$104,$W663))),MIN(INDEX('得意先'!$F$5:$F$104,$W663),DAY(DATE(YEAR($X663),(MONTH($X663)+IF(INDEX('得意先'!$D$5:$D$104,$W663)="末",0,IF(DAY($X663)&lt;=INDEX('得意先'!$D$5:$D$104,$W663),0,1))+N(INDEX('得意先'!$E$5:$E$104,$W663)))+1,0)))))))</f>
        <v/>
      </c>
      <c r="N663" s="26" t="n"/>
      <c r="O663" s="29">
        <f>IF($A663="","",IF(ISNUMBER($N663),$N663,$M663))</f>
        <v/>
      </c>
      <c r="P663" s="28">
        <f>IF($A663="","",SUMIF('入金消込'!$F$5:$F$1004,$A663,'入金消込'!$G$5:$G$1004))</f>
        <v/>
      </c>
      <c r="Q663" s="28">
        <f>IF($A663="","",SUMIF('入金消込'!$F$5:$F$1004,$A663,'入金消込'!$H$5:$H$1004)+SUMIF('入金消込'!$F$5:$F$1004,$A663,'入金消込'!$I$5:$I$1004))</f>
        <v/>
      </c>
      <c r="R663" s="28">
        <f>IF($A663="","",$L663-$P663-$Q663)</f>
        <v/>
      </c>
      <c r="S663" s="30">
        <f>IF($A663="","",IF($R663=0,IF($L663=0,"請求額0","回収済"),IF($L663&lt;0,IF($R663&lt;0,"差し引き待ち","差し引きすぎ"),IF($R663&lt;0,"入金が多い",IF($P663+$Q663=0,"未入金","一部入金")))))</f>
        <v/>
      </c>
      <c r="T663" s="31">
        <f>IF(OR($A663="",N($R663)&lt;=0,NOT(ISNUMBER($O663))),"",IF($O663&lt;'設定'!$B$7,'設定'!$B$7-$O663,""))</f>
        <v/>
      </c>
      <c r="U663" s="30">
        <f>IF(OR($A663="",N($R663)&lt;=0),"",IF(NOT(ISNUMBER($O663)),'設定'!$B$22,IF($O663&gt;='設定'!$B$7,'設定'!$B$17,IF('設定'!$B$7-$O663&lt;='設定'!$B$12,'設定'!$B$18,IF('設定'!$B$7-$O663&lt;='設定'!$B$13,'設定'!$B$19,IF('設定'!$B$7-$O663&lt;='設定'!$B$14,'設定'!$B$20,'設定'!$B$21))))))</f>
        <v/>
      </c>
      <c r="V663" s="56" t="n"/>
      <c r="W663" s="32">
        <f>IF($C663="","",IFERROR(MATCH($C663,'得意先'!$B$5:$B$104,0),"なし"))</f>
        <v/>
      </c>
      <c r="X663" s="33">
        <f>IF($A663="","",IF(ISNUMBER($E663),$E663,IF(ISNUMBER($B663),$B663,"")))</f>
        <v/>
      </c>
      <c r="Y663" s="34">
        <f>IF($T663="","",$O663+ROW()/1000000)</f>
        <v/>
      </c>
      <c r="Z663" s="35">
        <f>IF(OR($A663="",$C663="",$C663&lt;&gt;'売掛帳'!$B$3,NOT(ISNUMBER($X663))),"",IF(AND($X663&gt;='売掛帳'!$Q$3,$X663&lt;='売掛帳'!$Q$4),$X663+ROW()/10000000,""))</f>
        <v/>
      </c>
    </row>
    <row r="664" ht="18" customHeight="1">
      <c r="A664" s="18" t="n"/>
      <c r="B664" s="26" t="n"/>
      <c r="C664" s="18" t="n"/>
      <c r="D664" s="20">
        <f>IF($W664="","",IF($W664="なし","※得意先にないコード",INDEX('得意先'!$C$5:$C$104,$W664)&amp;""))</f>
        <v/>
      </c>
      <c r="E664" s="26" t="n"/>
      <c r="F664" s="19" t="n"/>
      <c r="G664" s="27" t="n"/>
      <c r="H664" s="27" t="n"/>
      <c r="I664" s="27" t="n"/>
      <c r="J664" s="28">
        <f>IF($A664="","",IF('設定'!$B$10="四捨五入",ROUND(IF('設定'!$B$9="税込",N($G664)*10/110,N($G664)*10/100),0),IF('設定'!$B$10="切り上げ",ROUNDUP(IF('設定'!$B$9="税込",N($G664)*10/110,N($G664)*10/100),0),ROUNDDOWN(IF('設定'!$B$9="税込",N($G664)*10/110,N($G664)*10/100),0))))</f>
        <v/>
      </c>
      <c r="K664" s="28">
        <f>IF($A664="","",IF('設定'!$B$10="四捨五入",ROUND(IF('設定'!$B$9="税込",N($H664)*8/108,N($H664)*8/100),0),IF('設定'!$B$10="切り上げ",ROUNDUP(IF('設定'!$B$9="税込",N($H664)*8/108,N($H664)*8/100),0),ROUNDDOWN(IF('設定'!$B$9="税込",N($H664)*8/108,N($H664)*8/100),0))))</f>
        <v/>
      </c>
      <c r="L664" s="28">
        <f>IF($A664="","",N($G664)+N($H664)+N($I664)+IF('設定'!$B$9="税込",0,$J664+$K664))</f>
        <v/>
      </c>
      <c r="M664" s="29">
        <f>IF(OR($A664="",NOT(ISNUMBER($W664)),NOT(ISNUMBER($X664))),"",IF(OR(INDEX('得意先'!$D$5:$D$104,$W664)="",INDEX('得意先'!$E$5:$E$104,$W664)="",INDEX('得意先'!$F$5:$F$104,$W664)=""),"",IF(INDEX('得意先'!$F$5:$F$104,$W664)="末",DATE(YEAR($X664),(MONTH($X664)+IF(INDEX('得意先'!$D$5:$D$104,$W664)="末",0,IF(DAY($X664)&lt;=INDEX('得意先'!$D$5:$D$104,$W664),0,1))+N(INDEX('得意先'!$E$5:$E$104,$W664)))+1,0),DATE(YEAR($X664),(MONTH($X664)+IF(INDEX('得意先'!$D$5:$D$104,$W664)="末",0,IF(DAY($X664)&lt;=INDEX('得意先'!$D$5:$D$104,$W664),0,1))+N(INDEX('得意先'!$E$5:$E$104,$W664))),MIN(INDEX('得意先'!$F$5:$F$104,$W664),DAY(DATE(YEAR($X664),(MONTH($X664)+IF(INDEX('得意先'!$D$5:$D$104,$W664)="末",0,IF(DAY($X664)&lt;=INDEX('得意先'!$D$5:$D$104,$W664),0,1))+N(INDEX('得意先'!$E$5:$E$104,$W664)))+1,0)))))))</f>
        <v/>
      </c>
      <c r="N664" s="26" t="n"/>
      <c r="O664" s="29">
        <f>IF($A664="","",IF(ISNUMBER($N664),$N664,$M664))</f>
        <v/>
      </c>
      <c r="P664" s="28">
        <f>IF($A664="","",SUMIF('入金消込'!$F$5:$F$1004,$A664,'入金消込'!$G$5:$G$1004))</f>
        <v/>
      </c>
      <c r="Q664" s="28">
        <f>IF($A664="","",SUMIF('入金消込'!$F$5:$F$1004,$A664,'入金消込'!$H$5:$H$1004)+SUMIF('入金消込'!$F$5:$F$1004,$A664,'入金消込'!$I$5:$I$1004))</f>
        <v/>
      </c>
      <c r="R664" s="28">
        <f>IF($A664="","",$L664-$P664-$Q664)</f>
        <v/>
      </c>
      <c r="S664" s="30">
        <f>IF($A664="","",IF($R664=0,IF($L664=0,"請求額0","回収済"),IF($L664&lt;0,IF($R664&lt;0,"差し引き待ち","差し引きすぎ"),IF($R664&lt;0,"入金が多い",IF($P664+$Q664=0,"未入金","一部入金")))))</f>
        <v/>
      </c>
      <c r="T664" s="31">
        <f>IF(OR($A664="",N($R664)&lt;=0,NOT(ISNUMBER($O664))),"",IF($O664&lt;'設定'!$B$7,'設定'!$B$7-$O664,""))</f>
        <v/>
      </c>
      <c r="U664" s="30">
        <f>IF(OR($A664="",N($R664)&lt;=0),"",IF(NOT(ISNUMBER($O664)),'設定'!$B$22,IF($O664&gt;='設定'!$B$7,'設定'!$B$17,IF('設定'!$B$7-$O664&lt;='設定'!$B$12,'設定'!$B$18,IF('設定'!$B$7-$O664&lt;='設定'!$B$13,'設定'!$B$19,IF('設定'!$B$7-$O664&lt;='設定'!$B$14,'設定'!$B$20,'設定'!$B$21))))))</f>
        <v/>
      </c>
      <c r="V664" s="56" t="n"/>
      <c r="W664" s="32">
        <f>IF($C664="","",IFERROR(MATCH($C664,'得意先'!$B$5:$B$104,0),"なし"))</f>
        <v/>
      </c>
      <c r="X664" s="33">
        <f>IF($A664="","",IF(ISNUMBER($E664),$E664,IF(ISNUMBER($B664),$B664,"")))</f>
        <v/>
      </c>
      <c r="Y664" s="34">
        <f>IF($T664="","",$O664+ROW()/1000000)</f>
        <v/>
      </c>
      <c r="Z664" s="35">
        <f>IF(OR($A664="",$C664="",$C664&lt;&gt;'売掛帳'!$B$3,NOT(ISNUMBER($X664))),"",IF(AND($X664&gt;='売掛帳'!$Q$3,$X664&lt;='売掛帳'!$Q$4),$X664+ROW()/10000000,""))</f>
        <v/>
      </c>
    </row>
    <row r="665" ht="18" customHeight="1">
      <c r="A665" s="18" t="n"/>
      <c r="B665" s="26" t="n"/>
      <c r="C665" s="18" t="n"/>
      <c r="D665" s="20">
        <f>IF($W665="","",IF($W665="なし","※得意先にないコード",INDEX('得意先'!$C$5:$C$104,$W665)&amp;""))</f>
        <v/>
      </c>
      <c r="E665" s="26" t="n"/>
      <c r="F665" s="19" t="n"/>
      <c r="G665" s="27" t="n"/>
      <c r="H665" s="27" t="n"/>
      <c r="I665" s="27" t="n"/>
      <c r="J665" s="28">
        <f>IF($A665="","",IF('設定'!$B$10="四捨五入",ROUND(IF('設定'!$B$9="税込",N($G665)*10/110,N($G665)*10/100),0),IF('設定'!$B$10="切り上げ",ROUNDUP(IF('設定'!$B$9="税込",N($G665)*10/110,N($G665)*10/100),0),ROUNDDOWN(IF('設定'!$B$9="税込",N($G665)*10/110,N($G665)*10/100),0))))</f>
        <v/>
      </c>
      <c r="K665" s="28">
        <f>IF($A665="","",IF('設定'!$B$10="四捨五入",ROUND(IF('設定'!$B$9="税込",N($H665)*8/108,N($H665)*8/100),0),IF('設定'!$B$10="切り上げ",ROUNDUP(IF('設定'!$B$9="税込",N($H665)*8/108,N($H665)*8/100),0),ROUNDDOWN(IF('設定'!$B$9="税込",N($H665)*8/108,N($H665)*8/100),0))))</f>
        <v/>
      </c>
      <c r="L665" s="28">
        <f>IF($A665="","",N($G665)+N($H665)+N($I665)+IF('設定'!$B$9="税込",0,$J665+$K665))</f>
        <v/>
      </c>
      <c r="M665" s="29">
        <f>IF(OR($A665="",NOT(ISNUMBER($W665)),NOT(ISNUMBER($X665))),"",IF(OR(INDEX('得意先'!$D$5:$D$104,$W665)="",INDEX('得意先'!$E$5:$E$104,$W665)="",INDEX('得意先'!$F$5:$F$104,$W665)=""),"",IF(INDEX('得意先'!$F$5:$F$104,$W665)="末",DATE(YEAR($X665),(MONTH($X665)+IF(INDEX('得意先'!$D$5:$D$104,$W665)="末",0,IF(DAY($X665)&lt;=INDEX('得意先'!$D$5:$D$104,$W665),0,1))+N(INDEX('得意先'!$E$5:$E$104,$W665)))+1,0),DATE(YEAR($X665),(MONTH($X665)+IF(INDEX('得意先'!$D$5:$D$104,$W665)="末",0,IF(DAY($X665)&lt;=INDEX('得意先'!$D$5:$D$104,$W665),0,1))+N(INDEX('得意先'!$E$5:$E$104,$W665))),MIN(INDEX('得意先'!$F$5:$F$104,$W665),DAY(DATE(YEAR($X665),(MONTH($X665)+IF(INDEX('得意先'!$D$5:$D$104,$W665)="末",0,IF(DAY($X665)&lt;=INDEX('得意先'!$D$5:$D$104,$W665),0,1))+N(INDEX('得意先'!$E$5:$E$104,$W665)))+1,0)))))))</f>
        <v/>
      </c>
      <c r="N665" s="26" t="n"/>
      <c r="O665" s="29">
        <f>IF($A665="","",IF(ISNUMBER($N665),$N665,$M665))</f>
        <v/>
      </c>
      <c r="P665" s="28">
        <f>IF($A665="","",SUMIF('入金消込'!$F$5:$F$1004,$A665,'入金消込'!$G$5:$G$1004))</f>
        <v/>
      </c>
      <c r="Q665" s="28">
        <f>IF($A665="","",SUMIF('入金消込'!$F$5:$F$1004,$A665,'入金消込'!$H$5:$H$1004)+SUMIF('入金消込'!$F$5:$F$1004,$A665,'入金消込'!$I$5:$I$1004))</f>
        <v/>
      </c>
      <c r="R665" s="28">
        <f>IF($A665="","",$L665-$P665-$Q665)</f>
        <v/>
      </c>
      <c r="S665" s="30">
        <f>IF($A665="","",IF($R665=0,IF($L665=0,"請求額0","回収済"),IF($L665&lt;0,IF($R665&lt;0,"差し引き待ち","差し引きすぎ"),IF($R665&lt;0,"入金が多い",IF($P665+$Q665=0,"未入金","一部入金")))))</f>
        <v/>
      </c>
      <c r="T665" s="31">
        <f>IF(OR($A665="",N($R665)&lt;=0,NOT(ISNUMBER($O665))),"",IF($O665&lt;'設定'!$B$7,'設定'!$B$7-$O665,""))</f>
        <v/>
      </c>
      <c r="U665" s="30">
        <f>IF(OR($A665="",N($R665)&lt;=0),"",IF(NOT(ISNUMBER($O665)),'設定'!$B$22,IF($O665&gt;='設定'!$B$7,'設定'!$B$17,IF('設定'!$B$7-$O665&lt;='設定'!$B$12,'設定'!$B$18,IF('設定'!$B$7-$O665&lt;='設定'!$B$13,'設定'!$B$19,IF('設定'!$B$7-$O665&lt;='設定'!$B$14,'設定'!$B$20,'設定'!$B$21))))))</f>
        <v/>
      </c>
      <c r="V665" s="56" t="n"/>
      <c r="W665" s="32">
        <f>IF($C665="","",IFERROR(MATCH($C665,'得意先'!$B$5:$B$104,0),"なし"))</f>
        <v/>
      </c>
      <c r="X665" s="33">
        <f>IF($A665="","",IF(ISNUMBER($E665),$E665,IF(ISNUMBER($B665),$B665,"")))</f>
        <v/>
      </c>
      <c r="Y665" s="34">
        <f>IF($T665="","",$O665+ROW()/1000000)</f>
        <v/>
      </c>
      <c r="Z665" s="35">
        <f>IF(OR($A665="",$C665="",$C665&lt;&gt;'売掛帳'!$B$3,NOT(ISNUMBER($X665))),"",IF(AND($X665&gt;='売掛帳'!$Q$3,$X665&lt;='売掛帳'!$Q$4),$X665+ROW()/10000000,""))</f>
        <v/>
      </c>
    </row>
    <row r="666" ht="18" customHeight="1">
      <c r="A666" s="18" t="n"/>
      <c r="B666" s="26" t="n"/>
      <c r="C666" s="18" t="n"/>
      <c r="D666" s="20">
        <f>IF($W666="","",IF($W666="なし","※得意先にないコード",INDEX('得意先'!$C$5:$C$104,$W666)&amp;""))</f>
        <v/>
      </c>
      <c r="E666" s="26" t="n"/>
      <c r="F666" s="19" t="n"/>
      <c r="G666" s="27" t="n"/>
      <c r="H666" s="27" t="n"/>
      <c r="I666" s="27" t="n"/>
      <c r="J666" s="28">
        <f>IF($A666="","",IF('設定'!$B$10="四捨五入",ROUND(IF('設定'!$B$9="税込",N($G666)*10/110,N($G666)*10/100),0),IF('設定'!$B$10="切り上げ",ROUNDUP(IF('設定'!$B$9="税込",N($G666)*10/110,N($G666)*10/100),0),ROUNDDOWN(IF('設定'!$B$9="税込",N($G666)*10/110,N($G666)*10/100),0))))</f>
        <v/>
      </c>
      <c r="K666" s="28">
        <f>IF($A666="","",IF('設定'!$B$10="四捨五入",ROUND(IF('設定'!$B$9="税込",N($H666)*8/108,N($H666)*8/100),0),IF('設定'!$B$10="切り上げ",ROUNDUP(IF('設定'!$B$9="税込",N($H666)*8/108,N($H666)*8/100),0),ROUNDDOWN(IF('設定'!$B$9="税込",N($H666)*8/108,N($H666)*8/100),0))))</f>
        <v/>
      </c>
      <c r="L666" s="28">
        <f>IF($A666="","",N($G666)+N($H666)+N($I666)+IF('設定'!$B$9="税込",0,$J666+$K666))</f>
        <v/>
      </c>
      <c r="M666" s="29">
        <f>IF(OR($A666="",NOT(ISNUMBER($W666)),NOT(ISNUMBER($X666))),"",IF(OR(INDEX('得意先'!$D$5:$D$104,$W666)="",INDEX('得意先'!$E$5:$E$104,$W666)="",INDEX('得意先'!$F$5:$F$104,$W666)=""),"",IF(INDEX('得意先'!$F$5:$F$104,$W666)="末",DATE(YEAR($X666),(MONTH($X666)+IF(INDEX('得意先'!$D$5:$D$104,$W666)="末",0,IF(DAY($X666)&lt;=INDEX('得意先'!$D$5:$D$104,$W666),0,1))+N(INDEX('得意先'!$E$5:$E$104,$W666)))+1,0),DATE(YEAR($X666),(MONTH($X666)+IF(INDEX('得意先'!$D$5:$D$104,$W666)="末",0,IF(DAY($X666)&lt;=INDEX('得意先'!$D$5:$D$104,$W666),0,1))+N(INDEX('得意先'!$E$5:$E$104,$W666))),MIN(INDEX('得意先'!$F$5:$F$104,$W666),DAY(DATE(YEAR($X666),(MONTH($X666)+IF(INDEX('得意先'!$D$5:$D$104,$W666)="末",0,IF(DAY($X666)&lt;=INDEX('得意先'!$D$5:$D$104,$W666),0,1))+N(INDEX('得意先'!$E$5:$E$104,$W666)))+1,0)))))))</f>
        <v/>
      </c>
      <c r="N666" s="26" t="n"/>
      <c r="O666" s="29">
        <f>IF($A666="","",IF(ISNUMBER($N666),$N666,$M666))</f>
        <v/>
      </c>
      <c r="P666" s="28">
        <f>IF($A666="","",SUMIF('入金消込'!$F$5:$F$1004,$A666,'入金消込'!$G$5:$G$1004))</f>
        <v/>
      </c>
      <c r="Q666" s="28">
        <f>IF($A666="","",SUMIF('入金消込'!$F$5:$F$1004,$A666,'入金消込'!$H$5:$H$1004)+SUMIF('入金消込'!$F$5:$F$1004,$A666,'入金消込'!$I$5:$I$1004))</f>
        <v/>
      </c>
      <c r="R666" s="28">
        <f>IF($A666="","",$L666-$P666-$Q666)</f>
        <v/>
      </c>
      <c r="S666" s="30">
        <f>IF($A666="","",IF($R666=0,IF($L666=0,"請求額0","回収済"),IF($L666&lt;0,IF($R666&lt;0,"差し引き待ち","差し引きすぎ"),IF($R666&lt;0,"入金が多い",IF($P666+$Q666=0,"未入金","一部入金")))))</f>
        <v/>
      </c>
      <c r="T666" s="31">
        <f>IF(OR($A666="",N($R666)&lt;=0,NOT(ISNUMBER($O666))),"",IF($O666&lt;'設定'!$B$7,'設定'!$B$7-$O666,""))</f>
        <v/>
      </c>
      <c r="U666" s="30">
        <f>IF(OR($A666="",N($R666)&lt;=0),"",IF(NOT(ISNUMBER($O666)),'設定'!$B$22,IF($O666&gt;='設定'!$B$7,'設定'!$B$17,IF('設定'!$B$7-$O666&lt;='設定'!$B$12,'設定'!$B$18,IF('設定'!$B$7-$O666&lt;='設定'!$B$13,'設定'!$B$19,IF('設定'!$B$7-$O666&lt;='設定'!$B$14,'設定'!$B$20,'設定'!$B$21))))))</f>
        <v/>
      </c>
      <c r="V666" s="56" t="n"/>
      <c r="W666" s="32">
        <f>IF($C666="","",IFERROR(MATCH($C666,'得意先'!$B$5:$B$104,0),"なし"))</f>
        <v/>
      </c>
      <c r="X666" s="33">
        <f>IF($A666="","",IF(ISNUMBER($E666),$E666,IF(ISNUMBER($B666),$B666,"")))</f>
        <v/>
      </c>
      <c r="Y666" s="34">
        <f>IF($T666="","",$O666+ROW()/1000000)</f>
        <v/>
      </c>
      <c r="Z666" s="35">
        <f>IF(OR($A666="",$C666="",$C666&lt;&gt;'売掛帳'!$B$3,NOT(ISNUMBER($X666))),"",IF(AND($X666&gt;='売掛帳'!$Q$3,$X666&lt;='売掛帳'!$Q$4),$X666+ROW()/10000000,""))</f>
        <v/>
      </c>
    </row>
    <row r="667" ht="18" customHeight="1">
      <c r="A667" s="18" t="n"/>
      <c r="B667" s="26" t="n"/>
      <c r="C667" s="18" t="n"/>
      <c r="D667" s="20">
        <f>IF($W667="","",IF($W667="なし","※得意先にないコード",INDEX('得意先'!$C$5:$C$104,$W667)&amp;""))</f>
        <v/>
      </c>
      <c r="E667" s="26" t="n"/>
      <c r="F667" s="19" t="n"/>
      <c r="G667" s="27" t="n"/>
      <c r="H667" s="27" t="n"/>
      <c r="I667" s="27" t="n"/>
      <c r="J667" s="28">
        <f>IF($A667="","",IF('設定'!$B$10="四捨五入",ROUND(IF('設定'!$B$9="税込",N($G667)*10/110,N($G667)*10/100),0),IF('設定'!$B$10="切り上げ",ROUNDUP(IF('設定'!$B$9="税込",N($G667)*10/110,N($G667)*10/100),0),ROUNDDOWN(IF('設定'!$B$9="税込",N($G667)*10/110,N($G667)*10/100),0))))</f>
        <v/>
      </c>
      <c r="K667" s="28">
        <f>IF($A667="","",IF('設定'!$B$10="四捨五入",ROUND(IF('設定'!$B$9="税込",N($H667)*8/108,N($H667)*8/100),0),IF('設定'!$B$10="切り上げ",ROUNDUP(IF('設定'!$B$9="税込",N($H667)*8/108,N($H667)*8/100),0),ROUNDDOWN(IF('設定'!$B$9="税込",N($H667)*8/108,N($H667)*8/100),0))))</f>
        <v/>
      </c>
      <c r="L667" s="28">
        <f>IF($A667="","",N($G667)+N($H667)+N($I667)+IF('設定'!$B$9="税込",0,$J667+$K667))</f>
        <v/>
      </c>
      <c r="M667" s="29">
        <f>IF(OR($A667="",NOT(ISNUMBER($W667)),NOT(ISNUMBER($X667))),"",IF(OR(INDEX('得意先'!$D$5:$D$104,$W667)="",INDEX('得意先'!$E$5:$E$104,$W667)="",INDEX('得意先'!$F$5:$F$104,$W667)=""),"",IF(INDEX('得意先'!$F$5:$F$104,$W667)="末",DATE(YEAR($X667),(MONTH($X667)+IF(INDEX('得意先'!$D$5:$D$104,$W667)="末",0,IF(DAY($X667)&lt;=INDEX('得意先'!$D$5:$D$104,$W667),0,1))+N(INDEX('得意先'!$E$5:$E$104,$W667)))+1,0),DATE(YEAR($X667),(MONTH($X667)+IF(INDEX('得意先'!$D$5:$D$104,$W667)="末",0,IF(DAY($X667)&lt;=INDEX('得意先'!$D$5:$D$104,$W667),0,1))+N(INDEX('得意先'!$E$5:$E$104,$W667))),MIN(INDEX('得意先'!$F$5:$F$104,$W667),DAY(DATE(YEAR($X667),(MONTH($X667)+IF(INDEX('得意先'!$D$5:$D$104,$W667)="末",0,IF(DAY($X667)&lt;=INDEX('得意先'!$D$5:$D$104,$W667),0,1))+N(INDEX('得意先'!$E$5:$E$104,$W667)))+1,0)))))))</f>
        <v/>
      </c>
      <c r="N667" s="26" t="n"/>
      <c r="O667" s="29">
        <f>IF($A667="","",IF(ISNUMBER($N667),$N667,$M667))</f>
        <v/>
      </c>
      <c r="P667" s="28">
        <f>IF($A667="","",SUMIF('入金消込'!$F$5:$F$1004,$A667,'入金消込'!$G$5:$G$1004))</f>
        <v/>
      </c>
      <c r="Q667" s="28">
        <f>IF($A667="","",SUMIF('入金消込'!$F$5:$F$1004,$A667,'入金消込'!$H$5:$H$1004)+SUMIF('入金消込'!$F$5:$F$1004,$A667,'入金消込'!$I$5:$I$1004))</f>
        <v/>
      </c>
      <c r="R667" s="28">
        <f>IF($A667="","",$L667-$P667-$Q667)</f>
        <v/>
      </c>
      <c r="S667" s="30">
        <f>IF($A667="","",IF($R667=0,IF($L667=0,"請求額0","回収済"),IF($L667&lt;0,IF($R667&lt;0,"差し引き待ち","差し引きすぎ"),IF($R667&lt;0,"入金が多い",IF($P667+$Q667=0,"未入金","一部入金")))))</f>
        <v/>
      </c>
      <c r="T667" s="31">
        <f>IF(OR($A667="",N($R667)&lt;=0,NOT(ISNUMBER($O667))),"",IF($O667&lt;'設定'!$B$7,'設定'!$B$7-$O667,""))</f>
        <v/>
      </c>
      <c r="U667" s="30">
        <f>IF(OR($A667="",N($R667)&lt;=0),"",IF(NOT(ISNUMBER($O667)),'設定'!$B$22,IF($O667&gt;='設定'!$B$7,'設定'!$B$17,IF('設定'!$B$7-$O667&lt;='設定'!$B$12,'設定'!$B$18,IF('設定'!$B$7-$O667&lt;='設定'!$B$13,'設定'!$B$19,IF('設定'!$B$7-$O667&lt;='設定'!$B$14,'設定'!$B$20,'設定'!$B$21))))))</f>
        <v/>
      </c>
      <c r="V667" s="56" t="n"/>
      <c r="W667" s="32">
        <f>IF($C667="","",IFERROR(MATCH($C667,'得意先'!$B$5:$B$104,0),"なし"))</f>
        <v/>
      </c>
      <c r="X667" s="33">
        <f>IF($A667="","",IF(ISNUMBER($E667),$E667,IF(ISNUMBER($B667),$B667,"")))</f>
        <v/>
      </c>
      <c r="Y667" s="34">
        <f>IF($T667="","",$O667+ROW()/1000000)</f>
        <v/>
      </c>
      <c r="Z667" s="35">
        <f>IF(OR($A667="",$C667="",$C667&lt;&gt;'売掛帳'!$B$3,NOT(ISNUMBER($X667))),"",IF(AND($X667&gt;='売掛帳'!$Q$3,$X667&lt;='売掛帳'!$Q$4),$X667+ROW()/10000000,""))</f>
        <v/>
      </c>
    </row>
    <row r="668" ht="18" customHeight="1">
      <c r="A668" s="18" t="n"/>
      <c r="B668" s="26" t="n"/>
      <c r="C668" s="18" t="n"/>
      <c r="D668" s="20">
        <f>IF($W668="","",IF($W668="なし","※得意先にないコード",INDEX('得意先'!$C$5:$C$104,$W668)&amp;""))</f>
        <v/>
      </c>
      <c r="E668" s="26" t="n"/>
      <c r="F668" s="19" t="n"/>
      <c r="G668" s="27" t="n"/>
      <c r="H668" s="27" t="n"/>
      <c r="I668" s="27" t="n"/>
      <c r="J668" s="28">
        <f>IF($A668="","",IF('設定'!$B$10="四捨五入",ROUND(IF('設定'!$B$9="税込",N($G668)*10/110,N($G668)*10/100),0),IF('設定'!$B$10="切り上げ",ROUNDUP(IF('設定'!$B$9="税込",N($G668)*10/110,N($G668)*10/100),0),ROUNDDOWN(IF('設定'!$B$9="税込",N($G668)*10/110,N($G668)*10/100),0))))</f>
        <v/>
      </c>
      <c r="K668" s="28">
        <f>IF($A668="","",IF('設定'!$B$10="四捨五入",ROUND(IF('設定'!$B$9="税込",N($H668)*8/108,N($H668)*8/100),0),IF('設定'!$B$10="切り上げ",ROUNDUP(IF('設定'!$B$9="税込",N($H668)*8/108,N($H668)*8/100),0),ROUNDDOWN(IF('設定'!$B$9="税込",N($H668)*8/108,N($H668)*8/100),0))))</f>
        <v/>
      </c>
      <c r="L668" s="28">
        <f>IF($A668="","",N($G668)+N($H668)+N($I668)+IF('設定'!$B$9="税込",0,$J668+$K668))</f>
        <v/>
      </c>
      <c r="M668" s="29">
        <f>IF(OR($A668="",NOT(ISNUMBER($W668)),NOT(ISNUMBER($X668))),"",IF(OR(INDEX('得意先'!$D$5:$D$104,$W668)="",INDEX('得意先'!$E$5:$E$104,$W668)="",INDEX('得意先'!$F$5:$F$104,$W668)=""),"",IF(INDEX('得意先'!$F$5:$F$104,$W668)="末",DATE(YEAR($X668),(MONTH($X668)+IF(INDEX('得意先'!$D$5:$D$104,$W668)="末",0,IF(DAY($X668)&lt;=INDEX('得意先'!$D$5:$D$104,$W668),0,1))+N(INDEX('得意先'!$E$5:$E$104,$W668)))+1,0),DATE(YEAR($X668),(MONTH($X668)+IF(INDEX('得意先'!$D$5:$D$104,$W668)="末",0,IF(DAY($X668)&lt;=INDEX('得意先'!$D$5:$D$104,$W668),0,1))+N(INDEX('得意先'!$E$5:$E$104,$W668))),MIN(INDEX('得意先'!$F$5:$F$104,$W668),DAY(DATE(YEAR($X668),(MONTH($X668)+IF(INDEX('得意先'!$D$5:$D$104,$W668)="末",0,IF(DAY($X668)&lt;=INDEX('得意先'!$D$5:$D$104,$W668),0,1))+N(INDEX('得意先'!$E$5:$E$104,$W668)))+1,0)))))))</f>
        <v/>
      </c>
      <c r="N668" s="26" t="n"/>
      <c r="O668" s="29">
        <f>IF($A668="","",IF(ISNUMBER($N668),$N668,$M668))</f>
        <v/>
      </c>
      <c r="P668" s="28">
        <f>IF($A668="","",SUMIF('入金消込'!$F$5:$F$1004,$A668,'入金消込'!$G$5:$G$1004))</f>
        <v/>
      </c>
      <c r="Q668" s="28">
        <f>IF($A668="","",SUMIF('入金消込'!$F$5:$F$1004,$A668,'入金消込'!$H$5:$H$1004)+SUMIF('入金消込'!$F$5:$F$1004,$A668,'入金消込'!$I$5:$I$1004))</f>
        <v/>
      </c>
      <c r="R668" s="28">
        <f>IF($A668="","",$L668-$P668-$Q668)</f>
        <v/>
      </c>
      <c r="S668" s="30">
        <f>IF($A668="","",IF($R668=0,IF($L668=0,"請求額0","回収済"),IF($L668&lt;0,IF($R668&lt;0,"差し引き待ち","差し引きすぎ"),IF($R668&lt;0,"入金が多い",IF($P668+$Q668=0,"未入金","一部入金")))))</f>
        <v/>
      </c>
      <c r="T668" s="31">
        <f>IF(OR($A668="",N($R668)&lt;=0,NOT(ISNUMBER($O668))),"",IF($O668&lt;'設定'!$B$7,'設定'!$B$7-$O668,""))</f>
        <v/>
      </c>
      <c r="U668" s="30">
        <f>IF(OR($A668="",N($R668)&lt;=0),"",IF(NOT(ISNUMBER($O668)),'設定'!$B$22,IF($O668&gt;='設定'!$B$7,'設定'!$B$17,IF('設定'!$B$7-$O668&lt;='設定'!$B$12,'設定'!$B$18,IF('設定'!$B$7-$O668&lt;='設定'!$B$13,'設定'!$B$19,IF('設定'!$B$7-$O668&lt;='設定'!$B$14,'設定'!$B$20,'設定'!$B$21))))))</f>
        <v/>
      </c>
      <c r="V668" s="56" t="n"/>
      <c r="W668" s="32">
        <f>IF($C668="","",IFERROR(MATCH($C668,'得意先'!$B$5:$B$104,0),"なし"))</f>
        <v/>
      </c>
      <c r="X668" s="33">
        <f>IF($A668="","",IF(ISNUMBER($E668),$E668,IF(ISNUMBER($B668),$B668,"")))</f>
        <v/>
      </c>
      <c r="Y668" s="34">
        <f>IF($T668="","",$O668+ROW()/1000000)</f>
        <v/>
      </c>
      <c r="Z668" s="35">
        <f>IF(OR($A668="",$C668="",$C668&lt;&gt;'売掛帳'!$B$3,NOT(ISNUMBER($X668))),"",IF(AND($X668&gt;='売掛帳'!$Q$3,$X668&lt;='売掛帳'!$Q$4),$X668+ROW()/10000000,""))</f>
        <v/>
      </c>
    </row>
    <row r="669" ht="18" customHeight="1">
      <c r="A669" s="18" t="n"/>
      <c r="B669" s="26" t="n"/>
      <c r="C669" s="18" t="n"/>
      <c r="D669" s="20">
        <f>IF($W669="","",IF($W669="なし","※得意先にないコード",INDEX('得意先'!$C$5:$C$104,$W669)&amp;""))</f>
        <v/>
      </c>
      <c r="E669" s="26" t="n"/>
      <c r="F669" s="19" t="n"/>
      <c r="G669" s="27" t="n"/>
      <c r="H669" s="27" t="n"/>
      <c r="I669" s="27" t="n"/>
      <c r="J669" s="28">
        <f>IF($A669="","",IF('設定'!$B$10="四捨五入",ROUND(IF('設定'!$B$9="税込",N($G669)*10/110,N($G669)*10/100),0),IF('設定'!$B$10="切り上げ",ROUNDUP(IF('設定'!$B$9="税込",N($G669)*10/110,N($G669)*10/100),0),ROUNDDOWN(IF('設定'!$B$9="税込",N($G669)*10/110,N($G669)*10/100),0))))</f>
        <v/>
      </c>
      <c r="K669" s="28">
        <f>IF($A669="","",IF('設定'!$B$10="四捨五入",ROUND(IF('設定'!$B$9="税込",N($H669)*8/108,N($H669)*8/100),0),IF('設定'!$B$10="切り上げ",ROUNDUP(IF('設定'!$B$9="税込",N($H669)*8/108,N($H669)*8/100),0),ROUNDDOWN(IF('設定'!$B$9="税込",N($H669)*8/108,N($H669)*8/100),0))))</f>
        <v/>
      </c>
      <c r="L669" s="28">
        <f>IF($A669="","",N($G669)+N($H669)+N($I669)+IF('設定'!$B$9="税込",0,$J669+$K669))</f>
        <v/>
      </c>
      <c r="M669" s="29">
        <f>IF(OR($A669="",NOT(ISNUMBER($W669)),NOT(ISNUMBER($X669))),"",IF(OR(INDEX('得意先'!$D$5:$D$104,$W669)="",INDEX('得意先'!$E$5:$E$104,$W669)="",INDEX('得意先'!$F$5:$F$104,$W669)=""),"",IF(INDEX('得意先'!$F$5:$F$104,$W669)="末",DATE(YEAR($X669),(MONTH($X669)+IF(INDEX('得意先'!$D$5:$D$104,$W669)="末",0,IF(DAY($X669)&lt;=INDEX('得意先'!$D$5:$D$104,$W669),0,1))+N(INDEX('得意先'!$E$5:$E$104,$W669)))+1,0),DATE(YEAR($X669),(MONTH($X669)+IF(INDEX('得意先'!$D$5:$D$104,$W669)="末",0,IF(DAY($X669)&lt;=INDEX('得意先'!$D$5:$D$104,$W669),0,1))+N(INDEX('得意先'!$E$5:$E$104,$W669))),MIN(INDEX('得意先'!$F$5:$F$104,$W669),DAY(DATE(YEAR($X669),(MONTH($X669)+IF(INDEX('得意先'!$D$5:$D$104,$W669)="末",0,IF(DAY($X669)&lt;=INDEX('得意先'!$D$5:$D$104,$W669),0,1))+N(INDEX('得意先'!$E$5:$E$104,$W669)))+1,0)))))))</f>
        <v/>
      </c>
      <c r="N669" s="26" t="n"/>
      <c r="O669" s="29">
        <f>IF($A669="","",IF(ISNUMBER($N669),$N669,$M669))</f>
        <v/>
      </c>
      <c r="P669" s="28">
        <f>IF($A669="","",SUMIF('入金消込'!$F$5:$F$1004,$A669,'入金消込'!$G$5:$G$1004))</f>
        <v/>
      </c>
      <c r="Q669" s="28">
        <f>IF($A669="","",SUMIF('入金消込'!$F$5:$F$1004,$A669,'入金消込'!$H$5:$H$1004)+SUMIF('入金消込'!$F$5:$F$1004,$A669,'入金消込'!$I$5:$I$1004))</f>
        <v/>
      </c>
      <c r="R669" s="28">
        <f>IF($A669="","",$L669-$P669-$Q669)</f>
        <v/>
      </c>
      <c r="S669" s="30">
        <f>IF($A669="","",IF($R669=0,IF($L669=0,"請求額0","回収済"),IF($L669&lt;0,IF($R669&lt;0,"差し引き待ち","差し引きすぎ"),IF($R669&lt;0,"入金が多い",IF($P669+$Q669=0,"未入金","一部入金")))))</f>
        <v/>
      </c>
      <c r="T669" s="31">
        <f>IF(OR($A669="",N($R669)&lt;=0,NOT(ISNUMBER($O669))),"",IF($O669&lt;'設定'!$B$7,'設定'!$B$7-$O669,""))</f>
        <v/>
      </c>
      <c r="U669" s="30">
        <f>IF(OR($A669="",N($R669)&lt;=0),"",IF(NOT(ISNUMBER($O669)),'設定'!$B$22,IF($O669&gt;='設定'!$B$7,'設定'!$B$17,IF('設定'!$B$7-$O669&lt;='設定'!$B$12,'設定'!$B$18,IF('設定'!$B$7-$O669&lt;='設定'!$B$13,'設定'!$B$19,IF('設定'!$B$7-$O669&lt;='設定'!$B$14,'設定'!$B$20,'設定'!$B$21))))))</f>
        <v/>
      </c>
      <c r="V669" s="56" t="n"/>
      <c r="W669" s="32">
        <f>IF($C669="","",IFERROR(MATCH($C669,'得意先'!$B$5:$B$104,0),"なし"))</f>
        <v/>
      </c>
      <c r="X669" s="33">
        <f>IF($A669="","",IF(ISNUMBER($E669),$E669,IF(ISNUMBER($B669),$B669,"")))</f>
        <v/>
      </c>
      <c r="Y669" s="34">
        <f>IF($T669="","",$O669+ROW()/1000000)</f>
        <v/>
      </c>
      <c r="Z669" s="35">
        <f>IF(OR($A669="",$C669="",$C669&lt;&gt;'売掛帳'!$B$3,NOT(ISNUMBER($X669))),"",IF(AND($X669&gt;='売掛帳'!$Q$3,$X669&lt;='売掛帳'!$Q$4),$X669+ROW()/10000000,""))</f>
        <v/>
      </c>
    </row>
    <row r="670" ht="18" customHeight="1">
      <c r="A670" s="18" t="n"/>
      <c r="B670" s="26" t="n"/>
      <c r="C670" s="18" t="n"/>
      <c r="D670" s="20">
        <f>IF($W670="","",IF($W670="なし","※得意先にないコード",INDEX('得意先'!$C$5:$C$104,$W670)&amp;""))</f>
        <v/>
      </c>
      <c r="E670" s="26" t="n"/>
      <c r="F670" s="19" t="n"/>
      <c r="G670" s="27" t="n"/>
      <c r="H670" s="27" t="n"/>
      <c r="I670" s="27" t="n"/>
      <c r="J670" s="28">
        <f>IF($A670="","",IF('設定'!$B$10="四捨五入",ROUND(IF('設定'!$B$9="税込",N($G670)*10/110,N($G670)*10/100),0),IF('設定'!$B$10="切り上げ",ROUNDUP(IF('設定'!$B$9="税込",N($G670)*10/110,N($G670)*10/100),0),ROUNDDOWN(IF('設定'!$B$9="税込",N($G670)*10/110,N($G670)*10/100),0))))</f>
        <v/>
      </c>
      <c r="K670" s="28">
        <f>IF($A670="","",IF('設定'!$B$10="四捨五入",ROUND(IF('設定'!$B$9="税込",N($H670)*8/108,N($H670)*8/100),0),IF('設定'!$B$10="切り上げ",ROUNDUP(IF('設定'!$B$9="税込",N($H670)*8/108,N($H670)*8/100),0),ROUNDDOWN(IF('設定'!$B$9="税込",N($H670)*8/108,N($H670)*8/100),0))))</f>
        <v/>
      </c>
      <c r="L670" s="28">
        <f>IF($A670="","",N($G670)+N($H670)+N($I670)+IF('設定'!$B$9="税込",0,$J670+$K670))</f>
        <v/>
      </c>
      <c r="M670" s="29">
        <f>IF(OR($A670="",NOT(ISNUMBER($W670)),NOT(ISNUMBER($X670))),"",IF(OR(INDEX('得意先'!$D$5:$D$104,$W670)="",INDEX('得意先'!$E$5:$E$104,$W670)="",INDEX('得意先'!$F$5:$F$104,$W670)=""),"",IF(INDEX('得意先'!$F$5:$F$104,$W670)="末",DATE(YEAR($X670),(MONTH($X670)+IF(INDEX('得意先'!$D$5:$D$104,$W670)="末",0,IF(DAY($X670)&lt;=INDEX('得意先'!$D$5:$D$104,$W670),0,1))+N(INDEX('得意先'!$E$5:$E$104,$W670)))+1,0),DATE(YEAR($X670),(MONTH($X670)+IF(INDEX('得意先'!$D$5:$D$104,$W670)="末",0,IF(DAY($X670)&lt;=INDEX('得意先'!$D$5:$D$104,$W670),0,1))+N(INDEX('得意先'!$E$5:$E$104,$W670))),MIN(INDEX('得意先'!$F$5:$F$104,$W670),DAY(DATE(YEAR($X670),(MONTH($X670)+IF(INDEX('得意先'!$D$5:$D$104,$W670)="末",0,IF(DAY($X670)&lt;=INDEX('得意先'!$D$5:$D$104,$W670),0,1))+N(INDEX('得意先'!$E$5:$E$104,$W670)))+1,0)))))))</f>
        <v/>
      </c>
      <c r="N670" s="26" t="n"/>
      <c r="O670" s="29">
        <f>IF($A670="","",IF(ISNUMBER($N670),$N670,$M670))</f>
        <v/>
      </c>
      <c r="P670" s="28">
        <f>IF($A670="","",SUMIF('入金消込'!$F$5:$F$1004,$A670,'入金消込'!$G$5:$G$1004))</f>
        <v/>
      </c>
      <c r="Q670" s="28">
        <f>IF($A670="","",SUMIF('入金消込'!$F$5:$F$1004,$A670,'入金消込'!$H$5:$H$1004)+SUMIF('入金消込'!$F$5:$F$1004,$A670,'入金消込'!$I$5:$I$1004))</f>
        <v/>
      </c>
      <c r="R670" s="28">
        <f>IF($A670="","",$L670-$P670-$Q670)</f>
        <v/>
      </c>
      <c r="S670" s="30">
        <f>IF($A670="","",IF($R670=0,IF($L670=0,"請求額0","回収済"),IF($L670&lt;0,IF($R670&lt;0,"差し引き待ち","差し引きすぎ"),IF($R670&lt;0,"入金が多い",IF($P670+$Q670=0,"未入金","一部入金")))))</f>
        <v/>
      </c>
      <c r="T670" s="31">
        <f>IF(OR($A670="",N($R670)&lt;=0,NOT(ISNUMBER($O670))),"",IF($O670&lt;'設定'!$B$7,'設定'!$B$7-$O670,""))</f>
        <v/>
      </c>
      <c r="U670" s="30">
        <f>IF(OR($A670="",N($R670)&lt;=0),"",IF(NOT(ISNUMBER($O670)),'設定'!$B$22,IF($O670&gt;='設定'!$B$7,'設定'!$B$17,IF('設定'!$B$7-$O670&lt;='設定'!$B$12,'設定'!$B$18,IF('設定'!$B$7-$O670&lt;='設定'!$B$13,'設定'!$B$19,IF('設定'!$B$7-$O670&lt;='設定'!$B$14,'設定'!$B$20,'設定'!$B$21))))))</f>
        <v/>
      </c>
      <c r="V670" s="56" t="n"/>
      <c r="W670" s="32">
        <f>IF($C670="","",IFERROR(MATCH($C670,'得意先'!$B$5:$B$104,0),"なし"))</f>
        <v/>
      </c>
      <c r="X670" s="33">
        <f>IF($A670="","",IF(ISNUMBER($E670),$E670,IF(ISNUMBER($B670),$B670,"")))</f>
        <v/>
      </c>
      <c r="Y670" s="34">
        <f>IF($T670="","",$O670+ROW()/1000000)</f>
        <v/>
      </c>
      <c r="Z670" s="35">
        <f>IF(OR($A670="",$C670="",$C670&lt;&gt;'売掛帳'!$B$3,NOT(ISNUMBER($X670))),"",IF(AND($X670&gt;='売掛帳'!$Q$3,$X670&lt;='売掛帳'!$Q$4),$X670+ROW()/10000000,""))</f>
        <v/>
      </c>
    </row>
    <row r="671" ht="18" customHeight="1">
      <c r="A671" s="18" t="n"/>
      <c r="B671" s="26" t="n"/>
      <c r="C671" s="18" t="n"/>
      <c r="D671" s="20">
        <f>IF($W671="","",IF($W671="なし","※得意先にないコード",INDEX('得意先'!$C$5:$C$104,$W671)&amp;""))</f>
        <v/>
      </c>
      <c r="E671" s="26" t="n"/>
      <c r="F671" s="19" t="n"/>
      <c r="G671" s="27" t="n"/>
      <c r="H671" s="27" t="n"/>
      <c r="I671" s="27" t="n"/>
      <c r="J671" s="28">
        <f>IF($A671="","",IF('設定'!$B$10="四捨五入",ROUND(IF('設定'!$B$9="税込",N($G671)*10/110,N($G671)*10/100),0),IF('設定'!$B$10="切り上げ",ROUNDUP(IF('設定'!$B$9="税込",N($G671)*10/110,N($G671)*10/100),0),ROUNDDOWN(IF('設定'!$B$9="税込",N($G671)*10/110,N($G671)*10/100),0))))</f>
        <v/>
      </c>
      <c r="K671" s="28">
        <f>IF($A671="","",IF('設定'!$B$10="四捨五入",ROUND(IF('設定'!$B$9="税込",N($H671)*8/108,N($H671)*8/100),0),IF('設定'!$B$10="切り上げ",ROUNDUP(IF('設定'!$B$9="税込",N($H671)*8/108,N($H671)*8/100),0),ROUNDDOWN(IF('設定'!$B$9="税込",N($H671)*8/108,N($H671)*8/100),0))))</f>
        <v/>
      </c>
      <c r="L671" s="28">
        <f>IF($A671="","",N($G671)+N($H671)+N($I671)+IF('設定'!$B$9="税込",0,$J671+$K671))</f>
        <v/>
      </c>
      <c r="M671" s="29">
        <f>IF(OR($A671="",NOT(ISNUMBER($W671)),NOT(ISNUMBER($X671))),"",IF(OR(INDEX('得意先'!$D$5:$D$104,$W671)="",INDEX('得意先'!$E$5:$E$104,$W671)="",INDEX('得意先'!$F$5:$F$104,$W671)=""),"",IF(INDEX('得意先'!$F$5:$F$104,$W671)="末",DATE(YEAR($X671),(MONTH($X671)+IF(INDEX('得意先'!$D$5:$D$104,$W671)="末",0,IF(DAY($X671)&lt;=INDEX('得意先'!$D$5:$D$104,$W671),0,1))+N(INDEX('得意先'!$E$5:$E$104,$W671)))+1,0),DATE(YEAR($X671),(MONTH($X671)+IF(INDEX('得意先'!$D$5:$D$104,$W671)="末",0,IF(DAY($X671)&lt;=INDEX('得意先'!$D$5:$D$104,$W671),0,1))+N(INDEX('得意先'!$E$5:$E$104,$W671))),MIN(INDEX('得意先'!$F$5:$F$104,$W671),DAY(DATE(YEAR($X671),(MONTH($X671)+IF(INDEX('得意先'!$D$5:$D$104,$W671)="末",0,IF(DAY($X671)&lt;=INDEX('得意先'!$D$5:$D$104,$W671),0,1))+N(INDEX('得意先'!$E$5:$E$104,$W671)))+1,0)))))))</f>
        <v/>
      </c>
      <c r="N671" s="26" t="n"/>
      <c r="O671" s="29">
        <f>IF($A671="","",IF(ISNUMBER($N671),$N671,$M671))</f>
        <v/>
      </c>
      <c r="P671" s="28">
        <f>IF($A671="","",SUMIF('入金消込'!$F$5:$F$1004,$A671,'入金消込'!$G$5:$G$1004))</f>
        <v/>
      </c>
      <c r="Q671" s="28">
        <f>IF($A671="","",SUMIF('入金消込'!$F$5:$F$1004,$A671,'入金消込'!$H$5:$H$1004)+SUMIF('入金消込'!$F$5:$F$1004,$A671,'入金消込'!$I$5:$I$1004))</f>
        <v/>
      </c>
      <c r="R671" s="28">
        <f>IF($A671="","",$L671-$P671-$Q671)</f>
        <v/>
      </c>
      <c r="S671" s="30">
        <f>IF($A671="","",IF($R671=0,IF($L671=0,"請求額0","回収済"),IF($L671&lt;0,IF($R671&lt;0,"差し引き待ち","差し引きすぎ"),IF($R671&lt;0,"入金が多い",IF($P671+$Q671=0,"未入金","一部入金")))))</f>
        <v/>
      </c>
      <c r="T671" s="31">
        <f>IF(OR($A671="",N($R671)&lt;=0,NOT(ISNUMBER($O671))),"",IF($O671&lt;'設定'!$B$7,'設定'!$B$7-$O671,""))</f>
        <v/>
      </c>
      <c r="U671" s="30">
        <f>IF(OR($A671="",N($R671)&lt;=0),"",IF(NOT(ISNUMBER($O671)),'設定'!$B$22,IF($O671&gt;='設定'!$B$7,'設定'!$B$17,IF('設定'!$B$7-$O671&lt;='設定'!$B$12,'設定'!$B$18,IF('設定'!$B$7-$O671&lt;='設定'!$B$13,'設定'!$B$19,IF('設定'!$B$7-$O671&lt;='設定'!$B$14,'設定'!$B$20,'設定'!$B$21))))))</f>
        <v/>
      </c>
      <c r="V671" s="56" t="n"/>
      <c r="W671" s="32">
        <f>IF($C671="","",IFERROR(MATCH($C671,'得意先'!$B$5:$B$104,0),"なし"))</f>
        <v/>
      </c>
      <c r="X671" s="33">
        <f>IF($A671="","",IF(ISNUMBER($E671),$E671,IF(ISNUMBER($B671),$B671,"")))</f>
        <v/>
      </c>
      <c r="Y671" s="34">
        <f>IF($T671="","",$O671+ROW()/1000000)</f>
        <v/>
      </c>
      <c r="Z671" s="35">
        <f>IF(OR($A671="",$C671="",$C671&lt;&gt;'売掛帳'!$B$3,NOT(ISNUMBER($X671))),"",IF(AND($X671&gt;='売掛帳'!$Q$3,$X671&lt;='売掛帳'!$Q$4),$X671+ROW()/10000000,""))</f>
        <v/>
      </c>
    </row>
    <row r="672" ht="18" customHeight="1">
      <c r="A672" s="18" t="n"/>
      <c r="B672" s="26" t="n"/>
      <c r="C672" s="18" t="n"/>
      <c r="D672" s="20">
        <f>IF($W672="","",IF($W672="なし","※得意先にないコード",INDEX('得意先'!$C$5:$C$104,$W672)&amp;""))</f>
        <v/>
      </c>
      <c r="E672" s="26" t="n"/>
      <c r="F672" s="19" t="n"/>
      <c r="G672" s="27" t="n"/>
      <c r="H672" s="27" t="n"/>
      <c r="I672" s="27" t="n"/>
      <c r="J672" s="28">
        <f>IF($A672="","",IF('設定'!$B$10="四捨五入",ROUND(IF('設定'!$B$9="税込",N($G672)*10/110,N($G672)*10/100),0),IF('設定'!$B$10="切り上げ",ROUNDUP(IF('設定'!$B$9="税込",N($G672)*10/110,N($G672)*10/100),0),ROUNDDOWN(IF('設定'!$B$9="税込",N($G672)*10/110,N($G672)*10/100),0))))</f>
        <v/>
      </c>
      <c r="K672" s="28">
        <f>IF($A672="","",IF('設定'!$B$10="四捨五入",ROUND(IF('設定'!$B$9="税込",N($H672)*8/108,N($H672)*8/100),0),IF('設定'!$B$10="切り上げ",ROUNDUP(IF('設定'!$B$9="税込",N($H672)*8/108,N($H672)*8/100),0),ROUNDDOWN(IF('設定'!$B$9="税込",N($H672)*8/108,N($H672)*8/100),0))))</f>
        <v/>
      </c>
      <c r="L672" s="28">
        <f>IF($A672="","",N($G672)+N($H672)+N($I672)+IF('設定'!$B$9="税込",0,$J672+$K672))</f>
        <v/>
      </c>
      <c r="M672" s="29">
        <f>IF(OR($A672="",NOT(ISNUMBER($W672)),NOT(ISNUMBER($X672))),"",IF(OR(INDEX('得意先'!$D$5:$D$104,$W672)="",INDEX('得意先'!$E$5:$E$104,$W672)="",INDEX('得意先'!$F$5:$F$104,$W672)=""),"",IF(INDEX('得意先'!$F$5:$F$104,$W672)="末",DATE(YEAR($X672),(MONTH($X672)+IF(INDEX('得意先'!$D$5:$D$104,$W672)="末",0,IF(DAY($X672)&lt;=INDEX('得意先'!$D$5:$D$104,$W672),0,1))+N(INDEX('得意先'!$E$5:$E$104,$W672)))+1,0),DATE(YEAR($X672),(MONTH($X672)+IF(INDEX('得意先'!$D$5:$D$104,$W672)="末",0,IF(DAY($X672)&lt;=INDEX('得意先'!$D$5:$D$104,$W672),0,1))+N(INDEX('得意先'!$E$5:$E$104,$W672))),MIN(INDEX('得意先'!$F$5:$F$104,$W672),DAY(DATE(YEAR($X672),(MONTH($X672)+IF(INDEX('得意先'!$D$5:$D$104,$W672)="末",0,IF(DAY($X672)&lt;=INDEX('得意先'!$D$5:$D$104,$W672),0,1))+N(INDEX('得意先'!$E$5:$E$104,$W672)))+1,0)))))))</f>
        <v/>
      </c>
      <c r="N672" s="26" t="n"/>
      <c r="O672" s="29">
        <f>IF($A672="","",IF(ISNUMBER($N672),$N672,$M672))</f>
        <v/>
      </c>
      <c r="P672" s="28">
        <f>IF($A672="","",SUMIF('入金消込'!$F$5:$F$1004,$A672,'入金消込'!$G$5:$G$1004))</f>
        <v/>
      </c>
      <c r="Q672" s="28">
        <f>IF($A672="","",SUMIF('入金消込'!$F$5:$F$1004,$A672,'入金消込'!$H$5:$H$1004)+SUMIF('入金消込'!$F$5:$F$1004,$A672,'入金消込'!$I$5:$I$1004))</f>
        <v/>
      </c>
      <c r="R672" s="28">
        <f>IF($A672="","",$L672-$P672-$Q672)</f>
        <v/>
      </c>
      <c r="S672" s="30">
        <f>IF($A672="","",IF($R672=0,IF($L672=0,"請求額0","回収済"),IF($L672&lt;0,IF($R672&lt;0,"差し引き待ち","差し引きすぎ"),IF($R672&lt;0,"入金が多い",IF($P672+$Q672=0,"未入金","一部入金")))))</f>
        <v/>
      </c>
      <c r="T672" s="31">
        <f>IF(OR($A672="",N($R672)&lt;=0,NOT(ISNUMBER($O672))),"",IF($O672&lt;'設定'!$B$7,'設定'!$B$7-$O672,""))</f>
        <v/>
      </c>
      <c r="U672" s="30">
        <f>IF(OR($A672="",N($R672)&lt;=0),"",IF(NOT(ISNUMBER($O672)),'設定'!$B$22,IF($O672&gt;='設定'!$B$7,'設定'!$B$17,IF('設定'!$B$7-$O672&lt;='設定'!$B$12,'設定'!$B$18,IF('設定'!$B$7-$O672&lt;='設定'!$B$13,'設定'!$B$19,IF('設定'!$B$7-$O672&lt;='設定'!$B$14,'設定'!$B$20,'設定'!$B$21))))))</f>
        <v/>
      </c>
      <c r="V672" s="56" t="n"/>
      <c r="W672" s="32">
        <f>IF($C672="","",IFERROR(MATCH($C672,'得意先'!$B$5:$B$104,0),"なし"))</f>
        <v/>
      </c>
      <c r="X672" s="33">
        <f>IF($A672="","",IF(ISNUMBER($E672),$E672,IF(ISNUMBER($B672),$B672,"")))</f>
        <v/>
      </c>
      <c r="Y672" s="34">
        <f>IF($T672="","",$O672+ROW()/1000000)</f>
        <v/>
      </c>
      <c r="Z672" s="35">
        <f>IF(OR($A672="",$C672="",$C672&lt;&gt;'売掛帳'!$B$3,NOT(ISNUMBER($X672))),"",IF(AND($X672&gt;='売掛帳'!$Q$3,$X672&lt;='売掛帳'!$Q$4),$X672+ROW()/10000000,""))</f>
        <v/>
      </c>
    </row>
    <row r="673" ht="18" customHeight="1">
      <c r="A673" s="18" t="n"/>
      <c r="B673" s="26" t="n"/>
      <c r="C673" s="18" t="n"/>
      <c r="D673" s="20">
        <f>IF($W673="","",IF($W673="なし","※得意先にないコード",INDEX('得意先'!$C$5:$C$104,$W673)&amp;""))</f>
        <v/>
      </c>
      <c r="E673" s="26" t="n"/>
      <c r="F673" s="19" t="n"/>
      <c r="G673" s="27" t="n"/>
      <c r="H673" s="27" t="n"/>
      <c r="I673" s="27" t="n"/>
      <c r="J673" s="28">
        <f>IF($A673="","",IF('設定'!$B$10="四捨五入",ROUND(IF('設定'!$B$9="税込",N($G673)*10/110,N($G673)*10/100),0),IF('設定'!$B$10="切り上げ",ROUNDUP(IF('設定'!$B$9="税込",N($G673)*10/110,N($G673)*10/100),0),ROUNDDOWN(IF('設定'!$B$9="税込",N($G673)*10/110,N($G673)*10/100),0))))</f>
        <v/>
      </c>
      <c r="K673" s="28">
        <f>IF($A673="","",IF('設定'!$B$10="四捨五入",ROUND(IF('設定'!$B$9="税込",N($H673)*8/108,N($H673)*8/100),0),IF('設定'!$B$10="切り上げ",ROUNDUP(IF('設定'!$B$9="税込",N($H673)*8/108,N($H673)*8/100),0),ROUNDDOWN(IF('設定'!$B$9="税込",N($H673)*8/108,N($H673)*8/100),0))))</f>
        <v/>
      </c>
      <c r="L673" s="28">
        <f>IF($A673="","",N($G673)+N($H673)+N($I673)+IF('設定'!$B$9="税込",0,$J673+$K673))</f>
        <v/>
      </c>
      <c r="M673" s="29">
        <f>IF(OR($A673="",NOT(ISNUMBER($W673)),NOT(ISNUMBER($X673))),"",IF(OR(INDEX('得意先'!$D$5:$D$104,$W673)="",INDEX('得意先'!$E$5:$E$104,$W673)="",INDEX('得意先'!$F$5:$F$104,$W673)=""),"",IF(INDEX('得意先'!$F$5:$F$104,$W673)="末",DATE(YEAR($X673),(MONTH($X673)+IF(INDEX('得意先'!$D$5:$D$104,$W673)="末",0,IF(DAY($X673)&lt;=INDEX('得意先'!$D$5:$D$104,$W673),0,1))+N(INDEX('得意先'!$E$5:$E$104,$W673)))+1,0),DATE(YEAR($X673),(MONTH($X673)+IF(INDEX('得意先'!$D$5:$D$104,$W673)="末",0,IF(DAY($X673)&lt;=INDEX('得意先'!$D$5:$D$104,$W673),0,1))+N(INDEX('得意先'!$E$5:$E$104,$W673))),MIN(INDEX('得意先'!$F$5:$F$104,$W673),DAY(DATE(YEAR($X673),(MONTH($X673)+IF(INDEX('得意先'!$D$5:$D$104,$W673)="末",0,IF(DAY($X673)&lt;=INDEX('得意先'!$D$5:$D$104,$W673),0,1))+N(INDEX('得意先'!$E$5:$E$104,$W673)))+1,0)))))))</f>
        <v/>
      </c>
      <c r="N673" s="26" t="n"/>
      <c r="O673" s="29">
        <f>IF($A673="","",IF(ISNUMBER($N673),$N673,$M673))</f>
        <v/>
      </c>
      <c r="P673" s="28">
        <f>IF($A673="","",SUMIF('入金消込'!$F$5:$F$1004,$A673,'入金消込'!$G$5:$G$1004))</f>
        <v/>
      </c>
      <c r="Q673" s="28">
        <f>IF($A673="","",SUMIF('入金消込'!$F$5:$F$1004,$A673,'入金消込'!$H$5:$H$1004)+SUMIF('入金消込'!$F$5:$F$1004,$A673,'入金消込'!$I$5:$I$1004))</f>
        <v/>
      </c>
      <c r="R673" s="28">
        <f>IF($A673="","",$L673-$P673-$Q673)</f>
        <v/>
      </c>
      <c r="S673" s="30">
        <f>IF($A673="","",IF($R673=0,IF($L673=0,"請求額0","回収済"),IF($L673&lt;0,IF($R673&lt;0,"差し引き待ち","差し引きすぎ"),IF($R673&lt;0,"入金が多い",IF($P673+$Q673=0,"未入金","一部入金")))))</f>
        <v/>
      </c>
      <c r="T673" s="31">
        <f>IF(OR($A673="",N($R673)&lt;=0,NOT(ISNUMBER($O673))),"",IF($O673&lt;'設定'!$B$7,'設定'!$B$7-$O673,""))</f>
        <v/>
      </c>
      <c r="U673" s="30">
        <f>IF(OR($A673="",N($R673)&lt;=0),"",IF(NOT(ISNUMBER($O673)),'設定'!$B$22,IF($O673&gt;='設定'!$B$7,'設定'!$B$17,IF('設定'!$B$7-$O673&lt;='設定'!$B$12,'設定'!$B$18,IF('設定'!$B$7-$O673&lt;='設定'!$B$13,'設定'!$B$19,IF('設定'!$B$7-$O673&lt;='設定'!$B$14,'設定'!$B$20,'設定'!$B$21))))))</f>
        <v/>
      </c>
      <c r="V673" s="56" t="n"/>
      <c r="W673" s="32">
        <f>IF($C673="","",IFERROR(MATCH($C673,'得意先'!$B$5:$B$104,0),"なし"))</f>
        <v/>
      </c>
      <c r="X673" s="33">
        <f>IF($A673="","",IF(ISNUMBER($E673),$E673,IF(ISNUMBER($B673),$B673,"")))</f>
        <v/>
      </c>
      <c r="Y673" s="34">
        <f>IF($T673="","",$O673+ROW()/1000000)</f>
        <v/>
      </c>
      <c r="Z673" s="35">
        <f>IF(OR($A673="",$C673="",$C673&lt;&gt;'売掛帳'!$B$3,NOT(ISNUMBER($X673))),"",IF(AND($X673&gt;='売掛帳'!$Q$3,$X673&lt;='売掛帳'!$Q$4),$X673+ROW()/10000000,""))</f>
        <v/>
      </c>
    </row>
    <row r="674" ht="18" customHeight="1">
      <c r="A674" s="18" t="n"/>
      <c r="B674" s="26" t="n"/>
      <c r="C674" s="18" t="n"/>
      <c r="D674" s="20">
        <f>IF($W674="","",IF($W674="なし","※得意先にないコード",INDEX('得意先'!$C$5:$C$104,$W674)&amp;""))</f>
        <v/>
      </c>
      <c r="E674" s="26" t="n"/>
      <c r="F674" s="19" t="n"/>
      <c r="G674" s="27" t="n"/>
      <c r="H674" s="27" t="n"/>
      <c r="I674" s="27" t="n"/>
      <c r="J674" s="28">
        <f>IF($A674="","",IF('設定'!$B$10="四捨五入",ROUND(IF('設定'!$B$9="税込",N($G674)*10/110,N($G674)*10/100),0),IF('設定'!$B$10="切り上げ",ROUNDUP(IF('設定'!$B$9="税込",N($G674)*10/110,N($G674)*10/100),0),ROUNDDOWN(IF('設定'!$B$9="税込",N($G674)*10/110,N($G674)*10/100),0))))</f>
        <v/>
      </c>
      <c r="K674" s="28">
        <f>IF($A674="","",IF('設定'!$B$10="四捨五入",ROUND(IF('設定'!$B$9="税込",N($H674)*8/108,N($H674)*8/100),0),IF('設定'!$B$10="切り上げ",ROUNDUP(IF('設定'!$B$9="税込",N($H674)*8/108,N($H674)*8/100),0),ROUNDDOWN(IF('設定'!$B$9="税込",N($H674)*8/108,N($H674)*8/100),0))))</f>
        <v/>
      </c>
      <c r="L674" s="28">
        <f>IF($A674="","",N($G674)+N($H674)+N($I674)+IF('設定'!$B$9="税込",0,$J674+$K674))</f>
        <v/>
      </c>
      <c r="M674" s="29">
        <f>IF(OR($A674="",NOT(ISNUMBER($W674)),NOT(ISNUMBER($X674))),"",IF(OR(INDEX('得意先'!$D$5:$D$104,$W674)="",INDEX('得意先'!$E$5:$E$104,$W674)="",INDEX('得意先'!$F$5:$F$104,$W674)=""),"",IF(INDEX('得意先'!$F$5:$F$104,$W674)="末",DATE(YEAR($X674),(MONTH($X674)+IF(INDEX('得意先'!$D$5:$D$104,$W674)="末",0,IF(DAY($X674)&lt;=INDEX('得意先'!$D$5:$D$104,$W674),0,1))+N(INDEX('得意先'!$E$5:$E$104,$W674)))+1,0),DATE(YEAR($X674),(MONTH($X674)+IF(INDEX('得意先'!$D$5:$D$104,$W674)="末",0,IF(DAY($X674)&lt;=INDEX('得意先'!$D$5:$D$104,$W674),0,1))+N(INDEX('得意先'!$E$5:$E$104,$W674))),MIN(INDEX('得意先'!$F$5:$F$104,$W674),DAY(DATE(YEAR($X674),(MONTH($X674)+IF(INDEX('得意先'!$D$5:$D$104,$W674)="末",0,IF(DAY($X674)&lt;=INDEX('得意先'!$D$5:$D$104,$W674),0,1))+N(INDEX('得意先'!$E$5:$E$104,$W674)))+1,0)))))))</f>
        <v/>
      </c>
      <c r="N674" s="26" t="n"/>
      <c r="O674" s="29">
        <f>IF($A674="","",IF(ISNUMBER($N674),$N674,$M674))</f>
        <v/>
      </c>
      <c r="P674" s="28">
        <f>IF($A674="","",SUMIF('入金消込'!$F$5:$F$1004,$A674,'入金消込'!$G$5:$G$1004))</f>
        <v/>
      </c>
      <c r="Q674" s="28">
        <f>IF($A674="","",SUMIF('入金消込'!$F$5:$F$1004,$A674,'入金消込'!$H$5:$H$1004)+SUMIF('入金消込'!$F$5:$F$1004,$A674,'入金消込'!$I$5:$I$1004))</f>
        <v/>
      </c>
      <c r="R674" s="28">
        <f>IF($A674="","",$L674-$P674-$Q674)</f>
        <v/>
      </c>
      <c r="S674" s="30">
        <f>IF($A674="","",IF($R674=0,IF($L674=0,"請求額0","回収済"),IF($L674&lt;0,IF($R674&lt;0,"差し引き待ち","差し引きすぎ"),IF($R674&lt;0,"入金が多い",IF($P674+$Q674=0,"未入金","一部入金")))))</f>
        <v/>
      </c>
      <c r="T674" s="31">
        <f>IF(OR($A674="",N($R674)&lt;=0,NOT(ISNUMBER($O674))),"",IF($O674&lt;'設定'!$B$7,'設定'!$B$7-$O674,""))</f>
        <v/>
      </c>
      <c r="U674" s="30">
        <f>IF(OR($A674="",N($R674)&lt;=0),"",IF(NOT(ISNUMBER($O674)),'設定'!$B$22,IF($O674&gt;='設定'!$B$7,'設定'!$B$17,IF('設定'!$B$7-$O674&lt;='設定'!$B$12,'設定'!$B$18,IF('設定'!$B$7-$O674&lt;='設定'!$B$13,'設定'!$B$19,IF('設定'!$B$7-$O674&lt;='設定'!$B$14,'設定'!$B$20,'設定'!$B$21))))))</f>
        <v/>
      </c>
      <c r="V674" s="56" t="n"/>
      <c r="W674" s="32">
        <f>IF($C674="","",IFERROR(MATCH($C674,'得意先'!$B$5:$B$104,0),"なし"))</f>
        <v/>
      </c>
      <c r="X674" s="33">
        <f>IF($A674="","",IF(ISNUMBER($E674),$E674,IF(ISNUMBER($B674),$B674,"")))</f>
        <v/>
      </c>
      <c r="Y674" s="34">
        <f>IF($T674="","",$O674+ROW()/1000000)</f>
        <v/>
      </c>
      <c r="Z674" s="35">
        <f>IF(OR($A674="",$C674="",$C674&lt;&gt;'売掛帳'!$B$3,NOT(ISNUMBER($X674))),"",IF(AND($X674&gt;='売掛帳'!$Q$3,$X674&lt;='売掛帳'!$Q$4),$X674+ROW()/10000000,""))</f>
        <v/>
      </c>
    </row>
    <row r="675" ht="18" customHeight="1">
      <c r="A675" s="18" t="n"/>
      <c r="B675" s="26" t="n"/>
      <c r="C675" s="18" t="n"/>
      <c r="D675" s="20">
        <f>IF($W675="","",IF($W675="なし","※得意先にないコード",INDEX('得意先'!$C$5:$C$104,$W675)&amp;""))</f>
        <v/>
      </c>
      <c r="E675" s="26" t="n"/>
      <c r="F675" s="19" t="n"/>
      <c r="G675" s="27" t="n"/>
      <c r="H675" s="27" t="n"/>
      <c r="I675" s="27" t="n"/>
      <c r="J675" s="28">
        <f>IF($A675="","",IF('設定'!$B$10="四捨五入",ROUND(IF('設定'!$B$9="税込",N($G675)*10/110,N($G675)*10/100),0),IF('設定'!$B$10="切り上げ",ROUNDUP(IF('設定'!$B$9="税込",N($G675)*10/110,N($G675)*10/100),0),ROUNDDOWN(IF('設定'!$B$9="税込",N($G675)*10/110,N($G675)*10/100),0))))</f>
        <v/>
      </c>
      <c r="K675" s="28">
        <f>IF($A675="","",IF('設定'!$B$10="四捨五入",ROUND(IF('設定'!$B$9="税込",N($H675)*8/108,N($H675)*8/100),0),IF('設定'!$B$10="切り上げ",ROUNDUP(IF('設定'!$B$9="税込",N($H675)*8/108,N($H675)*8/100),0),ROUNDDOWN(IF('設定'!$B$9="税込",N($H675)*8/108,N($H675)*8/100),0))))</f>
        <v/>
      </c>
      <c r="L675" s="28">
        <f>IF($A675="","",N($G675)+N($H675)+N($I675)+IF('設定'!$B$9="税込",0,$J675+$K675))</f>
        <v/>
      </c>
      <c r="M675" s="29">
        <f>IF(OR($A675="",NOT(ISNUMBER($W675)),NOT(ISNUMBER($X675))),"",IF(OR(INDEX('得意先'!$D$5:$D$104,$W675)="",INDEX('得意先'!$E$5:$E$104,$W675)="",INDEX('得意先'!$F$5:$F$104,$W675)=""),"",IF(INDEX('得意先'!$F$5:$F$104,$W675)="末",DATE(YEAR($X675),(MONTH($X675)+IF(INDEX('得意先'!$D$5:$D$104,$W675)="末",0,IF(DAY($X675)&lt;=INDEX('得意先'!$D$5:$D$104,$W675),0,1))+N(INDEX('得意先'!$E$5:$E$104,$W675)))+1,0),DATE(YEAR($X675),(MONTH($X675)+IF(INDEX('得意先'!$D$5:$D$104,$W675)="末",0,IF(DAY($X675)&lt;=INDEX('得意先'!$D$5:$D$104,$W675),0,1))+N(INDEX('得意先'!$E$5:$E$104,$W675))),MIN(INDEX('得意先'!$F$5:$F$104,$W675),DAY(DATE(YEAR($X675),(MONTH($X675)+IF(INDEX('得意先'!$D$5:$D$104,$W675)="末",0,IF(DAY($X675)&lt;=INDEX('得意先'!$D$5:$D$104,$W675),0,1))+N(INDEX('得意先'!$E$5:$E$104,$W675)))+1,0)))))))</f>
        <v/>
      </c>
      <c r="N675" s="26" t="n"/>
      <c r="O675" s="29">
        <f>IF($A675="","",IF(ISNUMBER($N675),$N675,$M675))</f>
        <v/>
      </c>
      <c r="P675" s="28">
        <f>IF($A675="","",SUMIF('入金消込'!$F$5:$F$1004,$A675,'入金消込'!$G$5:$G$1004))</f>
        <v/>
      </c>
      <c r="Q675" s="28">
        <f>IF($A675="","",SUMIF('入金消込'!$F$5:$F$1004,$A675,'入金消込'!$H$5:$H$1004)+SUMIF('入金消込'!$F$5:$F$1004,$A675,'入金消込'!$I$5:$I$1004))</f>
        <v/>
      </c>
      <c r="R675" s="28">
        <f>IF($A675="","",$L675-$P675-$Q675)</f>
        <v/>
      </c>
      <c r="S675" s="30">
        <f>IF($A675="","",IF($R675=0,IF($L675=0,"請求額0","回収済"),IF($L675&lt;0,IF($R675&lt;0,"差し引き待ち","差し引きすぎ"),IF($R675&lt;0,"入金が多い",IF($P675+$Q675=0,"未入金","一部入金")))))</f>
        <v/>
      </c>
      <c r="T675" s="31">
        <f>IF(OR($A675="",N($R675)&lt;=0,NOT(ISNUMBER($O675))),"",IF($O675&lt;'設定'!$B$7,'設定'!$B$7-$O675,""))</f>
        <v/>
      </c>
      <c r="U675" s="30">
        <f>IF(OR($A675="",N($R675)&lt;=0),"",IF(NOT(ISNUMBER($O675)),'設定'!$B$22,IF($O675&gt;='設定'!$B$7,'設定'!$B$17,IF('設定'!$B$7-$O675&lt;='設定'!$B$12,'設定'!$B$18,IF('設定'!$B$7-$O675&lt;='設定'!$B$13,'設定'!$B$19,IF('設定'!$B$7-$O675&lt;='設定'!$B$14,'設定'!$B$20,'設定'!$B$21))))))</f>
        <v/>
      </c>
      <c r="V675" s="56" t="n"/>
      <c r="W675" s="32">
        <f>IF($C675="","",IFERROR(MATCH($C675,'得意先'!$B$5:$B$104,0),"なし"))</f>
        <v/>
      </c>
      <c r="X675" s="33">
        <f>IF($A675="","",IF(ISNUMBER($E675),$E675,IF(ISNUMBER($B675),$B675,"")))</f>
        <v/>
      </c>
      <c r="Y675" s="34">
        <f>IF($T675="","",$O675+ROW()/1000000)</f>
        <v/>
      </c>
      <c r="Z675" s="35">
        <f>IF(OR($A675="",$C675="",$C675&lt;&gt;'売掛帳'!$B$3,NOT(ISNUMBER($X675))),"",IF(AND($X675&gt;='売掛帳'!$Q$3,$X675&lt;='売掛帳'!$Q$4),$X675+ROW()/10000000,""))</f>
        <v/>
      </c>
    </row>
    <row r="676" ht="18" customHeight="1">
      <c r="A676" s="18" t="n"/>
      <c r="B676" s="26" t="n"/>
      <c r="C676" s="18" t="n"/>
      <c r="D676" s="20">
        <f>IF($W676="","",IF($W676="なし","※得意先にないコード",INDEX('得意先'!$C$5:$C$104,$W676)&amp;""))</f>
        <v/>
      </c>
      <c r="E676" s="26" t="n"/>
      <c r="F676" s="19" t="n"/>
      <c r="G676" s="27" t="n"/>
      <c r="H676" s="27" t="n"/>
      <c r="I676" s="27" t="n"/>
      <c r="J676" s="28">
        <f>IF($A676="","",IF('設定'!$B$10="四捨五入",ROUND(IF('設定'!$B$9="税込",N($G676)*10/110,N($G676)*10/100),0),IF('設定'!$B$10="切り上げ",ROUNDUP(IF('設定'!$B$9="税込",N($G676)*10/110,N($G676)*10/100),0),ROUNDDOWN(IF('設定'!$B$9="税込",N($G676)*10/110,N($G676)*10/100),0))))</f>
        <v/>
      </c>
      <c r="K676" s="28">
        <f>IF($A676="","",IF('設定'!$B$10="四捨五入",ROUND(IF('設定'!$B$9="税込",N($H676)*8/108,N($H676)*8/100),0),IF('設定'!$B$10="切り上げ",ROUNDUP(IF('設定'!$B$9="税込",N($H676)*8/108,N($H676)*8/100),0),ROUNDDOWN(IF('設定'!$B$9="税込",N($H676)*8/108,N($H676)*8/100),0))))</f>
        <v/>
      </c>
      <c r="L676" s="28">
        <f>IF($A676="","",N($G676)+N($H676)+N($I676)+IF('設定'!$B$9="税込",0,$J676+$K676))</f>
        <v/>
      </c>
      <c r="M676" s="29">
        <f>IF(OR($A676="",NOT(ISNUMBER($W676)),NOT(ISNUMBER($X676))),"",IF(OR(INDEX('得意先'!$D$5:$D$104,$W676)="",INDEX('得意先'!$E$5:$E$104,$W676)="",INDEX('得意先'!$F$5:$F$104,$W676)=""),"",IF(INDEX('得意先'!$F$5:$F$104,$W676)="末",DATE(YEAR($X676),(MONTH($X676)+IF(INDEX('得意先'!$D$5:$D$104,$W676)="末",0,IF(DAY($X676)&lt;=INDEX('得意先'!$D$5:$D$104,$W676),0,1))+N(INDEX('得意先'!$E$5:$E$104,$W676)))+1,0),DATE(YEAR($X676),(MONTH($X676)+IF(INDEX('得意先'!$D$5:$D$104,$W676)="末",0,IF(DAY($X676)&lt;=INDEX('得意先'!$D$5:$D$104,$W676),0,1))+N(INDEX('得意先'!$E$5:$E$104,$W676))),MIN(INDEX('得意先'!$F$5:$F$104,$W676),DAY(DATE(YEAR($X676),(MONTH($X676)+IF(INDEX('得意先'!$D$5:$D$104,$W676)="末",0,IF(DAY($X676)&lt;=INDEX('得意先'!$D$5:$D$104,$W676),0,1))+N(INDEX('得意先'!$E$5:$E$104,$W676)))+1,0)))))))</f>
        <v/>
      </c>
      <c r="N676" s="26" t="n"/>
      <c r="O676" s="29">
        <f>IF($A676="","",IF(ISNUMBER($N676),$N676,$M676))</f>
        <v/>
      </c>
      <c r="P676" s="28">
        <f>IF($A676="","",SUMIF('入金消込'!$F$5:$F$1004,$A676,'入金消込'!$G$5:$G$1004))</f>
        <v/>
      </c>
      <c r="Q676" s="28">
        <f>IF($A676="","",SUMIF('入金消込'!$F$5:$F$1004,$A676,'入金消込'!$H$5:$H$1004)+SUMIF('入金消込'!$F$5:$F$1004,$A676,'入金消込'!$I$5:$I$1004))</f>
        <v/>
      </c>
      <c r="R676" s="28">
        <f>IF($A676="","",$L676-$P676-$Q676)</f>
        <v/>
      </c>
      <c r="S676" s="30">
        <f>IF($A676="","",IF($R676=0,IF($L676=0,"請求額0","回収済"),IF($L676&lt;0,IF($R676&lt;0,"差し引き待ち","差し引きすぎ"),IF($R676&lt;0,"入金が多い",IF($P676+$Q676=0,"未入金","一部入金")))))</f>
        <v/>
      </c>
      <c r="T676" s="31">
        <f>IF(OR($A676="",N($R676)&lt;=0,NOT(ISNUMBER($O676))),"",IF($O676&lt;'設定'!$B$7,'設定'!$B$7-$O676,""))</f>
        <v/>
      </c>
      <c r="U676" s="30">
        <f>IF(OR($A676="",N($R676)&lt;=0),"",IF(NOT(ISNUMBER($O676)),'設定'!$B$22,IF($O676&gt;='設定'!$B$7,'設定'!$B$17,IF('設定'!$B$7-$O676&lt;='設定'!$B$12,'設定'!$B$18,IF('設定'!$B$7-$O676&lt;='設定'!$B$13,'設定'!$B$19,IF('設定'!$B$7-$O676&lt;='設定'!$B$14,'設定'!$B$20,'設定'!$B$21))))))</f>
        <v/>
      </c>
      <c r="V676" s="56" t="n"/>
      <c r="W676" s="32">
        <f>IF($C676="","",IFERROR(MATCH($C676,'得意先'!$B$5:$B$104,0),"なし"))</f>
        <v/>
      </c>
      <c r="X676" s="33">
        <f>IF($A676="","",IF(ISNUMBER($E676),$E676,IF(ISNUMBER($B676),$B676,"")))</f>
        <v/>
      </c>
      <c r="Y676" s="34">
        <f>IF($T676="","",$O676+ROW()/1000000)</f>
        <v/>
      </c>
      <c r="Z676" s="35">
        <f>IF(OR($A676="",$C676="",$C676&lt;&gt;'売掛帳'!$B$3,NOT(ISNUMBER($X676))),"",IF(AND($X676&gt;='売掛帳'!$Q$3,$X676&lt;='売掛帳'!$Q$4),$X676+ROW()/10000000,""))</f>
        <v/>
      </c>
    </row>
    <row r="677" ht="18" customHeight="1">
      <c r="A677" s="18" t="n"/>
      <c r="B677" s="26" t="n"/>
      <c r="C677" s="18" t="n"/>
      <c r="D677" s="20">
        <f>IF($W677="","",IF($W677="なし","※得意先にないコード",INDEX('得意先'!$C$5:$C$104,$W677)&amp;""))</f>
        <v/>
      </c>
      <c r="E677" s="26" t="n"/>
      <c r="F677" s="19" t="n"/>
      <c r="G677" s="27" t="n"/>
      <c r="H677" s="27" t="n"/>
      <c r="I677" s="27" t="n"/>
      <c r="J677" s="28">
        <f>IF($A677="","",IF('設定'!$B$10="四捨五入",ROUND(IF('設定'!$B$9="税込",N($G677)*10/110,N($G677)*10/100),0),IF('設定'!$B$10="切り上げ",ROUNDUP(IF('設定'!$B$9="税込",N($G677)*10/110,N($G677)*10/100),0),ROUNDDOWN(IF('設定'!$B$9="税込",N($G677)*10/110,N($G677)*10/100),0))))</f>
        <v/>
      </c>
      <c r="K677" s="28">
        <f>IF($A677="","",IF('設定'!$B$10="四捨五入",ROUND(IF('設定'!$B$9="税込",N($H677)*8/108,N($H677)*8/100),0),IF('設定'!$B$10="切り上げ",ROUNDUP(IF('設定'!$B$9="税込",N($H677)*8/108,N($H677)*8/100),0),ROUNDDOWN(IF('設定'!$B$9="税込",N($H677)*8/108,N($H677)*8/100),0))))</f>
        <v/>
      </c>
      <c r="L677" s="28">
        <f>IF($A677="","",N($G677)+N($H677)+N($I677)+IF('設定'!$B$9="税込",0,$J677+$K677))</f>
        <v/>
      </c>
      <c r="M677" s="29">
        <f>IF(OR($A677="",NOT(ISNUMBER($W677)),NOT(ISNUMBER($X677))),"",IF(OR(INDEX('得意先'!$D$5:$D$104,$W677)="",INDEX('得意先'!$E$5:$E$104,$W677)="",INDEX('得意先'!$F$5:$F$104,$W677)=""),"",IF(INDEX('得意先'!$F$5:$F$104,$W677)="末",DATE(YEAR($X677),(MONTH($X677)+IF(INDEX('得意先'!$D$5:$D$104,$W677)="末",0,IF(DAY($X677)&lt;=INDEX('得意先'!$D$5:$D$104,$W677),0,1))+N(INDEX('得意先'!$E$5:$E$104,$W677)))+1,0),DATE(YEAR($X677),(MONTH($X677)+IF(INDEX('得意先'!$D$5:$D$104,$W677)="末",0,IF(DAY($X677)&lt;=INDEX('得意先'!$D$5:$D$104,$W677),0,1))+N(INDEX('得意先'!$E$5:$E$104,$W677))),MIN(INDEX('得意先'!$F$5:$F$104,$W677),DAY(DATE(YEAR($X677),(MONTH($X677)+IF(INDEX('得意先'!$D$5:$D$104,$W677)="末",0,IF(DAY($X677)&lt;=INDEX('得意先'!$D$5:$D$104,$W677),0,1))+N(INDEX('得意先'!$E$5:$E$104,$W677)))+1,0)))))))</f>
        <v/>
      </c>
      <c r="N677" s="26" t="n"/>
      <c r="O677" s="29">
        <f>IF($A677="","",IF(ISNUMBER($N677),$N677,$M677))</f>
        <v/>
      </c>
      <c r="P677" s="28">
        <f>IF($A677="","",SUMIF('入金消込'!$F$5:$F$1004,$A677,'入金消込'!$G$5:$G$1004))</f>
        <v/>
      </c>
      <c r="Q677" s="28">
        <f>IF($A677="","",SUMIF('入金消込'!$F$5:$F$1004,$A677,'入金消込'!$H$5:$H$1004)+SUMIF('入金消込'!$F$5:$F$1004,$A677,'入金消込'!$I$5:$I$1004))</f>
        <v/>
      </c>
      <c r="R677" s="28">
        <f>IF($A677="","",$L677-$P677-$Q677)</f>
        <v/>
      </c>
      <c r="S677" s="30">
        <f>IF($A677="","",IF($R677=0,IF($L677=0,"請求額0","回収済"),IF($L677&lt;0,IF($R677&lt;0,"差し引き待ち","差し引きすぎ"),IF($R677&lt;0,"入金が多い",IF($P677+$Q677=0,"未入金","一部入金")))))</f>
        <v/>
      </c>
      <c r="T677" s="31">
        <f>IF(OR($A677="",N($R677)&lt;=0,NOT(ISNUMBER($O677))),"",IF($O677&lt;'設定'!$B$7,'設定'!$B$7-$O677,""))</f>
        <v/>
      </c>
      <c r="U677" s="30">
        <f>IF(OR($A677="",N($R677)&lt;=0),"",IF(NOT(ISNUMBER($O677)),'設定'!$B$22,IF($O677&gt;='設定'!$B$7,'設定'!$B$17,IF('設定'!$B$7-$O677&lt;='設定'!$B$12,'設定'!$B$18,IF('設定'!$B$7-$O677&lt;='設定'!$B$13,'設定'!$B$19,IF('設定'!$B$7-$O677&lt;='設定'!$B$14,'設定'!$B$20,'設定'!$B$21))))))</f>
        <v/>
      </c>
      <c r="V677" s="56" t="n"/>
      <c r="W677" s="32">
        <f>IF($C677="","",IFERROR(MATCH($C677,'得意先'!$B$5:$B$104,0),"なし"))</f>
        <v/>
      </c>
      <c r="X677" s="33">
        <f>IF($A677="","",IF(ISNUMBER($E677),$E677,IF(ISNUMBER($B677),$B677,"")))</f>
        <v/>
      </c>
      <c r="Y677" s="34">
        <f>IF($T677="","",$O677+ROW()/1000000)</f>
        <v/>
      </c>
      <c r="Z677" s="35">
        <f>IF(OR($A677="",$C677="",$C677&lt;&gt;'売掛帳'!$B$3,NOT(ISNUMBER($X677))),"",IF(AND($X677&gt;='売掛帳'!$Q$3,$X677&lt;='売掛帳'!$Q$4),$X677+ROW()/10000000,""))</f>
        <v/>
      </c>
    </row>
    <row r="678" ht="18" customHeight="1">
      <c r="A678" s="18" t="n"/>
      <c r="B678" s="26" t="n"/>
      <c r="C678" s="18" t="n"/>
      <c r="D678" s="20">
        <f>IF($W678="","",IF($W678="なし","※得意先にないコード",INDEX('得意先'!$C$5:$C$104,$W678)&amp;""))</f>
        <v/>
      </c>
      <c r="E678" s="26" t="n"/>
      <c r="F678" s="19" t="n"/>
      <c r="G678" s="27" t="n"/>
      <c r="H678" s="27" t="n"/>
      <c r="I678" s="27" t="n"/>
      <c r="J678" s="28">
        <f>IF($A678="","",IF('設定'!$B$10="四捨五入",ROUND(IF('設定'!$B$9="税込",N($G678)*10/110,N($G678)*10/100),0),IF('設定'!$B$10="切り上げ",ROUNDUP(IF('設定'!$B$9="税込",N($G678)*10/110,N($G678)*10/100),0),ROUNDDOWN(IF('設定'!$B$9="税込",N($G678)*10/110,N($G678)*10/100),0))))</f>
        <v/>
      </c>
      <c r="K678" s="28">
        <f>IF($A678="","",IF('設定'!$B$10="四捨五入",ROUND(IF('設定'!$B$9="税込",N($H678)*8/108,N($H678)*8/100),0),IF('設定'!$B$10="切り上げ",ROUNDUP(IF('設定'!$B$9="税込",N($H678)*8/108,N($H678)*8/100),0),ROUNDDOWN(IF('設定'!$B$9="税込",N($H678)*8/108,N($H678)*8/100),0))))</f>
        <v/>
      </c>
      <c r="L678" s="28">
        <f>IF($A678="","",N($G678)+N($H678)+N($I678)+IF('設定'!$B$9="税込",0,$J678+$K678))</f>
        <v/>
      </c>
      <c r="M678" s="29">
        <f>IF(OR($A678="",NOT(ISNUMBER($W678)),NOT(ISNUMBER($X678))),"",IF(OR(INDEX('得意先'!$D$5:$D$104,$W678)="",INDEX('得意先'!$E$5:$E$104,$W678)="",INDEX('得意先'!$F$5:$F$104,$W678)=""),"",IF(INDEX('得意先'!$F$5:$F$104,$W678)="末",DATE(YEAR($X678),(MONTH($X678)+IF(INDEX('得意先'!$D$5:$D$104,$W678)="末",0,IF(DAY($X678)&lt;=INDEX('得意先'!$D$5:$D$104,$W678),0,1))+N(INDEX('得意先'!$E$5:$E$104,$W678)))+1,0),DATE(YEAR($X678),(MONTH($X678)+IF(INDEX('得意先'!$D$5:$D$104,$W678)="末",0,IF(DAY($X678)&lt;=INDEX('得意先'!$D$5:$D$104,$W678),0,1))+N(INDEX('得意先'!$E$5:$E$104,$W678))),MIN(INDEX('得意先'!$F$5:$F$104,$W678),DAY(DATE(YEAR($X678),(MONTH($X678)+IF(INDEX('得意先'!$D$5:$D$104,$W678)="末",0,IF(DAY($X678)&lt;=INDEX('得意先'!$D$5:$D$104,$W678),0,1))+N(INDEX('得意先'!$E$5:$E$104,$W678)))+1,0)))))))</f>
        <v/>
      </c>
      <c r="N678" s="26" t="n"/>
      <c r="O678" s="29">
        <f>IF($A678="","",IF(ISNUMBER($N678),$N678,$M678))</f>
        <v/>
      </c>
      <c r="P678" s="28">
        <f>IF($A678="","",SUMIF('入金消込'!$F$5:$F$1004,$A678,'入金消込'!$G$5:$G$1004))</f>
        <v/>
      </c>
      <c r="Q678" s="28">
        <f>IF($A678="","",SUMIF('入金消込'!$F$5:$F$1004,$A678,'入金消込'!$H$5:$H$1004)+SUMIF('入金消込'!$F$5:$F$1004,$A678,'入金消込'!$I$5:$I$1004))</f>
        <v/>
      </c>
      <c r="R678" s="28">
        <f>IF($A678="","",$L678-$P678-$Q678)</f>
        <v/>
      </c>
      <c r="S678" s="30">
        <f>IF($A678="","",IF($R678=0,IF($L678=0,"請求額0","回収済"),IF($L678&lt;0,IF($R678&lt;0,"差し引き待ち","差し引きすぎ"),IF($R678&lt;0,"入金が多い",IF($P678+$Q678=0,"未入金","一部入金")))))</f>
        <v/>
      </c>
      <c r="T678" s="31">
        <f>IF(OR($A678="",N($R678)&lt;=0,NOT(ISNUMBER($O678))),"",IF($O678&lt;'設定'!$B$7,'設定'!$B$7-$O678,""))</f>
        <v/>
      </c>
      <c r="U678" s="30">
        <f>IF(OR($A678="",N($R678)&lt;=0),"",IF(NOT(ISNUMBER($O678)),'設定'!$B$22,IF($O678&gt;='設定'!$B$7,'設定'!$B$17,IF('設定'!$B$7-$O678&lt;='設定'!$B$12,'設定'!$B$18,IF('設定'!$B$7-$O678&lt;='設定'!$B$13,'設定'!$B$19,IF('設定'!$B$7-$O678&lt;='設定'!$B$14,'設定'!$B$20,'設定'!$B$21))))))</f>
        <v/>
      </c>
      <c r="V678" s="56" t="n"/>
      <c r="W678" s="32">
        <f>IF($C678="","",IFERROR(MATCH($C678,'得意先'!$B$5:$B$104,0),"なし"))</f>
        <v/>
      </c>
      <c r="X678" s="33">
        <f>IF($A678="","",IF(ISNUMBER($E678),$E678,IF(ISNUMBER($B678),$B678,"")))</f>
        <v/>
      </c>
      <c r="Y678" s="34">
        <f>IF($T678="","",$O678+ROW()/1000000)</f>
        <v/>
      </c>
      <c r="Z678" s="35">
        <f>IF(OR($A678="",$C678="",$C678&lt;&gt;'売掛帳'!$B$3,NOT(ISNUMBER($X678))),"",IF(AND($X678&gt;='売掛帳'!$Q$3,$X678&lt;='売掛帳'!$Q$4),$X678+ROW()/10000000,""))</f>
        <v/>
      </c>
    </row>
    <row r="679" ht="18" customHeight="1">
      <c r="A679" s="18" t="n"/>
      <c r="B679" s="26" t="n"/>
      <c r="C679" s="18" t="n"/>
      <c r="D679" s="20">
        <f>IF($W679="","",IF($W679="なし","※得意先にないコード",INDEX('得意先'!$C$5:$C$104,$W679)&amp;""))</f>
        <v/>
      </c>
      <c r="E679" s="26" t="n"/>
      <c r="F679" s="19" t="n"/>
      <c r="G679" s="27" t="n"/>
      <c r="H679" s="27" t="n"/>
      <c r="I679" s="27" t="n"/>
      <c r="J679" s="28">
        <f>IF($A679="","",IF('設定'!$B$10="四捨五入",ROUND(IF('設定'!$B$9="税込",N($G679)*10/110,N($G679)*10/100),0),IF('設定'!$B$10="切り上げ",ROUNDUP(IF('設定'!$B$9="税込",N($G679)*10/110,N($G679)*10/100),0),ROUNDDOWN(IF('設定'!$B$9="税込",N($G679)*10/110,N($G679)*10/100),0))))</f>
        <v/>
      </c>
      <c r="K679" s="28">
        <f>IF($A679="","",IF('設定'!$B$10="四捨五入",ROUND(IF('設定'!$B$9="税込",N($H679)*8/108,N($H679)*8/100),0),IF('設定'!$B$10="切り上げ",ROUNDUP(IF('設定'!$B$9="税込",N($H679)*8/108,N($H679)*8/100),0),ROUNDDOWN(IF('設定'!$B$9="税込",N($H679)*8/108,N($H679)*8/100),0))))</f>
        <v/>
      </c>
      <c r="L679" s="28">
        <f>IF($A679="","",N($G679)+N($H679)+N($I679)+IF('設定'!$B$9="税込",0,$J679+$K679))</f>
        <v/>
      </c>
      <c r="M679" s="29">
        <f>IF(OR($A679="",NOT(ISNUMBER($W679)),NOT(ISNUMBER($X679))),"",IF(OR(INDEX('得意先'!$D$5:$D$104,$W679)="",INDEX('得意先'!$E$5:$E$104,$W679)="",INDEX('得意先'!$F$5:$F$104,$W679)=""),"",IF(INDEX('得意先'!$F$5:$F$104,$W679)="末",DATE(YEAR($X679),(MONTH($X679)+IF(INDEX('得意先'!$D$5:$D$104,$W679)="末",0,IF(DAY($X679)&lt;=INDEX('得意先'!$D$5:$D$104,$W679),0,1))+N(INDEX('得意先'!$E$5:$E$104,$W679)))+1,0),DATE(YEAR($X679),(MONTH($X679)+IF(INDEX('得意先'!$D$5:$D$104,$W679)="末",0,IF(DAY($X679)&lt;=INDEX('得意先'!$D$5:$D$104,$W679),0,1))+N(INDEX('得意先'!$E$5:$E$104,$W679))),MIN(INDEX('得意先'!$F$5:$F$104,$W679),DAY(DATE(YEAR($X679),(MONTH($X679)+IF(INDEX('得意先'!$D$5:$D$104,$W679)="末",0,IF(DAY($X679)&lt;=INDEX('得意先'!$D$5:$D$104,$W679),0,1))+N(INDEX('得意先'!$E$5:$E$104,$W679)))+1,0)))))))</f>
        <v/>
      </c>
      <c r="N679" s="26" t="n"/>
      <c r="O679" s="29">
        <f>IF($A679="","",IF(ISNUMBER($N679),$N679,$M679))</f>
        <v/>
      </c>
      <c r="P679" s="28">
        <f>IF($A679="","",SUMIF('入金消込'!$F$5:$F$1004,$A679,'入金消込'!$G$5:$G$1004))</f>
        <v/>
      </c>
      <c r="Q679" s="28">
        <f>IF($A679="","",SUMIF('入金消込'!$F$5:$F$1004,$A679,'入金消込'!$H$5:$H$1004)+SUMIF('入金消込'!$F$5:$F$1004,$A679,'入金消込'!$I$5:$I$1004))</f>
        <v/>
      </c>
      <c r="R679" s="28">
        <f>IF($A679="","",$L679-$P679-$Q679)</f>
        <v/>
      </c>
      <c r="S679" s="30">
        <f>IF($A679="","",IF($R679=0,IF($L679=0,"請求額0","回収済"),IF($L679&lt;0,IF($R679&lt;0,"差し引き待ち","差し引きすぎ"),IF($R679&lt;0,"入金が多い",IF($P679+$Q679=0,"未入金","一部入金")))))</f>
        <v/>
      </c>
      <c r="T679" s="31">
        <f>IF(OR($A679="",N($R679)&lt;=0,NOT(ISNUMBER($O679))),"",IF($O679&lt;'設定'!$B$7,'設定'!$B$7-$O679,""))</f>
        <v/>
      </c>
      <c r="U679" s="30">
        <f>IF(OR($A679="",N($R679)&lt;=0),"",IF(NOT(ISNUMBER($O679)),'設定'!$B$22,IF($O679&gt;='設定'!$B$7,'設定'!$B$17,IF('設定'!$B$7-$O679&lt;='設定'!$B$12,'設定'!$B$18,IF('設定'!$B$7-$O679&lt;='設定'!$B$13,'設定'!$B$19,IF('設定'!$B$7-$O679&lt;='設定'!$B$14,'設定'!$B$20,'設定'!$B$21))))))</f>
        <v/>
      </c>
      <c r="V679" s="56" t="n"/>
      <c r="W679" s="32">
        <f>IF($C679="","",IFERROR(MATCH($C679,'得意先'!$B$5:$B$104,0),"なし"))</f>
        <v/>
      </c>
      <c r="X679" s="33">
        <f>IF($A679="","",IF(ISNUMBER($E679),$E679,IF(ISNUMBER($B679),$B679,"")))</f>
        <v/>
      </c>
      <c r="Y679" s="34">
        <f>IF($T679="","",$O679+ROW()/1000000)</f>
        <v/>
      </c>
      <c r="Z679" s="35">
        <f>IF(OR($A679="",$C679="",$C679&lt;&gt;'売掛帳'!$B$3,NOT(ISNUMBER($X679))),"",IF(AND($X679&gt;='売掛帳'!$Q$3,$X679&lt;='売掛帳'!$Q$4),$X679+ROW()/10000000,""))</f>
        <v/>
      </c>
    </row>
    <row r="680" ht="18" customHeight="1">
      <c r="A680" s="18" t="n"/>
      <c r="B680" s="26" t="n"/>
      <c r="C680" s="18" t="n"/>
      <c r="D680" s="20">
        <f>IF($W680="","",IF($W680="なし","※得意先にないコード",INDEX('得意先'!$C$5:$C$104,$W680)&amp;""))</f>
        <v/>
      </c>
      <c r="E680" s="26" t="n"/>
      <c r="F680" s="19" t="n"/>
      <c r="G680" s="27" t="n"/>
      <c r="H680" s="27" t="n"/>
      <c r="I680" s="27" t="n"/>
      <c r="J680" s="28">
        <f>IF($A680="","",IF('設定'!$B$10="四捨五入",ROUND(IF('設定'!$B$9="税込",N($G680)*10/110,N($G680)*10/100),0),IF('設定'!$B$10="切り上げ",ROUNDUP(IF('設定'!$B$9="税込",N($G680)*10/110,N($G680)*10/100),0),ROUNDDOWN(IF('設定'!$B$9="税込",N($G680)*10/110,N($G680)*10/100),0))))</f>
        <v/>
      </c>
      <c r="K680" s="28">
        <f>IF($A680="","",IF('設定'!$B$10="四捨五入",ROUND(IF('設定'!$B$9="税込",N($H680)*8/108,N($H680)*8/100),0),IF('設定'!$B$10="切り上げ",ROUNDUP(IF('設定'!$B$9="税込",N($H680)*8/108,N($H680)*8/100),0),ROUNDDOWN(IF('設定'!$B$9="税込",N($H680)*8/108,N($H680)*8/100),0))))</f>
        <v/>
      </c>
      <c r="L680" s="28">
        <f>IF($A680="","",N($G680)+N($H680)+N($I680)+IF('設定'!$B$9="税込",0,$J680+$K680))</f>
        <v/>
      </c>
      <c r="M680" s="29">
        <f>IF(OR($A680="",NOT(ISNUMBER($W680)),NOT(ISNUMBER($X680))),"",IF(OR(INDEX('得意先'!$D$5:$D$104,$W680)="",INDEX('得意先'!$E$5:$E$104,$W680)="",INDEX('得意先'!$F$5:$F$104,$W680)=""),"",IF(INDEX('得意先'!$F$5:$F$104,$W680)="末",DATE(YEAR($X680),(MONTH($X680)+IF(INDEX('得意先'!$D$5:$D$104,$W680)="末",0,IF(DAY($X680)&lt;=INDEX('得意先'!$D$5:$D$104,$W680),0,1))+N(INDEX('得意先'!$E$5:$E$104,$W680)))+1,0),DATE(YEAR($X680),(MONTH($X680)+IF(INDEX('得意先'!$D$5:$D$104,$W680)="末",0,IF(DAY($X680)&lt;=INDEX('得意先'!$D$5:$D$104,$W680),0,1))+N(INDEX('得意先'!$E$5:$E$104,$W680))),MIN(INDEX('得意先'!$F$5:$F$104,$W680),DAY(DATE(YEAR($X680),(MONTH($X680)+IF(INDEX('得意先'!$D$5:$D$104,$W680)="末",0,IF(DAY($X680)&lt;=INDEX('得意先'!$D$5:$D$104,$W680),0,1))+N(INDEX('得意先'!$E$5:$E$104,$W680)))+1,0)))))))</f>
        <v/>
      </c>
      <c r="N680" s="26" t="n"/>
      <c r="O680" s="29">
        <f>IF($A680="","",IF(ISNUMBER($N680),$N680,$M680))</f>
        <v/>
      </c>
      <c r="P680" s="28">
        <f>IF($A680="","",SUMIF('入金消込'!$F$5:$F$1004,$A680,'入金消込'!$G$5:$G$1004))</f>
        <v/>
      </c>
      <c r="Q680" s="28">
        <f>IF($A680="","",SUMIF('入金消込'!$F$5:$F$1004,$A680,'入金消込'!$H$5:$H$1004)+SUMIF('入金消込'!$F$5:$F$1004,$A680,'入金消込'!$I$5:$I$1004))</f>
        <v/>
      </c>
      <c r="R680" s="28">
        <f>IF($A680="","",$L680-$P680-$Q680)</f>
        <v/>
      </c>
      <c r="S680" s="30">
        <f>IF($A680="","",IF($R680=0,IF($L680=0,"請求額0","回収済"),IF($L680&lt;0,IF($R680&lt;0,"差し引き待ち","差し引きすぎ"),IF($R680&lt;0,"入金が多い",IF($P680+$Q680=0,"未入金","一部入金")))))</f>
        <v/>
      </c>
      <c r="T680" s="31">
        <f>IF(OR($A680="",N($R680)&lt;=0,NOT(ISNUMBER($O680))),"",IF($O680&lt;'設定'!$B$7,'設定'!$B$7-$O680,""))</f>
        <v/>
      </c>
      <c r="U680" s="30">
        <f>IF(OR($A680="",N($R680)&lt;=0),"",IF(NOT(ISNUMBER($O680)),'設定'!$B$22,IF($O680&gt;='設定'!$B$7,'設定'!$B$17,IF('設定'!$B$7-$O680&lt;='設定'!$B$12,'設定'!$B$18,IF('設定'!$B$7-$O680&lt;='設定'!$B$13,'設定'!$B$19,IF('設定'!$B$7-$O680&lt;='設定'!$B$14,'設定'!$B$20,'設定'!$B$21))))))</f>
        <v/>
      </c>
      <c r="V680" s="56" t="n"/>
      <c r="W680" s="32">
        <f>IF($C680="","",IFERROR(MATCH($C680,'得意先'!$B$5:$B$104,0),"なし"))</f>
        <v/>
      </c>
      <c r="X680" s="33">
        <f>IF($A680="","",IF(ISNUMBER($E680),$E680,IF(ISNUMBER($B680),$B680,"")))</f>
        <v/>
      </c>
      <c r="Y680" s="34">
        <f>IF($T680="","",$O680+ROW()/1000000)</f>
        <v/>
      </c>
      <c r="Z680" s="35">
        <f>IF(OR($A680="",$C680="",$C680&lt;&gt;'売掛帳'!$B$3,NOT(ISNUMBER($X680))),"",IF(AND($X680&gt;='売掛帳'!$Q$3,$X680&lt;='売掛帳'!$Q$4),$X680+ROW()/10000000,""))</f>
        <v/>
      </c>
    </row>
    <row r="681" ht="18" customHeight="1">
      <c r="A681" s="18" t="n"/>
      <c r="B681" s="26" t="n"/>
      <c r="C681" s="18" t="n"/>
      <c r="D681" s="20">
        <f>IF($W681="","",IF($W681="なし","※得意先にないコード",INDEX('得意先'!$C$5:$C$104,$W681)&amp;""))</f>
        <v/>
      </c>
      <c r="E681" s="26" t="n"/>
      <c r="F681" s="19" t="n"/>
      <c r="G681" s="27" t="n"/>
      <c r="H681" s="27" t="n"/>
      <c r="I681" s="27" t="n"/>
      <c r="J681" s="28">
        <f>IF($A681="","",IF('設定'!$B$10="四捨五入",ROUND(IF('設定'!$B$9="税込",N($G681)*10/110,N($G681)*10/100),0),IF('設定'!$B$10="切り上げ",ROUNDUP(IF('設定'!$B$9="税込",N($G681)*10/110,N($G681)*10/100),0),ROUNDDOWN(IF('設定'!$B$9="税込",N($G681)*10/110,N($G681)*10/100),0))))</f>
        <v/>
      </c>
      <c r="K681" s="28">
        <f>IF($A681="","",IF('設定'!$B$10="四捨五入",ROUND(IF('設定'!$B$9="税込",N($H681)*8/108,N($H681)*8/100),0),IF('設定'!$B$10="切り上げ",ROUNDUP(IF('設定'!$B$9="税込",N($H681)*8/108,N($H681)*8/100),0),ROUNDDOWN(IF('設定'!$B$9="税込",N($H681)*8/108,N($H681)*8/100),0))))</f>
        <v/>
      </c>
      <c r="L681" s="28">
        <f>IF($A681="","",N($G681)+N($H681)+N($I681)+IF('設定'!$B$9="税込",0,$J681+$K681))</f>
        <v/>
      </c>
      <c r="M681" s="29">
        <f>IF(OR($A681="",NOT(ISNUMBER($W681)),NOT(ISNUMBER($X681))),"",IF(OR(INDEX('得意先'!$D$5:$D$104,$W681)="",INDEX('得意先'!$E$5:$E$104,$W681)="",INDEX('得意先'!$F$5:$F$104,$W681)=""),"",IF(INDEX('得意先'!$F$5:$F$104,$W681)="末",DATE(YEAR($X681),(MONTH($X681)+IF(INDEX('得意先'!$D$5:$D$104,$W681)="末",0,IF(DAY($X681)&lt;=INDEX('得意先'!$D$5:$D$104,$W681),0,1))+N(INDEX('得意先'!$E$5:$E$104,$W681)))+1,0),DATE(YEAR($X681),(MONTH($X681)+IF(INDEX('得意先'!$D$5:$D$104,$W681)="末",0,IF(DAY($X681)&lt;=INDEX('得意先'!$D$5:$D$104,$W681),0,1))+N(INDEX('得意先'!$E$5:$E$104,$W681))),MIN(INDEX('得意先'!$F$5:$F$104,$W681),DAY(DATE(YEAR($X681),(MONTH($X681)+IF(INDEX('得意先'!$D$5:$D$104,$W681)="末",0,IF(DAY($X681)&lt;=INDEX('得意先'!$D$5:$D$104,$W681),0,1))+N(INDEX('得意先'!$E$5:$E$104,$W681)))+1,0)))))))</f>
        <v/>
      </c>
      <c r="N681" s="26" t="n"/>
      <c r="O681" s="29">
        <f>IF($A681="","",IF(ISNUMBER($N681),$N681,$M681))</f>
        <v/>
      </c>
      <c r="P681" s="28">
        <f>IF($A681="","",SUMIF('入金消込'!$F$5:$F$1004,$A681,'入金消込'!$G$5:$G$1004))</f>
        <v/>
      </c>
      <c r="Q681" s="28">
        <f>IF($A681="","",SUMIF('入金消込'!$F$5:$F$1004,$A681,'入金消込'!$H$5:$H$1004)+SUMIF('入金消込'!$F$5:$F$1004,$A681,'入金消込'!$I$5:$I$1004))</f>
        <v/>
      </c>
      <c r="R681" s="28">
        <f>IF($A681="","",$L681-$P681-$Q681)</f>
        <v/>
      </c>
      <c r="S681" s="30">
        <f>IF($A681="","",IF($R681=0,IF($L681=0,"請求額0","回収済"),IF($L681&lt;0,IF($R681&lt;0,"差し引き待ち","差し引きすぎ"),IF($R681&lt;0,"入金が多い",IF($P681+$Q681=0,"未入金","一部入金")))))</f>
        <v/>
      </c>
      <c r="T681" s="31">
        <f>IF(OR($A681="",N($R681)&lt;=0,NOT(ISNUMBER($O681))),"",IF($O681&lt;'設定'!$B$7,'設定'!$B$7-$O681,""))</f>
        <v/>
      </c>
      <c r="U681" s="30">
        <f>IF(OR($A681="",N($R681)&lt;=0),"",IF(NOT(ISNUMBER($O681)),'設定'!$B$22,IF($O681&gt;='設定'!$B$7,'設定'!$B$17,IF('設定'!$B$7-$O681&lt;='設定'!$B$12,'設定'!$B$18,IF('設定'!$B$7-$O681&lt;='設定'!$B$13,'設定'!$B$19,IF('設定'!$B$7-$O681&lt;='設定'!$B$14,'設定'!$B$20,'設定'!$B$21))))))</f>
        <v/>
      </c>
      <c r="V681" s="56" t="n"/>
      <c r="W681" s="32">
        <f>IF($C681="","",IFERROR(MATCH($C681,'得意先'!$B$5:$B$104,0),"なし"))</f>
        <v/>
      </c>
      <c r="X681" s="33">
        <f>IF($A681="","",IF(ISNUMBER($E681),$E681,IF(ISNUMBER($B681),$B681,"")))</f>
        <v/>
      </c>
      <c r="Y681" s="34">
        <f>IF($T681="","",$O681+ROW()/1000000)</f>
        <v/>
      </c>
      <c r="Z681" s="35">
        <f>IF(OR($A681="",$C681="",$C681&lt;&gt;'売掛帳'!$B$3,NOT(ISNUMBER($X681))),"",IF(AND($X681&gt;='売掛帳'!$Q$3,$X681&lt;='売掛帳'!$Q$4),$X681+ROW()/10000000,""))</f>
        <v/>
      </c>
    </row>
    <row r="682" ht="18" customHeight="1">
      <c r="A682" s="18" t="n"/>
      <c r="B682" s="26" t="n"/>
      <c r="C682" s="18" t="n"/>
      <c r="D682" s="20">
        <f>IF($W682="","",IF($W682="なし","※得意先にないコード",INDEX('得意先'!$C$5:$C$104,$W682)&amp;""))</f>
        <v/>
      </c>
      <c r="E682" s="26" t="n"/>
      <c r="F682" s="19" t="n"/>
      <c r="G682" s="27" t="n"/>
      <c r="H682" s="27" t="n"/>
      <c r="I682" s="27" t="n"/>
      <c r="J682" s="28">
        <f>IF($A682="","",IF('設定'!$B$10="四捨五入",ROUND(IF('設定'!$B$9="税込",N($G682)*10/110,N($G682)*10/100),0),IF('設定'!$B$10="切り上げ",ROUNDUP(IF('設定'!$B$9="税込",N($G682)*10/110,N($G682)*10/100),0),ROUNDDOWN(IF('設定'!$B$9="税込",N($G682)*10/110,N($G682)*10/100),0))))</f>
        <v/>
      </c>
      <c r="K682" s="28">
        <f>IF($A682="","",IF('設定'!$B$10="四捨五入",ROUND(IF('設定'!$B$9="税込",N($H682)*8/108,N($H682)*8/100),0),IF('設定'!$B$10="切り上げ",ROUNDUP(IF('設定'!$B$9="税込",N($H682)*8/108,N($H682)*8/100),0),ROUNDDOWN(IF('設定'!$B$9="税込",N($H682)*8/108,N($H682)*8/100),0))))</f>
        <v/>
      </c>
      <c r="L682" s="28">
        <f>IF($A682="","",N($G682)+N($H682)+N($I682)+IF('設定'!$B$9="税込",0,$J682+$K682))</f>
        <v/>
      </c>
      <c r="M682" s="29">
        <f>IF(OR($A682="",NOT(ISNUMBER($W682)),NOT(ISNUMBER($X682))),"",IF(OR(INDEX('得意先'!$D$5:$D$104,$W682)="",INDEX('得意先'!$E$5:$E$104,$W682)="",INDEX('得意先'!$F$5:$F$104,$W682)=""),"",IF(INDEX('得意先'!$F$5:$F$104,$W682)="末",DATE(YEAR($X682),(MONTH($X682)+IF(INDEX('得意先'!$D$5:$D$104,$W682)="末",0,IF(DAY($X682)&lt;=INDEX('得意先'!$D$5:$D$104,$W682),0,1))+N(INDEX('得意先'!$E$5:$E$104,$W682)))+1,0),DATE(YEAR($X682),(MONTH($X682)+IF(INDEX('得意先'!$D$5:$D$104,$W682)="末",0,IF(DAY($X682)&lt;=INDEX('得意先'!$D$5:$D$104,$W682),0,1))+N(INDEX('得意先'!$E$5:$E$104,$W682))),MIN(INDEX('得意先'!$F$5:$F$104,$W682),DAY(DATE(YEAR($X682),(MONTH($X682)+IF(INDEX('得意先'!$D$5:$D$104,$W682)="末",0,IF(DAY($X682)&lt;=INDEX('得意先'!$D$5:$D$104,$W682),0,1))+N(INDEX('得意先'!$E$5:$E$104,$W682)))+1,0)))))))</f>
        <v/>
      </c>
      <c r="N682" s="26" t="n"/>
      <c r="O682" s="29">
        <f>IF($A682="","",IF(ISNUMBER($N682),$N682,$M682))</f>
        <v/>
      </c>
      <c r="P682" s="28">
        <f>IF($A682="","",SUMIF('入金消込'!$F$5:$F$1004,$A682,'入金消込'!$G$5:$G$1004))</f>
        <v/>
      </c>
      <c r="Q682" s="28">
        <f>IF($A682="","",SUMIF('入金消込'!$F$5:$F$1004,$A682,'入金消込'!$H$5:$H$1004)+SUMIF('入金消込'!$F$5:$F$1004,$A682,'入金消込'!$I$5:$I$1004))</f>
        <v/>
      </c>
      <c r="R682" s="28">
        <f>IF($A682="","",$L682-$P682-$Q682)</f>
        <v/>
      </c>
      <c r="S682" s="30">
        <f>IF($A682="","",IF($R682=0,IF($L682=0,"請求額0","回収済"),IF($L682&lt;0,IF($R682&lt;0,"差し引き待ち","差し引きすぎ"),IF($R682&lt;0,"入金が多い",IF($P682+$Q682=0,"未入金","一部入金")))))</f>
        <v/>
      </c>
      <c r="T682" s="31">
        <f>IF(OR($A682="",N($R682)&lt;=0,NOT(ISNUMBER($O682))),"",IF($O682&lt;'設定'!$B$7,'設定'!$B$7-$O682,""))</f>
        <v/>
      </c>
      <c r="U682" s="30">
        <f>IF(OR($A682="",N($R682)&lt;=0),"",IF(NOT(ISNUMBER($O682)),'設定'!$B$22,IF($O682&gt;='設定'!$B$7,'設定'!$B$17,IF('設定'!$B$7-$O682&lt;='設定'!$B$12,'設定'!$B$18,IF('設定'!$B$7-$O682&lt;='設定'!$B$13,'設定'!$B$19,IF('設定'!$B$7-$O682&lt;='設定'!$B$14,'設定'!$B$20,'設定'!$B$21))))))</f>
        <v/>
      </c>
      <c r="V682" s="56" t="n"/>
      <c r="W682" s="32">
        <f>IF($C682="","",IFERROR(MATCH($C682,'得意先'!$B$5:$B$104,0),"なし"))</f>
        <v/>
      </c>
      <c r="X682" s="33">
        <f>IF($A682="","",IF(ISNUMBER($E682),$E682,IF(ISNUMBER($B682),$B682,"")))</f>
        <v/>
      </c>
      <c r="Y682" s="34">
        <f>IF($T682="","",$O682+ROW()/1000000)</f>
        <v/>
      </c>
      <c r="Z682" s="35">
        <f>IF(OR($A682="",$C682="",$C682&lt;&gt;'売掛帳'!$B$3,NOT(ISNUMBER($X682))),"",IF(AND($X682&gt;='売掛帳'!$Q$3,$X682&lt;='売掛帳'!$Q$4),$X682+ROW()/10000000,""))</f>
        <v/>
      </c>
    </row>
    <row r="683" ht="18" customHeight="1">
      <c r="A683" s="18" t="n"/>
      <c r="B683" s="26" t="n"/>
      <c r="C683" s="18" t="n"/>
      <c r="D683" s="20">
        <f>IF($W683="","",IF($W683="なし","※得意先にないコード",INDEX('得意先'!$C$5:$C$104,$W683)&amp;""))</f>
        <v/>
      </c>
      <c r="E683" s="26" t="n"/>
      <c r="F683" s="19" t="n"/>
      <c r="G683" s="27" t="n"/>
      <c r="H683" s="27" t="n"/>
      <c r="I683" s="27" t="n"/>
      <c r="J683" s="28">
        <f>IF($A683="","",IF('設定'!$B$10="四捨五入",ROUND(IF('設定'!$B$9="税込",N($G683)*10/110,N($G683)*10/100),0),IF('設定'!$B$10="切り上げ",ROUNDUP(IF('設定'!$B$9="税込",N($G683)*10/110,N($G683)*10/100),0),ROUNDDOWN(IF('設定'!$B$9="税込",N($G683)*10/110,N($G683)*10/100),0))))</f>
        <v/>
      </c>
      <c r="K683" s="28">
        <f>IF($A683="","",IF('設定'!$B$10="四捨五入",ROUND(IF('設定'!$B$9="税込",N($H683)*8/108,N($H683)*8/100),0),IF('設定'!$B$10="切り上げ",ROUNDUP(IF('設定'!$B$9="税込",N($H683)*8/108,N($H683)*8/100),0),ROUNDDOWN(IF('設定'!$B$9="税込",N($H683)*8/108,N($H683)*8/100),0))))</f>
        <v/>
      </c>
      <c r="L683" s="28">
        <f>IF($A683="","",N($G683)+N($H683)+N($I683)+IF('設定'!$B$9="税込",0,$J683+$K683))</f>
        <v/>
      </c>
      <c r="M683" s="29">
        <f>IF(OR($A683="",NOT(ISNUMBER($W683)),NOT(ISNUMBER($X683))),"",IF(OR(INDEX('得意先'!$D$5:$D$104,$W683)="",INDEX('得意先'!$E$5:$E$104,$W683)="",INDEX('得意先'!$F$5:$F$104,$W683)=""),"",IF(INDEX('得意先'!$F$5:$F$104,$W683)="末",DATE(YEAR($X683),(MONTH($X683)+IF(INDEX('得意先'!$D$5:$D$104,$W683)="末",0,IF(DAY($X683)&lt;=INDEX('得意先'!$D$5:$D$104,$W683),0,1))+N(INDEX('得意先'!$E$5:$E$104,$W683)))+1,0),DATE(YEAR($X683),(MONTH($X683)+IF(INDEX('得意先'!$D$5:$D$104,$W683)="末",0,IF(DAY($X683)&lt;=INDEX('得意先'!$D$5:$D$104,$W683),0,1))+N(INDEX('得意先'!$E$5:$E$104,$W683))),MIN(INDEX('得意先'!$F$5:$F$104,$W683),DAY(DATE(YEAR($X683),(MONTH($X683)+IF(INDEX('得意先'!$D$5:$D$104,$W683)="末",0,IF(DAY($X683)&lt;=INDEX('得意先'!$D$5:$D$104,$W683),0,1))+N(INDEX('得意先'!$E$5:$E$104,$W683)))+1,0)))))))</f>
        <v/>
      </c>
      <c r="N683" s="26" t="n"/>
      <c r="O683" s="29">
        <f>IF($A683="","",IF(ISNUMBER($N683),$N683,$M683))</f>
        <v/>
      </c>
      <c r="P683" s="28">
        <f>IF($A683="","",SUMIF('入金消込'!$F$5:$F$1004,$A683,'入金消込'!$G$5:$G$1004))</f>
        <v/>
      </c>
      <c r="Q683" s="28">
        <f>IF($A683="","",SUMIF('入金消込'!$F$5:$F$1004,$A683,'入金消込'!$H$5:$H$1004)+SUMIF('入金消込'!$F$5:$F$1004,$A683,'入金消込'!$I$5:$I$1004))</f>
        <v/>
      </c>
      <c r="R683" s="28">
        <f>IF($A683="","",$L683-$P683-$Q683)</f>
        <v/>
      </c>
      <c r="S683" s="30">
        <f>IF($A683="","",IF($R683=0,IF($L683=0,"請求額0","回収済"),IF($L683&lt;0,IF($R683&lt;0,"差し引き待ち","差し引きすぎ"),IF($R683&lt;0,"入金が多い",IF($P683+$Q683=0,"未入金","一部入金")))))</f>
        <v/>
      </c>
      <c r="T683" s="31">
        <f>IF(OR($A683="",N($R683)&lt;=0,NOT(ISNUMBER($O683))),"",IF($O683&lt;'設定'!$B$7,'設定'!$B$7-$O683,""))</f>
        <v/>
      </c>
      <c r="U683" s="30">
        <f>IF(OR($A683="",N($R683)&lt;=0),"",IF(NOT(ISNUMBER($O683)),'設定'!$B$22,IF($O683&gt;='設定'!$B$7,'設定'!$B$17,IF('設定'!$B$7-$O683&lt;='設定'!$B$12,'設定'!$B$18,IF('設定'!$B$7-$O683&lt;='設定'!$B$13,'設定'!$B$19,IF('設定'!$B$7-$O683&lt;='設定'!$B$14,'設定'!$B$20,'設定'!$B$21))))))</f>
        <v/>
      </c>
      <c r="V683" s="56" t="n"/>
      <c r="W683" s="32">
        <f>IF($C683="","",IFERROR(MATCH($C683,'得意先'!$B$5:$B$104,0),"なし"))</f>
        <v/>
      </c>
      <c r="X683" s="33">
        <f>IF($A683="","",IF(ISNUMBER($E683),$E683,IF(ISNUMBER($B683),$B683,"")))</f>
        <v/>
      </c>
      <c r="Y683" s="34">
        <f>IF($T683="","",$O683+ROW()/1000000)</f>
        <v/>
      </c>
      <c r="Z683" s="35">
        <f>IF(OR($A683="",$C683="",$C683&lt;&gt;'売掛帳'!$B$3,NOT(ISNUMBER($X683))),"",IF(AND($X683&gt;='売掛帳'!$Q$3,$X683&lt;='売掛帳'!$Q$4),$X683+ROW()/10000000,""))</f>
        <v/>
      </c>
    </row>
    <row r="684" ht="18" customHeight="1">
      <c r="A684" s="18" t="n"/>
      <c r="B684" s="26" t="n"/>
      <c r="C684" s="18" t="n"/>
      <c r="D684" s="20">
        <f>IF($W684="","",IF($W684="なし","※得意先にないコード",INDEX('得意先'!$C$5:$C$104,$W684)&amp;""))</f>
        <v/>
      </c>
      <c r="E684" s="26" t="n"/>
      <c r="F684" s="19" t="n"/>
      <c r="G684" s="27" t="n"/>
      <c r="H684" s="27" t="n"/>
      <c r="I684" s="27" t="n"/>
      <c r="J684" s="28">
        <f>IF($A684="","",IF('設定'!$B$10="四捨五入",ROUND(IF('設定'!$B$9="税込",N($G684)*10/110,N($G684)*10/100),0),IF('設定'!$B$10="切り上げ",ROUNDUP(IF('設定'!$B$9="税込",N($G684)*10/110,N($G684)*10/100),0),ROUNDDOWN(IF('設定'!$B$9="税込",N($G684)*10/110,N($G684)*10/100),0))))</f>
        <v/>
      </c>
      <c r="K684" s="28">
        <f>IF($A684="","",IF('設定'!$B$10="四捨五入",ROUND(IF('設定'!$B$9="税込",N($H684)*8/108,N($H684)*8/100),0),IF('設定'!$B$10="切り上げ",ROUNDUP(IF('設定'!$B$9="税込",N($H684)*8/108,N($H684)*8/100),0),ROUNDDOWN(IF('設定'!$B$9="税込",N($H684)*8/108,N($H684)*8/100),0))))</f>
        <v/>
      </c>
      <c r="L684" s="28">
        <f>IF($A684="","",N($G684)+N($H684)+N($I684)+IF('設定'!$B$9="税込",0,$J684+$K684))</f>
        <v/>
      </c>
      <c r="M684" s="29">
        <f>IF(OR($A684="",NOT(ISNUMBER($W684)),NOT(ISNUMBER($X684))),"",IF(OR(INDEX('得意先'!$D$5:$D$104,$W684)="",INDEX('得意先'!$E$5:$E$104,$W684)="",INDEX('得意先'!$F$5:$F$104,$W684)=""),"",IF(INDEX('得意先'!$F$5:$F$104,$W684)="末",DATE(YEAR($X684),(MONTH($X684)+IF(INDEX('得意先'!$D$5:$D$104,$W684)="末",0,IF(DAY($X684)&lt;=INDEX('得意先'!$D$5:$D$104,$W684),0,1))+N(INDEX('得意先'!$E$5:$E$104,$W684)))+1,0),DATE(YEAR($X684),(MONTH($X684)+IF(INDEX('得意先'!$D$5:$D$104,$W684)="末",0,IF(DAY($X684)&lt;=INDEX('得意先'!$D$5:$D$104,$W684),0,1))+N(INDEX('得意先'!$E$5:$E$104,$W684))),MIN(INDEX('得意先'!$F$5:$F$104,$W684),DAY(DATE(YEAR($X684),(MONTH($X684)+IF(INDEX('得意先'!$D$5:$D$104,$W684)="末",0,IF(DAY($X684)&lt;=INDEX('得意先'!$D$5:$D$104,$W684),0,1))+N(INDEX('得意先'!$E$5:$E$104,$W684)))+1,0)))))))</f>
        <v/>
      </c>
      <c r="N684" s="26" t="n"/>
      <c r="O684" s="29">
        <f>IF($A684="","",IF(ISNUMBER($N684),$N684,$M684))</f>
        <v/>
      </c>
      <c r="P684" s="28">
        <f>IF($A684="","",SUMIF('入金消込'!$F$5:$F$1004,$A684,'入金消込'!$G$5:$G$1004))</f>
        <v/>
      </c>
      <c r="Q684" s="28">
        <f>IF($A684="","",SUMIF('入金消込'!$F$5:$F$1004,$A684,'入金消込'!$H$5:$H$1004)+SUMIF('入金消込'!$F$5:$F$1004,$A684,'入金消込'!$I$5:$I$1004))</f>
        <v/>
      </c>
      <c r="R684" s="28">
        <f>IF($A684="","",$L684-$P684-$Q684)</f>
        <v/>
      </c>
      <c r="S684" s="30">
        <f>IF($A684="","",IF($R684=0,IF($L684=0,"請求額0","回収済"),IF($L684&lt;0,IF($R684&lt;0,"差し引き待ち","差し引きすぎ"),IF($R684&lt;0,"入金が多い",IF($P684+$Q684=0,"未入金","一部入金")))))</f>
        <v/>
      </c>
      <c r="T684" s="31">
        <f>IF(OR($A684="",N($R684)&lt;=0,NOT(ISNUMBER($O684))),"",IF($O684&lt;'設定'!$B$7,'設定'!$B$7-$O684,""))</f>
        <v/>
      </c>
      <c r="U684" s="30">
        <f>IF(OR($A684="",N($R684)&lt;=0),"",IF(NOT(ISNUMBER($O684)),'設定'!$B$22,IF($O684&gt;='設定'!$B$7,'設定'!$B$17,IF('設定'!$B$7-$O684&lt;='設定'!$B$12,'設定'!$B$18,IF('設定'!$B$7-$O684&lt;='設定'!$B$13,'設定'!$B$19,IF('設定'!$B$7-$O684&lt;='設定'!$B$14,'設定'!$B$20,'設定'!$B$21))))))</f>
        <v/>
      </c>
      <c r="V684" s="56" t="n"/>
      <c r="W684" s="32">
        <f>IF($C684="","",IFERROR(MATCH($C684,'得意先'!$B$5:$B$104,0),"なし"))</f>
        <v/>
      </c>
      <c r="X684" s="33">
        <f>IF($A684="","",IF(ISNUMBER($E684),$E684,IF(ISNUMBER($B684),$B684,"")))</f>
        <v/>
      </c>
      <c r="Y684" s="34">
        <f>IF($T684="","",$O684+ROW()/1000000)</f>
        <v/>
      </c>
      <c r="Z684" s="35">
        <f>IF(OR($A684="",$C684="",$C684&lt;&gt;'売掛帳'!$B$3,NOT(ISNUMBER($X684))),"",IF(AND($X684&gt;='売掛帳'!$Q$3,$X684&lt;='売掛帳'!$Q$4),$X684+ROW()/10000000,""))</f>
        <v/>
      </c>
    </row>
    <row r="685" ht="18" customHeight="1">
      <c r="A685" s="18" t="n"/>
      <c r="B685" s="26" t="n"/>
      <c r="C685" s="18" t="n"/>
      <c r="D685" s="20">
        <f>IF($W685="","",IF($W685="なし","※得意先にないコード",INDEX('得意先'!$C$5:$C$104,$W685)&amp;""))</f>
        <v/>
      </c>
      <c r="E685" s="26" t="n"/>
      <c r="F685" s="19" t="n"/>
      <c r="G685" s="27" t="n"/>
      <c r="H685" s="27" t="n"/>
      <c r="I685" s="27" t="n"/>
      <c r="J685" s="28">
        <f>IF($A685="","",IF('設定'!$B$10="四捨五入",ROUND(IF('設定'!$B$9="税込",N($G685)*10/110,N($G685)*10/100),0),IF('設定'!$B$10="切り上げ",ROUNDUP(IF('設定'!$B$9="税込",N($G685)*10/110,N($G685)*10/100),0),ROUNDDOWN(IF('設定'!$B$9="税込",N($G685)*10/110,N($G685)*10/100),0))))</f>
        <v/>
      </c>
      <c r="K685" s="28">
        <f>IF($A685="","",IF('設定'!$B$10="四捨五入",ROUND(IF('設定'!$B$9="税込",N($H685)*8/108,N($H685)*8/100),0),IF('設定'!$B$10="切り上げ",ROUNDUP(IF('設定'!$B$9="税込",N($H685)*8/108,N($H685)*8/100),0),ROUNDDOWN(IF('設定'!$B$9="税込",N($H685)*8/108,N($H685)*8/100),0))))</f>
        <v/>
      </c>
      <c r="L685" s="28">
        <f>IF($A685="","",N($G685)+N($H685)+N($I685)+IF('設定'!$B$9="税込",0,$J685+$K685))</f>
        <v/>
      </c>
      <c r="M685" s="29">
        <f>IF(OR($A685="",NOT(ISNUMBER($W685)),NOT(ISNUMBER($X685))),"",IF(OR(INDEX('得意先'!$D$5:$D$104,$W685)="",INDEX('得意先'!$E$5:$E$104,$W685)="",INDEX('得意先'!$F$5:$F$104,$W685)=""),"",IF(INDEX('得意先'!$F$5:$F$104,$W685)="末",DATE(YEAR($X685),(MONTH($X685)+IF(INDEX('得意先'!$D$5:$D$104,$W685)="末",0,IF(DAY($X685)&lt;=INDEX('得意先'!$D$5:$D$104,$W685),0,1))+N(INDEX('得意先'!$E$5:$E$104,$W685)))+1,0),DATE(YEAR($X685),(MONTH($X685)+IF(INDEX('得意先'!$D$5:$D$104,$W685)="末",0,IF(DAY($X685)&lt;=INDEX('得意先'!$D$5:$D$104,$W685),0,1))+N(INDEX('得意先'!$E$5:$E$104,$W685))),MIN(INDEX('得意先'!$F$5:$F$104,$W685),DAY(DATE(YEAR($X685),(MONTH($X685)+IF(INDEX('得意先'!$D$5:$D$104,$W685)="末",0,IF(DAY($X685)&lt;=INDEX('得意先'!$D$5:$D$104,$W685),0,1))+N(INDEX('得意先'!$E$5:$E$104,$W685)))+1,0)))))))</f>
        <v/>
      </c>
      <c r="N685" s="26" t="n"/>
      <c r="O685" s="29">
        <f>IF($A685="","",IF(ISNUMBER($N685),$N685,$M685))</f>
        <v/>
      </c>
      <c r="P685" s="28">
        <f>IF($A685="","",SUMIF('入金消込'!$F$5:$F$1004,$A685,'入金消込'!$G$5:$G$1004))</f>
        <v/>
      </c>
      <c r="Q685" s="28">
        <f>IF($A685="","",SUMIF('入金消込'!$F$5:$F$1004,$A685,'入金消込'!$H$5:$H$1004)+SUMIF('入金消込'!$F$5:$F$1004,$A685,'入金消込'!$I$5:$I$1004))</f>
        <v/>
      </c>
      <c r="R685" s="28">
        <f>IF($A685="","",$L685-$P685-$Q685)</f>
        <v/>
      </c>
      <c r="S685" s="30">
        <f>IF($A685="","",IF($R685=0,IF($L685=0,"請求額0","回収済"),IF($L685&lt;0,IF($R685&lt;0,"差し引き待ち","差し引きすぎ"),IF($R685&lt;0,"入金が多い",IF($P685+$Q685=0,"未入金","一部入金")))))</f>
        <v/>
      </c>
      <c r="T685" s="31">
        <f>IF(OR($A685="",N($R685)&lt;=0,NOT(ISNUMBER($O685))),"",IF($O685&lt;'設定'!$B$7,'設定'!$B$7-$O685,""))</f>
        <v/>
      </c>
      <c r="U685" s="30">
        <f>IF(OR($A685="",N($R685)&lt;=0),"",IF(NOT(ISNUMBER($O685)),'設定'!$B$22,IF($O685&gt;='設定'!$B$7,'設定'!$B$17,IF('設定'!$B$7-$O685&lt;='設定'!$B$12,'設定'!$B$18,IF('設定'!$B$7-$O685&lt;='設定'!$B$13,'設定'!$B$19,IF('設定'!$B$7-$O685&lt;='設定'!$B$14,'設定'!$B$20,'設定'!$B$21))))))</f>
        <v/>
      </c>
      <c r="V685" s="56" t="n"/>
      <c r="W685" s="32">
        <f>IF($C685="","",IFERROR(MATCH($C685,'得意先'!$B$5:$B$104,0),"なし"))</f>
        <v/>
      </c>
      <c r="X685" s="33">
        <f>IF($A685="","",IF(ISNUMBER($E685),$E685,IF(ISNUMBER($B685),$B685,"")))</f>
        <v/>
      </c>
      <c r="Y685" s="34">
        <f>IF($T685="","",$O685+ROW()/1000000)</f>
        <v/>
      </c>
      <c r="Z685" s="35">
        <f>IF(OR($A685="",$C685="",$C685&lt;&gt;'売掛帳'!$B$3,NOT(ISNUMBER($X685))),"",IF(AND($X685&gt;='売掛帳'!$Q$3,$X685&lt;='売掛帳'!$Q$4),$X685+ROW()/10000000,""))</f>
        <v/>
      </c>
    </row>
    <row r="686" ht="18" customHeight="1">
      <c r="A686" s="18" t="n"/>
      <c r="B686" s="26" t="n"/>
      <c r="C686" s="18" t="n"/>
      <c r="D686" s="20">
        <f>IF($W686="","",IF($W686="なし","※得意先にないコード",INDEX('得意先'!$C$5:$C$104,$W686)&amp;""))</f>
        <v/>
      </c>
      <c r="E686" s="26" t="n"/>
      <c r="F686" s="19" t="n"/>
      <c r="G686" s="27" t="n"/>
      <c r="H686" s="27" t="n"/>
      <c r="I686" s="27" t="n"/>
      <c r="J686" s="28">
        <f>IF($A686="","",IF('設定'!$B$10="四捨五入",ROUND(IF('設定'!$B$9="税込",N($G686)*10/110,N($G686)*10/100),0),IF('設定'!$B$10="切り上げ",ROUNDUP(IF('設定'!$B$9="税込",N($G686)*10/110,N($G686)*10/100),0),ROUNDDOWN(IF('設定'!$B$9="税込",N($G686)*10/110,N($G686)*10/100),0))))</f>
        <v/>
      </c>
      <c r="K686" s="28">
        <f>IF($A686="","",IF('設定'!$B$10="四捨五入",ROUND(IF('設定'!$B$9="税込",N($H686)*8/108,N($H686)*8/100),0),IF('設定'!$B$10="切り上げ",ROUNDUP(IF('設定'!$B$9="税込",N($H686)*8/108,N($H686)*8/100),0),ROUNDDOWN(IF('設定'!$B$9="税込",N($H686)*8/108,N($H686)*8/100),0))))</f>
        <v/>
      </c>
      <c r="L686" s="28">
        <f>IF($A686="","",N($G686)+N($H686)+N($I686)+IF('設定'!$B$9="税込",0,$J686+$K686))</f>
        <v/>
      </c>
      <c r="M686" s="29">
        <f>IF(OR($A686="",NOT(ISNUMBER($W686)),NOT(ISNUMBER($X686))),"",IF(OR(INDEX('得意先'!$D$5:$D$104,$W686)="",INDEX('得意先'!$E$5:$E$104,$W686)="",INDEX('得意先'!$F$5:$F$104,$W686)=""),"",IF(INDEX('得意先'!$F$5:$F$104,$W686)="末",DATE(YEAR($X686),(MONTH($X686)+IF(INDEX('得意先'!$D$5:$D$104,$W686)="末",0,IF(DAY($X686)&lt;=INDEX('得意先'!$D$5:$D$104,$W686),0,1))+N(INDEX('得意先'!$E$5:$E$104,$W686)))+1,0),DATE(YEAR($X686),(MONTH($X686)+IF(INDEX('得意先'!$D$5:$D$104,$W686)="末",0,IF(DAY($X686)&lt;=INDEX('得意先'!$D$5:$D$104,$W686),0,1))+N(INDEX('得意先'!$E$5:$E$104,$W686))),MIN(INDEX('得意先'!$F$5:$F$104,$W686),DAY(DATE(YEAR($X686),(MONTH($X686)+IF(INDEX('得意先'!$D$5:$D$104,$W686)="末",0,IF(DAY($X686)&lt;=INDEX('得意先'!$D$5:$D$104,$W686),0,1))+N(INDEX('得意先'!$E$5:$E$104,$W686)))+1,0)))))))</f>
        <v/>
      </c>
      <c r="N686" s="26" t="n"/>
      <c r="O686" s="29">
        <f>IF($A686="","",IF(ISNUMBER($N686),$N686,$M686))</f>
        <v/>
      </c>
      <c r="P686" s="28">
        <f>IF($A686="","",SUMIF('入金消込'!$F$5:$F$1004,$A686,'入金消込'!$G$5:$G$1004))</f>
        <v/>
      </c>
      <c r="Q686" s="28">
        <f>IF($A686="","",SUMIF('入金消込'!$F$5:$F$1004,$A686,'入金消込'!$H$5:$H$1004)+SUMIF('入金消込'!$F$5:$F$1004,$A686,'入金消込'!$I$5:$I$1004))</f>
        <v/>
      </c>
      <c r="R686" s="28">
        <f>IF($A686="","",$L686-$P686-$Q686)</f>
        <v/>
      </c>
      <c r="S686" s="30">
        <f>IF($A686="","",IF($R686=0,IF($L686=0,"請求額0","回収済"),IF($L686&lt;0,IF($R686&lt;0,"差し引き待ち","差し引きすぎ"),IF($R686&lt;0,"入金が多い",IF($P686+$Q686=0,"未入金","一部入金")))))</f>
        <v/>
      </c>
      <c r="T686" s="31">
        <f>IF(OR($A686="",N($R686)&lt;=0,NOT(ISNUMBER($O686))),"",IF($O686&lt;'設定'!$B$7,'設定'!$B$7-$O686,""))</f>
        <v/>
      </c>
      <c r="U686" s="30">
        <f>IF(OR($A686="",N($R686)&lt;=0),"",IF(NOT(ISNUMBER($O686)),'設定'!$B$22,IF($O686&gt;='設定'!$B$7,'設定'!$B$17,IF('設定'!$B$7-$O686&lt;='設定'!$B$12,'設定'!$B$18,IF('設定'!$B$7-$O686&lt;='設定'!$B$13,'設定'!$B$19,IF('設定'!$B$7-$O686&lt;='設定'!$B$14,'設定'!$B$20,'設定'!$B$21))))))</f>
        <v/>
      </c>
      <c r="V686" s="56" t="n"/>
      <c r="W686" s="32">
        <f>IF($C686="","",IFERROR(MATCH($C686,'得意先'!$B$5:$B$104,0),"なし"))</f>
        <v/>
      </c>
      <c r="X686" s="33">
        <f>IF($A686="","",IF(ISNUMBER($E686),$E686,IF(ISNUMBER($B686),$B686,"")))</f>
        <v/>
      </c>
      <c r="Y686" s="34">
        <f>IF($T686="","",$O686+ROW()/1000000)</f>
        <v/>
      </c>
      <c r="Z686" s="35">
        <f>IF(OR($A686="",$C686="",$C686&lt;&gt;'売掛帳'!$B$3,NOT(ISNUMBER($X686))),"",IF(AND($X686&gt;='売掛帳'!$Q$3,$X686&lt;='売掛帳'!$Q$4),$X686+ROW()/10000000,""))</f>
        <v/>
      </c>
    </row>
    <row r="687" ht="18" customHeight="1">
      <c r="A687" s="18" t="n"/>
      <c r="B687" s="26" t="n"/>
      <c r="C687" s="18" t="n"/>
      <c r="D687" s="20">
        <f>IF($W687="","",IF($W687="なし","※得意先にないコード",INDEX('得意先'!$C$5:$C$104,$W687)&amp;""))</f>
        <v/>
      </c>
      <c r="E687" s="26" t="n"/>
      <c r="F687" s="19" t="n"/>
      <c r="G687" s="27" t="n"/>
      <c r="H687" s="27" t="n"/>
      <c r="I687" s="27" t="n"/>
      <c r="J687" s="28">
        <f>IF($A687="","",IF('設定'!$B$10="四捨五入",ROUND(IF('設定'!$B$9="税込",N($G687)*10/110,N($G687)*10/100),0),IF('設定'!$B$10="切り上げ",ROUNDUP(IF('設定'!$B$9="税込",N($G687)*10/110,N($G687)*10/100),0),ROUNDDOWN(IF('設定'!$B$9="税込",N($G687)*10/110,N($G687)*10/100),0))))</f>
        <v/>
      </c>
      <c r="K687" s="28">
        <f>IF($A687="","",IF('設定'!$B$10="四捨五入",ROUND(IF('設定'!$B$9="税込",N($H687)*8/108,N($H687)*8/100),0),IF('設定'!$B$10="切り上げ",ROUNDUP(IF('設定'!$B$9="税込",N($H687)*8/108,N($H687)*8/100),0),ROUNDDOWN(IF('設定'!$B$9="税込",N($H687)*8/108,N($H687)*8/100),0))))</f>
        <v/>
      </c>
      <c r="L687" s="28">
        <f>IF($A687="","",N($G687)+N($H687)+N($I687)+IF('設定'!$B$9="税込",0,$J687+$K687))</f>
        <v/>
      </c>
      <c r="M687" s="29">
        <f>IF(OR($A687="",NOT(ISNUMBER($W687)),NOT(ISNUMBER($X687))),"",IF(OR(INDEX('得意先'!$D$5:$D$104,$W687)="",INDEX('得意先'!$E$5:$E$104,$W687)="",INDEX('得意先'!$F$5:$F$104,$W687)=""),"",IF(INDEX('得意先'!$F$5:$F$104,$W687)="末",DATE(YEAR($X687),(MONTH($X687)+IF(INDEX('得意先'!$D$5:$D$104,$W687)="末",0,IF(DAY($X687)&lt;=INDEX('得意先'!$D$5:$D$104,$W687),0,1))+N(INDEX('得意先'!$E$5:$E$104,$W687)))+1,0),DATE(YEAR($X687),(MONTH($X687)+IF(INDEX('得意先'!$D$5:$D$104,$W687)="末",0,IF(DAY($X687)&lt;=INDEX('得意先'!$D$5:$D$104,$W687),0,1))+N(INDEX('得意先'!$E$5:$E$104,$W687))),MIN(INDEX('得意先'!$F$5:$F$104,$W687),DAY(DATE(YEAR($X687),(MONTH($X687)+IF(INDEX('得意先'!$D$5:$D$104,$W687)="末",0,IF(DAY($X687)&lt;=INDEX('得意先'!$D$5:$D$104,$W687),0,1))+N(INDEX('得意先'!$E$5:$E$104,$W687)))+1,0)))))))</f>
        <v/>
      </c>
      <c r="N687" s="26" t="n"/>
      <c r="O687" s="29">
        <f>IF($A687="","",IF(ISNUMBER($N687),$N687,$M687))</f>
        <v/>
      </c>
      <c r="P687" s="28">
        <f>IF($A687="","",SUMIF('入金消込'!$F$5:$F$1004,$A687,'入金消込'!$G$5:$G$1004))</f>
        <v/>
      </c>
      <c r="Q687" s="28">
        <f>IF($A687="","",SUMIF('入金消込'!$F$5:$F$1004,$A687,'入金消込'!$H$5:$H$1004)+SUMIF('入金消込'!$F$5:$F$1004,$A687,'入金消込'!$I$5:$I$1004))</f>
        <v/>
      </c>
      <c r="R687" s="28">
        <f>IF($A687="","",$L687-$P687-$Q687)</f>
        <v/>
      </c>
      <c r="S687" s="30">
        <f>IF($A687="","",IF($R687=0,IF($L687=0,"請求額0","回収済"),IF($L687&lt;0,IF($R687&lt;0,"差し引き待ち","差し引きすぎ"),IF($R687&lt;0,"入金が多い",IF($P687+$Q687=0,"未入金","一部入金")))))</f>
        <v/>
      </c>
      <c r="T687" s="31">
        <f>IF(OR($A687="",N($R687)&lt;=0,NOT(ISNUMBER($O687))),"",IF($O687&lt;'設定'!$B$7,'設定'!$B$7-$O687,""))</f>
        <v/>
      </c>
      <c r="U687" s="30">
        <f>IF(OR($A687="",N($R687)&lt;=0),"",IF(NOT(ISNUMBER($O687)),'設定'!$B$22,IF($O687&gt;='設定'!$B$7,'設定'!$B$17,IF('設定'!$B$7-$O687&lt;='設定'!$B$12,'設定'!$B$18,IF('設定'!$B$7-$O687&lt;='設定'!$B$13,'設定'!$B$19,IF('設定'!$B$7-$O687&lt;='設定'!$B$14,'設定'!$B$20,'設定'!$B$21))))))</f>
        <v/>
      </c>
      <c r="V687" s="56" t="n"/>
      <c r="W687" s="32">
        <f>IF($C687="","",IFERROR(MATCH($C687,'得意先'!$B$5:$B$104,0),"なし"))</f>
        <v/>
      </c>
      <c r="X687" s="33">
        <f>IF($A687="","",IF(ISNUMBER($E687),$E687,IF(ISNUMBER($B687),$B687,"")))</f>
        <v/>
      </c>
      <c r="Y687" s="34">
        <f>IF($T687="","",$O687+ROW()/1000000)</f>
        <v/>
      </c>
      <c r="Z687" s="35">
        <f>IF(OR($A687="",$C687="",$C687&lt;&gt;'売掛帳'!$B$3,NOT(ISNUMBER($X687))),"",IF(AND($X687&gt;='売掛帳'!$Q$3,$X687&lt;='売掛帳'!$Q$4),$X687+ROW()/10000000,""))</f>
        <v/>
      </c>
    </row>
    <row r="688" ht="18" customHeight="1">
      <c r="A688" s="18" t="n"/>
      <c r="B688" s="26" t="n"/>
      <c r="C688" s="18" t="n"/>
      <c r="D688" s="20">
        <f>IF($W688="","",IF($W688="なし","※得意先にないコード",INDEX('得意先'!$C$5:$C$104,$W688)&amp;""))</f>
        <v/>
      </c>
      <c r="E688" s="26" t="n"/>
      <c r="F688" s="19" t="n"/>
      <c r="G688" s="27" t="n"/>
      <c r="H688" s="27" t="n"/>
      <c r="I688" s="27" t="n"/>
      <c r="J688" s="28">
        <f>IF($A688="","",IF('設定'!$B$10="四捨五入",ROUND(IF('設定'!$B$9="税込",N($G688)*10/110,N($G688)*10/100),0),IF('設定'!$B$10="切り上げ",ROUNDUP(IF('設定'!$B$9="税込",N($G688)*10/110,N($G688)*10/100),0),ROUNDDOWN(IF('設定'!$B$9="税込",N($G688)*10/110,N($G688)*10/100),0))))</f>
        <v/>
      </c>
      <c r="K688" s="28">
        <f>IF($A688="","",IF('設定'!$B$10="四捨五入",ROUND(IF('設定'!$B$9="税込",N($H688)*8/108,N($H688)*8/100),0),IF('設定'!$B$10="切り上げ",ROUNDUP(IF('設定'!$B$9="税込",N($H688)*8/108,N($H688)*8/100),0),ROUNDDOWN(IF('設定'!$B$9="税込",N($H688)*8/108,N($H688)*8/100),0))))</f>
        <v/>
      </c>
      <c r="L688" s="28">
        <f>IF($A688="","",N($G688)+N($H688)+N($I688)+IF('設定'!$B$9="税込",0,$J688+$K688))</f>
        <v/>
      </c>
      <c r="M688" s="29">
        <f>IF(OR($A688="",NOT(ISNUMBER($W688)),NOT(ISNUMBER($X688))),"",IF(OR(INDEX('得意先'!$D$5:$D$104,$W688)="",INDEX('得意先'!$E$5:$E$104,$W688)="",INDEX('得意先'!$F$5:$F$104,$W688)=""),"",IF(INDEX('得意先'!$F$5:$F$104,$W688)="末",DATE(YEAR($X688),(MONTH($X688)+IF(INDEX('得意先'!$D$5:$D$104,$W688)="末",0,IF(DAY($X688)&lt;=INDEX('得意先'!$D$5:$D$104,$W688),0,1))+N(INDEX('得意先'!$E$5:$E$104,$W688)))+1,0),DATE(YEAR($X688),(MONTH($X688)+IF(INDEX('得意先'!$D$5:$D$104,$W688)="末",0,IF(DAY($X688)&lt;=INDEX('得意先'!$D$5:$D$104,$W688),0,1))+N(INDEX('得意先'!$E$5:$E$104,$W688))),MIN(INDEX('得意先'!$F$5:$F$104,$W688),DAY(DATE(YEAR($X688),(MONTH($X688)+IF(INDEX('得意先'!$D$5:$D$104,$W688)="末",0,IF(DAY($X688)&lt;=INDEX('得意先'!$D$5:$D$104,$W688),0,1))+N(INDEX('得意先'!$E$5:$E$104,$W688)))+1,0)))))))</f>
        <v/>
      </c>
      <c r="N688" s="26" t="n"/>
      <c r="O688" s="29">
        <f>IF($A688="","",IF(ISNUMBER($N688),$N688,$M688))</f>
        <v/>
      </c>
      <c r="P688" s="28">
        <f>IF($A688="","",SUMIF('入金消込'!$F$5:$F$1004,$A688,'入金消込'!$G$5:$G$1004))</f>
        <v/>
      </c>
      <c r="Q688" s="28">
        <f>IF($A688="","",SUMIF('入金消込'!$F$5:$F$1004,$A688,'入金消込'!$H$5:$H$1004)+SUMIF('入金消込'!$F$5:$F$1004,$A688,'入金消込'!$I$5:$I$1004))</f>
        <v/>
      </c>
      <c r="R688" s="28">
        <f>IF($A688="","",$L688-$P688-$Q688)</f>
        <v/>
      </c>
      <c r="S688" s="30">
        <f>IF($A688="","",IF($R688=0,IF($L688=0,"請求額0","回収済"),IF($L688&lt;0,IF($R688&lt;0,"差し引き待ち","差し引きすぎ"),IF($R688&lt;0,"入金が多い",IF($P688+$Q688=0,"未入金","一部入金")))))</f>
        <v/>
      </c>
      <c r="T688" s="31">
        <f>IF(OR($A688="",N($R688)&lt;=0,NOT(ISNUMBER($O688))),"",IF($O688&lt;'設定'!$B$7,'設定'!$B$7-$O688,""))</f>
        <v/>
      </c>
      <c r="U688" s="30">
        <f>IF(OR($A688="",N($R688)&lt;=0),"",IF(NOT(ISNUMBER($O688)),'設定'!$B$22,IF($O688&gt;='設定'!$B$7,'設定'!$B$17,IF('設定'!$B$7-$O688&lt;='設定'!$B$12,'設定'!$B$18,IF('設定'!$B$7-$O688&lt;='設定'!$B$13,'設定'!$B$19,IF('設定'!$B$7-$O688&lt;='設定'!$B$14,'設定'!$B$20,'設定'!$B$21))))))</f>
        <v/>
      </c>
      <c r="V688" s="56" t="n"/>
      <c r="W688" s="32">
        <f>IF($C688="","",IFERROR(MATCH($C688,'得意先'!$B$5:$B$104,0),"なし"))</f>
        <v/>
      </c>
      <c r="X688" s="33">
        <f>IF($A688="","",IF(ISNUMBER($E688),$E688,IF(ISNUMBER($B688),$B688,"")))</f>
        <v/>
      </c>
      <c r="Y688" s="34">
        <f>IF($T688="","",$O688+ROW()/1000000)</f>
        <v/>
      </c>
      <c r="Z688" s="35">
        <f>IF(OR($A688="",$C688="",$C688&lt;&gt;'売掛帳'!$B$3,NOT(ISNUMBER($X688))),"",IF(AND($X688&gt;='売掛帳'!$Q$3,$X688&lt;='売掛帳'!$Q$4),$X688+ROW()/10000000,""))</f>
        <v/>
      </c>
    </row>
    <row r="689" ht="18" customHeight="1">
      <c r="A689" s="18" t="n"/>
      <c r="B689" s="26" t="n"/>
      <c r="C689" s="18" t="n"/>
      <c r="D689" s="20">
        <f>IF($W689="","",IF($W689="なし","※得意先にないコード",INDEX('得意先'!$C$5:$C$104,$W689)&amp;""))</f>
        <v/>
      </c>
      <c r="E689" s="26" t="n"/>
      <c r="F689" s="19" t="n"/>
      <c r="G689" s="27" t="n"/>
      <c r="H689" s="27" t="n"/>
      <c r="I689" s="27" t="n"/>
      <c r="J689" s="28">
        <f>IF($A689="","",IF('設定'!$B$10="四捨五入",ROUND(IF('設定'!$B$9="税込",N($G689)*10/110,N($G689)*10/100),0),IF('設定'!$B$10="切り上げ",ROUNDUP(IF('設定'!$B$9="税込",N($G689)*10/110,N($G689)*10/100),0),ROUNDDOWN(IF('設定'!$B$9="税込",N($G689)*10/110,N($G689)*10/100),0))))</f>
        <v/>
      </c>
      <c r="K689" s="28">
        <f>IF($A689="","",IF('設定'!$B$10="四捨五入",ROUND(IF('設定'!$B$9="税込",N($H689)*8/108,N($H689)*8/100),0),IF('設定'!$B$10="切り上げ",ROUNDUP(IF('設定'!$B$9="税込",N($H689)*8/108,N($H689)*8/100),0),ROUNDDOWN(IF('設定'!$B$9="税込",N($H689)*8/108,N($H689)*8/100),0))))</f>
        <v/>
      </c>
      <c r="L689" s="28">
        <f>IF($A689="","",N($G689)+N($H689)+N($I689)+IF('設定'!$B$9="税込",0,$J689+$K689))</f>
        <v/>
      </c>
      <c r="M689" s="29">
        <f>IF(OR($A689="",NOT(ISNUMBER($W689)),NOT(ISNUMBER($X689))),"",IF(OR(INDEX('得意先'!$D$5:$D$104,$W689)="",INDEX('得意先'!$E$5:$E$104,$W689)="",INDEX('得意先'!$F$5:$F$104,$W689)=""),"",IF(INDEX('得意先'!$F$5:$F$104,$W689)="末",DATE(YEAR($X689),(MONTH($X689)+IF(INDEX('得意先'!$D$5:$D$104,$W689)="末",0,IF(DAY($X689)&lt;=INDEX('得意先'!$D$5:$D$104,$W689),0,1))+N(INDEX('得意先'!$E$5:$E$104,$W689)))+1,0),DATE(YEAR($X689),(MONTH($X689)+IF(INDEX('得意先'!$D$5:$D$104,$W689)="末",0,IF(DAY($X689)&lt;=INDEX('得意先'!$D$5:$D$104,$W689),0,1))+N(INDEX('得意先'!$E$5:$E$104,$W689))),MIN(INDEX('得意先'!$F$5:$F$104,$W689),DAY(DATE(YEAR($X689),(MONTH($X689)+IF(INDEX('得意先'!$D$5:$D$104,$W689)="末",0,IF(DAY($X689)&lt;=INDEX('得意先'!$D$5:$D$104,$W689),0,1))+N(INDEX('得意先'!$E$5:$E$104,$W689)))+1,0)))))))</f>
        <v/>
      </c>
      <c r="N689" s="26" t="n"/>
      <c r="O689" s="29">
        <f>IF($A689="","",IF(ISNUMBER($N689),$N689,$M689))</f>
        <v/>
      </c>
      <c r="P689" s="28">
        <f>IF($A689="","",SUMIF('入金消込'!$F$5:$F$1004,$A689,'入金消込'!$G$5:$G$1004))</f>
        <v/>
      </c>
      <c r="Q689" s="28">
        <f>IF($A689="","",SUMIF('入金消込'!$F$5:$F$1004,$A689,'入金消込'!$H$5:$H$1004)+SUMIF('入金消込'!$F$5:$F$1004,$A689,'入金消込'!$I$5:$I$1004))</f>
        <v/>
      </c>
      <c r="R689" s="28">
        <f>IF($A689="","",$L689-$P689-$Q689)</f>
        <v/>
      </c>
      <c r="S689" s="30">
        <f>IF($A689="","",IF($R689=0,IF($L689=0,"請求額0","回収済"),IF($L689&lt;0,IF($R689&lt;0,"差し引き待ち","差し引きすぎ"),IF($R689&lt;0,"入金が多い",IF($P689+$Q689=0,"未入金","一部入金")))))</f>
        <v/>
      </c>
      <c r="T689" s="31">
        <f>IF(OR($A689="",N($R689)&lt;=0,NOT(ISNUMBER($O689))),"",IF($O689&lt;'設定'!$B$7,'設定'!$B$7-$O689,""))</f>
        <v/>
      </c>
      <c r="U689" s="30">
        <f>IF(OR($A689="",N($R689)&lt;=0),"",IF(NOT(ISNUMBER($O689)),'設定'!$B$22,IF($O689&gt;='設定'!$B$7,'設定'!$B$17,IF('設定'!$B$7-$O689&lt;='設定'!$B$12,'設定'!$B$18,IF('設定'!$B$7-$O689&lt;='設定'!$B$13,'設定'!$B$19,IF('設定'!$B$7-$O689&lt;='設定'!$B$14,'設定'!$B$20,'設定'!$B$21))))))</f>
        <v/>
      </c>
      <c r="V689" s="56" t="n"/>
      <c r="W689" s="32">
        <f>IF($C689="","",IFERROR(MATCH($C689,'得意先'!$B$5:$B$104,0),"なし"))</f>
        <v/>
      </c>
      <c r="X689" s="33">
        <f>IF($A689="","",IF(ISNUMBER($E689),$E689,IF(ISNUMBER($B689),$B689,"")))</f>
        <v/>
      </c>
      <c r="Y689" s="34">
        <f>IF($T689="","",$O689+ROW()/1000000)</f>
        <v/>
      </c>
      <c r="Z689" s="35">
        <f>IF(OR($A689="",$C689="",$C689&lt;&gt;'売掛帳'!$B$3,NOT(ISNUMBER($X689))),"",IF(AND($X689&gt;='売掛帳'!$Q$3,$X689&lt;='売掛帳'!$Q$4),$X689+ROW()/10000000,""))</f>
        <v/>
      </c>
    </row>
    <row r="690" ht="18" customHeight="1">
      <c r="A690" s="18" t="n"/>
      <c r="B690" s="26" t="n"/>
      <c r="C690" s="18" t="n"/>
      <c r="D690" s="20">
        <f>IF($W690="","",IF($W690="なし","※得意先にないコード",INDEX('得意先'!$C$5:$C$104,$W690)&amp;""))</f>
        <v/>
      </c>
      <c r="E690" s="26" t="n"/>
      <c r="F690" s="19" t="n"/>
      <c r="G690" s="27" t="n"/>
      <c r="H690" s="27" t="n"/>
      <c r="I690" s="27" t="n"/>
      <c r="J690" s="28">
        <f>IF($A690="","",IF('設定'!$B$10="四捨五入",ROUND(IF('設定'!$B$9="税込",N($G690)*10/110,N($G690)*10/100),0),IF('設定'!$B$10="切り上げ",ROUNDUP(IF('設定'!$B$9="税込",N($G690)*10/110,N($G690)*10/100),0),ROUNDDOWN(IF('設定'!$B$9="税込",N($G690)*10/110,N($G690)*10/100),0))))</f>
        <v/>
      </c>
      <c r="K690" s="28">
        <f>IF($A690="","",IF('設定'!$B$10="四捨五入",ROUND(IF('設定'!$B$9="税込",N($H690)*8/108,N($H690)*8/100),0),IF('設定'!$B$10="切り上げ",ROUNDUP(IF('設定'!$B$9="税込",N($H690)*8/108,N($H690)*8/100),0),ROUNDDOWN(IF('設定'!$B$9="税込",N($H690)*8/108,N($H690)*8/100),0))))</f>
        <v/>
      </c>
      <c r="L690" s="28">
        <f>IF($A690="","",N($G690)+N($H690)+N($I690)+IF('設定'!$B$9="税込",0,$J690+$K690))</f>
        <v/>
      </c>
      <c r="M690" s="29">
        <f>IF(OR($A690="",NOT(ISNUMBER($W690)),NOT(ISNUMBER($X690))),"",IF(OR(INDEX('得意先'!$D$5:$D$104,$W690)="",INDEX('得意先'!$E$5:$E$104,$W690)="",INDEX('得意先'!$F$5:$F$104,$W690)=""),"",IF(INDEX('得意先'!$F$5:$F$104,$W690)="末",DATE(YEAR($X690),(MONTH($X690)+IF(INDEX('得意先'!$D$5:$D$104,$W690)="末",0,IF(DAY($X690)&lt;=INDEX('得意先'!$D$5:$D$104,$W690),0,1))+N(INDEX('得意先'!$E$5:$E$104,$W690)))+1,0),DATE(YEAR($X690),(MONTH($X690)+IF(INDEX('得意先'!$D$5:$D$104,$W690)="末",0,IF(DAY($X690)&lt;=INDEX('得意先'!$D$5:$D$104,$W690),0,1))+N(INDEX('得意先'!$E$5:$E$104,$W690))),MIN(INDEX('得意先'!$F$5:$F$104,$W690),DAY(DATE(YEAR($X690),(MONTH($X690)+IF(INDEX('得意先'!$D$5:$D$104,$W690)="末",0,IF(DAY($X690)&lt;=INDEX('得意先'!$D$5:$D$104,$W690),0,1))+N(INDEX('得意先'!$E$5:$E$104,$W690)))+1,0)))))))</f>
        <v/>
      </c>
      <c r="N690" s="26" t="n"/>
      <c r="O690" s="29">
        <f>IF($A690="","",IF(ISNUMBER($N690),$N690,$M690))</f>
        <v/>
      </c>
      <c r="P690" s="28">
        <f>IF($A690="","",SUMIF('入金消込'!$F$5:$F$1004,$A690,'入金消込'!$G$5:$G$1004))</f>
        <v/>
      </c>
      <c r="Q690" s="28">
        <f>IF($A690="","",SUMIF('入金消込'!$F$5:$F$1004,$A690,'入金消込'!$H$5:$H$1004)+SUMIF('入金消込'!$F$5:$F$1004,$A690,'入金消込'!$I$5:$I$1004))</f>
        <v/>
      </c>
      <c r="R690" s="28">
        <f>IF($A690="","",$L690-$P690-$Q690)</f>
        <v/>
      </c>
      <c r="S690" s="30">
        <f>IF($A690="","",IF($R690=0,IF($L690=0,"請求額0","回収済"),IF($L690&lt;0,IF($R690&lt;0,"差し引き待ち","差し引きすぎ"),IF($R690&lt;0,"入金が多い",IF($P690+$Q690=0,"未入金","一部入金")))))</f>
        <v/>
      </c>
      <c r="T690" s="31">
        <f>IF(OR($A690="",N($R690)&lt;=0,NOT(ISNUMBER($O690))),"",IF($O690&lt;'設定'!$B$7,'設定'!$B$7-$O690,""))</f>
        <v/>
      </c>
      <c r="U690" s="30">
        <f>IF(OR($A690="",N($R690)&lt;=0),"",IF(NOT(ISNUMBER($O690)),'設定'!$B$22,IF($O690&gt;='設定'!$B$7,'設定'!$B$17,IF('設定'!$B$7-$O690&lt;='設定'!$B$12,'設定'!$B$18,IF('設定'!$B$7-$O690&lt;='設定'!$B$13,'設定'!$B$19,IF('設定'!$B$7-$O690&lt;='設定'!$B$14,'設定'!$B$20,'設定'!$B$21))))))</f>
        <v/>
      </c>
      <c r="V690" s="56" t="n"/>
      <c r="W690" s="32">
        <f>IF($C690="","",IFERROR(MATCH($C690,'得意先'!$B$5:$B$104,0),"なし"))</f>
        <v/>
      </c>
      <c r="X690" s="33">
        <f>IF($A690="","",IF(ISNUMBER($E690),$E690,IF(ISNUMBER($B690),$B690,"")))</f>
        <v/>
      </c>
      <c r="Y690" s="34">
        <f>IF($T690="","",$O690+ROW()/1000000)</f>
        <v/>
      </c>
      <c r="Z690" s="35">
        <f>IF(OR($A690="",$C690="",$C690&lt;&gt;'売掛帳'!$B$3,NOT(ISNUMBER($X690))),"",IF(AND($X690&gt;='売掛帳'!$Q$3,$X690&lt;='売掛帳'!$Q$4),$X690+ROW()/10000000,""))</f>
        <v/>
      </c>
    </row>
    <row r="691" ht="18" customHeight="1">
      <c r="A691" s="18" t="n"/>
      <c r="B691" s="26" t="n"/>
      <c r="C691" s="18" t="n"/>
      <c r="D691" s="20">
        <f>IF($W691="","",IF($W691="なし","※得意先にないコード",INDEX('得意先'!$C$5:$C$104,$W691)&amp;""))</f>
        <v/>
      </c>
      <c r="E691" s="26" t="n"/>
      <c r="F691" s="19" t="n"/>
      <c r="G691" s="27" t="n"/>
      <c r="H691" s="27" t="n"/>
      <c r="I691" s="27" t="n"/>
      <c r="J691" s="28">
        <f>IF($A691="","",IF('設定'!$B$10="四捨五入",ROUND(IF('設定'!$B$9="税込",N($G691)*10/110,N($G691)*10/100),0),IF('設定'!$B$10="切り上げ",ROUNDUP(IF('設定'!$B$9="税込",N($G691)*10/110,N($G691)*10/100),0),ROUNDDOWN(IF('設定'!$B$9="税込",N($G691)*10/110,N($G691)*10/100),0))))</f>
        <v/>
      </c>
      <c r="K691" s="28">
        <f>IF($A691="","",IF('設定'!$B$10="四捨五入",ROUND(IF('設定'!$B$9="税込",N($H691)*8/108,N($H691)*8/100),0),IF('設定'!$B$10="切り上げ",ROUNDUP(IF('設定'!$B$9="税込",N($H691)*8/108,N($H691)*8/100),0),ROUNDDOWN(IF('設定'!$B$9="税込",N($H691)*8/108,N($H691)*8/100),0))))</f>
        <v/>
      </c>
      <c r="L691" s="28">
        <f>IF($A691="","",N($G691)+N($H691)+N($I691)+IF('設定'!$B$9="税込",0,$J691+$K691))</f>
        <v/>
      </c>
      <c r="M691" s="29">
        <f>IF(OR($A691="",NOT(ISNUMBER($W691)),NOT(ISNUMBER($X691))),"",IF(OR(INDEX('得意先'!$D$5:$D$104,$W691)="",INDEX('得意先'!$E$5:$E$104,$W691)="",INDEX('得意先'!$F$5:$F$104,$W691)=""),"",IF(INDEX('得意先'!$F$5:$F$104,$W691)="末",DATE(YEAR($X691),(MONTH($X691)+IF(INDEX('得意先'!$D$5:$D$104,$W691)="末",0,IF(DAY($X691)&lt;=INDEX('得意先'!$D$5:$D$104,$W691),0,1))+N(INDEX('得意先'!$E$5:$E$104,$W691)))+1,0),DATE(YEAR($X691),(MONTH($X691)+IF(INDEX('得意先'!$D$5:$D$104,$W691)="末",0,IF(DAY($X691)&lt;=INDEX('得意先'!$D$5:$D$104,$W691),0,1))+N(INDEX('得意先'!$E$5:$E$104,$W691))),MIN(INDEX('得意先'!$F$5:$F$104,$W691),DAY(DATE(YEAR($X691),(MONTH($X691)+IF(INDEX('得意先'!$D$5:$D$104,$W691)="末",0,IF(DAY($X691)&lt;=INDEX('得意先'!$D$5:$D$104,$W691),0,1))+N(INDEX('得意先'!$E$5:$E$104,$W691)))+1,0)))))))</f>
        <v/>
      </c>
      <c r="N691" s="26" t="n"/>
      <c r="O691" s="29">
        <f>IF($A691="","",IF(ISNUMBER($N691),$N691,$M691))</f>
        <v/>
      </c>
      <c r="P691" s="28">
        <f>IF($A691="","",SUMIF('入金消込'!$F$5:$F$1004,$A691,'入金消込'!$G$5:$G$1004))</f>
        <v/>
      </c>
      <c r="Q691" s="28">
        <f>IF($A691="","",SUMIF('入金消込'!$F$5:$F$1004,$A691,'入金消込'!$H$5:$H$1004)+SUMIF('入金消込'!$F$5:$F$1004,$A691,'入金消込'!$I$5:$I$1004))</f>
        <v/>
      </c>
      <c r="R691" s="28">
        <f>IF($A691="","",$L691-$P691-$Q691)</f>
        <v/>
      </c>
      <c r="S691" s="30">
        <f>IF($A691="","",IF($R691=0,IF($L691=0,"請求額0","回収済"),IF($L691&lt;0,IF($R691&lt;0,"差し引き待ち","差し引きすぎ"),IF($R691&lt;0,"入金が多い",IF($P691+$Q691=0,"未入金","一部入金")))))</f>
        <v/>
      </c>
      <c r="T691" s="31">
        <f>IF(OR($A691="",N($R691)&lt;=0,NOT(ISNUMBER($O691))),"",IF($O691&lt;'設定'!$B$7,'設定'!$B$7-$O691,""))</f>
        <v/>
      </c>
      <c r="U691" s="30">
        <f>IF(OR($A691="",N($R691)&lt;=0),"",IF(NOT(ISNUMBER($O691)),'設定'!$B$22,IF($O691&gt;='設定'!$B$7,'設定'!$B$17,IF('設定'!$B$7-$O691&lt;='設定'!$B$12,'設定'!$B$18,IF('設定'!$B$7-$O691&lt;='設定'!$B$13,'設定'!$B$19,IF('設定'!$B$7-$O691&lt;='設定'!$B$14,'設定'!$B$20,'設定'!$B$21))))))</f>
        <v/>
      </c>
      <c r="V691" s="56" t="n"/>
      <c r="W691" s="32">
        <f>IF($C691="","",IFERROR(MATCH($C691,'得意先'!$B$5:$B$104,0),"なし"))</f>
        <v/>
      </c>
      <c r="X691" s="33">
        <f>IF($A691="","",IF(ISNUMBER($E691),$E691,IF(ISNUMBER($B691),$B691,"")))</f>
        <v/>
      </c>
      <c r="Y691" s="34">
        <f>IF($T691="","",$O691+ROW()/1000000)</f>
        <v/>
      </c>
      <c r="Z691" s="35">
        <f>IF(OR($A691="",$C691="",$C691&lt;&gt;'売掛帳'!$B$3,NOT(ISNUMBER($X691))),"",IF(AND($X691&gt;='売掛帳'!$Q$3,$X691&lt;='売掛帳'!$Q$4),$X691+ROW()/10000000,""))</f>
        <v/>
      </c>
    </row>
    <row r="692" ht="18" customHeight="1">
      <c r="A692" s="18" t="n"/>
      <c r="B692" s="26" t="n"/>
      <c r="C692" s="18" t="n"/>
      <c r="D692" s="20">
        <f>IF($W692="","",IF($W692="なし","※得意先にないコード",INDEX('得意先'!$C$5:$C$104,$W692)&amp;""))</f>
        <v/>
      </c>
      <c r="E692" s="26" t="n"/>
      <c r="F692" s="19" t="n"/>
      <c r="G692" s="27" t="n"/>
      <c r="H692" s="27" t="n"/>
      <c r="I692" s="27" t="n"/>
      <c r="J692" s="28">
        <f>IF($A692="","",IF('設定'!$B$10="四捨五入",ROUND(IF('設定'!$B$9="税込",N($G692)*10/110,N($G692)*10/100),0),IF('設定'!$B$10="切り上げ",ROUNDUP(IF('設定'!$B$9="税込",N($G692)*10/110,N($G692)*10/100),0),ROUNDDOWN(IF('設定'!$B$9="税込",N($G692)*10/110,N($G692)*10/100),0))))</f>
        <v/>
      </c>
      <c r="K692" s="28">
        <f>IF($A692="","",IF('設定'!$B$10="四捨五入",ROUND(IF('設定'!$B$9="税込",N($H692)*8/108,N($H692)*8/100),0),IF('設定'!$B$10="切り上げ",ROUNDUP(IF('設定'!$B$9="税込",N($H692)*8/108,N($H692)*8/100),0),ROUNDDOWN(IF('設定'!$B$9="税込",N($H692)*8/108,N($H692)*8/100),0))))</f>
        <v/>
      </c>
      <c r="L692" s="28">
        <f>IF($A692="","",N($G692)+N($H692)+N($I692)+IF('設定'!$B$9="税込",0,$J692+$K692))</f>
        <v/>
      </c>
      <c r="M692" s="29">
        <f>IF(OR($A692="",NOT(ISNUMBER($W692)),NOT(ISNUMBER($X692))),"",IF(OR(INDEX('得意先'!$D$5:$D$104,$W692)="",INDEX('得意先'!$E$5:$E$104,$W692)="",INDEX('得意先'!$F$5:$F$104,$W692)=""),"",IF(INDEX('得意先'!$F$5:$F$104,$W692)="末",DATE(YEAR($X692),(MONTH($X692)+IF(INDEX('得意先'!$D$5:$D$104,$W692)="末",0,IF(DAY($X692)&lt;=INDEX('得意先'!$D$5:$D$104,$W692),0,1))+N(INDEX('得意先'!$E$5:$E$104,$W692)))+1,0),DATE(YEAR($X692),(MONTH($X692)+IF(INDEX('得意先'!$D$5:$D$104,$W692)="末",0,IF(DAY($X692)&lt;=INDEX('得意先'!$D$5:$D$104,$W692),0,1))+N(INDEX('得意先'!$E$5:$E$104,$W692))),MIN(INDEX('得意先'!$F$5:$F$104,$W692),DAY(DATE(YEAR($X692),(MONTH($X692)+IF(INDEX('得意先'!$D$5:$D$104,$W692)="末",0,IF(DAY($X692)&lt;=INDEX('得意先'!$D$5:$D$104,$W692),0,1))+N(INDEX('得意先'!$E$5:$E$104,$W692)))+1,0)))))))</f>
        <v/>
      </c>
      <c r="N692" s="26" t="n"/>
      <c r="O692" s="29">
        <f>IF($A692="","",IF(ISNUMBER($N692),$N692,$M692))</f>
        <v/>
      </c>
      <c r="P692" s="28">
        <f>IF($A692="","",SUMIF('入金消込'!$F$5:$F$1004,$A692,'入金消込'!$G$5:$G$1004))</f>
        <v/>
      </c>
      <c r="Q692" s="28">
        <f>IF($A692="","",SUMIF('入金消込'!$F$5:$F$1004,$A692,'入金消込'!$H$5:$H$1004)+SUMIF('入金消込'!$F$5:$F$1004,$A692,'入金消込'!$I$5:$I$1004))</f>
        <v/>
      </c>
      <c r="R692" s="28">
        <f>IF($A692="","",$L692-$P692-$Q692)</f>
        <v/>
      </c>
      <c r="S692" s="30">
        <f>IF($A692="","",IF($R692=0,IF($L692=0,"請求額0","回収済"),IF($L692&lt;0,IF($R692&lt;0,"差し引き待ち","差し引きすぎ"),IF($R692&lt;0,"入金が多い",IF($P692+$Q692=0,"未入金","一部入金")))))</f>
        <v/>
      </c>
      <c r="T692" s="31">
        <f>IF(OR($A692="",N($R692)&lt;=0,NOT(ISNUMBER($O692))),"",IF($O692&lt;'設定'!$B$7,'設定'!$B$7-$O692,""))</f>
        <v/>
      </c>
      <c r="U692" s="30">
        <f>IF(OR($A692="",N($R692)&lt;=0),"",IF(NOT(ISNUMBER($O692)),'設定'!$B$22,IF($O692&gt;='設定'!$B$7,'設定'!$B$17,IF('設定'!$B$7-$O692&lt;='設定'!$B$12,'設定'!$B$18,IF('設定'!$B$7-$O692&lt;='設定'!$B$13,'設定'!$B$19,IF('設定'!$B$7-$O692&lt;='設定'!$B$14,'設定'!$B$20,'設定'!$B$21))))))</f>
        <v/>
      </c>
      <c r="V692" s="56" t="n"/>
      <c r="W692" s="32">
        <f>IF($C692="","",IFERROR(MATCH($C692,'得意先'!$B$5:$B$104,0),"なし"))</f>
        <v/>
      </c>
      <c r="X692" s="33">
        <f>IF($A692="","",IF(ISNUMBER($E692),$E692,IF(ISNUMBER($B692),$B692,"")))</f>
        <v/>
      </c>
      <c r="Y692" s="34">
        <f>IF($T692="","",$O692+ROW()/1000000)</f>
        <v/>
      </c>
      <c r="Z692" s="35">
        <f>IF(OR($A692="",$C692="",$C692&lt;&gt;'売掛帳'!$B$3,NOT(ISNUMBER($X692))),"",IF(AND($X692&gt;='売掛帳'!$Q$3,$X692&lt;='売掛帳'!$Q$4),$X692+ROW()/10000000,""))</f>
        <v/>
      </c>
    </row>
    <row r="693" ht="18" customHeight="1">
      <c r="A693" s="18" t="n"/>
      <c r="B693" s="26" t="n"/>
      <c r="C693" s="18" t="n"/>
      <c r="D693" s="20">
        <f>IF($W693="","",IF($W693="なし","※得意先にないコード",INDEX('得意先'!$C$5:$C$104,$W693)&amp;""))</f>
        <v/>
      </c>
      <c r="E693" s="26" t="n"/>
      <c r="F693" s="19" t="n"/>
      <c r="G693" s="27" t="n"/>
      <c r="H693" s="27" t="n"/>
      <c r="I693" s="27" t="n"/>
      <c r="J693" s="28">
        <f>IF($A693="","",IF('設定'!$B$10="四捨五入",ROUND(IF('設定'!$B$9="税込",N($G693)*10/110,N($G693)*10/100),0),IF('設定'!$B$10="切り上げ",ROUNDUP(IF('設定'!$B$9="税込",N($G693)*10/110,N($G693)*10/100),0),ROUNDDOWN(IF('設定'!$B$9="税込",N($G693)*10/110,N($G693)*10/100),0))))</f>
        <v/>
      </c>
      <c r="K693" s="28">
        <f>IF($A693="","",IF('設定'!$B$10="四捨五入",ROUND(IF('設定'!$B$9="税込",N($H693)*8/108,N($H693)*8/100),0),IF('設定'!$B$10="切り上げ",ROUNDUP(IF('設定'!$B$9="税込",N($H693)*8/108,N($H693)*8/100),0),ROUNDDOWN(IF('設定'!$B$9="税込",N($H693)*8/108,N($H693)*8/100),0))))</f>
        <v/>
      </c>
      <c r="L693" s="28">
        <f>IF($A693="","",N($G693)+N($H693)+N($I693)+IF('設定'!$B$9="税込",0,$J693+$K693))</f>
        <v/>
      </c>
      <c r="M693" s="29">
        <f>IF(OR($A693="",NOT(ISNUMBER($W693)),NOT(ISNUMBER($X693))),"",IF(OR(INDEX('得意先'!$D$5:$D$104,$W693)="",INDEX('得意先'!$E$5:$E$104,$W693)="",INDEX('得意先'!$F$5:$F$104,$W693)=""),"",IF(INDEX('得意先'!$F$5:$F$104,$W693)="末",DATE(YEAR($X693),(MONTH($X693)+IF(INDEX('得意先'!$D$5:$D$104,$W693)="末",0,IF(DAY($X693)&lt;=INDEX('得意先'!$D$5:$D$104,$W693),0,1))+N(INDEX('得意先'!$E$5:$E$104,$W693)))+1,0),DATE(YEAR($X693),(MONTH($X693)+IF(INDEX('得意先'!$D$5:$D$104,$W693)="末",0,IF(DAY($X693)&lt;=INDEX('得意先'!$D$5:$D$104,$W693),0,1))+N(INDEX('得意先'!$E$5:$E$104,$W693))),MIN(INDEX('得意先'!$F$5:$F$104,$W693),DAY(DATE(YEAR($X693),(MONTH($X693)+IF(INDEX('得意先'!$D$5:$D$104,$W693)="末",0,IF(DAY($X693)&lt;=INDEX('得意先'!$D$5:$D$104,$W693),0,1))+N(INDEX('得意先'!$E$5:$E$104,$W693)))+1,0)))))))</f>
        <v/>
      </c>
      <c r="N693" s="26" t="n"/>
      <c r="O693" s="29">
        <f>IF($A693="","",IF(ISNUMBER($N693),$N693,$M693))</f>
        <v/>
      </c>
      <c r="P693" s="28">
        <f>IF($A693="","",SUMIF('入金消込'!$F$5:$F$1004,$A693,'入金消込'!$G$5:$G$1004))</f>
        <v/>
      </c>
      <c r="Q693" s="28">
        <f>IF($A693="","",SUMIF('入金消込'!$F$5:$F$1004,$A693,'入金消込'!$H$5:$H$1004)+SUMIF('入金消込'!$F$5:$F$1004,$A693,'入金消込'!$I$5:$I$1004))</f>
        <v/>
      </c>
      <c r="R693" s="28">
        <f>IF($A693="","",$L693-$P693-$Q693)</f>
        <v/>
      </c>
      <c r="S693" s="30">
        <f>IF($A693="","",IF($R693=0,IF($L693=0,"請求額0","回収済"),IF($L693&lt;0,IF($R693&lt;0,"差し引き待ち","差し引きすぎ"),IF($R693&lt;0,"入金が多い",IF($P693+$Q693=0,"未入金","一部入金")))))</f>
        <v/>
      </c>
      <c r="T693" s="31">
        <f>IF(OR($A693="",N($R693)&lt;=0,NOT(ISNUMBER($O693))),"",IF($O693&lt;'設定'!$B$7,'設定'!$B$7-$O693,""))</f>
        <v/>
      </c>
      <c r="U693" s="30">
        <f>IF(OR($A693="",N($R693)&lt;=0),"",IF(NOT(ISNUMBER($O693)),'設定'!$B$22,IF($O693&gt;='設定'!$B$7,'設定'!$B$17,IF('設定'!$B$7-$O693&lt;='設定'!$B$12,'設定'!$B$18,IF('設定'!$B$7-$O693&lt;='設定'!$B$13,'設定'!$B$19,IF('設定'!$B$7-$O693&lt;='設定'!$B$14,'設定'!$B$20,'設定'!$B$21))))))</f>
        <v/>
      </c>
      <c r="V693" s="56" t="n"/>
      <c r="W693" s="32">
        <f>IF($C693="","",IFERROR(MATCH($C693,'得意先'!$B$5:$B$104,0),"なし"))</f>
        <v/>
      </c>
      <c r="X693" s="33">
        <f>IF($A693="","",IF(ISNUMBER($E693),$E693,IF(ISNUMBER($B693),$B693,"")))</f>
        <v/>
      </c>
      <c r="Y693" s="34">
        <f>IF($T693="","",$O693+ROW()/1000000)</f>
        <v/>
      </c>
      <c r="Z693" s="35">
        <f>IF(OR($A693="",$C693="",$C693&lt;&gt;'売掛帳'!$B$3,NOT(ISNUMBER($X693))),"",IF(AND($X693&gt;='売掛帳'!$Q$3,$X693&lt;='売掛帳'!$Q$4),$X693+ROW()/10000000,""))</f>
        <v/>
      </c>
    </row>
    <row r="694" ht="18" customHeight="1">
      <c r="A694" s="18" t="n"/>
      <c r="B694" s="26" t="n"/>
      <c r="C694" s="18" t="n"/>
      <c r="D694" s="20">
        <f>IF($W694="","",IF($W694="なし","※得意先にないコード",INDEX('得意先'!$C$5:$C$104,$W694)&amp;""))</f>
        <v/>
      </c>
      <c r="E694" s="26" t="n"/>
      <c r="F694" s="19" t="n"/>
      <c r="G694" s="27" t="n"/>
      <c r="H694" s="27" t="n"/>
      <c r="I694" s="27" t="n"/>
      <c r="J694" s="28">
        <f>IF($A694="","",IF('設定'!$B$10="四捨五入",ROUND(IF('設定'!$B$9="税込",N($G694)*10/110,N($G694)*10/100),0),IF('設定'!$B$10="切り上げ",ROUNDUP(IF('設定'!$B$9="税込",N($G694)*10/110,N($G694)*10/100),0),ROUNDDOWN(IF('設定'!$B$9="税込",N($G694)*10/110,N($G694)*10/100),0))))</f>
        <v/>
      </c>
      <c r="K694" s="28">
        <f>IF($A694="","",IF('設定'!$B$10="四捨五入",ROUND(IF('設定'!$B$9="税込",N($H694)*8/108,N($H694)*8/100),0),IF('設定'!$B$10="切り上げ",ROUNDUP(IF('設定'!$B$9="税込",N($H694)*8/108,N($H694)*8/100),0),ROUNDDOWN(IF('設定'!$B$9="税込",N($H694)*8/108,N($H694)*8/100),0))))</f>
        <v/>
      </c>
      <c r="L694" s="28">
        <f>IF($A694="","",N($G694)+N($H694)+N($I694)+IF('設定'!$B$9="税込",0,$J694+$K694))</f>
        <v/>
      </c>
      <c r="M694" s="29">
        <f>IF(OR($A694="",NOT(ISNUMBER($W694)),NOT(ISNUMBER($X694))),"",IF(OR(INDEX('得意先'!$D$5:$D$104,$W694)="",INDEX('得意先'!$E$5:$E$104,$W694)="",INDEX('得意先'!$F$5:$F$104,$W694)=""),"",IF(INDEX('得意先'!$F$5:$F$104,$W694)="末",DATE(YEAR($X694),(MONTH($X694)+IF(INDEX('得意先'!$D$5:$D$104,$W694)="末",0,IF(DAY($X694)&lt;=INDEX('得意先'!$D$5:$D$104,$W694),0,1))+N(INDEX('得意先'!$E$5:$E$104,$W694)))+1,0),DATE(YEAR($X694),(MONTH($X694)+IF(INDEX('得意先'!$D$5:$D$104,$W694)="末",0,IF(DAY($X694)&lt;=INDEX('得意先'!$D$5:$D$104,$W694),0,1))+N(INDEX('得意先'!$E$5:$E$104,$W694))),MIN(INDEX('得意先'!$F$5:$F$104,$W694),DAY(DATE(YEAR($X694),(MONTH($X694)+IF(INDEX('得意先'!$D$5:$D$104,$W694)="末",0,IF(DAY($X694)&lt;=INDEX('得意先'!$D$5:$D$104,$W694),0,1))+N(INDEX('得意先'!$E$5:$E$104,$W694)))+1,0)))))))</f>
        <v/>
      </c>
      <c r="N694" s="26" t="n"/>
      <c r="O694" s="29">
        <f>IF($A694="","",IF(ISNUMBER($N694),$N694,$M694))</f>
        <v/>
      </c>
      <c r="P694" s="28">
        <f>IF($A694="","",SUMIF('入金消込'!$F$5:$F$1004,$A694,'入金消込'!$G$5:$G$1004))</f>
        <v/>
      </c>
      <c r="Q694" s="28">
        <f>IF($A694="","",SUMIF('入金消込'!$F$5:$F$1004,$A694,'入金消込'!$H$5:$H$1004)+SUMIF('入金消込'!$F$5:$F$1004,$A694,'入金消込'!$I$5:$I$1004))</f>
        <v/>
      </c>
      <c r="R694" s="28">
        <f>IF($A694="","",$L694-$P694-$Q694)</f>
        <v/>
      </c>
      <c r="S694" s="30">
        <f>IF($A694="","",IF($R694=0,IF($L694=0,"請求額0","回収済"),IF($L694&lt;0,IF($R694&lt;0,"差し引き待ち","差し引きすぎ"),IF($R694&lt;0,"入金が多い",IF($P694+$Q694=0,"未入金","一部入金")))))</f>
        <v/>
      </c>
      <c r="T694" s="31">
        <f>IF(OR($A694="",N($R694)&lt;=0,NOT(ISNUMBER($O694))),"",IF($O694&lt;'設定'!$B$7,'設定'!$B$7-$O694,""))</f>
        <v/>
      </c>
      <c r="U694" s="30">
        <f>IF(OR($A694="",N($R694)&lt;=0),"",IF(NOT(ISNUMBER($O694)),'設定'!$B$22,IF($O694&gt;='設定'!$B$7,'設定'!$B$17,IF('設定'!$B$7-$O694&lt;='設定'!$B$12,'設定'!$B$18,IF('設定'!$B$7-$O694&lt;='設定'!$B$13,'設定'!$B$19,IF('設定'!$B$7-$O694&lt;='設定'!$B$14,'設定'!$B$20,'設定'!$B$21))))))</f>
        <v/>
      </c>
      <c r="V694" s="56" t="n"/>
      <c r="W694" s="32">
        <f>IF($C694="","",IFERROR(MATCH($C694,'得意先'!$B$5:$B$104,0),"なし"))</f>
        <v/>
      </c>
      <c r="X694" s="33">
        <f>IF($A694="","",IF(ISNUMBER($E694),$E694,IF(ISNUMBER($B694),$B694,"")))</f>
        <v/>
      </c>
      <c r="Y694" s="34">
        <f>IF($T694="","",$O694+ROW()/1000000)</f>
        <v/>
      </c>
      <c r="Z694" s="35">
        <f>IF(OR($A694="",$C694="",$C694&lt;&gt;'売掛帳'!$B$3,NOT(ISNUMBER($X694))),"",IF(AND($X694&gt;='売掛帳'!$Q$3,$X694&lt;='売掛帳'!$Q$4),$X694+ROW()/10000000,""))</f>
        <v/>
      </c>
    </row>
    <row r="695" ht="18" customHeight="1">
      <c r="A695" s="18" t="n"/>
      <c r="B695" s="26" t="n"/>
      <c r="C695" s="18" t="n"/>
      <c r="D695" s="20">
        <f>IF($W695="","",IF($W695="なし","※得意先にないコード",INDEX('得意先'!$C$5:$C$104,$W695)&amp;""))</f>
        <v/>
      </c>
      <c r="E695" s="26" t="n"/>
      <c r="F695" s="19" t="n"/>
      <c r="G695" s="27" t="n"/>
      <c r="H695" s="27" t="n"/>
      <c r="I695" s="27" t="n"/>
      <c r="J695" s="28">
        <f>IF($A695="","",IF('設定'!$B$10="四捨五入",ROUND(IF('設定'!$B$9="税込",N($G695)*10/110,N($G695)*10/100),0),IF('設定'!$B$10="切り上げ",ROUNDUP(IF('設定'!$B$9="税込",N($G695)*10/110,N($G695)*10/100),0),ROUNDDOWN(IF('設定'!$B$9="税込",N($G695)*10/110,N($G695)*10/100),0))))</f>
        <v/>
      </c>
      <c r="K695" s="28">
        <f>IF($A695="","",IF('設定'!$B$10="四捨五入",ROUND(IF('設定'!$B$9="税込",N($H695)*8/108,N($H695)*8/100),0),IF('設定'!$B$10="切り上げ",ROUNDUP(IF('設定'!$B$9="税込",N($H695)*8/108,N($H695)*8/100),0),ROUNDDOWN(IF('設定'!$B$9="税込",N($H695)*8/108,N($H695)*8/100),0))))</f>
        <v/>
      </c>
      <c r="L695" s="28">
        <f>IF($A695="","",N($G695)+N($H695)+N($I695)+IF('設定'!$B$9="税込",0,$J695+$K695))</f>
        <v/>
      </c>
      <c r="M695" s="29">
        <f>IF(OR($A695="",NOT(ISNUMBER($W695)),NOT(ISNUMBER($X695))),"",IF(OR(INDEX('得意先'!$D$5:$D$104,$W695)="",INDEX('得意先'!$E$5:$E$104,$W695)="",INDEX('得意先'!$F$5:$F$104,$W695)=""),"",IF(INDEX('得意先'!$F$5:$F$104,$W695)="末",DATE(YEAR($X695),(MONTH($X695)+IF(INDEX('得意先'!$D$5:$D$104,$W695)="末",0,IF(DAY($X695)&lt;=INDEX('得意先'!$D$5:$D$104,$W695),0,1))+N(INDEX('得意先'!$E$5:$E$104,$W695)))+1,0),DATE(YEAR($X695),(MONTH($X695)+IF(INDEX('得意先'!$D$5:$D$104,$W695)="末",0,IF(DAY($X695)&lt;=INDEX('得意先'!$D$5:$D$104,$W695),0,1))+N(INDEX('得意先'!$E$5:$E$104,$W695))),MIN(INDEX('得意先'!$F$5:$F$104,$W695),DAY(DATE(YEAR($X695),(MONTH($X695)+IF(INDEX('得意先'!$D$5:$D$104,$W695)="末",0,IF(DAY($X695)&lt;=INDEX('得意先'!$D$5:$D$104,$W695),0,1))+N(INDEX('得意先'!$E$5:$E$104,$W695)))+1,0)))))))</f>
        <v/>
      </c>
      <c r="N695" s="26" t="n"/>
      <c r="O695" s="29">
        <f>IF($A695="","",IF(ISNUMBER($N695),$N695,$M695))</f>
        <v/>
      </c>
      <c r="P695" s="28">
        <f>IF($A695="","",SUMIF('入金消込'!$F$5:$F$1004,$A695,'入金消込'!$G$5:$G$1004))</f>
        <v/>
      </c>
      <c r="Q695" s="28">
        <f>IF($A695="","",SUMIF('入金消込'!$F$5:$F$1004,$A695,'入金消込'!$H$5:$H$1004)+SUMIF('入金消込'!$F$5:$F$1004,$A695,'入金消込'!$I$5:$I$1004))</f>
        <v/>
      </c>
      <c r="R695" s="28">
        <f>IF($A695="","",$L695-$P695-$Q695)</f>
        <v/>
      </c>
      <c r="S695" s="30">
        <f>IF($A695="","",IF($R695=0,IF($L695=0,"請求額0","回収済"),IF($L695&lt;0,IF($R695&lt;0,"差し引き待ち","差し引きすぎ"),IF($R695&lt;0,"入金が多い",IF($P695+$Q695=0,"未入金","一部入金")))))</f>
        <v/>
      </c>
      <c r="T695" s="31">
        <f>IF(OR($A695="",N($R695)&lt;=0,NOT(ISNUMBER($O695))),"",IF($O695&lt;'設定'!$B$7,'設定'!$B$7-$O695,""))</f>
        <v/>
      </c>
      <c r="U695" s="30">
        <f>IF(OR($A695="",N($R695)&lt;=0),"",IF(NOT(ISNUMBER($O695)),'設定'!$B$22,IF($O695&gt;='設定'!$B$7,'設定'!$B$17,IF('設定'!$B$7-$O695&lt;='設定'!$B$12,'設定'!$B$18,IF('設定'!$B$7-$O695&lt;='設定'!$B$13,'設定'!$B$19,IF('設定'!$B$7-$O695&lt;='設定'!$B$14,'設定'!$B$20,'設定'!$B$21))))))</f>
        <v/>
      </c>
      <c r="V695" s="56" t="n"/>
      <c r="W695" s="32">
        <f>IF($C695="","",IFERROR(MATCH($C695,'得意先'!$B$5:$B$104,0),"なし"))</f>
        <v/>
      </c>
      <c r="X695" s="33">
        <f>IF($A695="","",IF(ISNUMBER($E695),$E695,IF(ISNUMBER($B695),$B695,"")))</f>
        <v/>
      </c>
      <c r="Y695" s="34">
        <f>IF($T695="","",$O695+ROW()/1000000)</f>
        <v/>
      </c>
      <c r="Z695" s="35">
        <f>IF(OR($A695="",$C695="",$C695&lt;&gt;'売掛帳'!$B$3,NOT(ISNUMBER($X695))),"",IF(AND($X695&gt;='売掛帳'!$Q$3,$X695&lt;='売掛帳'!$Q$4),$X695+ROW()/10000000,""))</f>
        <v/>
      </c>
    </row>
    <row r="696" ht="18" customHeight="1">
      <c r="A696" s="18" t="n"/>
      <c r="B696" s="26" t="n"/>
      <c r="C696" s="18" t="n"/>
      <c r="D696" s="20">
        <f>IF($W696="","",IF($W696="なし","※得意先にないコード",INDEX('得意先'!$C$5:$C$104,$W696)&amp;""))</f>
        <v/>
      </c>
      <c r="E696" s="26" t="n"/>
      <c r="F696" s="19" t="n"/>
      <c r="G696" s="27" t="n"/>
      <c r="H696" s="27" t="n"/>
      <c r="I696" s="27" t="n"/>
      <c r="J696" s="28">
        <f>IF($A696="","",IF('設定'!$B$10="四捨五入",ROUND(IF('設定'!$B$9="税込",N($G696)*10/110,N($G696)*10/100),0),IF('設定'!$B$10="切り上げ",ROUNDUP(IF('設定'!$B$9="税込",N($G696)*10/110,N($G696)*10/100),0),ROUNDDOWN(IF('設定'!$B$9="税込",N($G696)*10/110,N($G696)*10/100),0))))</f>
        <v/>
      </c>
      <c r="K696" s="28">
        <f>IF($A696="","",IF('設定'!$B$10="四捨五入",ROUND(IF('設定'!$B$9="税込",N($H696)*8/108,N($H696)*8/100),0),IF('設定'!$B$10="切り上げ",ROUNDUP(IF('設定'!$B$9="税込",N($H696)*8/108,N($H696)*8/100),0),ROUNDDOWN(IF('設定'!$B$9="税込",N($H696)*8/108,N($H696)*8/100),0))))</f>
        <v/>
      </c>
      <c r="L696" s="28">
        <f>IF($A696="","",N($G696)+N($H696)+N($I696)+IF('設定'!$B$9="税込",0,$J696+$K696))</f>
        <v/>
      </c>
      <c r="M696" s="29">
        <f>IF(OR($A696="",NOT(ISNUMBER($W696)),NOT(ISNUMBER($X696))),"",IF(OR(INDEX('得意先'!$D$5:$D$104,$W696)="",INDEX('得意先'!$E$5:$E$104,$W696)="",INDEX('得意先'!$F$5:$F$104,$W696)=""),"",IF(INDEX('得意先'!$F$5:$F$104,$W696)="末",DATE(YEAR($X696),(MONTH($X696)+IF(INDEX('得意先'!$D$5:$D$104,$W696)="末",0,IF(DAY($X696)&lt;=INDEX('得意先'!$D$5:$D$104,$W696),0,1))+N(INDEX('得意先'!$E$5:$E$104,$W696)))+1,0),DATE(YEAR($X696),(MONTH($X696)+IF(INDEX('得意先'!$D$5:$D$104,$W696)="末",0,IF(DAY($X696)&lt;=INDEX('得意先'!$D$5:$D$104,$W696),0,1))+N(INDEX('得意先'!$E$5:$E$104,$W696))),MIN(INDEX('得意先'!$F$5:$F$104,$W696),DAY(DATE(YEAR($X696),(MONTH($X696)+IF(INDEX('得意先'!$D$5:$D$104,$W696)="末",0,IF(DAY($X696)&lt;=INDEX('得意先'!$D$5:$D$104,$W696),0,1))+N(INDEX('得意先'!$E$5:$E$104,$W696)))+1,0)))))))</f>
        <v/>
      </c>
      <c r="N696" s="26" t="n"/>
      <c r="O696" s="29">
        <f>IF($A696="","",IF(ISNUMBER($N696),$N696,$M696))</f>
        <v/>
      </c>
      <c r="P696" s="28">
        <f>IF($A696="","",SUMIF('入金消込'!$F$5:$F$1004,$A696,'入金消込'!$G$5:$G$1004))</f>
        <v/>
      </c>
      <c r="Q696" s="28">
        <f>IF($A696="","",SUMIF('入金消込'!$F$5:$F$1004,$A696,'入金消込'!$H$5:$H$1004)+SUMIF('入金消込'!$F$5:$F$1004,$A696,'入金消込'!$I$5:$I$1004))</f>
        <v/>
      </c>
      <c r="R696" s="28">
        <f>IF($A696="","",$L696-$P696-$Q696)</f>
        <v/>
      </c>
      <c r="S696" s="30">
        <f>IF($A696="","",IF($R696=0,IF($L696=0,"請求額0","回収済"),IF($L696&lt;0,IF($R696&lt;0,"差し引き待ち","差し引きすぎ"),IF($R696&lt;0,"入金が多い",IF($P696+$Q696=0,"未入金","一部入金")))))</f>
        <v/>
      </c>
      <c r="T696" s="31">
        <f>IF(OR($A696="",N($R696)&lt;=0,NOT(ISNUMBER($O696))),"",IF($O696&lt;'設定'!$B$7,'設定'!$B$7-$O696,""))</f>
        <v/>
      </c>
      <c r="U696" s="30">
        <f>IF(OR($A696="",N($R696)&lt;=0),"",IF(NOT(ISNUMBER($O696)),'設定'!$B$22,IF($O696&gt;='設定'!$B$7,'設定'!$B$17,IF('設定'!$B$7-$O696&lt;='設定'!$B$12,'設定'!$B$18,IF('設定'!$B$7-$O696&lt;='設定'!$B$13,'設定'!$B$19,IF('設定'!$B$7-$O696&lt;='設定'!$B$14,'設定'!$B$20,'設定'!$B$21))))))</f>
        <v/>
      </c>
      <c r="V696" s="56" t="n"/>
      <c r="W696" s="32">
        <f>IF($C696="","",IFERROR(MATCH($C696,'得意先'!$B$5:$B$104,0),"なし"))</f>
        <v/>
      </c>
      <c r="X696" s="33">
        <f>IF($A696="","",IF(ISNUMBER($E696),$E696,IF(ISNUMBER($B696),$B696,"")))</f>
        <v/>
      </c>
      <c r="Y696" s="34">
        <f>IF($T696="","",$O696+ROW()/1000000)</f>
        <v/>
      </c>
      <c r="Z696" s="35">
        <f>IF(OR($A696="",$C696="",$C696&lt;&gt;'売掛帳'!$B$3,NOT(ISNUMBER($X696))),"",IF(AND($X696&gt;='売掛帳'!$Q$3,$X696&lt;='売掛帳'!$Q$4),$X696+ROW()/10000000,""))</f>
        <v/>
      </c>
    </row>
    <row r="697" ht="18" customHeight="1">
      <c r="A697" s="18" t="n"/>
      <c r="B697" s="26" t="n"/>
      <c r="C697" s="18" t="n"/>
      <c r="D697" s="20">
        <f>IF($W697="","",IF($W697="なし","※得意先にないコード",INDEX('得意先'!$C$5:$C$104,$W697)&amp;""))</f>
        <v/>
      </c>
      <c r="E697" s="26" t="n"/>
      <c r="F697" s="19" t="n"/>
      <c r="G697" s="27" t="n"/>
      <c r="H697" s="27" t="n"/>
      <c r="I697" s="27" t="n"/>
      <c r="J697" s="28">
        <f>IF($A697="","",IF('設定'!$B$10="四捨五入",ROUND(IF('設定'!$B$9="税込",N($G697)*10/110,N($G697)*10/100),0),IF('設定'!$B$10="切り上げ",ROUNDUP(IF('設定'!$B$9="税込",N($G697)*10/110,N($G697)*10/100),0),ROUNDDOWN(IF('設定'!$B$9="税込",N($G697)*10/110,N($G697)*10/100),0))))</f>
        <v/>
      </c>
      <c r="K697" s="28">
        <f>IF($A697="","",IF('設定'!$B$10="四捨五入",ROUND(IF('設定'!$B$9="税込",N($H697)*8/108,N($H697)*8/100),0),IF('設定'!$B$10="切り上げ",ROUNDUP(IF('設定'!$B$9="税込",N($H697)*8/108,N($H697)*8/100),0),ROUNDDOWN(IF('設定'!$B$9="税込",N($H697)*8/108,N($H697)*8/100),0))))</f>
        <v/>
      </c>
      <c r="L697" s="28">
        <f>IF($A697="","",N($G697)+N($H697)+N($I697)+IF('設定'!$B$9="税込",0,$J697+$K697))</f>
        <v/>
      </c>
      <c r="M697" s="29">
        <f>IF(OR($A697="",NOT(ISNUMBER($W697)),NOT(ISNUMBER($X697))),"",IF(OR(INDEX('得意先'!$D$5:$D$104,$W697)="",INDEX('得意先'!$E$5:$E$104,$W697)="",INDEX('得意先'!$F$5:$F$104,$W697)=""),"",IF(INDEX('得意先'!$F$5:$F$104,$W697)="末",DATE(YEAR($X697),(MONTH($X697)+IF(INDEX('得意先'!$D$5:$D$104,$W697)="末",0,IF(DAY($X697)&lt;=INDEX('得意先'!$D$5:$D$104,$W697),0,1))+N(INDEX('得意先'!$E$5:$E$104,$W697)))+1,0),DATE(YEAR($X697),(MONTH($X697)+IF(INDEX('得意先'!$D$5:$D$104,$W697)="末",0,IF(DAY($X697)&lt;=INDEX('得意先'!$D$5:$D$104,$W697),0,1))+N(INDEX('得意先'!$E$5:$E$104,$W697))),MIN(INDEX('得意先'!$F$5:$F$104,$W697),DAY(DATE(YEAR($X697),(MONTH($X697)+IF(INDEX('得意先'!$D$5:$D$104,$W697)="末",0,IF(DAY($X697)&lt;=INDEX('得意先'!$D$5:$D$104,$W697),0,1))+N(INDEX('得意先'!$E$5:$E$104,$W697)))+1,0)))))))</f>
        <v/>
      </c>
      <c r="N697" s="26" t="n"/>
      <c r="O697" s="29">
        <f>IF($A697="","",IF(ISNUMBER($N697),$N697,$M697))</f>
        <v/>
      </c>
      <c r="P697" s="28">
        <f>IF($A697="","",SUMIF('入金消込'!$F$5:$F$1004,$A697,'入金消込'!$G$5:$G$1004))</f>
        <v/>
      </c>
      <c r="Q697" s="28">
        <f>IF($A697="","",SUMIF('入金消込'!$F$5:$F$1004,$A697,'入金消込'!$H$5:$H$1004)+SUMIF('入金消込'!$F$5:$F$1004,$A697,'入金消込'!$I$5:$I$1004))</f>
        <v/>
      </c>
      <c r="R697" s="28">
        <f>IF($A697="","",$L697-$P697-$Q697)</f>
        <v/>
      </c>
      <c r="S697" s="30">
        <f>IF($A697="","",IF($R697=0,IF($L697=0,"請求額0","回収済"),IF($L697&lt;0,IF($R697&lt;0,"差し引き待ち","差し引きすぎ"),IF($R697&lt;0,"入金が多い",IF($P697+$Q697=0,"未入金","一部入金")))))</f>
        <v/>
      </c>
      <c r="T697" s="31">
        <f>IF(OR($A697="",N($R697)&lt;=0,NOT(ISNUMBER($O697))),"",IF($O697&lt;'設定'!$B$7,'設定'!$B$7-$O697,""))</f>
        <v/>
      </c>
      <c r="U697" s="30">
        <f>IF(OR($A697="",N($R697)&lt;=0),"",IF(NOT(ISNUMBER($O697)),'設定'!$B$22,IF($O697&gt;='設定'!$B$7,'設定'!$B$17,IF('設定'!$B$7-$O697&lt;='設定'!$B$12,'設定'!$B$18,IF('設定'!$B$7-$O697&lt;='設定'!$B$13,'設定'!$B$19,IF('設定'!$B$7-$O697&lt;='設定'!$B$14,'設定'!$B$20,'設定'!$B$21))))))</f>
        <v/>
      </c>
      <c r="V697" s="56" t="n"/>
      <c r="W697" s="32">
        <f>IF($C697="","",IFERROR(MATCH($C697,'得意先'!$B$5:$B$104,0),"なし"))</f>
        <v/>
      </c>
      <c r="X697" s="33">
        <f>IF($A697="","",IF(ISNUMBER($E697),$E697,IF(ISNUMBER($B697),$B697,"")))</f>
        <v/>
      </c>
      <c r="Y697" s="34">
        <f>IF($T697="","",$O697+ROW()/1000000)</f>
        <v/>
      </c>
      <c r="Z697" s="35">
        <f>IF(OR($A697="",$C697="",$C697&lt;&gt;'売掛帳'!$B$3,NOT(ISNUMBER($X697))),"",IF(AND($X697&gt;='売掛帳'!$Q$3,$X697&lt;='売掛帳'!$Q$4),$X697+ROW()/10000000,""))</f>
        <v/>
      </c>
    </row>
    <row r="698" ht="18" customHeight="1">
      <c r="A698" s="18" t="n"/>
      <c r="B698" s="26" t="n"/>
      <c r="C698" s="18" t="n"/>
      <c r="D698" s="20">
        <f>IF($W698="","",IF($W698="なし","※得意先にないコード",INDEX('得意先'!$C$5:$C$104,$W698)&amp;""))</f>
        <v/>
      </c>
      <c r="E698" s="26" t="n"/>
      <c r="F698" s="19" t="n"/>
      <c r="G698" s="27" t="n"/>
      <c r="H698" s="27" t="n"/>
      <c r="I698" s="27" t="n"/>
      <c r="J698" s="28">
        <f>IF($A698="","",IF('設定'!$B$10="四捨五入",ROUND(IF('設定'!$B$9="税込",N($G698)*10/110,N($G698)*10/100),0),IF('設定'!$B$10="切り上げ",ROUNDUP(IF('設定'!$B$9="税込",N($G698)*10/110,N($G698)*10/100),0),ROUNDDOWN(IF('設定'!$B$9="税込",N($G698)*10/110,N($G698)*10/100),0))))</f>
        <v/>
      </c>
      <c r="K698" s="28">
        <f>IF($A698="","",IF('設定'!$B$10="四捨五入",ROUND(IF('設定'!$B$9="税込",N($H698)*8/108,N($H698)*8/100),0),IF('設定'!$B$10="切り上げ",ROUNDUP(IF('設定'!$B$9="税込",N($H698)*8/108,N($H698)*8/100),0),ROUNDDOWN(IF('設定'!$B$9="税込",N($H698)*8/108,N($H698)*8/100),0))))</f>
        <v/>
      </c>
      <c r="L698" s="28">
        <f>IF($A698="","",N($G698)+N($H698)+N($I698)+IF('設定'!$B$9="税込",0,$J698+$K698))</f>
        <v/>
      </c>
      <c r="M698" s="29">
        <f>IF(OR($A698="",NOT(ISNUMBER($W698)),NOT(ISNUMBER($X698))),"",IF(OR(INDEX('得意先'!$D$5:$D$104,$W698)="",INDEX('得意先'!$E$5:$E$104,$W698)="",INDEX('得意先'!$F$5:$F$104,$W698)=""),"",IF(INDEX('得意先'!$F$5:$F$104,$W698)="末",DATE(YEAR($X698),(MONTH($X698)+IF(INDEX('得意先'!$D$5:$D$104,$W698)="末",0,IF(DAY($X698)&lt;=INDEX('得意先'!$D$5:$D$104,$W698),0,1))+N(INDEX('得意先'!$E$5:$E$104,$W698)))+1,0),DATE(YEAR($X698),(MONTH($X698)+IF(INDEX('得意先'!$D$5:$D$104,$W698)="末",0,IF(DAY($X698)&lt;=INDEX('得意先'!$D$5:$D$104,$W698),0,1))+N(INDEX('得意先'!$E$5:$E$104,$W698))),MIN(INDEX('得意先'!$F$5:$F$104,$W698),DAY(DATE(YEAR($X698),(MONTH($X698)+IF(INDEX('得意先'!$D$5:$D$104,$W698)="末",0,IF(DAY($X698)&lt;=INDEX('得意先'!$D$5:$D$104,$W698),0,1))+N(INDEX('得意先'!$E$5:$E$104,$W698)))+1,0)))))))</f>
        <v/>
      </c>
      <c r="N698" s="26" t="n"/>
      <c r="O698" s="29">
        <f>IF($A698="","",IF(ISNUMBER($N698),$N698,$M698))</f>
        <v/>
      </c>
      <c r="P698" s="28">
        <f>IF($A698="","",SUMIF('入金消込'!$F$5:$F$1004,$A698,'入金消込'!$G$5:$G$1004))</f>
        <v/>
      </c>
      <c r="Q698" s="28">
        <f>IF($A698="","",SUMIF('入金消込'!$F$5:$F$1004,$A698,'入金消込'!$H$5:$H$1004)+SUMIF('入金消込'!$F$5:$F$1004,$A698,'入金消込'!$I$5:$I$1004))</f>
        <v/>
      </c>
      <c r="R698" s="28">
        <f>IF($A698="","",$L698-$P698-$Q698)</f>
        <v/>
      </c>
      <c r="S698" s="30">
        <f>IF($A698="","",IF($R698=0,IF($L698=0,"請求額0","回収済"),IF($L698&lt;0,IF($R698&lt;0,"差し引き待ち","差し引きすぎ"),IF($R698&lt;0,"入金が多い",IF($P698+$Q698=0,"未入金","一部入金")))))</f>
        <v/>
      </c>
      <c r="T698" s="31">
        <f>IF(OR($A698="",N($R698)&lt;=0,NOT(ISNUMBER($O698))),"",IF($O698&lt;'設定'!$B$7,'設定'!$B$7-$O698,""))</f>
        <v/>
      </c>
      <c r="U698" s="30">
        <f>IF(OR($A698="",N($R698)&lt;=0),"",IF(NOT(ISNUMBER($O698)),'設定'!$B$22,IF($O698&gt;='設定'!$B$7,'設定'!$B$17,IF('設定'!$B$7-$O698&lt;='設定'!$B$12,'設定'!$B$18,IF('設定'!$B$7-$O698&lt;='設定'!$B$13,'設定'!$B$19,IF('設定'!$B$7-$O698&lt;='設定'!$B$14,'設定'!$B$20,'設定'!$B$21))))))</f>
        <v/>
      </c>
      <c r="V698" s="56" t="n"/>
      <c r="W698" s="32">
        <f>IF($C698="","",IFERROR(MATCH($C698,'得意先'!$B$5:$B$104,0),"なし"))</f>
        <v/>
      </c>
      <c r="X698" s="33">
        <f>IF($A698="","",IF(ISNUMBER($E698),$E698,IF(ISNUMBER($B698),$B698,"")))</f>
        <v/>
      </c>
      <c r="Y698" s="34">
        <f>IF($T698="","",$O698+ROW()/1000000)</f>
        <v/>
      </c>
      <c r="Z698" s="35">
        <f>IF(OR($A698="",$C698="",$C698&lt;&gt;'売掛帳'!$B$3,NOT(ISNUMBER($X698))),"",IF(AND($X698&gt;='売掛帳'!$Q$3,$X698&lt;='売掛帳'!$Q$4),$X698+ROW()/10000000,""))</f>
        <v/>
      </c>
    </row>
    <row r="699" ht="18" customHeight="1">
      <c r="A699" s="18" t="n"/>
      <c r="B699" s="26" t="n"/>
      <c r="C699" s="18" t="n"/>
      <c r="D699" s="20">
        <f>IF($W699="","",IF($W699="なし","※得意先にないコード",INDEX('得意先'!$C$5:$C$104,$W699)&amp;""))</f>
        <v/>
      </c>
      <c r="E699" s="26" t="n"/>
      <c r="F699" s="19" t="n"/>
      <c r="G699" s="27" t="n"/>
      <c r="H699" s="27" t="n"/>
      <c r="I699" s="27" t="n"/>
      <c r="J699" s="28">
        <f>IF($A699="","",IF('設定'!$B$10="四捨五入",ROUND(IF('設定'!$B$9="税込",N($G699)*10/110,N($G699)*10/100),0),IF('設定'!$B$10="切り上げ",ROUNDUP(IF('設定'!$B$9="税込",N($G699)*10/110,N($G699)*10/100),0),ROUNDDOWN(IF('設定'!$B$9="税込",N($G699)*10/110,N($G699)*10/100),0))))</f>
        <v/>
      </c>
      <c r="K699" s="28">
        <f>IF($A699="","",IF('設定'!$B$10="四捨五入",ROUND(IF('設定'!$B$9="税込",N($H699)*8/108,N($H699)*8/100),0),IF('設定'!$B$10="切り上げ",ROUNDUP(IF('設定'!$B$9="税込",N($H699)*8/108,N($H699)*8/100),0),ROUNDDOWN(IF('設定'!$B$9="税込",N($H699)*8/108,N($H699)*8/100),0))))</f>
        <v/>
      </c>
      <c r="L699" s="28">
        <f>IF($A699="","",N($G699)+N($H699)+N($I699)+IF('設定'!$B$9="税込",0,$J699+$K699))</f>
        <v/>
      </c>
      <c r="M699" s="29">
        <f>IF(OR($A699="",NOT(ISNUMBER($W699)),NOT(ISNUMBER($X699))),"",IF(OR(INDEX('得意先'!$D$5:$D$104,$W699)="",INDEX('得意先'!$E$5:$E$104,$W699)="",INDEX('得意先'!$F$5:$F$104,$W699)=""),"",IF(INDEX('得意先'!$F$5:$F$104,$W699)="末",DATE(YEAR($X699),(MONTH($X699)+IF(INDEX('得意先'!$D$5:$D$104,$W699)="末",0,IF(DAY($X699)&lt;=INDEX('得意先'!$D$5:$D$104,$W699),0,1))+N(INDEX('得意先'!$E$5:$E$104,$W699)))+1,0),DATE(YEAR($X699),(MONTH($X699)+IF(INDEX('得意先'!$D$5:$D$104,$W699)="末",0,IF(DAY($X699)&lt;=INDEX('得意先'!$D$5:$D$104,$W699),0,1))+N(INDEX('得意先'!$E$5:$E$104,$W699))),MIN(INDEX('得意先'!$F$5:$F$104,$W699),DAY(DATE(YEAR($X699),(MONTH($X699)+IF(INDEX('得意先'!$D$5:$D$104,$W699)="末",0,IF(DAY($X699)&lt;=INDEX('得意先'!$D$5:$D$104,$W699),0,1))+N(INDEX('得意先'!$E$5:$E$104,$W699)))+1,0)))))))</f>
        <v/>
      </c>
      <c r="N699" s="26" t="n"/>
      <c r="O699" s="29">
        <f>IF($A699="","",IF(ISNUMBER($N699),$N699,$M699))</f>
        <v/>
      </c>
      <c r="P699" s="28">
        <f>IF($A699="","",SUMIF('入金消込'!$F$5:$F$1004,$A699,'入金消込'!$G$5:$G$1004))</f>
        <v/>
      </c>
      <c r="Q699" s="28">
        <f>IF($A699="","",SUMIF('入金消込'!$F$5:$F$1004,$A699,'入金消込'!$H$5:$H$1004)+SUMIF('入金消込'!$F$5:$F$1004,$A699,'入金消込'!$I$5:$I$1004))</f>
        <v/>
      </c>
      <c r="R699" s="28">
        <f>IF($A699="","",$L699-$P699-$Q699)</f>
        <v/>
      </c>
      <c r="S699" s="30">
        <f>IF($A699="","",IF($R699=0,IF($L699=0,"請求額0","回収済"),IF($L699&lt;0,IF($R699&lt;0,"差し引き待ち","差し引きすぎ"),IF($R699&lt;0,"入金が多い",IF($P699+$Q699=0,"未入金","一部入金")))))</f>
        <v/>
      </c>
      <c r="T699" s="31">
        <f>IF(OR($A699="",N($R699)&lt;=0,NOT(ISNUMBER($O699))),"",IF($O699&lt;'設定'!$B$7,'設定'!$B$7-$O699,""))</f>
        <v/>
      </c>
      <c r="U699" s="30">
        <f>IF(OR($A699="",N($R699)&lt;=0),"",IF(NOT(ISNUMBER($O699)),'設定'!$B$22,IF($O699&gt;='設定'!$B$7,'設定'!$B$17,IF('設定'!$B$7-$O699&lt;='設定'!$B$12,'設定'!$B$18,IF('設定'!$B$7-$O699&lt;='設定'!$B$13,'設定'!$B$19,IF('設定'!$B$7-$O699&lt;='設定'!$B$14,'設定'!$B$20,'設定'!$B$21))))))</f>
        <v/>
      </c>
      <c r="V699" s="56" t="n"/>
      <c r="W699" s="32">
        <f>IF($C699="","",IFERROR(MATCH($C699,'得意先'!$B$5:$B$104,0),"なし"))</f>
        <v/>
      </c>
      <c r="X699" s="33">
        <f>IF($A699="","",IF(ISNUMBER($E699),$E699,IF(ISNUMBER($B699),$B699,"")))</f>
        <v/>
      </c>
      <c r="Y699" s="34">
        <f>IF($T699="","",$O699+ROW()/1000000)</f>
        <v/>
      </c>
      <c r="Z699" s="35">
        <f>IF(OR($A699="",$C699="",$C699&lt;&gt;'売掛帳'!$B$3,NOT(ISNUMBER($X699))),"",IF(AND($X699&gt;='売掛帳'!$Q$3,$X699&lt;='売掛帳'!$Q$4),$X699+ROW()/10000000,""))</f>
        <v/>
      </c>
    </row>
    <row r="700" ht="18" customHeight="1">
      <c r="A700" s="18" t="n"/>
      <c r="B700" s="26" t="n"/>
      <c r="C700" s="18" t="n"/>
      <c r="D700" s="20">
        <f>IF($W700="","",IF($W700="なし","※得意先にないコード",INDEX('得意先'!$C$5:$C$104,$W700)&amp;""))</f>
        <v/>
      </c>
      <c r="E700" s="26" t="n"/>
      <c r="F700" s="19" t="n"/>
      <c r="G700" s="27" t="n"/>
      <c r="H700" s="27" t="n"/>
      <c r="I700" s="27" t="n"/>
      <c r="J700" s="28">
        <f>IF($A700="","",IF('設定'!$B$10="四捨五入",ROUND(IF('設定'!$B$9="税込",N($G700)*10/110,N($G700)*10/100),0),IF('設定'!$B$10="切り上げ",ROUNDUP(IF('設定'!$B$9="税込",N($G700)*10/110,N($G700)*10/100),0),ROUNDDOWN(IF('設定'!$B$9="税込",N($G700)*10/110,N($G700)*10/100),0))))</f>
        <v/>
      </c>
      <c r="K700" s="28">
        <f>IF($A700="","",IF('設定'!$B$10="四捨五入",ROUND(IF('設定'!$B$9="税込",N($H700)*8/108,N($H700)*8/100),0),IF('設定'!$B$10="切り上げ",ROUNDUP(IF('設定'!$B$9="税込",N($H700)*8/108,N($H700)*8/100),0),ROUNDDOWN(IF('設定'!$B$9="税込",N($H700)*8/108,N($H700)*8/100),0))))</f>
        <v/>
      </c>
      <c r="L700" s="28">
        <f>IF($A700="","",N($G700)+N($H700)+N($I700)+IF('設定'!$B$9="税込",0,$J700+$K700))</f>
        <v/>
      </c>
      <c r="M700" s="29">
        <f>IF(OR($A700="",NOT(ISNUMBER($W700)),NOT(ISNUMBER($X700))),"",IF(OR(INDEX('得意先'!$D$5:$D$104,$W700)="",INDEX('得意先'!$E$5:$E$104,$W700)="",INDEX('得意先'!$F$5:$F$104,$W700)=""),"",IF(INDEX('得意先'!$F$5:$F$104,$W700)="末",DATE(YEAR($X700),(MONTH($X700)+IF(INDEX('得意先'!$D$5:$D$104,$W700)="末",0,IF(DAY($X700)&lt;=INDEX('得意先'!$D$5:$D$104,$W700),0,1))+N(INDEX('得意先'!$E$5:$E$104,$W700)))+1,0),DATE(YEAR($X700),(MONTH($X700)+IF(INDEX('得意先'!$D$5:$D$104,$W700)="末",0,IF(DAY($X700)&lt;=INDEX('得意先'!$D$5:$D$104,$W700),0,1))+N(INDEX('得意先'!$E$5:$E$104,$W700))),MIN(INDEX('得意先'!$F$5:$F$104,$W700),DAY(DATE(YEAR($X700),(MONTH($X700)+IF(INDEX('得意先'!$D$5:$D$104,$W700)="末",0,IF(DAY($X700)&lt;=INDEX('得意先'!$D$5:$D$104,$W700),0,1))+N(INDEX('得意先'!$E$5:$E$104,$W700)))+1,0)))))))</f>
        <v/>
      </c>
      <c r="N700" s="26" t="n"/>
      <c r="O700" s="29">
        <f>IF($A700="","",IF(ISNUMBER($N700),$N700,$M700))</f>
        <v/>
      </c>
      <c r="P700" s="28">
        <f>IF($A700="","",SUMIF('入金消込'!$F$5:$F$1004,$A700,'入金消込'!$G$5:$G$1004))</f>
        <v/>
      </c>
      <c r="Q700" s="28">
        <f>IF($A700="","",SUMIF('入金消込'!$F$5:$F$1004,$A700,'入金消込'!$H$5:$H$1004)+SUMIF('入金消込'!$F$5:$F$1004,$A700,'入金消込'!$I$5:$I$1004))</f>
        <v/>
      </c>
      <c r="R700" s="28">
        <f>IF($A700="","",$L700-$P700-$Q700)</f>
        <v/>
      </c>
      <c r="S700" s="30">
        <f>IF($A700="","",IF($R700=0,IF($L700=0,"請求額0","回収済"),IF($L700&lt;0,IF($R700&lt;0,"差し引き待ち","差し引きすぎ"),IF($R700&lt;0,"入金が多い",IF($P700+$Q700=0,"未入金","一部入金")))))</f>
        <v/>
      </c>
      <c r="T700" s="31">
        <f>IF(OR($A700="",N($R700)&lt;=0,NOT(ISNUMBER($O700))),"",IF($O700&lt;'設定'!$B$7,'設定'!$B$7-$O700,""))</f>
        <v/>
      </c>
      <c r="U700" s="30">
        <f>IF(OR($A700="",N($R700)&lt;=0),"",IF(NOT(ISNUMBER($O700)),'設定'!$B$22,IF($O700&gt;='設定'!$B$7,'設定'!$B$17,IF('設定'!$B$7-$O700&lt;='設定'!$B$12,'設定'!$B$18,IF('設定'!$B$7-$O700&lt;='設定'!$B$13,'設定'!$B$19,IF('設定'!$B$7-$O700&lt;='設定'!$B$14,'設定'!$B$20,'設定'!$B$21))))))</f>
        <v/>
      </c>
      <c r="V700" s="56" t="n"/>
      <c r="W700" s="32">
        <f>IF($C700="","",IFERROR(MATCH($C700,'得意先'!$B$5:$B$104,0),"なし"))</f>
        <v/>
      </c>
      <c r="X700" s="33">
        <f>IF($A700="","",IF(ISNUMBER($E700),$E700,IF(ISNUMBER($B700),$B700,"")))</f>
        <v/>
      </c>
      <c r="Y700" s="34">
        <f>IF($T700="","",$O700+ROW()/1000000)</f>
        <v/>
      </c>
      <c r="Z700" s="35">
        <f>IF(OR($A700="",$C700="",$C700&lt;&gt;'売掛帳'!$B$3,NOT(ISNUMBER($X700))),"",IF(AND($X700&gt;='売掛帳'!$Q$3,$X700&lt;='売掛帳'!$Q$4),$X700+ROW()/10000000,""))</f>
        <v/>
      </c>
    </row>
    <row r="701" ht="18" customHeight="1">
      <c r="A701" s="18" t="n"/>
      <c r="B701" s="26" t="n"/>
      <c r="C701" s="18" t="n"/>
      <c r="D701" s="20">
        <f>IF($W701="","",IF($W701="なし","※得意先にないコード",INDEX('得意先'!$C$5:$C$104,$W701)&amp;""))</f>
        <v/>
      </c>
      <c r="E701" s="26" t="n"/>
      <c r="F701" s="19" t="n"/>
      <c r="G701" s="27" t="n"/>
      <c r="H701" s="27" t="n"/>
      <c r="I701" s="27" t="n"/>
      <c r="J701" s="28">
        <f>IF($A701="","",IF('設定'!$B$10="四捨五入",ROUND(IF('設定'!$B$9="税込",N($G701)*10/110,N($G701)*10/100),0),IF('設定'!$B$10="切り上げ",ROUNDUP(IF('設定'!$B$9="税込",N($G701)*10/110,N($G701)*10/100),0),ROUNDDOWN(IF('設定'!$B$9="税込",N($G701)*10/110,N($G701)*10/100),0))))</f>
        <v/>
      </c>
      <c r="K701" s="28">
        <f>IF($A701="","",IF('設定'!$B$10="四捨五入",ROUND(IF('設定'!$B$9="税込",N($H701)*8/108,N($H701)*8/100),0),IF('設定'!$B$10="切り上げ",ROUNDUP(IF('設定'!$B$9="税込",N($H701)*8/108,N($H701)*8/100),0),ROUNDDOWN(IF('設定'!$B$9="税込",N($H701)*8/108,N($H701)*8/100),0))))</f>
        <v/>
      </c>
      <c r="L701" s="28">
        <f>IF($A701="","",N($G701)+N($H701)+N($I701)+IF('設定'!$B$9="税込",0,$J701+$K701))</f>
        <v/>
      </c>
      <c r="M701" s="29">
        <f>IF(OR($A701="",NOT(ISNUMBER($W701)),NOT(ISNUMBER($X701))),"",IF(OR(INDEX('得意先'!$D$5:$D$104,$W701)="",INDEX('得意先'!$E$5:$E$104,$W701)="",INDEX('得意先'!$F$5:$F$104,$W701)=""),"",IF(INDEX('得意先'!$F$5:$F$104,$W701)="末",DATE(YEAR($X701),(MONTH($X701)+IF(INDEX('得意先'!$D$5:$D$104,$W701)="末",0,IF(DAY($X701)&lt;=INDEX('得意先'!$D$5:$D$104,$W701),0,1))+N(INDEX('得意先'!$E$5:$E$104,$W701)))+1,0),DATE(YEAR($X701),(MONTH($X701)+IF(INDEX('得意先'!$D$5:$D$104,$W701)="末",0,IF(DAY($X701)&lt;=INDEX('得意先'!$D$5:$D$104,$W701),0,1))+N(INDEX('得意先'!$E$5:$E$104,$W701))),MIN(INDEX('得意先'!$F$5:$F$104,$W701),DAY(DATE(YEAR($X701),(MONTH($X701)+IF(INDEX('得意先'!$D$5:$D$104,$W701)="末",0,IF(DAY($X701)&lt;=INDEX('得意先'!$D$5:$D$104,$W701),0,1))+N(INDEX('得意先'!$E$5:$E$104,$W701)))+1,0)))))))</f>
        <v/>
      </c>
      <c r="N701" s="26" t="n"/>
      <c r="O701" s="29">
        <f>IF($A701="","",IF(ISNUMBER($N701),$N701,$M701))</f>
        <v/>
      </c>
      <c r="P701" s="28">
        <f>IF($A701="","",SUMIF('入金消込'!$F$5:$F$1004,$A701,'入金消込'!$G$5:$G$1004))</f>
        <v/>
      </c>
      <c r="Q701" s="28">
        <f>IF($A701="","",SUMIF('入金消込'!$F$5:$F$1004,$A701,'入金消込'!$H$5:$H$1004)+SUMIF('入金消込'!$F$5:$F$1004,$A701,'入金消込'!$I$5:$I$1004))</f>
        <v/>
      </c>
      <c r="R701" s="28">
        <f>IF($A701="","",$L701-$P701-$Q701)</f>
        <v/>
      </c>
      <c r="S701" s="30">
        <f>IF($A701="","",IF($R701=0,IF($L701=0,"請求額0","回収済"),IF($L701&lt;0,IF($R701&lt;0,"差し引き待ち","差し引きすぎ"),IF($R701&lt;0,"入金が多い",IF($P701+$Q701=0,"未入金","一部入金")))))</f>
        <v/>
      </c>
      <c r="T701" s="31">
        <f>IF(OR($A701="",N($R701)&lt;=0,NOT(ISNUMBER($O701))),"",IF($O701&lt;'設定'!$B$7,'設定'!$B$7-$O701,""))</f>
        <v/>
      </c>
      <c r="U701" s="30">
        <f>IF(OR($A701="",N($R701)&lt;=0),"",IF(NOT(ISNUMBER($O701)),'設定'!$B$22,IF($O701&gt;='設定'!$B$7,'設定'!$B$17,IF('設定'!$B$7-$O701&lt;='設定'!$B$12,'設定'!$B$18,IF('設定'!$B$7-$O701&lt;='設定'!$B$13,'設定'!$B$19,IF('設定'!$B$7-$O701&lt;='設定'!$B$14,'設定'!$B$20,'設定'!$B$21))))))</f>
        <v/>
      </c>
      <c r="V701" s="56" t="n"/>
      <c r="W701" s="32">
        <f>IF($C701="","",IFERROR(MATCH($C701,'得意先'!$B$5:$B$104,0),"なし"))</f>
        <v/>
      </c>
      <c r="X701" s="33">
        <f>IF($A701="","",IF(ISNUMBER($E701),$E701,IF(ISNUMBER($B701),$B701,"")))</f>
        <v/>
      </c>
      <c r="Y701" s="34">
        <f>IF($T701="","",$O701+ROW()/1000000)</f>
        <v/>
      </c>
      <c r="Z701" s="35">
        <f>IF(OR($A701="",$C701="",$C701&lt;&gt;'売掛帳'!$B$3,NOT(ISNUMBER($X701))),"",IF(AND($X701&gt;='売掛帳'!$Q$3,$X701&lt;='売掛帳'!$Q$4),$X701+ROW()/10000000,""))</f>
        <v/>
      </c>
    </row>
    <row r="702" ht="18" customHeight="1">
      <c r="A702" s="18" t="n"/>
      <c r="B702" s="26" t="n"/>
      <c r="C702" s="18" t="n"/>
      <c r="D702" s="20">
        <f>IF($W702="","",IF($W702="なし","※得意先にないコード",INDEX('得意先'!$C$5:$C$104,$W702)&amp;""))</f>
        <v/>
      </c>
      <c r="E702" s="26" t="n"/>
      <c r="F702" s="19" t="n"/>
      <c r="G702" s="27" t="n"/>
      <c r="H702" s="27" t="n"/>
      <c r="I702" s="27" t="n"/>
      <c r="J702" s="28">
        <f>IF($A702="","",IF('設定'!$B$10="四捨五入",ROUND(IF('設定'!$B$9="税込",N($G702)*10/110,N($G702)*10/100),0),IF('設定'!$B$10="切り上げ",ROUNDUP(IF('設定'!$B$9="税込",N($G702)*10/110,N($G702)*10/100),0),ROUNDDOWN(IF('設定'!$B$9="税込",N($G702)*10/110,N($G702)*10/100),0))))</f>
        <v/>
      </c>
      <c r="K702" s="28">
        <f>IF($A702="","",IF('設定'!$B$10="四捨五入",ROUND(IF('設定'!$B$9="税込",N($H702)*8/108,N($H702)*8/100),0),IF('設定'!$B$10="切り上げ",ROUNDUP(IF('設定'!$B$9="税込",N($H702)*8/108,N($H702)*8/100),0),ROUNDDOWN(IF('設定'!$B$9="税込",N($H702)*8/108,N($H702)*8/100),0))))</f>
        <v/>
      </c>
      <c r="L702" s="28">
        <f>IF($A702="","",N($G702)+N($H702)+N($I702)+IF('設定'!$B$9="税込",0,$J702+$K702))</f>
        <v/>
      </c>
      <c r="M702" s="29">
        <f>IF(OR($A702="",NOT(ISNUMBER($W702)),NOT(ISNUMBER($X702))),"",IF(OR(INDEX('得意先'!$D$5:$D$104,$W702)="",INDEX('得意先'!$E$5:$E$104,$W702)="",INDEX('得意先'!$F$5:$F$104,$W702)=""),"",IF(INDEX('得意先'!$F$5:$F$104,$W702)="末",DATE(YEAR($X702),(MONTH($X702)+IF(INDEX('得意先'!$D$5:$D$104,$W702)="末",0,IF(DAY($X702)&lt;=INDEX('得意先'!$D$5:$D$104,$W702),0,1))+N(INDEX('得意先'!$E$5:$E$104,$W702)))+1,0),DATE(YEAR($X702),(MONTH($X702)+IF(INDEX('得意先'!$D$5:$D$104,$W702)="末",0,IF(DAY($X702)&lt;=INDEX('得意先'!$D$5:$D$104,$W702),0,1))+N(INDEX('得意先'!$E$5:$E$104,$W702))),MIN(INDEX('得意先'!$F$5:$F$104,$W702),DAY(DATE(YEAR($X702),(MONTH($X702)+IF(INDEX('得意先'!$D$5:$D$104,$W702)="末",0,IF(DAY($X702)&lt;=INDEX('得意先'!$D$5:$D$104,$W702),0,1))+N(INDEX('得意先'!$E$5:$E$104,$W702)))+1,0)))))))</f>
        <v/>
      </c>
      <c r="N702" s="26" t="n"/>
      <c r="O702" s="29">
        <f>IF($A702="","",IF(ISNUMBER($N702),$N702,$M702))</f>
        <v/>
      </c>
      <c r="P702" s="28">
        <f>IF($A702="","",SUMIF('入金消込'!$F$5:$F$1004,$A702,'入金消込'!$G$5:$G$1004))</f>
        <v/>
      </c>
      <c r="Q702" s="28">
        <f>IF($A702="","",SUMIF('入金消込'!$F$5:$F$1004,$A702,'入金消込'!$H$5:$H$1004)+SUMIF('入金消込'!$F$5:$F$1004,$A702,'入金消込'!$I$5:$I$1004))</f>
        <v/>
      </c>
      <c r="R702" s="28">
        <f>IF($A702="","",$L702-$P702-$Q702)</f>
        <v/>
      </c>
      <c r="S702" s="30">
        <f>IF($A702="","",IF($R702=0,IF($L702=0,"請求額0","回収済"),IF($L702&lt;0,IF($R702&lt;0,"差し引き待ち","差し引きすぎ"),IF($R702&lt;0,"入金が多い",IF($P702+$Q702=0,"未入金","一部入金")))))</f>
        <v/>
      </c>
      <c r="T702" s="31">
        <f>IF(OR($A702="",N($R702)&lt;=0,NOT(ISNUMBER($O702))),"",IF($O702&lt;'設定'!$B$7,'設定'!$B$7-$O702,""))</f>
        <v/>
      </c>
      <c r="U702" s="30">
        <f>IF(OR($A702="",N($R702)&lt;=0),"",IF(NOT(ISNUMBER($O702)),'設定'!$B$22,IF($O702&gt;='設定'!$B$7,'設定'!$B$17,IF('設定'!$B$7-$O702&lt;='設定'!$B$12,'設定'!$B$18,IF('設定'!$B$7-$O702&lt;='設定'!$B$13,'設定'!$B$19,IF('設定'!$B$7-$O702&lt;='設定'!$B$14,'設定'!$B$20,'設定'!$B$21))))))</f>
        <v/>
      </c>
      <c r="V702" s="56" t="n"/>
      <c r="W702" s="32">
        <f>IF($C702="","",IFERROR(MATCH($C702,'得意先'!$B$5:$B$104,0),"なし"))</f>
        <v/>
      </c>
      <c r="X702" s="33">
        <f>IF($A702="","",IF(ISNUMBER($E702),$E702,IF(ISNUMBER($B702),$B702,"")))</f>
        <v/>
      </c>
      <c r="Y702" s="34">
        <f>IF($T702="","",$O702+ROW()/1000000)</f>
        <v/>
      </c>
      <c r="Z702" s="35">
        <f>IF(OR($A702="",$C702="",$C702&lt;&gt;'売掛帳'!$B$3,NOT(ISNUMBER($X702))),"",IF(AND($X702&gt;='売掛帳'!$Q$3,$X702&lt;='売掛帳'!$Q$4),$X702+ROW()/10000000,""))</f>
        <v/>
      </c>
    </row>
    <row r="703" ht="18" customHeight="1">
      <c r="A703" s="18" t="n"/>
      <c r="B703" s="26" t="n"/>
      <c r="C703" s="18" t="n"/>
      <c r="D703" s="20">
        <f>IF($W703="","",IF($W703="なし","※得意先にないコード",INDEX('得意先'!$C$5:$C$104,$W703)&amp;""))</f>
        <v/>
      </c>
      <c r="E703" s="26" t="n"/>
      <c r="F703" s="19" t="n"/>
      <c r="G703" s="27" t="n"/>
      <c r="H703" s="27" t="n"/>
      <c r="I703" s="27" t="n"/>
      <c r="J703" s="28">
        <f>IF($A703="","",IF('設定'!$B$10="四捨五入",ROUND(IF('設定'!$B$9="税込",N($G703)*10/110,N($G703)*10/100),0),IF('設定'!$B$10="切り上げ",ROUNDUP(IF('設定'!$B$9="税込",N($G703)*10/110,N($G703)*10/100),0),ROUNDDOWN(IF('設定'!$B$9="税込",N($G703)*10/110,N($G703)*10/100),0))))</f>
        <v/>
      </c>
      <c r="K703" s="28">
        <f>IF($A703="","",IF('設定'!$B$10="四捨五入",ROUND(IF('設定'!$B$9="税込",N($H703)*8/108,N($H703)*8/100),0),IF('設定'!$B$10="切り上げ",ROUNDUP(IF('設定'!$B$9="税込",N($H703)*8/108,N($H703)*8/100),0),ROUNDDOWN(IF('設定'!$B$9="税込",N($H703)*8/108,N($H703)*8/100),0))))</f>
        <v/>
      </c>
      <c r="L703" s="28">
        <f>IF($A703="","",N($G703)+N($H703)+N($I703)+IF('設定'!$B$9="税込",0,$J703+$K703))</f>
        <v/>
      </c>
      <c r="M703" s="29">
        <f>IF(OR($A703="",NOT(ISNUMBER($W703)),NOT(ISNUMBER($X703))),"",IF(OR(INDEX('得意先'!$D$5:$D$104,$W703)="",INDEX('得意先'!$E$5:$E$104,$W703)="",INDEX('得意先'!$F$5:$F$104,$W703)=""),"",IF(INDEX('得意先'!$F$5:$F$104,$W703)="末",DATE(YEAR($X703),(MONTH($X703)+IF(INDEX('得意先'!$D$5:$D$104,$W703)="末",0,IF(DAY($X703)&lt;=INDEX('得意先'!$D$5:$D$104,$W703),0,1))+N(INDEX('得意先'!$E$5:$E$104,$W703)))+1,0),DATE(YEAR($X703),(MONTH($X703)+IF(INDEX('得意先'!$D$5:$D$104,$W703)="末",0,IF(DAY($X703)&lt;=INDEX('得意先'!$D$5:$D$104,$W703),0,1))+N(INDEX('得意先'!$E$5:$E$104,$W703))),MIN(INDEX('得意先'!$F$5:$F$104,$W703),DAY(DATE(YEAR($X703),(MONTH($X703)+IF(INDEX('得意先'!$D$5:$D$104,$W703)="末",0,IF(DAY($X703)&lt;=INDEX('得意先'!$D$5:$D$104,$W703),0,1))+N(INDEX('得意先'!$E$5:$E$104,$W703)))+1,0)))))))</f>
        <v/>
      </c>
      <c r="N703" s="26" t="n"/>
      <c r="O703" s="29">
        <f>IF($A703="","",IF(ISNUMBER($N703),$N703,$M703))</f>
        <v/>
      </c>
      <c r="P703" s="28">
        <f>IF($A703="","",SUMIF('入金消込'!$F$5:$F$1004,$A703,'入金消込'!$G$5:$G$1004))</f>
        <v/>
      </c>
      <c r="Q703" s="28">
        <f>IF($A703="","",SUMIF('入金消込'!$F$5:$F$1004,$A703,'入金消込'!$H$5:$H$1004)+SUMIF('入金消込'!$F$5:$F$1004,$A703,'入金消込'!$I$5:$I$1004))</f>
        <v/>
      </c>
      <c r="R703" s="28">
        <f>IF($A703="","",$L703-$P703-$Q703)</f>
        <v/>
      </c>
      <c r="S703" s="30">
        <f>IF($A703="","",IF($R703=0,IF($L703=0,"請求額0","回収済"),IF($L703&lt;0,IF($R703&lt;0,"差し引き待ち","差し引きすぎ"),IF($R703&lt;0,"入金が多い",IF($P703+$Q703=0,"未入金","一部入金")))))</f>
        <v/>
      </c>
      <c r="T703" s="31">
        <f>IF(OR($A703="",N($R703)&lt;=0,NOT(ISNUMBER($O703))),"",IF($O703&lt;'設定'!$B$7,'設定'!$B$7-$O703,""))</f>
        <v/>
      </c>
      <c r="U703" s="30">
        <f>IF(OR($A703="",N($R703)&lt;=0),"",IF(NOT(ISNUMBER($O703)),'設定'!$B$22,IF($O703&gt;='設定'!$B$7,'設定'!$B$17,IF('設定'!$B$7-$O703&lt;='設定'!$B$12,'設定'!$B$18,IF('設定'!$B$7-$O703&lt;='設定'!$B$13,'設定'!$B$19,IF('設定'!$B$7-$O703&lt;='設定'!$B$14,'設定'!$B$20,'設定'!$B$21))))))</f>
        <v/>
      </c>
      <c r="V703" s="56" t="n"/>
      <c r="W703" s="32">
        <f>IF($C703="","",IFERROR(MATCH($C703,'得意先'!$B$5:$B$104,0),"なし"))</f>
        <v/>
      </c>
      <c r="X703" s="33">
        <f>IF($A703="","",IF(ISNUMBER($E703),$E703,IF(ISNUMBER($B703),$B703,"")))</f>
        <v/>
      </c>
      <c r="Y703" s="34">
        <f>IF($T703="","",$O703+ROW()/1000000)</f>
        <v/>
      </c>
      <c r="Z703" s="35">
        <f>IF(OR($A703="",$C703="",$C703&lt;&gt;'売掛帳'!$B$3,NOT(ISNUMBER($X703))),"",IF(AND($X703&gt;='売掛帳'!$Q$3,$X703&lt;='売掛帳'!$Q$4),$X703+ROW()/10000000,""))</f>
        <v/>
      </c>
    </row>
    <row r="704" ht="18" customHeight="1">
      <c r="A704" s="18" t="n"/>
      <c r="B704" s="26" t="n"/>
      <c r="C704" s="18" t="n"/>
      <c r="D704" s="20">
        <f>IF($W704="","",IF($W704="なし","※得意先にないコード",INDEX('得意先'!$C$5:$C$104,$W704)&amp;""))</f>
        <v/>
      </c>
      <c r="E704" s="26" t="n"/>
      <c r="F704" s="19" t="n"/>
      <c r="G704" s="27" t="n"/>
      <c r="H704" s="27" t="n"/>
      <c r="I704" s="27" t="n"/>
      <c r="J704" s="28">
        <f>IF($A704="","",IF('設定'!$B$10="四捨五入",ROUND(IF('設定'!$B$9="税込",N($G704)*10/110,N($G704)*10/100),0),IF('設定'!$B$10="切り上げ",ROUNDUP(IF('設定'!$B$9="税込",N($G704)*10/110,N($G704)*10/100),0),ROUNDDOWN(IF('設定'!$B$9="税込",N($G704)*10/110,N($G704)*10/100),0))))</f>
        <v/>
      </c>
      <c r="K704" s="28">
        <f>IF($A704="","",IF('設定'!$B$10="四捨五入",ROUND(IF('設定'!$B$9="税込",N($H704)*8/108,N($H704)*8/100),0),IF('設定'!$B$10="切り上げ",ROUNDUP(IF('設定'!$B$9="税込",N($H704)*8/108,N($H704)*8/100),0),ROUNDDOWN(IF('設定'!$B$9="税込",N($H704)*8/108,N($H704)*8/100),0))))</f>
        <v/>
      </c>
      <c r="L704" s="28">
        <f>IF($A704="","",N($G704)+N($H704)+N($I704)+IF('設定'!$B$9="税込",0,$J704+$K704))</f>
        <v/>
      </c>
      <c r="M704" s="29">
        <f>IF(OR($A704="",NOT(ISNUMBER($W704)),NOT(ISNUMBER($X704))),"",IF(OR(INDEX('得意先'!$D$5:$D$104,$W704)="",INDEX('得意先'!$E$5:$E$104,$W704)="",INDEX('得意先'!$F$5:$F$104,$W704)=""),"",IF(INDEX('得意先'!$F$5:$F$104,$W704)="末",DATE(YEAR($X704),(MONTH($X704)+IF(INDEX('得意先'!$D$5:$D$104,$W704)="末",0,IF(DAY($X704)&lt;=INDEX('得意先'!$D$5:$D$104,$W704),0,1))+N(INDEX('得意先'!$E$5:$E$104,$W704)))+1,0),DATE(YEAR($X704),(MONTH($X704)+IF(INDEX('得意先'!$D$5:$D$104,$W704)="末",0,IF(DAY($X704)&lt;=INDEX('得意先'!$D$5:$D$104,$W704),0,1))+N(INDEX('得意先'!$E$5:$E$104,$W704))),MIN(INDEX('得意先'!$F$5:$F$104,$W704),DAY(DATE(YEAR($X704),(MONTH($X704)+IF(INDEX('得意先'!$D$5:$D$104,$W704)="末",0,IF(DAY($X704)&lt;=INDEX('得意先'!$D$5:$D$104,$W704),0,1))+N(INDEX('得意先'!$E$5:$E$104,$W704)))+1,0)))))))</f>
        <v/>
      </c>
      <c r="N704" s="26" t="n"/>
      <c r="O704" s="29">
        <f>IF($A704="","",IF(ISNUMBER($N704),$N704,$M704))</f>
        <v/>
      </c>
      <c r="P704" s="28">
        <f>IF($A704="","",SUMIF('入金消込'!$F$5:$F$1004,$A704,'入金消込'!$G$5:$G$1004))</f>
        <v/>
      </c>
      <c r="Q704" s="28">
        <f>IF($A704="","",SUMIF('入金消込'!$F$5:$F$1004,$A704,'入金消込'!$H$5:$H$1004)+SUMIF('入金消込'!$F$5:$F$1004,$A704,'入金消込'!$I$5:$I$1004))</f>
        <v/>
      </c>
      <c r="R704" s="28">
        <f>IF($A704="","",$L704-$P704-$Q704)</f>
        <v/>
      </c>
      <c r="S704" s="30">
        <f>IF($A704="","",IF($R704=0,IF($L704=0,"請求額0","回収済"),IF($L704&lt;0,IF($R704&lt;0,"差し引き待ち","差し引きすぎ"),IF($R704&lt;0,"入金が多い",IF($P704+$Q704=0,"未入金","一部入金")))))</f>
        <v/>
      </c>
      <c r="T704" s="31">
        <f>IF(OR($A704="",N($R704)&lt;=0,NOT(ISNUMBER($O704))),"",IF($O704&lt;'設定'!$B$7,'設定'!$B$7-$O704,""))</f>
        <v/>
      </c>
      <c r="U704" s="30">
        <f>IF(OR($A704="",N($R704)&lt;=0),"",IF(NOT(ISNUMBER($O704)),'設定'!$B$22,IF($O704&gt;='設定'!$B$7,'設定'!$B$17,IF('設定'!$B$7-$O704&lt;='設定'!$B$12,'設定'!$B$18,IF('設定'!$B$7-$O704&lt;='設定'!$B$13,'設定'!$B$19,IF('設定'!$B$7-$O704&lt;='設定'!$B$14,'設定'!$B$20,'設定'!$B$21))))))</f>
        <v/>
      </c>
      <c r="V704" s="56" t="n"/>
      <c r="W704" s="32">
        <f>IF($C704="","",IFERROR(MATCH($C704,'得意先'!$B$5:$B$104,0),"なし"))</f>
        <v/>
      </c>
      <c r="X704" s="33">
        <f>IF($A704="","",IF(ISNUMBER($E704),$E704,IF(ISNUMBER($B704),$B704,"")))</f>
        <v/>
      </c>
      <c r="Y704" s="34">
        <f>IF($T704="","",$O704+ROW()/1000000)</f>
        <v/>
      </c>
      <c r="Z704" s="35">
        <f>IF(OR($A704="",$C704="",$C704&lt;&gt;'売掛帳'!$B$3,NOT(ISNUMBER($X704))),"",IF(AND($X704&gt;='売掛帳'!$Q$3,$X704&lt;='売掛帳'!$Q$4),$X704+ROW()/10000000,""))</f>
        <v/>
      </c>
    </row>
    <row r="705" ht="18" customHeight="1">
      <c r="A705" s="18" t="n"/>
      <c r="B705" s="26" t="n"/>
      <c r="C705" s="18" t="n"/>
      <c r="D705" s="20">
        <f>IF($W705="","",IF($W705="なし","※得意先にないコード",INDEX('得意先'!$C$5:$C$104,$W705)&amp;""))</f>
        <v/>
      </c>
      <c r="E705" s="26" t="n"/>
      <c r="F705" s="19" t="n"/>
      <c r="G705" s="27" t="n"/>
      <c r="H705" s="27" t="n"/>
      <c r="I705" s="27" t="n"/>
      <c r="J705" s="28">
        <f>IF($A705="","",IF('設定'!$B$10="四捨五入",ROUND(IF('設定'!$B$9="税込",N($G705)*10/110,N($G705)*10/100),0),IF('設定'!$B$10="切り上げ",ROUNDUP(IF('設定'!$B$9="税込",N($G705)*10/110,N($G705)*10/100),0),ROUNDDOWN(IF('設定'!$B$9="税込",N($G705)*10/110,N($G705)*10/100),0))))</f>
        <v/>
      </c>
      <c r="K705" s="28">
        <f>IF($A705="","",IF('設定'!$B$10="四捨五入",ROUND(IF('設定'!$B$9="税込",N($H705)*8/108,N($H705)*8/100),0),IF('設定'!$B$10="切り上げ",ROUNDUP(IF('設定'!$B$9="税込",N($H705)*8/108,N($H705)*8/100),0),ROUNDDOWN(IF('設定'!$B$9="税込",N($H705)*8/108,N($H705)*8/100),0))))</f>
        <v/>
      </c>
      <c r="L705" s="28">
        <f>IF($A705="","",N($G705)+N($H705)+N($I705)+IF('設定'!$B$9="税込",0,$J705+$K705))</f>
        <v/>
      </c>
      <c r="M705" s="29">
        <f>IF(OR($A705="",NOT(ISNUMBER($W705)),NOT(ISNUMBER($X705))),"",IF(OR(INDEX('得意先'!$D$5:$D$104,$W705)="",INDEX('得意先'!$E$5:$E$104,$W705)="",INDEX('得意先'!$F$5:$F$104,$W705)=""),"",IF(INDEX('得意先'!$F$5:$F$104,$W705)="末",DATE(YEAR($X705),(MONTH($X705)+IF(INDEX('得意先'!$D$5:$D$104,$W705)="末",0,IF(DAY($X705)&lt;=INDEX('得意先'!$D$5:$D$104,$W705),0,1))+N(INDEX('得意先'!$E$5:$E$104,$W705)))+1,0),DATE(YEAR($X705),(MONTH($X705)+IF(INDEX('得意先'!$D$5:$D$104,$W705)="末",0,IF(DAY($X705)&lt;=INDEX('得意先'!$D$5:$D$104,$W705),0,1))+N(INDEX('得意先'!$E$5:$E$104,$W705))),MIN(INDEX('得意先'!$F$5:$F$104,$W705),DAY(DATE(YEAR($X705),(MONTH($X705)+IF(INDEX('得意先'!$D$5:$D$104,$W705)="末",0,IF(DAY($X705)&lt;=INDEX('得意先'!$D$5:$D$104,$W705),0,1))+N(INDEX('得意先'!$E$5:$E$104,$W705)))+1,0)))))))</f>
        <v/>
      </c>
      <c r="N705" s="26" t="n"/>
      <c r="O705" s="29">
        <f>IF($A705="","",IF(ISNUMBER($N705),$N705,$M705))</f>
        <v/>
      </c>
      <c r="P705" s="28">
        <f>IF($A705="","",SUMIF('入金消込'!$F$5:$F$1004,$A705,'入金消込'!$G$5:$G$1004))</f>
        <v/>
      </c>
      <c r="Q705" s="28">
        <f>IF($A705="","",SUMIF('入金消込'!$F$5:$F$1004,$A705,'入金消込'!$H$5:$H$1004)+SUMIF('入金消込'!$F$5:$F$1004,$A705,'入金消込'!$I$5:$I$1004))</f>
        <v/>
      </c>
      <c r="R705" s="28">
        <f>IF($A705="","",$L705-$P705-$Q705)</f>
        <v/>
      </c>
      <c r="S705" s="30">
        <f>IF($A705="","",IF($R705=0,IF($L705=0,"請求額0","回収済"),IF($L705&lt;0,IF($R705&lt;0,"差し引き待ち","差し引きすぎ"),IF($R705&lt;0,"入金が多い",IF($P705+$Q705=0,"未入金","一部入金")))))</f>
        <v/>
      </c>
      <c r="T705" s="31">
        <f>IF(OR($A705="",N($R705)&lt;=0,NOT(ISNUMBER($O705))),"",IF($O705&lt;'設定'!$B$7,'設定'!$B$7-$O705,""))</f>
        <v/>
      </c>
      <c r="U705" s="30">
        <f>IF(OR($A705="",N($R705)&lt;=0),"",IF(NOT(ISNUMBER($O705)),'設定'!$B$22,IF($O705&gt;='設定'!$B$7,'設定'!$B$17,IF('設定'!$B$7-$O705&lt;='設定'!$B$12,'設定'!$B$18,IF('設定'!$B$7-$O705&lt;='設定'!$B$13,'設定'!$B$19,IF('設定'!$B$7-$O705&lt;='設定'!$B$14,'設定'!$B$20,'設定'!$B$21))))))</f>
        <v/>
      </c>
      <c r="V705" s="56" t="n"/>
      <c r="W705" s="32">
        <f>IF($C705="","",IFERROR(MATCH($C705,'得意先'!$B$5:$B$104,0),"なし"))</f>
        <v/>
      </c>
      <c r="X705" s="33">
        <f>IF($A705="","",IF(ISNUMBER($E705),$E705,IF(ISNUMBER($B705),$B705,"")))</f>
        <v/>
      </c>
      <c r="Y705" s="34">
        <f>IF($T705="","",$O705+ROW()/1000000)</f>
        <v/>
      </c>
      <c r="Z705" s="35">
        <f>IF(OR($A705="",$C705="",$C705&lt;&gt;'売掛帳'!$B$3,NOT(ISNUMBER($X705))),"",IF(AND($X705&gt;='売掛帳'!$Q$3,$X705&lt;='売掛帳'!$Q$4),$X705+ROW()/10000000,""))</f>
        <v/>
      </c>
    </row>
    <row r="706" ht="18" customHeight="1">
      <c r="A706" s="18" t="n"/>
      <c r="B706" s="26" t="n"/>
      <c r="C706" s="18" t="n"/>
      <c r="D706" s="20">
        <f>IF($W706="","",IF($W706="なし","※得意先にないコード",INDEX('得意先'!$C$5:$C$104,$W706)&amp;""))</f>
        <v/>
      </c>
      <c r="E706" s="26" t="n"/>
      <c r="F706" s="19" t="n"/>
      <c r="G706" s="27" t="n"/>
      <c r="H706" s="27" t="n"/>
      <c r="I706" s="27" t="n"/>
      <c r="J706" s="28">
        <f>IF($A706="","",IF('設定'!$B$10="四捨五入",ROUND(IF('設定'!$B$9="税込",N($G706)*10/110,N($G706)*10/100),0),IF('設定'!$B$10="切り上げ",ROUNDUP(IF('設定'!$B$9="税込",N($G706)*10/110,N($G706)*10/100),0),ROUNDDOWN(IF('設定'!$B$9="税込",N($G706)*10/110,N($G706)*10/100),0))))</f>
        <v/>
      </c>
      <c r="K706" s="28">
        <f>IF($A706="","",IF('設定'!$B$10="四捨五入",ROUND(IF('設定'!$B$9="税込",N($H706)*8/108,N($H706)*8/100),0),IF('設定'!$B$10="切り上げ",ROUNDUP(IF('設定'!$B$9="税込",N($H706)*8/108,N($H706)*8/100),0),ROUNDDOWN(IF('設定'!$B$9="税込",N($H706)*8/108,N($H706)*8/100),0))))</f>
        <v/>
      </c>
      <c r="L706" s="28">
        <f>IF($A706="","",N($G706)+N($H706)+N($I706)+IF('設定'!$B$9="税込",0,$J706+$K706))</f>
        <v/>
      </c>
      <c r="M706" s="29">
        <f>IF(OR($A706="",NOT(ISNUMBER($W706)),NOT(ISNUMBER($X706))),"",IF(OR(INDEX('得意先'!$D$5:$D$104,$W706)="",INDEX('得意先'!$E$5:$E$104,$W706)="",INDEX('得意先'!$F$5:$F$104,$W706)=""),"",IF(INDEX('得意先'!$F$5:$F$104,$W706)="末",DATE(YEAR($X706),(MONTH($X706)+IF(INDEX('得意先'!$D$5:$D$104,$W706)="末",0,IF(DAY($X706)&lt;=INDEX('得意先'!$D$5:$D$104,$W706),0,1))+N(INDEX('得意先'!$E$5:$E$104,$W706)))+1,0),DATE(YEAR($X706),(MONTH($X706)+IF(INDEX('得意先'!$D$5:$D$104,$W706)="末",0,IF(DAY($X706)&lt;=INDEX('得意先'!$D$5:$D$104,$W706),0,1))+N(INDEX('得意先'!$E$5:$E$104,$W706))),MIN(INDEX('得意先'!$F$5:$F$104,$W706),DAY(DATE(YEAR($X706),(MONTH($X706)+IF(INDEX('得意先'!$D$5:$D$104,$W706)="末",0,IF(DAY($X706)&lt;=INDEX('得意先'!$D$5:$D$104,$W706),0,1))+N(INDEX('得意先'!$E$5:$E$104,$W706)))+1,0)))))))</f>
        <v/>
      </c>
      <c r="N706" s="26" t="n"/>
      <c r="O706" s="29">
        <f>IF($A706="","",IF(ISNUMBER($N706),$N706,$M706))</f>
        <v/>
      </c>
      <c r="P706" s="28">
        <f>IF($A706="","",SUMIF('入金消込'!$F$5:$F$1004,$A706,'入金消込'!$G$5:$G$1004))</f>
        <v/>
      </c>
      <c r="Q706" s="28">
        <f>IF($A706="","",SUMIF('入金消込'!$F$5:$F$1004,$A706,'入金消込'!$H$5:$H$1004)+SUMIF('入金消込'!$F$5:$F$1004,$A706,'入金消込'!$I$5:$I$1004))</f>
        <v/>
      </c>
      <c r="R706" s="28">
        <f>IF($A706="","",$L706-$P706-$Q706)</f>
        <v/>
      </c>
      <c r="S706" s="30">
        <f>IF($A706="","",IF($R706=0,IF($L706=0,"請求額0","回収済"),IF($L706&lt;0,IF($R706&lt;0,"差し引き待ち","差し引きすぎ"),IF($R706&lt;0,"入金が多い",IF($P706+$Q706=0,"未入金","一部入金")))))</f>
        <v/>
      </c>
      <c r="T706" s="31">
        <f>IF(OR($A706="",N($R706)&lt;=0,NOT(ISNUMBER($O706))),"",IF($O706&lt;'設定'!$B$7,'設定'!$B$7-$O706,""))</f>
        <v/>
      </c>
      <c r="U706" s="30">
        <f>IF(OR($A706="",N($R706)&lt;=0),"",IF(NOT(ISNUMBER($O706)),'設定'!$B$22,IF($O706&gt;='設定'!$B$7,'設定'!$B$17,IF('設定'!$B$7-$O706&lt;='設定'!$B$12,'設定'!$B$18,IF('設定'!$B$7-$O706&lt;='設定'!$B$13,'設定'!$B$19,IF('設定'!$B$7-$O706&lt;='設定'!$B$14,'設定'!$B$20,'設定'!$B$21))))))</f>
        <v/>
      </c>
      <c r="V706" s="56" t="n"/>
      <c r="W706" s="32">
        <f>IF($C706="","",IFERROR(MATCH($C706,'得意先'!$B$5:$B$104,0),"なし"))</f>
        <v/>
      </c>
      <c r="X706" s="33">
        <f>IF($A706="","",IF(ISNUMBER($E706),$E706,IF(ISNUMBER($B706),$B706,"")))</f>
        <v/>
      </c>
      <c r="Y706" s="34">
        <f>IF($T706="","",$O706+ROW()/1000000)</f>
        <v/>
      </c>
      <c r="Z706" s="35">
        <f>IF(OR($A706="",$C706="",$C706&lt;&gt;'売掛帳'!$B$3,NOT(ISNUMBER($X706))),"",IF(AND($X706&gt;='売掛帳'!$Q$3,$X706&lt;='売掛帳'!$Q$4),$X706+ROW()/10000000,""))</f>
        <v/>
      </c>
    </row>
    <row r="707" ht="18" customHeight="1">
      <c r="A707" s="18" t="n"/>
      <c r="B707" s="26" t="n"/>
      <c r="C707" s="18" t="n"/>
      <c r="D707" s="20">
        <f>IF($W707="","",IF($W707="なし","※得意先にないコード",INDEX('得意先'!$C$5:$C$104,$W707)&amp;""))</f>
        <v/>
      </c>
      <c r="E707" s="26" t="n"/>
      <c r="F707" s="19" t="n"/>
      <c r="G707" s="27" t="n"/>
      <c r="H707" s="27" t="n"/>
      <c r="I707" s="27" t="n"/>
      <c r="J707" s="28">
        <f>IF($A707="","",IF('設定'!$B$10="四捨五入",ROUND(IF('設定'!$B$9="税込",N($G707)*10/110,N($G707)*10/100),0),IF('設定'!$B$10="切り上げ",ROUNDUP(IF('設定'!$B$9="税込",N($G707)*10/110,N($G707)*10/100),0),ROUNDDOWN(IF('設定'!$B$9="税込",N($G707)*10/110,N($G707)*10/100),0))))</f>
        <v/>
      </c>
      <c r="K707" s="28">
        <f>IF($A707="","",IF('設定'!$B$10="四捨五入",ROUND(IF('設定'!$B$9="税込",N($H707)*8/108,N($H707)*8/100),0),IF('設定'!$B$10="切り上げ",ROUNDUP(IF('設定'!$B$9="税込",N($H707)*8/108,N($H707)*8/100),0),ROUNDDOWN(IF('設定'!$B$9="税込",N($H707)*8/108,N($H707)*8/100),0))))</f>
        <v/>
      </c>
      <c r="L707" s="28">
        <f>IF($A707="","",N($G707)+N($H707)+N($I707)+IF('設定'!$B$9="税込",0,$J707+$K707))</f>
        <v/>
      </c>
      <c r="M707" s="29">
        <f>IF(OR($A707="",NOT(ISNUMBER($W707)),NOT(ISNUMBER($X707))),"",IF(OR(INDEX('得意先'!$D$5:$D$104,$W707)="",INDEX('得意先'!$E$5:$E$104,$W707)="",INDEX('得意先'!$F$5:$F$104,$W707)=""),"",IF(INDEX('得意先'!$F$5:$F$104,$W707)="末",DATE(YEAR($X707),(MONTH($X707)+IF(INDEX('得意先'!$D$5:$D$104,$W707)="末",0,IF(DAY($X707)&lt;=INDEX('得意先'!$D$5:$D$104,$W707),0,1))+N(INDEX('得意先'!$E$5:$E$104,$W707)))+1,0),DATE(YEAR($X707),(MONTH($X707)+IF(INDEX('得意先'!$D$5:$D$104,$W707)="末",0,IF(DAY($X707)&lt;=INDEX('得意先'!$D$5:$D$104,$W707),0,1))+N(INDEX('得意先'!$E$5:$E$104,$W707))),MIN(INDEX('得意先'!$F$5:$F$104,$W707),DAY(DATE(YEAR($X707),(MONTH($X707)+IF(INDEX('得意先'!$D$5:$D$104,$W707)="末",0,IF(DAY($X707)&lt;=INDEX('得意先'!$D$5:$D$104,$W707),0,1))+N(INDEX('得意先'!$E$5:$E$104,$W707)))+1,0)))))))</f>
        <v/>
      </c>
      <c r="N707" s="26" t="n"/>
      <c r="O707" s="29">
        <f>IF($A707="","",IF(ISNUMBER($N707),$N707,$M707))</f>
        <v/>
      </c>
      <c r="P707" s="28">
        <f>IF($A707="","",SUMIF('入金消込'!$F$5:$F$1004,$A707,'入金消込'!$G$5:$G$1004))</f>
        <v/>
      </c>
      <c r="Q707" s="28">
        <f>IF($A707="","",SUMIF('入金消込'!$F$5:$F$1004,$A707,'入金消込'!$H$5:$H$1004)+SUMIF('入金消込'!$F$5:$F$1004,$A707,'入金消込'!$I$5:$I$1004))</f>
        <v/>
      </c>
      <c r="R707" s="28">
        <f>IF($A707="","",$L707-$P707-$Q707)</f>
        <v/>
      </c>
      <c r="S707" s="30">
        <f>IF($A707="","",IF($R707=0,IF($L707=0,"請求額0","回収済"),IF($L707&lt;0,IF($R707&lt;0,"差し引き待ち","差し引きすぎ"),IF($R707&lt;0,"入金が多い",IF($P707+$Q707=0,"未入金","一部入金")))))</f>
        <v/>
      </c>
      <c r="T707" s="31">
        <f>IF(OR($A707="",N($R707)&lt;=0,NOT(ISNUMBER($O707))),"",IF($O707&lt;'設定'!$B$7,'設定'!$B$7-$O707,""))</f>
        <v/>
      </c>
      <c r="U707" s="30">
        <f>IF(OR($A707="",N($R707)&lt;=0),"",IF(NOT(ISNUMBER($O707)),'設定'!$B$22,IF($O707&gt;='設定'!$B$7,'設定'!$B$17,IF('設定'!$B$7-$O707&lt;='設定'!$B$12,'設定'!$B$18,IF('設定'!$B$7-$O707&lt;='設定'!$B$13,'設定'!$B$19,IF('設定'!$B$7-$O707&lt;='設定'!$B$14,'設定'!$B$20,'設定'!$B$21))))))</f>
        <v/>
      </c>
      <c r="V707" s="56" t="n"/>
      <c r="W707" s="32">
        <f>IF($C707="","",IFERROR(MATCH($C707,'得意先'!$B$5:$B$104,0),"なし"))</f>
        <v/>
      </c>
      <c r="X707" s="33">
        <f>IF($A707="","",IF(ISNUMBER($E707),$E707,IF(ISNUMBER($B707),$B707,"")))</f>
        <v/>
      </c>
      <c r="Y707" s="34">
        <f>IF($T707="","",$O707+ROW()/1000000)</f>
        <v/>
      </c>
      <c r="Z707" s="35">
        <f>IF(OR($A707="",$C707="",$C707&lt;&gt;'売掛帳'!$B$3,NOT(ISNUMBER($X707))),"",IF(AND($X707&gt;='売掛帳'!$Q$3,$X707&lt;='売掛帳'!$Q$4),$X707+ROW()/10000000,""))</f>
        <v/>
      </c>
    </row>
    <row r="708" ht="18" customHeight="1">
      <c r="A708" s="18" t="n"/>
      <c r="B708" s="26" t="n"/>
      <c r="C708" s="18" t="n"/>
      <c r="D708" s="20">
        <f>IF($W708="","",IF($W708="なし","※得意先にないコード",INDEX('得意先'!$C$5:$C$104,$W708)&amp;""))</f>
        <v/>
      </c>
      <c r="E708" s="26" t="n"/>
      <c r="F708" s="19" t="n"/>
      <c r="G708" s="27" t="n"/>
      <c r="H708" s="27" t="n"/>
      <c r="I708" s="27" t="n"/>
      <c r="J708" s="28">
        <f>IF($A708="","",IF('設定'!$B$10="四捨五入",ROUND(IF('設定'!$B$9="税込",N($G708)*10/110,N($G708)*10/100),0),IF('設定'!$B$10="切り上げ",ROUNDUP(IF('設定'!$B$9="税込",N($G708)*10/110,N($G708)*10/100),0),ROUNDDOWN(IF('設定'!$B$9="税込",N($G708)*10/110,N($G708)*10/100),0))))</f>
        <v/>
      </c>
      <c r="K708" s="28">
        <f>IF($A708="","",IF('設定'!$B$10="四捨五入",ROUND(IF('設定'!$B$9="税込",N($H708)*8/108,N($H708)*8/100),0),IF('設定'!$B$10="切り上げ",ROUNDUP(IF('設定'!$B$9="税込",N($H708)*8/108,N($H708)*8/100),0),ROUNDDOWN(IF('設定'!$B$9="税込",N($H708)*8/108,N($H708)*8/100),0))))</f>
        <v/>
      </c>
      <c r="L708" s="28">
        <f>IF($A708="","",N($G708)+N($H708)+N($I708)+IF('設定'!$B$9="税込",0,$J708+$K708))</f>
        <v/>
      </c>
      <c r="M708" s="29">
        <f>IF(OR($A708="",NOT(ISNUMBER($W708)),NOT(ISNUMBER($X708))),"",IF(OR(INDEX('得意先'!$D$5:$D$104,$W708)="",INDEX('得意先'!$E$5:$E$104,$W708)="",INDEX('得意先'!$F$5:$F$104,$W708)=""),"",IF(INDEX('得意先'!$F$5:$F$104,$W708)="末",DATE(YEAR($X708),(MONTH($X708)+IF(INDEX('得意先'!$D$5:$D$104,$W708)="末",0,IF(DAY($X708)&lt;=INDEX('得意先'!$D$5:$D$104,$W708),0,1))+N(INDEX('得意先'!$E$5:$E$104,$W708)))+1,0),DATE(YEAR($X708),(MONTH($X708)+IF(INDEX('得意先'!$D$5:$D$104,$W708)="末",0,IF(DAY($X708)&lt;=INDEX('得意先'!$D$5:$D$104,$W708),0,1))+N(INDEX('得意先'!$E$5:$E$104,$W708))),MIN(INDEX('得意先'!$F$5:$F$104,$W708),DAY(DATE(YEAR($X708),(MONTH($X708)+IF(INDEX('得意先'!$D$5:$D$104,$W708)="末",0,IF(DAY($X708)&lt;=INDEX('得意先'!$D$5:$D$104,$W708),0,1))+N(INDEX('得意先'!$E$5:$E$104,$W708)))+1,0)))))))</f>
        <v/>
      </c>
      <c r="N708" s="26" t="n"/>
      <c r="O708" s="29">
        <f>IF($A708="","",IF(ISNUMBER($N708),$N708,$M708))</f>
        <v/>
      </c>
      <c r="P708" s="28">
        <f>IF($A708="","",SUMIF('入金消込'!$F$5:$F$1004,$A708,'入金消込'!$G$5:$G$1004))</f>
        <v/>
      </c>
      <c r="Q708" s="28">
        <f>IF($A708="","",SUMIF('入金消込'!$F$5:$F$1004,$A708,'入金消込'!$H$5:$H$1004)+SUMIF('入金消込'!$F$5:$F$1004,$A708,'入金消込'!$I$5:$I$1004))</f>
        <v/>
      </c>
      <c r="R708" s="28">
        <f>IF($A708="","",$L708-$P708-$Q708)</f>
        <v/>
      </c>
      <c r="S708" s="30">
        <f>IF($A708="","",IF($R708=0,IF($L708=0,"請求額0","回収済"),IF($L708&lt;0,IF($R708&lt;0,"差し引き待ち","差し引きすぎ"),IF($R708&lt;0,"入金が多い",IF($P708+$Q708=0,"未入金","一部入金")))))</f>
        <v/>
      </c>
      <c r="T708" s="31">
        <f>IF(OR($A708="",N($R708)&lt;=0,NOT(ISNUMBER($O708))),"",IF($O708&lt;'設定'!$B$7,'設定'!$B$7-$O708,""))</f>
        <v/>
      </c>
      <c r="U708" s="30">
        <f>IF(OR($A708="",N($R708)&lt;=0),"",IF(NOT(ISNUMBER($O708)),'設定'!$B$22,IF($O708&gt;='設定'!$B$7,'設定'!$B$17,IF('設定'!$B$7-$O708&lt;='設定'!$B$12,'設定'!$B$18,IF('設定'!$B$7-$O708&lt;='設定'!$B$13,'設定'!$B$19,IF('設定'!$B$7-$O708&lt;='設定'!$B$14,'設定'!$B$20,'設定'!$B$21))))))</f>
        <v/>
      </c>
      <c r="V708" s="56" t="n"/>
      <c r="W708" s="32">
        <f>IF($C708="","",IFERROR(MATCH($C708,'得意先'!$B$5:$B$104,0),"なし"))</f>
        <v/>
      </c>
      <c r="X708" s="33">
        <f>IF($A708="","",IF(ISNUMBER($E708),$E708,IF(ISNUMBER($B708),$B708,"")))</f>
        <v/>
      </c>
      <c r="Y708" s="34">
        <f>IF($T708="","",$O708+ROW()/1000000)</f>
        <v/>
      </c>
      <c r="Z708" s="35">
        <f>IF(OR($A708="",$C708="",$C708&lt;&gt;'売掛帳'!$B$3,NOT(ISNUMBER($X708))),"",IF(AND($X708&gt;='売掛帳'!$Q$3,$X708&lt;='売掛帳'!$Q$4),$X708+ROW()/10000000,""))</f>
        <v/>
      </c>
    </row>
    <row r="709" ht="18" customHeight="1">
      <c r="A709" s="18" t="n"/>
      <c r="B709" s="26" t="n"/>
      <c r="C709" s="18" t="n"/>
      <c r="D709" s="20">
        <f>IF($W709="","",IF($W709="なし","※得意先にないコード",INDEX('得意先'!$C$5:$C$104,$W709)&amp;""))</f>
        <v/>
      </c>
      <c r="E709" s="26" t="n"/>
      <c r="F709" s="19" t="n"/>
      <c r="G709" s="27" t="n"/>
      <c r="H709" s="27" t="n"/>
      <c r="I709" s="27" t="n"/>
      <c r="J709" s="28">
        <f>IF($A709="","",IF('設定'!$B$10="四捨五入",ROUND(IF('設定'!$B$9="税込",N($G709)*10/110,N($G709)*10/100),0),IF('設定'!$B$10="切り上げ",ROUNDUP(IF('設定'!$B$9="税込",N($G709)*10/110,N($G709)*10/100),0),ROUNDDOWN(IF('設定'!$B$9="税込",N($G709)*10/110,N($G709)*10/100),0))))</f>
        <v/>
      </c>
      <c r="K709" s="28">
        <f>IF($A709="","",IF('設定'!$B$10="四捨五入",ROUND(IF('設定'!$B$9="税込",N($H709)*8/108,N($H709)*8/100),0),IF('設定'!$B$10="切り上げ",ROUNDUP(IF('設定'!$B$9="税込",N($H709)*8/108,N($H709)*8/100),0),ROUNDDOWN(IF('設定'!$B$9="税込",N($H709)*8/108,N($H709)*8/100),0))))</f>
        <v/>
      </c>
      <c r="L709" s="28">
        <f>IF($A709="","",N($G709)+N($H709)+N($I709)+IF('設定'!$B$9="税込",0,$J709+$K709))</f>
        <v/>
      </c>
      <c r="M709" s="29">
        <f>IF(OR($A709="",NOT(ISNUMBER($W709)),NOT(ISNUMBER($X709))),"",IF(OR(INDEX('得意先'!$D$5:$D$104,$W709)="",INDEX('得意先'!$E$5:$E$104,$W709)="",INDEX('得意先'!$F$5:$F$104,$W709)=""),"",IF(INDEX('得意先'!$F$5:$F$104,$W709)="末",DATE(YEAR($X709),(MONTH($X709)+IF(INDEX('得意先'!$D$5:$D$104,$W709)="末",0,IF(DAY($X709)&lt;=INDEX('得意先'!$D$5:$D$104,$W709),0,1))+N(INDEX('得意先'!$E$5:$E$104,$W709)))+1,0),DATE(YEAR($X709),(MONTH($X709)+IF(INDEX('得意先'!$D$5:$D$104,$W709)="末",0,IF(DAY($X709)&lt;=INDEX('得意先'!$D$5:$D$104,$W709),0,1))+N(INDEX('得意先'!$E$5:$E$104,$W709))),MIN(INDEX('得意先'!$F$5:$F$104,$W709),DAY(DATE(YEAR($X709),(MONTH($X709)+IF(INDEX('得意先'!$D$5:$D$104,$W709)="末",0,IF(DAY($X709)&lt;=INDEX('得意先'!$D$5:$D$104,$W709),0,1))+N(INDEX('得意先'!$E$5:$E$104,$W709)))+1,0)))))))</f>
        <v/>
      </c>
      <c r="N709" s="26" t="n"/>
      <c r="O709" s="29">
        <f>IF($A709="","",IF(ISNUMBER($N709),$N709,$M709))</f>
        <v/>
      </c>
      <c r="P709" s="28">
        <f>IF($A709="","",SUMIF('入金消込'!$F$5:$F$1004,$A709,'入金消込'!$G$5:$G$1004))</f>
        <v/>
      </c>
      <c r="Q709" s="28">
        <f>IF($A709="","",SUMIF('入金消込'!$F$5:$F$1004,$A709,'入金消込'!$H$5:$H$1004)+SUMIF('入金消込'!$F$5:$F$1004,$A709,'入金消込'!$I$5:$I$1004))</f>
        <v/>
      </c>
      <c r="R709" s="28">
        <f>IF($A709="","",$L709-$P709-$Q709)</f>
        <v/>
      </c>
      <c r="S709" s="30">
        <f>IF($A709="","",IF($R709=0,IF($L709=0,"請求額0","回収済"),IF($L709&lt;0,IF($R709&lt;0,"差し引き待ち","差し引きすぎ"),IF($R709&lt;0,"入金が多い",IF($P709+$Q709=0,"未入金","一部入金")))))</f>
        <v/>
      </c>
      <c r="T709" s="31">
        <f>IF(OR($A709="",N($R709)&lt;=0,NOT(ISNUMBER($O709))),"",IF($O709&lt;'設定'!$B$7,'設定'!$B$7-$O709,""))</f>
        <v/>
      </c>
      <c r="U709" s="30">
        <f>IF(OR($A709="",N($R709)&lt;=0),"",IF(NOT(ISNUMBER($O709)),'設定'!$B$22,IF($O709&gt;='設定'!$B$7,'設定'!$B$17,IF('設定'!$B$7-$O709&lt;='設定'!$B$12,'設定'!$B$18,IF('設定'!$B$7-$O709&lt;='設定'!$B$13,'設定'!$B$19,IF('設定'!$B$7-$O709&lt;='設定'!$B$14,'設定'!$B$20,'設定'!$B$21))))))</f>
        <v/>
      </c>
      <c r="V709" s="56" t="n"/>
      <c r="W709" s="32">
        <f>IF($C709="","",IFERROR(MATCH($C709,'得意先'!$B$5:$B$104,0),"なし"))</f>
        <v/>
      </c>
      <c r="X709" s="33">
        <f>IF($A709="","",IF(ISNUMBER($E709),$E709,IF(ISNUMBER($B709),$B709,"")))</f>
        <v/>
      </c>
      <c r="Y709" s="34">
        <f>IF($T709="","",$O709+ROW()/1000000)</f>
        <v/>
      </c>
      <c r="Z709" s="35">
        <f>IF(OR($A709="",$C709="",$C709&lt;&gt;'売掛帳'!$B$3,NOT(ISNUMBER($X709))),"",IF(AND($X709&gt;='売掛帳'!$Q$3,$X709&lt;='売掛帳'!$Q$4),$X709+ROW()/10000000,""))</f>
        <v/>
      </c>
    </row>
    <row r="710" ht="18" customHeight="1">
      <c r="A710" s="18" t="n"/>
      <c r="B710" s="26" t="n"/>
      <c r="C710" s="18" t="n"/>
      <c r="D710" s="20">
        <f>IF($W710="","",IF($W710="なし","※得意先にないコード",INDEX('得意先'!$C$5:$C$104,$W710)&amp;""))</f>
        <v/>
      </c>
      <c r="E710" s="26" t="n"/>
      <c r="F710" s="19" t="n"/>
      <c r="G710" s="27" t="n"/>
      <c r="H710" s="27" t="n"/>
      <c r="I710" s="27" t="n"/>
      <c r="J710" s="28">
        <f>IF($A710="","",IF('設定'!$B$10="四捨五入",ROUND(IF('設定'!$B$9="税込",N($G710)*10/110,N($G710)*10/100),0),IF('設定'!$B$10="切り上げ",ROUNDUP(IF('設定'!$B$9="税込",N($G710)*10/110,N($G710)*10/100),0),ROUNDDOWN(IF('設定'!$B$9="税込",N($G710)*10/110,N($G710)*10/100),0))))</f>
        <v/>
      </c>
      <c r="K710" s="28">
        <f>IF($A710="","",IF('設定'!$B$10="四捨五入",ROUND(IF('設定'!$B$9="税込",N($H710)*8/108,N($H710)*8/100),0),IF('設定'!$B$10="切り上げ",ROUNDUP(IF('設定'!$B$9="税込",N($H710)*8/108,N($H710)*8/100),0),ROUNDDOWN(IF('設定'!$B$9="税込",N($H710)*8/108,N($H710)*8/100),0))))</f>
        <v/>
      </c>
      <c r="L710" s="28">
        <f>IF($A710="","",N($G710)+N($H710)+N($I710)+IF('設定'!$B$9="税込",0,$J710+$K710))</f>
        <v/>
      </c>
      <c r="M710" s="29">
        <f>IF(OR($A710="",NOT(ISNUMBER($W710)),NOT(ISNUMBER($X710))),"",IF(OR(INDEX('得意先'!$D$5:$D$104,$W710)="",INDEX('得意先'!$E$5:$E$104,$W710)="",INDEX('得意先'!$F$5:$F$104,$W710)=""),"",IF(INDEX('得意先'!$F$5:$F$104,$W710)="末",DATE(YEAR($X710),(MONTH($X710)+IF(INDEX('得意先'!$D$5:$D$104,$W710)="末",0,IF(DAY($X710)&lt;=INDEX('得意先'!$D$5:$D$104,$W710),0,1))+N(INDEX('得意先'!$E$5:$E$104,$W710)))+1,0),DATE(YEAR($X710),(MONTH($X710)+IF(INDEX('得意先'!$D$5:$D$104,$W710)="末",0,IF(DAY($X710)&lt;=INDEX('得意先'!$D$5:$D$104,$W710),0,1))+N(INDEX('得意先'!$E$5:$E$104,$W710))),MIN(INDEX('得意先'!$F$5:$F$104,$W710),DAY(DATE(YEAR($X710),(MONTH($X710)+IF(INDEX('得意先'!$D$5:$D$104,$W710)="末",0,IF(DAY($X710)&lt;=INDEX('得意先'!$D$5:$D$104,$W710),0,1))+N(INDEX('得意先'!$E$5:$E$104,$W710)))+1,0)))))))</f>
        <v/>
      </c>
      <c r="N710" s="26" t="n"/>
      <c r="O710" s="29">
        <f>IF($A710="","",IF(ISNUMBER($N710),$N710,$M710))</f>
        <v/>
      </c>
      <c r="P710" s="28">
        <f>IF($A710="","",SUMIF('入金消込'!$F$5:$F$1004,$A710,'入金消込'!$G$5:$G$1004))</f>
        <v/>
      </c>
      <c r="Q710" s="28">
        <f>IF($A710="","",SUMIF('入金消込'!$F$5:$F$1004,$A710,'入金消込'!$H$5:$H$1004)+SUMIF('入金消込'!$F$5:$F$1004,$A710,'入金消込'!$I$5:$I$1004))</f>
        <v/>
      </c>
      <c r="R710" s="28">
        <f>IF($A710="","",$L710-$P710-$Q710)</f>
        <v/>
      </c>
      <c r="S710" s="30">
        <f>IF($A710="","",IF($R710=0,IF($L710=0,"請求額0","回収済"),IF($L710&lt;0,IF($R710&lt;0,"差し引き待ち","差し引きすぎ"),IF($R710&lt;0,"入金が多い",IF($P710+$Q710=0,"未入金","一部入金")))))</f>
        <v/>
      </c>
      <c r="T710" s="31">
        <f>IF(OR($A710="",N($R710)&lt;=0,NOT(ISNUMBER($O710))),"",IF($O710&lt;'設定'!$B$7,'設定'!$B$7-$O710,""))</f>
        <v/>
      </c>
      <c r="U710" s="30">
        <f>IF(OR($A710="",N($R710)&lt;=0),"",IF(NOT(ISNUMBER($O710)),'設定'!$B$22,IF($O710&gt;='設定'!$B$7,'設定'!$B$17,IF('設定'!$B$7-$O710&lt;='設定'!$B$12,'設定'!$B$18,IF('設定'!$B$7-$O710&lt;='設定'!$B$13,'設定'!$B$19,IF('設定'!$B$7-$O710&lt;='設定'!$B$14,'設定'!$B$20,'設定'!$B$21))))))</f>
        <v/>
      </c>
      <c r="V710" s="56" t="n"/>
      <c r="W710" s="32">
        <f>IF($C710="","",IFERROR(MATCH($C710,'得意先'!$B$5:$B$104,0),"なし"))</f>
        <v/>
      </c>
      <c r="X710" s="33">
        <f>IF($A710="","",IF(ISNUMBER($E710),$E710,IF(ISNUMBER($B710),$B710,"")))</f>
        <v/>
      </c>
      <c r="Y710" s="34">
        <f>IF($T710="","",$O710+ROW()/1000000)</f>
        <v/>
      </c>
      <c r="Z710" s="35">
        <f>IF(OR($A710="",$C710="",$C710&lt;&gt;'売掛帳'!$B$3,NOT(ISNUMBER($X710))),"",IF(AND($X710&gt;='売掛帳'!$Q$3,$X710&lt;='売掛帳'!$Q$4),$X710+ROW()/10000000,""))</f>
        <v/>
      </c>
    </row>
    <row r="711" ht="18" customHeight="1">
      <c r="A711" s="18" t="n"/>
      <c r="B711" s="26" t="n"/>
      <c r="C711" s="18" t="n"/>
      <c r="D711" s="20">
        <f>IF($W711="","",IF($W711="なし","※得意先にないコード",INDEX('得意先'!$C$5:$C$104,$W711)&amp;""))</f>
        <v/>
      </c>
      <c r="E711" s="26" t="n"/>
      <c r="F711" s="19" t="n"/>
      <c r="G711" s="27" t="n"/>
      <c r="H711" s="27" t="n"/>
      <c r="I711" s="27" t="n"/>
      <c r="J711" s="28">
        <f>IF($A711="","",IF('設定'!$B$10="四捨五入",ROUND(IF('設定'!$B$9="税込",N($G711)*10/110,N($G711)*10/100),0),IF('設定'!$B$10="切り上げ",ROUNDUP(IF('設定'!$B$9="税込",N($G711)*10/110,N($G711)*10/100),0),ROUNDDOWN(IF('設定'!$B$9="税込",N($G711)*10/110,N($G711)*10/100),0))))</f>
        <v/>
      </c>
      <c r="K711" s="28">
        <f>IF($A711="","",IF('設定'!$B$10="四捨五入",ROUND(IF('設定'!$B$9="税込",N($H711)*8/108,N($H711)*8/100),0),IF('設定'!$B$10="切り上げ",ROUNDUP(IF('設定'!$B$9="税込",N($H711)*8/108,N($H711)*8/100),0),ROUNDDOWN(IF('設定'!$B$9="税込",N($H711)*8/108,N($H711)*8/100),0))))</f>
        <v/>
      </c>
      <c r="L711" s="28">
        <f>IF($A711="","",N($G711)+N($H711)+N($I711)+IF('設定'!$B$9="税込",0,$J711+$K711))</f>
        <v/>
      </c>
      <c r="M711" s="29">
        <f>IF(OR($A711="",NOT(ISNUMBER($W711)),NOT(ISNUMBER($X711))),"",IF(OR(INDEX('得意先'!$D$5:$D$104,$W711)="",INDEX('得意先'!$E$5:$E$104,$W711)="",INDEX('得意先'!$F$5:$F$104,$W711)=""),"",IF(INDEX('得意先'!$F$5:$F$104,$W711)="末",DATE(YEAR($X711),(MONTH($X711)+IF(INDEX('得意先'!$D$5:$D$104,$W711)="末",0,IF(DAY($X711)&lt;=INDEX('得意先'!$D$5:$D$104,$W711),0,1))+N(INDEX('得意先'!$E$5:$E$104,$W711)))+1,0),DATE(YEAR($X711),(MONTH($X711)+IF(INDEX('得意先'!$D$5:$D$104,$W711)="末",0,IF(DAY($X711)&lt;=INDEX('得意先'!$D$5:$D$104,$W711),0,1))+N(INDEX('得意先'!$E$5:$E$104,$W711))),MIN(INDEX('得意先'!$F$5:$F$104,$W711),DAY(DATE(YEAR($X711),(MONTH($X711)+IF(INDEX('得意先'!$D$5:$D$104,$W711)="末",0,IF(DAY($X711)&lt;=INDEX('得意先'!$D$5:$D$104,$W711),0,1))+N(INDEX('得意先'!$E$5:$E$104,$W711)))+1,0)))))))</f>
        <v/>
      </c>
      <c r="N711" s="26" t="n"/>
      <c r="O711" s="29">
        <f>IF($A711="","",IF(ISNUMBER($N711),$N711,$M711))</f>
        <v/>
      </c>
      <c r="P711" s="28">
        <f>IF($A711="","",SUMIF('入金消込'!$F$5:$F$1004,$A711,'入金消込'!$G$5:$G$1004))</f>
        <v/>
      </c>
      <c r="Q711" s="28">
        <f>IF($A711="","",SUMIF('入金消込'!$F$5:$F$1004,$A711,'入金消込'!$H$5:$H$1004)+SUMIF('入金消込'!$F$5:$F$1004,$A711,'入金消込'!$I$5:$I$1004))</f>
        <v/>
      </c>
      <c r="R711" s="28">
        <f>IF($A711="","",$L711-$P711-$Q711)</f>
        <v/>
      </c>
      <c r="S711" s="30">
        <f>IF($A711="","",IF($R711=0,IF($L711=0,"請求額0","回収済"),IF($L711&lt;0,IF($R711&lt;0,"差し引き待ち","差し引きすぎ"),IF($R711&lt;0,"入金が多い",IF($P711+$Q711=0,"未入金","一部入金")))))</f>
        <v/>
      </c>
      <c r="T711" s="31">
        <f>IF(OR($A711="",N($R711)&lt;=0,NOT(ISNUMBER($O711))),"",IF($O711&lt;'設定'!$B$7,'設定'!$B$7-$O711,""))</f>
        <v/>
      </c>
      <c r="U711" s="30">
        <f>IF(OR($A711="",N($R711)&lt;=0),"",IF(NOT(ISNUMBER($O711)),'設定'!$B$22,IF($O711&gt;='設定'!$B$7,'設定'!$B$17,IF('設定'!$B$7-$O711&lt;='設定'!$B$12,'設定'!$B$18,IF('設定'!$B$7-$O711&lt;='設定'!$B$13,'設定'!$B$19,IF('設定'!$B$7-$O711&lt;='設定'!$B$14,'設定'!$B$20,'設定'!$B$21))))))</f>
        <v/>
      </c>
      <c r="V711" s="56" t="n"/>
      <c r="W711" s="32">
        <f>IF($C711="","",IFERROR(MATCH($C711,'得意先'!$B$5:$B$104,0),"なし"))</f>
        <v/>
      </c>
      <c r="X711" s="33">
        <f>IF($A711="","",IF(ISNUMBER($E711),$E711,IF(ISNUMBER($B711),$B711,"")))</f>
        <v/>
      </c>
      <c r="Y711" s="34">
        <f>IF($T711="","",$O711+ROW()/1000000)</f>
        <v/>
      </c>
      <c r="Z711" s="35">
        <f>IF(OR($A711="",$C711="",$C711&lt;&gt;'売掛帳'!$B$3,NOT(ISNUMBER($X711))),"",IF(AND($X711&gt;='売掛帳'!$Q$3,$X711&lt;='売掛帳'!$Q$4),$X711+ROW()/10000000,""))</f>
        <v/>
      </c>
    </row>
    <row r="712" ht="18" customHeight="1">
      <c r="A712" s="18" t="n"/>
      <c r="B712" s="26" t="n"/>
      <c r="C712" s="18" t="n"/>
      <c r="D712" s="20">
        <f>IF($W712="","",IF($W712="なし","※得意先にないコード",INDEX('得意先'!$C$5:$C$104,$W712)&amp;""))</f>
        <v/>
      </c>
      <c r="E712" s="26" t="n"/>
      <c r="F712" s="19" t="n"/>
      <c r="G712" s="27" t="n"/>
      <c r="H712" s="27" t="n"/>
      <c r="I712" s="27" t="n"/>
      <c r="J712" s="28">
        <f>IF($A712="","",IF('設定'!$B$10="四捨五入",ROUND(IF('設定'!$B$9="税込",N($G712)*10/110,N($G712)*10/100),0),IF('設定'!$B$10="切り上げ",ROUNDUP(IF('設定'!$B$9="税込",N($G712)*10/110,N($G712)*10/100),0),ROUNDDOWN(IF('設定'!$B$9="税込",N($G712)*10/110,N($G712)*10/100),0))))</f>
        <v/>
      </c>
      <c r="K712" s="28">
        <f>IF($A712="","",IF('設定'!$B$10="四捨五入",ROUND(IF('設定'!$B$9="税込",N($H712)*8/108,N($H712)*8/100),0),IF('設定'!$B$10="切り上げ",ROUNDUP(IF('設定'!$B$9="税込",N($H712)*8/108,N($H712)*8/100),0),ROUNDDOWN(IF('設定'!$B$9="税込",N($H712)*8/108,N($H712)*8/100),0))))</f>
        <v/>
      </c>
      <c r="L712" s="28">
        <f>IF($A712="","",N($G712)+N($H712)+N($I712)+IF('設定'!$B$9="税込",0,$J712+$K712))</f>
        <v/>
      </c>
      <c r="M712" s="29">
        <f>IF(OR($A712="",NOT(ISNUMBER($W712)),NOT(ISNUMBER($X712))),"",IF(OR(INDEX('得意先'!$D$5:$D$104,$W712)="",INDEX('得意先'!$E$5:$E$104,$W712)="",INDEX('得意先'!$F$5:$F$104,$W712)=""),"",IF(INDEX('得意先'!$F$5:$F$104,$W712)="末",DATE(YEAR($X712),(MONTH($X712)+IF(INDEX('得意先'!$D$5:$D$104,$W712)="末",0,IF(DAY($X712)&lt;=INDEX('得意先'!$D$5:$D$104,$W712),0,1))+N(INDEX('得意先'!$E$5:$E$104,$W712)))+1,0),DATE(YEAR($X712),(MONTH($X712)+IF(INDEX('得意先'!$D$5:$D$104,$W712)="末",0,IF(DAY($X712)&lt;=INDEX('得意先'!$D$5:$D$104,$W712),0,1))+N(INDEX('得意先'!$E$5:$E$104,$W712))),MIN(INDEX('得意先'!$F$5:$F$104,$W712),DAY(DATE(YEAR($X712),(MONTH($X712)+IF(INDEX('得意先'!$D$5:$D$104,$W712)="末",0,IF(DAY($X712)&lt;=INDEX('得意先'!$D$5:$D$104,$W712),0,1))+N(INDEX('得意先'!$E$5:$E$104,$W712)))+1,0)))))))</f>
        <v/>
      </c>
      <c r="N712" s="26" t="n"/>
      <c r="O712" s="29">
        <f>IF($A712="","",IF(ISNUMBER($N712),$N712,$M712))</f>
        <v/>
      </c>
      <c r="P712" s="28">
        <f>IF($A712="","",SUMIF('入金消込'!$F$5:$F$1004,$A712,'入金消込'!$G$5:$G$1004))</f>
        <v/>
      </c>
      <c r="Q712" s="28">
        <f>IF($A712="","",SUMIF('入金消込'!$F$5:$F$1004,$A712,'入金消込'!$H$5:$H$1004)+SUMIF('入金消込'!$F$5:$F$1004,$A712,'入金消込'!$I$5:$I$1004))</f>
        <v/>
      </c>
      <c r="R712" s="28">
        <f>IF($A712="","",$L712-$P712-$Q712)</f>
        <v/>
      </c>
      <c r="S712" s="30">
        <f>IF($A712="","",IF($R712=0,IF($L712=0,"請求額0","回収済"),IF($L712&lt;0,IF($R712&lt;0,"差し引き待ち","差し引きすぎ"),IF($R712&lt;0,"入金が多い",IF($P712+$Q712=0,"未入金","一部入金")))))</f>
        <v/>
      </c>
      <c r="T712" s="31">
        <f>IF(OR($A712="",N($R712)&lt;=0,NOT(ISNUMBER($O712))),"",IF($O712&lt;'設定'!$B$7,'設定'!$B$7-$O712,""))</f>
        <v/>
      </c>
      <c r="U712" s="30">
        <f>IF(OR($A712="",N($R712)&lt;=0),"",IF(NOT(ISNUMBER($O712)),'設定'!$B$22,IF($O712&gt;='設定'!$B$7,'設定'!$B$17,IF('設定'!$B$7-$O712&lt;='設定'!$B$12,'設定'!$B$18,IF('設定'!$B$7-$O712&lt;='設定'!$B$13,'設定'!$B$19,IF('設定'!$B$7-$O712&lt;='設定'!$B$14,'設定'!$B$20,'設定'!$B$21))))))</f>
        <v/>
      </c>
      <c r="V712" s="56" t="n"/>
      <c r="W712" s="32">
        <f>IF($C712="","",IFERROR(MATCH($C712,'得意先'!$B$5:$B$104,0),"なし"))</f>
        <v/>
      </c>
      <c r="X712" s="33">
        <f>IF($A712="","",IF(ISNUMBER($E712),$E712,IF(ISNUMBER($B712),$B712,"")))</f>
        <v/>
      </c>
      <c r="Y712" s="34">
        <f>IF($T712="","",$O712+ROW()/1000000)</f>
        <v/>
      </c>
      <c r="Z712" s="35">
        <f>IF(OR($A712="",$C712="",$C712&lt;&gt;'売掛帳'!$B$3,NOT(ISNUMBER($X712))),"",IF(AND($X712&gt;='売掛帳'!$Q$3,$X712&lt;='売掛帳'!$Q$4),$X712+ROW()/10000000,""))</f>
        <v/>
      </c>
    </row>
    <row r="713" ht="18" customHeight="1">
      <c r="A713" s="18" t="n"/>
      <c r="B713" s="26" t="n"/>
      <c r="C713" s="18" t="n"/>
      <c r="D713" s="20">
        <f>IF($W713="","",IF($W713="なし","※得意先にないコード",INDEX('得意先'!$C$5:$C$104,$W713)&amp;""))</f>
        <v/>
      </c>
      <c r="E713" s="26" t="n"/>
      <c r="F713" s="19" t="n"/>
      <c r="G713" s="27" t="n"/>
      <c r="H713" s="27" t="n"/>
      <c r="I713" s="27" t="n"/>
      <c r="J713" s="28">
        <f>IF($A713="","",IF('設定'!$B$10="四捨五入",ROUND(IF('設定'!$B$9="税込",N($G713)*10/110,N($G713)*10/100),0),IF('設定'!$B$10="切り上げ",ROUNDUP(IF('設定'!$B$9="税込",N($G713)*10/110,N($G713)*10/100),0),ROUNDDOWN(IF('設定'!$B$9="税込",N($G713)*10/110,N($G713)*10/100),0))))</f>
        <v/>
      </c>
      <c r="K713" s="28">
        <f>IF($A713="","",IF('設定'!$B$10="四捨五入",ROUND(IF('設定'!$B$9="税込",N($H713)*8/108,N($H713)*8/100),0),IF('設定'!$B$10="切り上げ",ROUNDUP(IF('設定'!$B$9="税込",N($H713)*8/108,N($H713)*8/100),0),ROUNDDOWN(IF('設定'!$B$9="税込",N($H713)*8/108,N($H713)*8/100),0))))</f>
        <v/>
      </c>
      <c r="L713" s="28">
        <f>IF($A713="","",N($G713)+N($H713)+N($I713)+IF('設定'!$B$9="税込",0,$J713+$K713))</f>
        <v/>
      </c>
      <c r="M713" s="29">
        <f>IF(OR($A713="",NOT(ISNUMBER($W713)),NOT(ISNUMBER($X713))),"",IF(OR(INDEX('得意先'!$D$5:$D$104,$W713)="",INDEX('得意先'!$E$5:$E$104,$W713)="",INDEX('得意先'!$F$5:$F$104,$W713)=""),"",IF(INDEX('得意先'!$F$5:$F$104,$W713)="末",DATE(YEAR($X713),(MONTH($X713)+IF(INDEX('得意先'!$D$5:$D$104,$W713)="末",0,IF(DAY($X713)&lt;=INDEX('得意先'!$D$5:$D$104,$W713),0,1))+N(INDEX('得意先'!$E$5:$E$104,$W713)))+1,0),DATE(YEAR($X713),(MONTH($X713)+IF(INDEX('得意先'!$D$5:$D$104,$W713)="末",0,IF(DAY($X713)&lt;=INDEX('得意先'!$D$5:$D$104,$W713),0,1))+N(INDEX('得意先'!$E$5:$E$104,$W713))),MIN(INDEX('得意先'!$F$5:$F$104,$W713),DAY(DATE(YEAR($X713),(MONTH($X713)+IF(INDEX('得意先'!$D$5:$D$104,$W713)="末",0,IF(DAY($X713)&lt;=INDEX('得意先'!$D$5:$D$104,$W713),0,1))+N(INDEX('得意先'!$E$5:$E$104,$W713)))+1,0)))))))</f>
        <v/>
      </c>
      <c r="N713" s="26" t="n"/>
      <c r="O713" s="29">
        <f>IF($A713="","",IF(ISNUMBER($N713),$N713,$M713))</f>
        <v/>
      </c>
      <c r="P713" s="28">
        <f>IF($A713="","",SUMIF('入金消込'!$F$5:$F$1004,$A713,'入金消込'!$G$5:$G$1004))</f>
        <v/>
      </c>
      <c r="Q713" s="28">
        <f>IF($A713="","",SUMIF('入金消込'!$F$5:$F$1004,$A713,'入金消込'!$H$5:$H$1004)+SUMIF('入金消込'!$F$5:$F$1004,$A713,'入金消込'!$I$5:$I$1004))</f>
        <v/>
      </c>
      <c r="R713" s="28">
        <f>IF($A713="","",$L713-$P713-$Q713)</f>
        <v/>
      </c>
      <c r="S713" s="30">
        <f>IF($A713="","",IF($R713=0,IF($L713=0,"請求額0","回収済"),IF($L713&lt;0,IF($R713&lt;0,"差し引き待ち","差し引きすぎ"),IF($R713&lt;0,"入金が多い",IF($P713+$Q713=0,"未入金","一部入金")))))</f>
        <v/>
      </c>
      <c r="T713" s="31">
        <f>IF(OR($A713="",N($R713)&lt;=0,NOT(ISNUMBER($O713))),"",IF($O713&lt;'設定'!$B$7,'設定'!$B$7-$O713,""))</f>
        <v/>
      </c>
      <c r="U713" s="30">
        <f>IF(OR($A713="",N($R713)&lt;=0),"",IF(NOT(ISNUMBER($O713)),'設定'!$B$22,IF($O713&gt;='設定'!$B$7,'設定'!$B$17,IF('設定'!$B$7-$O713&lt;='設定'!$B$12,'設定'!$B$18,IF('設定'!$B$7-$O713&lt;='設定'!$B$13,'設定'!$B$19,IF('設定'!$B$7-$O713&lt;='設定'!$B$14,'設定'!$B$20,'設定'!$B$21))))))</f>
        <v/>
      </c>
      <c r="V713" s="56" t="n"/>
      <c r="W713" s="32">
        <f>IF($C713="","",IFERROR(MATCH($C713,'得意先'!$B$5:$B$104,0),"なし"))</f>
        <v/>
      </c>
      <c r="X713" s="33">
        <f>IF($A713="","",IF(ISNUMBER($E713),$E713,IF(ISNUMBER($B713),$B713,"")))</f>
        <v/>
      </c>
      <c r="Y713" s="34">
        <f>IF($T713="","",$O713+ROW()/1000000)</f>
        <v/>
      </c>
      <c r="Z713" s="35">
        <f>IF(OR($A713="",$C713="",$C713&lt;&gt;'売掛帳'!$B$3,NOT(ISNUMBER($X713))),"",IF(AND($X713&gt;='売掛帳'!$Q$3,$X713&lt;='売掛帳'!$Q$4),$X713+ROW()/10000000,""))</f>
        <v/>
      </c>
    </row>
    <row r="714" ht="18" customHeight="1">
      <c r="A714" s="18" t="n"/>
      <c r="B714" s="26" t="n"/>
      <c r="C714" s="18" t="n"/>
      <c r="D714" s="20">
        <f>IF($W714="","",IF($W714="なし","※得意先にないコード",INDEX('得意先'!$C$5:$C$104,$W714)&amp;""))</f>
        <v/>
      </c>
      <c r="E714" s="26" t="n"/>
      <c r="F714" s="19" t="n"/>
      <c r="G714" s="27" t="n"/>
      <c r="H714" s="27" t="n"/>
      <c r="I714" s="27" t="n"/>
      <c r="J714" s="28">
        <f>IF($A714="","",IF('設定'!$B$10="四捨五入",ROUND(IF('設定'!$B$9="税込",N($G714)*10/110,N($G714)*10/100),0),IF('設定'!$B$10="切り上げ",ROUNDUP(IF('設定'!$B$9="税込",N($G714)*10/110,N($G714)*10/100),0),ROUNDDOWN(IF('設定'!$B$9="税込",N($G714)*10/110,N($G714)*10/100),0))))</f>
        <v/>
      </c>
      <c r="K714" s="28">
        <f>IF($A714="","",IF('設定'!$B$10="四捨五入",ROUND(IF('設定'!$B$9="税込",N($H714)*8/108,N($H714)*8/100),0),IF('設定'!$B$10="切り上げ",ROUNDUP(IF('設定'!$B$9="税込",N($H714)*8/108,N($H714)*8/100),0),ROUNDDOWN(IF('設定'!$B$9="税込",N($H714)*8/108,N($H714)*8/100),0))))</f>
        <v/>
      </c>
      <c r="L714" s="28">
        <f>IF($A714="","",N($G714)+N($H714)+N($I714)+IF('設定'!$B$9="税込",0,$J714+$K714))</f>
        <v/>
      </c>
      <c r="M714" s="29">
        <f>IF(OR($A714="",NOT(ISNUMBER($W714)),NOT(ISNUMBER($X714))),"",IF(OR(INDEX('得意先'!$D$5:$D$104,$W714)="",INDEX('得意先'!$E$5:$E$104,$W714)="",INDEX('得意先'!$F$5:$F$104,$W714)=""),"",IF(INDEX('得意先'!$F$5:$F$104,$W714)="末",DATE(YEAR($X714),(MONTH($X714)+IF(INDEX('得意先'!$D$5:$D$104,$W714)="末",0,IF(DAY($X714)&lt;=INDEX('得意先'!$D$5:$D$104,$W714),0,1))+N(INDEX('得意先'!$E$5:$E$104,$W714)))+1,0),DATE(YEAR($X714),(MONTH($X714)+IF(INDEX('得意先'!$D$5:$D$104,$W714)="末",0,IF(DAY($X714)&lt;=INDEX('得意先'!$D$5:$D$104,$W714),0,1))+N(INDEX('得意先'!$E$5:$E$104,$W714))),MIN(INDEX('得意先'!$F$5:$F$104,$W714),DAY(DATE(YEAR($X714),(MONTH($X714)+IF(INDEX('得意先'!$D$5:$D$104,$W714)="末",0,IF(DAY($X714)&lt;=INDEX('得意先'!$D$5:$D$104,$W714),0,1))+N(INDEX('得意先'!$E$5:$E$104,$W714)))+1,0)))))))</f>
        <v/>
      </c>
      <c r="N714" s="26" t="n"/>
      <c r="O714" s="29">
        <f>IF($A714="","",IF(ISNUMBER($N714),$N714,$M714))</f>
        <v/>
      </c>
      <c r="P714" s="28">
        <f>IF($A714="","",SUMIF('入金消込'!$F$5:$F$1004,$A714,'入金消込'!$G$5:$G$1004))</f>
        <v/>
      </c>
      <c r="Q714" s="28">
        <f>IF($A714="","",SUMIF('入金消込'!$F$5:$F$1004,$A714,'入金消込'!$H$5:$H$1004)+SUMIF('入金消込'!$F$5:$F$1004,$A714,'入金消込'!$I$5:$I$1004))</f>
        <v/>
      </c>
      <c r="R714" s="28">
        <f>IF($A714="","",$L714-$P714-$Q714)</f>
        <v/>
      </c>
      <c r="S714" s="30">
        <f>IF($A714="","",IF($R714=0,IF($L714=0,"請求額0","回収済"),IF($L714&lt;0,IF($R714&lt;0,"差し引き待ち","差し引きすぎ"),IF($R714&lt;0,"入金が多い",IF($P714+$Q714=0,"未入金","一部入金")))))</f>
        <v/>
      </c>
      <c r="T714" s="31">
        <f>IF(OR($A714="",N($R714)&lt;=0,NOT(ISNUMBER($O714))),"",IF($O714&lt;'設定'!$B$7,'設定'!$B$7-$O714,""))</f>
        <v/>
      </c>
      <c r="U714" s="30">
        <f>IF(OR($A714="",N($R714)&lt;=0),"",IF(NOT(ISNUMBER($O714)),'設定'!$B$22,IF($O714&gt;='設定'!$B$7,'設定'!$B$17,IF('設定'!$B$7-$O714&lt;='設定'!$B$12,'設定'!$B$18,IF('設定'!$B$7-$O714&lt;='設定'!$B$13,'設定'!$B$19,IF('設定'!$B$7-$O714&lt;='設定'!$B$14,'設定'!$B$20,'設定'!$B$21))))))</f>
        <v/>
      </c>
      <c r="V714" s="56" t="n"/>
      <c r="W714" s="32">
        <f>IF($C714="","",IFERROR(MATCH($C714,'得意先'!$B$5:$B$104,0),"なし"))</f>
        <v/>
      </c>
      <c r="X714" s="33">
        <f>IF($A714="","",IF(ISNUMBER($E714),$E714,IF(ISNUMBER($B714),$B714,"")))</f>
        <v/>
      </c>
      <c r="Y714" s="34">
        <f>IF($T714="","",$O714+ROW()/1000000)</f>
        <v/>
      </c>
      <c r="Z714" s="35">
        <f>IF(OR($A714="",$C714="",$C714&lt;&gt;'売掛帳'!$B$3,NOT(ISNUMBER($X714))),"",IF(AND($X714&gt;='売掛帳'!$Q$3,$X714&lt;='売掛帳'!$Q$4),$X714+ROW()/10000000,""))</f>
        <v/>
      </c>
    </row>
    <row r="715" ht="18" customHeight="1">
      <c r="A715" s="18" t="n"/>
      <c r="B715" s="26" t="n"/>
      <c r="C715" s="18" t="n"/>
      <c r="D715" s="20">
        <f>IF($W715="","",IF($W715="なし","※得意先にないコード",INDEX('得意先'!$C$5:$C$104,$W715)&amp;""))</f>
        <v/>
      </c>
      <c r="E715" s="26" t="n"/>
      <c r="F715" s="19" t="n"/>
      <c r="G715" s="27" t="n"/>
      <c r="H715" s="27" t="n"/>
      <c r="I715" s="27" t="n"/>
      <c r="J715" s="28">
        <f>IF($A715="","",IF('設定'!$B$10="四捨五入",ROUND(IF('設定'!$B$9="税込",N($G715)*10/110,N($G715)*10/100),0),IF('設定'!$B$10="切り上げ",ROUNDUP(IF('設定'!$B$9="税込",N($G715)*10/110,N($G715)*10/100),0),ROUNDDOWN(IF('設定'!$B$9="税込",N($G715)*10/110,N($G715)*10/100),0))))</f>
        <v/>
      </c>
      <c r="K715" s="28">
        <f>IF($A715="","",IF('設定'!$B$10="四捨五入",ROUND(IF('設定'!$B$9="税込",N($H715)*8/108,N($H715)*8/100),0),IF('設定'!$B$10="切り上げ",ROUNDUP(IF('設定'!$B$9="税込",N($H715)*8/108,N($H715)*8/100),0),ROUNDDOWN(IF('設定'!$B$9="税込",N($H715)*8/108,N($H715)*8/100),0))))</f>
        <v/>
      </c>
      <c r="L715" s="28">
        <f>IF($A715="","",N($G715)+N($H715)+N($I715)+IF('設定'!$B$9="税込",0,$J715+$K715))</f>
        <v/>
      </c>
      <c r="M715" s="29">
        <f>IF(OR($A715="",NOT(ISNUMBER($W715)),NOT(ISNUMBER($X715))),"",IF(OR(INDEX('得意先'!$D$5:$D$104,$W715)="",INDEX('得意先'!$E$5:$E$104,$W715)="",INDEX('得意先'!$F$5:$F$104,$W715)=""),"",IF(INDEX('得意先'!$F$5:$F$104,$W715)="末",DATE(YEAR($X715),(MONTH($X715)+IF(INDEX('得意先'!$D$5:$D$104,$W715)="末",0,IF(DAY($X715)&lt;=INDEX('得意先'!$D$5:$D$104,$W715),0,1))+N(INDEX('得意先'!$E$5:$E$104,$W715)))+1,0),DATE(YEAR($X715),(MONTH($X715)+IF(INDEX('得意先'!$D$5:$D$104,$W715)="末",0,IF(DAY($X715)&lt;=INDEX('得意先'!$D$5:$D$104,$W715),0,1))+N(INDEX('得意先'!$E$5:$E$104,$W715))),MIN(INDEX('得意先'!$F$5:$F$104,$W715),DAY(DATE(YEAR($X715),(MONTH($X715)+IF(INDEX('得意先'!$D$5:$D$104,$W715)="末",0,IF(DAY($X715)&lt;=INDEX('得意先'!$D$5:$D$104,$W715),0,1))+N(INDEX('得意先'!$E$5:$E$104,$W715)))+1,0)))))))</f>
        <v/>
      </c>
      <c r="N715" s="26" t="n"/>
      <c r="O715" s="29">
        <f>IF($A715="","",IF(ISNUMBER($N715),$N715,$M715))</f>
        <v/>
      </c>
      <c r="P715" s="28">
        <f>IF($A715="","",SUMIF('入金消込'!$F$5:$F$1004,$A715,'入金消込'!$G$5:$G$1004))</f>
        <v/>
      </c>
      <c r="Q715" s="28">
        <f>IF($A715="","",SUMIF('入金消込'!$F$5:$F$1004,$A715,'入金消込'!$H$5:$H$1004)+SUMIF('入金消込'!$F$5:$F$1004,$A715,'入金消込'!$I$5:$I$1004))</f>
        <v/>
      </c>
      <c r="R715" s="28">
        <f>IF($A715="","",$L715-$P715-$Q715)</f>
        <v/>
      </c>
      <c r="S715" s="30">
        <f>IF($A715="","",IF($R715=0,IF($L715=0,"請求額0","回収済"),IF($L715&lt;0,IF($R715&lt;0,"差し引き待ち","差し引きすぎ"),IF($R715&lt;0,"入金が多い",IF($P715+$Q715=0,"未入金","一部入金")))))</f>
        <v/>
      </c>
      <c r="T715" s="31">
        <f>IF(OR($A715="",N($R715)&lt;=0,NOT(ISNUMBER($O715))),"",IF($O715&lt;'設定'!$B$7,'設定'!$B$7-$O715,""))</f>
        <v/>
      </c>
      <c r="U715" s="30">
        <f>IF(OR($A715="",N($R715)&lt;=0),"",IF(NOT(ISNUMBER($O715)),'設定'!$B$22,IF($O715&gt;='設定'!$B$7,'設定'!$B$17,IF('設定'!$B$7-$O715&lt;='設定'!$B$12,'設定'!$B$18,IF('設定'!$B$7-$O715&lt;='設定'!$B$13,'設定'!$B$19,IF('設定'!$B$7-$O715&lt;='設定'!$B$14,'設定'!$B$20,'設定'!$B$21))))))</f>
        <v/>
      </c>
      <c r="V715" s="56" t="n"/>
      <c r="W715" s="32">
        <f>IF($C715="","",IFERROR(MATCH($C715,'得意先'!$B$5:$B$104,0),"なし"))</f>
        <v/>
      </c>
      <c r="X715" s="33">
        <f>IF($A715="","",IF(ISNUMBER($E715),$E715,IF(ISNUMBER($B715),$B715,"")))</f>
        <v/>
      </c>
      <c r="Y715" s="34">
        <f>IF($T715="","",$O715+ROW()/1000000)</f>
        <v/>
      </c>
      <c r="Z715" s="35">
        <f>IF(OR($A715="",$C715="",$C715&lt;&gt;'売掛帳'!$B$3,NOT(ISNUMBER($X715))),"",IF(AND($X715&gt;='売掛帳'!$Q$3,$X715&lt;='売掛帳'!$Q$4),$X715+ROW()/10000000,""))</f>
        <v/>
      </c>
    </row>
    <row r="716" ht="18" customHeight="1">
      <c r="A716" s="18" t="n"/>
      <c r="B716" s="26" t="n"/>
      <c r="C716" s="18" t="n"/>
      <c r="D716" s="20">
        <f>IF($W716="","",IF($W716="なし","※得意先にないコード",INDEX('得意先'!$C$5:$C$104,$W716)&amp;""))</f>
        <v/>
      </c>
      <c r="E716" s="26" t="n"/>
      <c r="F716" s="19" t="n"/>
      <c r="G716" s="27" t="n"/>
      <c r="H716" s="27" t="n"/>
      <c r="I716" s="27" t="n"/>
      <c r="J716" s="28">
        <f>IF($A716="","",IF('設定'!$B$10="四捨五入",ROUND(IF('設定'!$B$9="税込",N($G716)*10/110,N($G716)*10/100),0),IF('設定'!$B$10="切り上げ",ROUNDUP(IF('設定'!$B$9="税込",N($G716)*10/110,N($G716)*10/100),0),ROUNDDOWN(IF('設定'!$B$9="税込",N($G716)*10/110,N($G716)*10/100),0))))</f>
        <v/>
      </c>
      <c r="K716" s="28">
        <f>IF($A716="","",IF('設定'!$B$10="四捨五入",ROUND(IF('設定'!$B$9="税込",N($H716)*8/108,N($H716)*8/100),0),IF('設定'!$B$10="切り上げ",ROUNDUP(IF('設定'!$B$9="税込",N($H716)*8/108,N($H716)*8/100),0),ROUNDDOWN(IF('設定'!$B$9="税込",N($H716)*8/108,N($H716)*8/100),0))))</f>
        <v/>
      </c>
      <c r="L716" s="28">
        <f>IF($A716="","",N($G716)+N($H716)+N($I716)+IF('設定'!$B$9="税込",0,$J716+$K716))</f>
        <v/>
      </c>
      <c r="M716" s="29">
        <f>IF(OR($A716="",NOT(ISNUMBER($W716)),NOT(ISNUMBER($X716))),"",IF(OR(INDEX('得意先'!$D$5:$D$104,$W716)="",INDEX('得意先'!$E$5:$E$104,$W716)="",INDEX('得意先'!$F$5:$F$104,$W716)=""),"",IF(INDEX('得意先'!$F$5:$F$104,$W716)="末",DATE(YEAR($X716),(MONTH($X716)+IF(INDEX('得意先'!$D$5:$D$104,$W716)="末",0,IF(DAY($X716)&lt;=INDEX('得意先'!$D$5:$D$104,$W716),0,1))+N(INDEX('得意先'!$E$5:$E$104,$W716)))+1,0),DATE(YEAR($X716),(MONTH($X716)+IF(INDEX('得意先'!$D$5:$D$104,$W716)="末",0,IF(DAY($X716)&lt;=INDEX('得意先'!$D$5:$D$104,$W716),0,1))+N(INDEX('得意先'!$E$5:$E$104,$W716))),MIN(INDEX('得意先'!$F$5:$F$104,$W716),DAY(DATE(YEAR($X716),(MONTH($X716)+IF(INDEX('得意先'!$D$5:$D$104,$W716)="末",0,IF(DAY($X716)&lt;=INDEX('得意先'!$D$5:$D$104,$W716),0,1))+N(INDEX('得意先'!$E$5:$E$104,$W716)))+1,0)))))))</f>
        <v/>
      </c>
      <c r="N716" s="26" t="n"/>
      <c r="O716" s="29">
        <f>IF($A716="","",IF(ISNUMBER($N716),$N716,$M716))</f>
        <v/>
      </c>
      <c r="P716" s="28">
        <f>IF($A716="","",SUMIF('入金消込'!$F$5:$F$1004,$A716,'入金消込'!$G$5:$G$1004))</f>
        <v/>
      </c>
      <c r="Q716" s="28">
        <f>IF($A716="","",SUMIF('入金消込'!$F$5:$F$1004,$A716,'入金消込'!$H$5:$H$1004)+SUMIF('入金消込'!$F$5:$F$1004,$A716,'入金消込'!$I$5:$I$1004))</f>
        <v/>
      </c>
      <c r="R716" s="28">
        <f>IF($A716="","",$L716-$P716-$Q716)</f>
        <v/>
      </c>
      <c r="S716" s="30">
        <f>IF($A716="","",IF($R716=0,IF($L716=0,"請求額0","回収済"),IF($L716&lt;0,IF($R716&lt;0,"差し引き待ち","差し引きすぎ"),IF($R716&lt;0,"入金が多い",IF($P716+$Q716=0,"未入金","一部入金")))))</f>
        <v/>
      </c>
      <c r="T716" s="31">
        <f>IF(OR($A716="",N($R716)&lt;=0,NOT(ISNUMBER($O716))),"",IF($O716&lt;'設定'!$B$7,'設定'!$B$7-$O716,""))</f>
        <v/>
      </c>
      <c r="U716" s="30">
        <f>IF(OR($A716="",N($R716)&lt;=0),"",IF(NOT(ISNUMBER($O716)),'設定'!$B$22,IF($O716&gt;='設定'!$B$7,'設定'!$B$17,IF('設定'!$B$7-$O716&lt;='設定'!$B$12,'設定'!$B$18,IF('設定'!$B$7-$O716&lt;='設定'!$B$13,'設定'!$B$19,IF('設定'!$B$7-$O716&lt;='設定'!$B$14,'設定'!$B$20,'設定'!$B$21))))))</f>
        <v/>
      </c>
      <c r="V716" s="56" t="n"/>
      <c r="W716" s="32">
        <f>IF($C716="","",IFERROR(MATCH($C716,'得意先'!$B$5:$B$104,0),"なし"))</f>
        <v/>
      </c>
      <c r="X716" s="33">
        <f>IF($A716="","",IF(ISNUMBER($E716),$E716,IF(ISNUMBER($B716),$B716,"")))</f>
        <v/>
      </c>
      <c r="Y716" s="34">
        <f>IF($T716="","",$O716+ROW()/1000000)</f>
        <v/>
      </c>
      <c r="Z716" s="35">
        <f>IF(OR($A716="",$C716="",$C716&lt;&gt;'売掛帳'!$B$3,NOT(ISNUMBER($X716))),"",IF(AND($X716&gt;='売掛帳'!$Q$3,$X716&lt;='売掛帳'!$Q$4),$X716+ROW()/10000000,""))</f>
        <v/>
      </c>
    </row>
    <row r="717" ht="18" customHeight="1">
      <c r="A717" s="18" t="n"/>
      <c r="B717" s="26" t="n"/>
      <c r="C717" s="18" t="n"/>
      <c r="D717" s="20">
        <f>IF($W717="","",IF($W717="なし","※得意先にないコード",INDEX('得意先'!$C$5:$C$104,$W717)&amp;""))</f>
        <v/>
      </c>
      <c r="E717" s="26" t="n"/>
      <c r="F717" s="19" t="n"/>
      <c r="G717" s="27" t="n"/>
      <c r="H717" s="27" t="n"/>
      <c r="I717" s="27" t="n"/>
      <c r="J717" s="28">
        <f>IF($A717="","",IF('設定'!$B$10="四捨五入",ROUND(IF('設定'!$B$9="税込",N($G717)*10/110,N($G717)*10/100),0),IF('設定'!$B$10="切り上げ",ROUNDUP(IF('設定'!$B$9="税込",N($G717)*10/110,N($G717)*10/100),0),ROUNDDOWN(IF('設定'!$B$9="税込",N($G717)*10/110,N($G717)*10/100),0))))</f>
        <v/>
      </c>
      <c r="K717" s="28">
        <f>IF($A717="","",IF('設定'!$B$10="四捨五入",ROUND(IF('設定'!$B$9="税込",N($H717)*8/108,N($H717)*8/100),0),IF('設定'!$B$10="切り上げ",ROUNDUP(IF('設定'!$B$9="税込",N($H717)*8/108,N($H717)*8/100),0),ROUNDDOWN(IF('設定'!$B$9="税込",N($H717)*8/108,N($H717)*8/100),0))))</f>
        <v/>
      </c>
      <c r="L717" s="28">
        <f>IF($A717="","",N($G717)+N($H717)+N($I717)+IF('設定'!$B$9="税込",0,$J717+$K717))</f>
        <v/>
      </c>
      <c r="M717" s="29">
        <f>IF(OR($A717="",NOT(ISNUMBER($W717)),NOT(ISNUMBER($X717))),"",IF(OR(INDEX('得意先'!$D$5:$D$104,$W717)="",INDEX('得意先'!$E$5:$E$104,$W717)="",INDEX('得意先'!$F$5:$F$104,$W717)=""),"",IF(INDEX('得意先'!$F$5:$F$104,$W717)="末",DATE(YEAR($X717),(MONTH($X717)+IF(INDEX('得意先'!$D$5:$D$104,$W717)="末",0,IF(DAY($X717)&lt;=INDEX('得意先'!$D$5:$D$104,$W717),0,1))+N(INDEX('得意先'!$E$5:$E$104,$W717)))+1,0),DATE(YEAR($X717),(MONTH($X717)+IF(INDEX('得意先'!$D$5:$D$104,$W717)="末",0,IF(DAY($X717)&lt;=INDEX('得意先'!$D$5:$D$104,$W717),0,1))+N(INDEX('得意先'!$E$5:$E$104,$W717))),MIN(INDEX('得意先'!$F$5:$F$104,$W717),DAY(DATE(YEAR($X717),(MONTH($X717)+IF(INDEX('得意先'!$D$5:$D$104,$W717)="末",0,IF(DAY($X717)&lt;=INDEX('得意先'!$D$5:$D$104,$W717),0,1))+N(INDEX('得意先'!$E$5:$E$104,$W717)))+1,0)))))))</f>
        <v/>
      </c>
      <c r="N717" s="26" t="n"/>
      <c r="O717" s="29">
        <f>IF($A717="","",IF(ISNUMBER($N717),$N717,$M717))</f>
        <v/>
      </c>
      <c r="P717" s="28">
        <f>IF($A717="","",SUMIF('入金消込'!$F$5:$F$1004,$A717,'入金消込'!$G$5:$G$1004))</f>
        <v/>
      </c>
      <c r="Q717" s="28">
        <f>IF($A717="","",SUMIF('入金消込'!$F$5:$F$1004,$A717,'入金消込'!$H$5:$H$1004)+SUMIF('入金消込'!$F$5:$F$1004,$A717,'入金消込'!$I$5:$I$1004))</f>
        <v/>
      </c>
      <c r="R717" s="28">
        <f>IF($A717="","",$L717-$P717-$Q717)</f>
        <v/>
      </c>
      <c r="S717" s="30">
        <f>IF($A717="","",IF($R717=0,IF($L717=0,"請求額0","回収済"),IF($L717&lt;0,IF($R717&lt;0,"差し引き待ち","差し引きすぎ"),IF($R717&lt;0,"入金が多い",IF($P717+$Q717=0,"未入金","一部入金")))))</f>
        <v/>
      </c>
      <c r="T717" s="31">
        <f>IF(OR($A717="",N($R717)&lt;=0,NOT(ISNUMBER($O717))),"",IF($O717&lt;'設定'!$B$7,'設定'!$B$7-$O717,""))</f>
        <v/>
      </c>
      <c r="U717" s="30">
        <f>IF(OR($A717="",N($R717)&lt;=0),"",IF(NOT(ISNUMBER($O717)),'設定'!$B$22,IF($O717&gt;='設定'!$B$7,'設定'!$B$17,IF('設定'!$B$7-$O717&lt;='設定'!$B$12,'設定'!$B$18,IF('設定'!$B$7-$O717&lt;='設定'!$B$13,'設定'!$B$19,IF('設定'!$B$7-$O717&lt;='設定'!$B$14,'設定'!$B$20,'設定'!$B$21))))))</f>
        <v/>
      </c>
      <c r="V717" s="56" t="n"/>
      <c r="W717" s="32">
        <f>IF($C717="","",IFERROR(MATCH($C717,'得意先'!$B$5:$B$104,0),"なし"))</f>
        <v/>
      </c>
      <c r="X717" s="33">
        <f>IF($A717="","",IF(ISNUMBER($E717),$E717,IF(ISNUMBER($B717),$B717,"")))</f>
        <v/>
      </c>
      <c r="Y717" s="34">
        <f>IF($T717="","",$O717+ROW()/1000000)</f>
        <v/>
      </c>
      <c r="Z717" s="35">
        <f>IF(OR($A717="",$C717="",$C717&lt;&gt;'売掛帳'!$B$3,NOT(ISNUMBER($X717))),"",IF(AND($X717&gt;='売掛帳'!$Q$3,$X717&lt;='売掛帳'!$Q$4),$X717+ROW()/10000000,""))</f>
        <v/>
      </c>
    </row>
    <row r="718" ht="18" customHeight="1">
      <c r="A718" s="18" t="n"/>
      <c r="B718" s="26" t="n"/>
      <c r="C718" s="18" t="n"/>
      <c r="D718" s="20">
        <f>IF($W718="","",IF($W718="なし","※得意先にないコード",INDEX('得意先'!$C$5:$C$104,$W718)&amp;""))</f>
        <v/>
      </c>
      <c r="E718" s="26" t="n"/>
      <c r="F718" s="19" t="n"/>
      <c r="G718" s="27" t="n"/>
      <c r="H718" s="27" t="n"/>
      <c r="I718" s="27" t="n"/>
      <c r="J718" s="28">
        <f>IF($A718="","",IF('設定'!$B$10="四捨五入",ROUND(IF('設定'!$B$9="税込",N($G718)*10/110,N($G718)*10/100),0),IF('設定'!$B$10="切り上げ",ROUNDUP(IF('設定'!$B$9="税込",N($G718)*10/110,N($G718)*10/100),0),ROUNDDOWN(IF('設定'!$B$9="税込",N($G718)*10/110,N($G718)*10/100),0))))</f>
        <v/>
      </c>
      <c r="K718" s="28">
        <f>IF($A718="","",IF('設定'!$B$10="四捨五入",ROUND(IF('設定'!$B$9="税込",N($H718)*8/108,N($H718)*8/100),0),IF('設定'!$B$10="切り上げ",ROUNDUP(IF('設定'!$B$9="税込",N($H718)*8/108,N($H718)*8/100),0),ROUNDDOWN(IF('設定'!$B$9="税込",N($H718)*8/108,N($H718)*8/100),0))))</f>
        <v/>
      </c>
      <c r="L718" s="28">
        <f>IF($A718="","",N($G718)+N($H718)+N($I718)+IF('設定'!$B$9="税込",0,$J718+$K718))</f>
        <v/>
      </c>
      <c r="M718" s="29">
        <f>IF(OR($A718="",NOT(ISNUMBER($W718)),NOT(ISNUMBER($X718))),"",IF(OR(INDEX('得意先'!$D$5:$D$104,$W718)="",INDEX('得意先'!$E$5:$E$104,$W718)="",INDEX('得意先'!$F$5:$F$104,$W718)=""),"",IF(INDEX('得意先'!$F$5:$F$104,$W718)="末",DATE(YEAR($X718),(MONTH($X718)+IF(INDEX('得意先'!$D$5:$D$104,$W718)="末",0,IF(DAY($X718)&lt;=INDEX('得意先'!$D$5:$D$104,$W718),0,1))+N(INDEX('得意先'!$E$5:$E$104,$W718)))+1,0),DATE(YEAR($X718),(MONTH($X718)+IF(INDEX('得意先'!$D$5:$D$104,$W718)="末",0,IF(DAY($X718)&lt;=INDEX('得意先'!$D$5:$D$104,$W718),0,1))+N(INDEX('得意先'!$E$5:$E$104,$W718))),MIN(INDEX('得意先'!$F$5:$F$104,$W718),DAY(DATE(YEAR($X718),(MONTH($X718)+IF(INDEX('得意先'!$D$5:$D$104,$W718)="末",0,IF(DAY($X718)&lt;=INDEX('得意先'!$D$5:$D$104,$W718),0,1))+N(INDEX('得意先'!$E$5:$E$104,$W718)))+1,0)))))))</f>
        <v/>
      </c>
      <c r="N718" s="26" t="n"/>
      <c r="O718" s="29">
        <f>IF($A718="","",IF(ISNUMBER($N718),$N718,$M718))</f>
        <v/>
      </c>
      <c r="P718" s="28">
        <f>IF($A718="","",SUMIF('入金消込'!$F$5:$F$1004,$A718,'入金消込'!$G$5:$G$1004))</f>
        <v/>
      </c>
      <c r="Q718" s="28">
        <f>IF($A718="","",SUMIF('入金消込'!$F$5:$F$1004,$A718,'入金消込'!$H$5:$H$1004)+SUMIF('入金消込'!$F$5:$F$1004,$A718,'入金消込'!$I$5:$I$1004))</f>
        <v/>
      </c>
      <c r="R718" s="28">
        <f>IF($A718="","",$L718-$P718-$Q718)</f>
        <v/>
      </c>
      <c r="S718" s="30">
        <f>IF($A718="","",IF($R718=0,IF($L718=0,"請求額0","回収済"),IF($L718&lt;0,IF($R718&lt;0,"差し引き待ち","差し引きすぎ"),IF($R718&lt;0,"入金が多い",IF($P718+$Q718=0,"未入金","一部入金")))))</f>
        <v/>
      </c>
      <c r="T718" s="31">
        <f>IF(OR($A718="",N($R718)&lt;=0,NOT(ISNUMBER($O718))),"",IF($O718&lt;'設定'!$B$7,'設定'!$B$7-$O718,""))</f>
        <v/>
      </c>
      <c r="U718" s="30">
        <f>IF(OR($A718="",N($R718)&lt;=0),"",IF(NOT(ISNUMBER($O718)),'設定'!$B$22,IF($O718&gt;='設定'!$B$7,'設定'!$B$17,IF('設定'!$B$7-$O718&lt;='設定'!$B$12,'設定'!$B$18,IF('設定'!$B$7-$O718&lt;='設定'!$B$13,'設定'!$B$19,IF('設定'!$B$7-$O718&lt;='設定'!$B$14,'設定'!$B$20,'設定'!$B$21))))))</f>
        <v/>
      </c>
      <c r="V718" s="56" t="n"/>
      <c r="W718" s="32">
        <f>IF($C718="","",IFERROR(MATCH($C718,'得意先'!$B$5:$B$104,0),"なし"))</f>
        <v/>
      </c>
      <c r="X718" s="33">
        <f>IF($A718="","",IF(ISNUMBER($E718),$E718,IF(ISNUMBER($B718),$B718,"")))</f>
        <v/>
      </c>
      <c r="Y718" s="34">
        <f>IF($T718="","",$O718+ROW()/1000000)</f>
        <v/>
      </c>
      <c r="Z718" s="35">
        <f>IF(OR($A718="",$C718="",$C718&lt;&gt;'売掛帳'!$B$3,NOT(ISNUMBER($X718))),"",IF(AND($X718&gt;='売掛帳'!$Q$3,$X718&lt;='売掛帳'!$Q$4),$X718+ROW()/10000000,""))</f>
        <v/>
      </c>
    </row>
    <row r="719" ht="18" customHeight="1">
      <c r="A719" s="18" t="n"/>
      <c r="B719" s="26" t="n"/>
      <c r="C719" s="18" t="n"/>
      <c r="D719" s="20">
        <f>IF($W719="","",IF($W719="なし","※得意先にないコード",INDEX('得意先'!$C$5:$C$104,$W719)&amp;""))</f>
        <v/>
      </c>
      <c r="E719" s="26" t="n"/>
      <c r="F719" s="19" t="n"/>
      <c r="G719" s="27" t="n"/>
      <c r="H719" s="27" t="n"/>
      <c r="I719" s="27" t="n"/>
      <c r="J719" s="28">
        <f>IF($A719="","",IF('設定'!$B$10="四捨五入",ROUND(IF('設定'!$B$9="税込",N($G719)*10/110,N($G719)*10/100),0),IF('設定'!$B$10="切り上げ",ROUNDUP(IF('設定'!$B$9="税込",N($G719)*10/110,N($G719)*10/100),0),ROUNDDOWN(IF('設定'!$B$9="税込",N($G719)*10/110,N($G719)*10/100),0))))</f>
        <v/>
      </c>
      <c r="K719" s="28">
        <f>IF($A719="","",IF('設定'!$B$10="四捨五入",ROUND(IF('設定'!$B$9="税込",N($H719)*8/108,N($H719)*8/100),0),IF('設定'!$B$10="切り上げ",ROUNDUP(IF('設定'!$B$9="税込",N($H719)*8/108,N($H719)*8/100),0),ROUNDDOWN(IF('設定'!$B$9="税込",N($H719)*8/108,N($H719)*8/100),0))))</f>
        <v/>
      </c>
      <c r="L719" s="28">
        <f>IF($A719="","",N($G719)+N($H719)+N($I719)+IF('設定'!$B$9="税込",0,$J719+$K719))</f>
        <v/>
      </c>
      <c r="M719" s="29">
        <f>IF(OR($A719="",NOT(ISNUMBER($W719)),NOT(ISNUMBER($X719))),"",IF(OR(INDEX('得意先'!$D$5:$D$104,$W719)="",INDEX('得意先'!$E$5:$E$104,$W719)="",INDEX('得意先'!$F$5:$F$104,$W719)=""),"",IF(INDEX('得意先'!$F$5:$F$104,$W719)="末",DATE(YEAR($X719),(MONTH($X719)+IF(INDEX('得意先'!$D$5:$D$104,$W719)="末",0,IF(DAY($X719)&lt;=INDEX('得意先'!$D$5:$D$104,$W719),0,1))+N(INDEX('得意先'!$E$5:$E$104,$W719)))+1,0),DATE(YEAR($X719),(MONTH($X719)+IF(INDEX('得意先'!$D$5:$D$104,$W719)="末",0,IF(DAY($X719)&lt;=INDEX('得意先'!$D$5:$D$104,$W719),0,1))+N(INDEX('得意先'!$E$5:$E$104,$W719))),MIN(INDEX('得意先'!$F$5:$F$104,$W719),DAY(DATE(YEAR($X719),(MONTH($X719)+IF(INDEX('得意先'!$D$5:$D$104,$W719)="末",0,IF(DAY($X719)&lt;=INDEX('得意先'!$D$5:$D$104,$W719),0,1))+N(INDEX('得意先'!$E$5:$E$104,$W719)))+1,0)))))))</f>
        <v/>
      </c>
      <c r="N719" s="26" t="n"/>
      <c r="O719" s="29">
        <f>IF($A719="","",IF(ISNUMBER($N719),$N719,$M719))</f>
        <v/>
      </c>
      <c r="P719" s="28">
        <f>IF($A719="","",SUMIF('入金消込'!$F$5:$F$1004,$A719,'入金消込'!$G$5:$G$1004))</f>
        <v/>
      </c>
      <c r="Q719" s="28">
        <f>IF($A719="","",SUMIF('入金消込'!$F$5:$F$1004,$A719,'入金消込'!$H$5:$H$1004)+SUMIF('入金消込'!$F$5:$F$1004,$A719,'入金消込'!$I$5:$I$1004))</f>
        <v/>
      </c>
      <c r="R719" s="28">
        <f>IF($A719="","",$L719-$P719-$Q719)</f>
        <v/>
      </c>
      <c r="S719" s="30">
        <f>IF($A719="","",IF($R719=0,IF($L719=0,"請求額0","回収済"),IF($L719&lt;0,IF($R719&lt;0,"差し引き待ち","差し引きすぎ"),IF($R719&lt;0,"入金が多い",IF($P719+$Q719=0,"未入金","一部入金")))))</f>
        <v/>
      </c>
      <c r="T719" s="31">
        <f>IF(OR($A719="",N($R719)&lt;=0,NOT(ISNUMBER($O719))),"",IF($O719&lt;'設定'!$B$7,'設定'!$B$7-$O719,""))</f>
        <v/>
      </c>
      <c r="U719" s="30">
        <f>IF(OR($A719="",N($R719)&lt;=0),"",IF(NOT(ISNUMBER($O719)),'設定'!$B$22,IF($O719&gt;='設定'!$B$7,'設定'!$B$17,IF('設定'!$B$7-$O719&lt;='設定'!$B$12,'設定'!$B$18,IF('設定'!$B$7-$O719&lt;='設定'!$B$13,'設定'!$B$19,IF('設定'!$B$7-$O719&lt;='設定'!$B$14,'設定'!$B$20,'設定'!$B$21))))))</f>
        <v/>
      </c>
      <c r="V719" s="56" t="n"/>
      <c r="W719" s="32">
        <f>IF($C719="","",IFERROR(MATCH($C719,'得意先'!$B$5:$B$104,0),"なし"))</f>
        <v/>
      </c>
      <c r="X719" s="33">
        <f>IF($A719="","",IF(ISNUMBER($E719),$E719,IF(ISNUMBER($B719),$B719,"")))</f>
        <v/>
      </c>
      <c r="Y719" s="34">
        <f>IF($T719="","",$O719+ROW()/1000000)</f>
        <v/>
      </c>
      <c r="Z719" s="35">
        <f>IF(OR($A719="",$C719="",$C719&lt;&gt;'売掛帳'!$B$3,NOT(ISNUMBER($X719))),"",IF(AND($X719&gt;='売掛帳'!$Q$3,$X719&lt;='売掛帳'!$Q$4),$X719+ROW()/10000000,""))</f>
        <v/>
      </c>
    </row>
    <row r="720" ht="18" customHeight="1">
      <c r="A720" s="18" t="n"/>
      <c r="B720" s="26" t="n"/>
      <c r="C720" s="18" t="n"/>
      <c r="D720" s="20">
        <f>IF($W720="","",IF($W720="なし","※得意先にないコード",INDEX('得意先'!$C$5:$C$104,$W720)&amp;""))</f>
        <v/>
      </c>
      <c r="E720" s="26" t="n"/>
      <c r="F720" s="19" t="n"/>
      <c r="G720" s="27" t="n"/>
      <c r="H720" s="27" t="n"/>
      <c r="I720" s="27" t="n"/>
      <c r="J720" s="28">
        <f>IF($A720="","",IF('設定'!$B$10="四捨五入",ROUND(IF('設定'!$B$9="税込",N($G720)*10/110,N($G720)*10/100),0),IF('設定'!$B$10="切り上げ",ROUNDUP(IF('設定'!$B$9="税込",N($G720)*10/110,N($G720)*10/100),0),ROUNDDOWN(IF('設定'!$B$9="税込",N($G720)*10/110,N($G720)*10/100),0))))</f>
        <v/>
      </c>
      <c r="K720" s="28">
        <f>IF($A720="","",IF('設定'!$B$10="四捨五入",ROUND(IF('設定'!$B$9="税込",N($H720)*8/108,N($H720)*8/100),0),IF('設定'!$B$10="切り上げ",ROUNDUP(IF('設定'!$B$9="税込",N($H720)*8/108,N($H720)*8/100),0),ROUNDDOWN(IF('設定'!$B$9="税込",N($H720)*8/108,N($H720)*8/100),0))))</f>
        <v/>
      </c>
      <c r="L720" s="28">
        <f>IF($A720="","",N($G720)+N($H720)+N($I720)+IF('設定'!$B$9="税込",0,$J720+$K720))</f>
        <v/>
      </c>
      <c r="M720" s="29">
        <f>IF(OR($A720="",NOT(ISNUMBER($W720)),NOT(ISNUMBER($X720))),"",IF(OR(INDEX('得意先'!$D$5:$D$104,$W720)="",INDEX('得意先'!$E$5:$E$104,$W720)="",INDEX('得意先'!$F$5:$F$104,$W720)=""),"",IF(INDEX('得意先'!$F$5:$F$104,$W720)="末",DATE(YEAR($X720),(MONTH($X720)+IF(INDEX('得意先'!$D$5:$D$104,$W720)="末",0,IF(DAY($X720)&lt;=INDEX('得意先'!$D$5:$D$104,$W720),0,1))+N(INDEX('得意先'!$E$5:$E$104,$W720)))+1,0),DATE(YEAR($X720),(MONTH($X720)+IF(INDEX('得意先'!$D$5:$D$104,$W720)="末",0,IF(DAY($X720)&lt;=INDEX('得意先'!$D$5:$D$104,$W720),0,1))+N(INDEX('得意先'!$E$5:$E$104,$W720))),MIN(INDEX('得意先'!$F$5:$F$104,$W720),DAY(DATE(YEAR($X720),(MONTH($X720)+IF(INDEX('得意先'!$D$5:$D$104,$W720)="末",0,IF(DAY($X720)&lt;=INDEX('得意先'!$D$5:$D$104,$W720),0,1))+N(INDEX('得意先'!$E$5:$E$104,$W720)))+1,0)))))))</f>
        <v/>
      </c>
      <c r="N720" s="26" t="n"/>
      <c r="O720" s="29">
        <f>IF($A720="","",IF(ISNUMBER($N720),$N720,$M720))</f>
        <v/>
      </c>
      <c r="P720" s="28">
        <f>IF($A720="","",SUMIF('入金消込'!$F$5:$F$1004,$A720,'入金消込'!$G$5:$G$1004))</f>
        <v/>
      </c>
      <c r="Q720" s="28">
        <f>IF($A720="","",SUMIF('入金消込'!$F$5:$F$1004,$A720,'入金消込'!$H$5:$H$1004)+SUMIF('入金消込'!$F$5:$F$1004,$A720,'入金消込'!$I$5:$I$1004))</f>
        <v/>
      </c>
      <c r="R720" s="28">
        <f>IF($A720="","",$L720-$P720-$Q720)</f>
        <v/>
      </c>
      <c r="S720" s="30">
        <f>IF($A720="","",IF($R720=0,IF($L720=0,"請求額0","回収済"),IF($L720&lt;0,IF($R720&lt;0,"差し引き待ち","差し引きすぎ"),IF($R720&lt;0,"入金が多い",IF($P720+$Q720=0,"未入金","一部入金")))))</f>
        <v/>
      </c>
      <c r="T720" s="31">
        <f>IF(OR($A720="",N($R720)&lt;=0,NOT(ISNUMBER($O720))),"",IF($O720&lt;'設定'!$B$7,'設定'!$B$7-$O720,""))</f>
        <v/>
      </c>
      <c r="U720" s="30">
        <f>IF(OR($A720="",N($R720)&lt;=0),"",IF(NOT(ISNUMBER($O720)),'設定'!$B$22,IF($O720&gt;='設定'!$B$7,'設定'!$B$17,IF('設定'!$B$7-$O720&lt;='設定'!$B$12,'設定'!$B$18,IF('設定'!$B$7-$O720&lt;='設定'!$B$13,'設定'!$B$19,IF('設定'!$B$7-$O720&lt;='設定'!$B$14,'設定'!$B$20,'設定'!$B$21))))))</f>
        <v/>
      </c>
      <c r="V720" s="56" t="n"/>
      <c r="W720" s="32">
        <f>IF($C720="","",IFERROR(MATCH($C720,'得意先'!$B$5:$B$104,0),"なし"))</f>
        <v/>
      </c>
      <c r="X720" s="33">
        <f>IF($A720="","",IF(ISNUMBER($E720),$E720,IF(ISNUMBER($B720),$B720,"")))</f>
        <v/>
      </c>
      <c r="Y720" s="34">
        <f>IF($T720="","",$O720+ROW()/1000000)</f>
        <v/>
      </c>
      <c r="Z720" s="35">
        <f>IF(OR($A720="",$C720="",$C720&lt;&gt;'売掛帳'!$B$3,NOT(ISNUMBER($X720))),"",IF(AND($X720&gt;='売掛帳'!$Q$3,$X720&lt;='売掛帳'!$Q$4),$X720+ROW()/10000000,""))</f>
        <v/>
      </c>
    </row>
    <row r="721" ht="18" customHeight="1">
      <c r="A721" s="18" t="n"/>
      <c r="B721" s="26" t="n"/>
      <c r="C721" s="18" t="n"/>
      <c r="D721" s="20">
        <f>IF($W721="","",IF($W721="なし","※得意先にないコード",INDEX('得意先'!$C$5:$C$104,$W721)&amp;""))</f>
        <v/>
      </c>
      <c r="E721" s="26" t="n"/>
      <c r="F721" s="19" t="n"/>
      <c r="G721" s="27" t="n"/>
      <c r="H721" s="27" t="n"/>
      <c r="I721" s="27" t="n"/>
      <c r="J721" s="28">
        <f>IF($A721="","",IF('設定'!$B$10="四捨五入",ROUND(IF('設定'!$B$9="税込",N($G721)*10/110,N($G721)*10/100),0),IF('設定'!$B$10="切り上げ",ROUNDUP(IF('設定'!$B$9="税込",N($G721)*10/110,N($G721)*10/100),0),ROUNDDOWN(IF('設定'!$B$9="税込",N($G721)*10/110,N($G721)*10/100),0))))</f>
        <v/>
      </c>
      <c r="K721" s="28">
        <f>IF($A721="","",IF('設定'!$B$10="四捨五入",ROUND(IF('設定'!$B$9="税込",N($H721)*8/108,N($H721)*8/100),0),IF('設定'!$B$10="切り上げ",ROUNDUP(IF('設定'!$B$9="税込",N($H721)*8/108,N($H721)*8/100),0),ROUNDDOWN(IF('設定'!$B$9="税込",N($H721)*8/108,N($H721)*8/100),0))))</f>
        <v/>
      </c>
      <c r="L721" s="28">
        <f>IF($A721="","",N($G721)+N($H721)+N($I721)+IF('設定'!$B$9="税込",0,$J721+$K721))</f>
        <v/>
      </c>
      <c r="M721" s="29">
        <f>IF(OR($A721="",NOT(ISNUMBER($W721)),NOT(ISNUMBER($X721))),"",IF(OR(INDEX('得意先'!$D$5:$D$104,$W721)="",INDEX('得意先'!$E$5:$E$104,$W721)="",INDEX('得意先'!$F$5:$F$104,$W721)=""),"",IF(INDEX('得意先'!$F$5:$F$104,$W721)="末",DATE(YEAR($X721),(MONTH($X721)+IF(INDEX('得意先'!$D$5:$D$104,$W721)="末",0,IF(DAY($X721)&lt;=INDEX('得意先'!$D$5:$D$104,$W721),0,1))+N(INDEX('得意先'!$E$5:$E$104,$W721)))+1,0),DATE(YEAR($X721),(MONTH($X721)+IF(INDEX('得意先'!$D$5:$D$104,$W721)="末",0,IF(DAY($X721)&lt;=INDEX('得意先'!$D$5:$D$104,$W721),0,1))+N(INDEX('得意先'!$E$5:$E$104,$W721))),MIN(INDEX('得意先'!$F$5:$F$104,$W721),DAY(DATE(YEAR($X721),(MONTH($X721)+IF(INDEX('得意先'!$D$5:$D$104,$W721)="末",0,IF(DAY($X721)&lt;=INDEX('得意先'!$D$5:$D$104,$W721),0,1))+N(INDEX('得意先'!$E$5:$E$104,$W721)))+1,0)))))))</f>
        <v/>
      </c>
      <c r="N721" s="26" t="n"/>
      <c r="O721" s="29">
        <f>IF($A721="","",IF(ISNUMBER($N721),$N721,$M721))</f>
        <v/>
      </c>
      <c r="P721" s="28">
        <f>IF($A721="","",SUMIF('入金消込'!$F$5:$F$1004,$A721,'入金消込'!$G$5:$G$1004))</f>
        <v/>
      </c>
      <c r="Q721" s="28">
        <f>IF($A721="","",SUMIF('入金消込'!$F$5:$F$1004,$A721,'入金消込'!$H$5:$H$1004)+SUMIF('入金消込'!$F$5:$F$1004,$A721,'入金消込'!$I$5:$I$1004))</f>
        <v/>
      </c>
      <c r="R721" s="28">
        <f>IF($A721="","",$L721-$P721-$Q721)</f>
        <v/>
      </c>
      <c r="S721" s="30">
        <f>IF($A721="","",IF($R721=0,IF($L721=0,"請求額0","回収済"),IF($L721&lt;0,IF($R721&lt;0,"差し引き待ち","差し引きすぎ"),IF($R721&lt;0,"入金が多い",IF($P721+$Q721=0,"未入金","一部入金")))))</f>
        <v/>
      </c>
      <c r="T721" s="31">
        <f>IF(OR($A721="",N($R721)&lt;=0,NOT(ISNUMBER($O721))),"",IF($O721&lt;'設定'!$B$7,'設定'!$B$7-$O721,""))</f>
        <v/>
      </c>
      <c r="U721" s="30">
        <f>IF(OR($A721="",N($R721)&lt;=0),"",IF(NOT(ISNUMBER($O721)),'設定'!$B$22,IF($O721&gt;='設定'!$B$7,'設定'!$B$17,IF('設定'!$B$7-$O721&lt;='設定'!$B$12,'設定'!$B$18,IF('設定'!$B$7-$O721&lt;='設定'!$B$13,'設定'!$B$19,IF('設定'!$B$7-$O721&lt;='設定'!$B$14,'設定'!$B$20,'設定'!$B$21))))))</f>
        <v/>
      </c>
      <c r="V721" s="56" t="n"/>
      <c r="W721" s="32">
        <f>IF($C721="","",IFERROR(MATCH($C721,'得意先'!$B$5:$B$104,0),"なし"))</f>
        <v/>
      </c>
      <c r="X721" s="33">
        <f>IF($A721="","",IF(ISNUMBER($E721),$E721,IF(ISNUMBER($B721),$B721,"")))</f>
        <v/>
      </c>
      <c r="Y721" s="34">
        <f>IF($T721="","",$O721+ROW()/1000000)</f>
        <v/>
      </c>
      <c r="Z721" s="35">
        <f>IF(OR($A721="",$C721="",$C721&lt;&gt;'売掛帳'!$B$3,NOT(ISNUMBER($X721))),"",IF(AND($X721&gt;='売掛帳'!$Q$3,$X721&lt;='売掛帳'!$Q$4),$X721+ROW()/10000000,""))</f>
        <v/>
      </c>
    </row>
    <row r="722" ht="18" customHeight="1">
      <c r="A722" s="18" t="n"/>
      <c r="B722" s="26" t="n"/>
      <c r="C722" s="18" t="n"/>
      <c r="D722" s="20">
        <f>IF($W722="","",IF($W722="なし","※得意先にないコード",INDEX('得意先'!$C$5:$C$104,$W722)&amp;""))</f>
        <v/>
      </c>
      <c r="E722" s="26" t="n"/>
      <c r="F722" s="19" t="n"/>
      <c r="G722" s="27" t="n"/>
      <c r="H722" s="27" t="n"/>
      <c r="I722" s="27" t="n"/>
      <c r="J722" s="28">
        <f>IF($A722="","",IF('設定'!$B$10="四捨五入",ROUND(IF('設定'!$B$9="税込",N($G722)*10/110,N($G722)*10/100),0),IF('設定'!$B$10="切り上げ",ROUNDUP(IF('設定'!$B$9="税込",N($G722)*10/110,N($G722)*10/100),0),ROUNDDOWN(IF('設定'!$B$9="税込",N($G722)*10/110,N($G722)*10/100),0))))</f>
        <v/>
      </c>
      <c r="K722" s="28">
        <f>IF($A722="","",IF('設定'!$B$10="四捨五入",ROUND(IF('設定'!$B$9="税込",N($H722)*8/108,N($H722)*8/100),0),IF('設定'!$B$10="切り上げ",ROUNDUP(IF('設定'!$B$9="税込",N($H722)*8/108,N($H722)*8/100),0),ROUNDDOWN(IF('設定'!$B$9="税込",N($H722)*8/108,N($H722)*8/100),0))))</f>
        <v/>
      </c>
      <c r="L722" s="28">
        <f>IF($A722="","",N($G722)+N($H722)+N($I722)+IF('設定'!$B$9="税込",0,$J722+$K722))</f>
        <v/>
      </c>
      <c r="M722" s="29">
        <f>IF(OR($A722="",NOT(ISNUMBER($W722)),NOT(ISNUMBER($X722))),"",IF(OR(INDEX('得意先'!$D$5:$D$104,$W722)="",INDEX('得意先'!$E$5:$E$104,$W722)="",INDEX('得意先'!$F$5:$F$104,$W722)=""),"",IF(INDEX('得意先'!$F$5:$F$104,$W722)="末",DATE(YEAR($X722),(MONTH($X722)+IF(INDEX('得意先'!$D$5:$D$104,$W722)="末",0,IF(DAY($X722)&lt;=INDEX('得意先'!$D$5:$D$104,$W722),0,1))+N(INDEX('得意先'!$E$5:$E$104,$W722)))+1,0),DATE(YEAR($X722),(MONTH($X722)+IF(INDEX('得意先'!$D$5:$D$104,$W722)="末",0,IF(DAY($X722)&lt;=INDEX('得意先'!$D$5:$D$104,$W722),0,1))+N(INDEX('得意先'!$E$5:$E$104,$W722))),MIN(INDEX('得意先'!$F$5:$F$104,$W722),DAY(DATE(YEAR($X722),(MONTH($X722)+IF(INDEX('得意先'!$D$5:$D$104,$W722)="末",0,IF(DAY($X722)&lt;=INDEX('得意先'!$D$5:$D$104,$W722),0,1))+N(INDEX('得意先'!$E$5:$E$104,$W722)))+1,0)))))))</f>
        <v/>
      </c>
      <c r="N722" s="26" t="n"/>
      <c r="O722" s="29">
        <f>IF($A722="","",IF(ISNUMBER($N722),$N722,$M722))</f>
        <v/>
      </c>
      <c r="P722" s="28">
        <f>IF($A722="","",SUMIF('入金消込'!$F$5:$F$1004,$A722,'入金消込'!$G$5:$G$1004))</f>
        <v/>
      </c>
      <c r="Q722" s="28">
        <f>IF($A722="","",SUMIF('入金消込'!$F$5:$F$1004,$A722,'入金消込'!$H$5:$H$1004)+SUMIF('入金消込'!$F$5:$F$1004,$A722,'入金消込'!$I$5:$I$1004))</f>
        <v/>
      </c>
      <c r="R722" s="28">
        <f>IF($A722="","",$L722-$P722-$Q722)</f>
        <v/>
      </c>
      <c r="S722" s="30">
        <f>IF($A722="","",IF($R722=0,IF($L722=0,"請求額0","回収済"),IF($L722&lt;0,IF($R722&lt;0,"差し引き待ち","差し引きすぎ"),IF($R722&lt;0,"入金が多い",IF($P722+$Q722=0,"未入金","一部入金")))))</f>
        <v/>
      </c>
      <c r="T722" s="31">
        <f>IF(OR($A722="",N($R722)&lt;=0,NOT(ISNUMBER($O722))),"",IF($O722&lt;'設定'!$B$7,'設定'!$B$7-$O722,""))</f>
        <v/>
      </c>
      <c r="U722" s="30">
        <f>IF(OR($A722="",N($R722)&lt;=0),"",IF(NOT(ISNUMBER($O722)),'設定'!$B$22,IF($O722&gt;='設定'!$B$7,'設定'!$B$17,IF('設定'!$B$7-$O722&lt;='設定'!$B$12,'設定'!$B$18,IF('設定'!$B$7-$O722&lt;='設定'!$B$13,'設定'!$B$19,IF('設定'!$B$7-$O722&lt;='設定'!$B$14,'設定'!$B$20,'設定'!$B$21))))))</f>
        <v/>
      </c>
      <c r="V722" s="56" t="n"/>
      <c r="W722" s="32">
        <f>IF($C722="","",IFERROR(MATCH($C722,'得意先'!$B$5:$B$104,0),"なし"))</f>
        <v/>
      </c>
      <c r="X722" s="33">
        <f>IF($A722="","",IF(ISNUMBER($E722),$E722,IF(ISNUMBER($B722),$B722,"")))</f>
        <v/>
      </c>
      <c r="Y722" s="34">
        <f>IF($T722="","",$O722+ROW()/1000000)</f>
        <v/>
      </c>
      <c r="Z722" s="35">
        <f>IF(OR($A722="",$C722="",$C722&lt;&gt;'売掛帳'!$B$3,NOT(ISNUMBER($X722))),"",IF(AND($X722&gt;='売掛帳'!$Q$3,$X722&lt;='売掛帳'!$Q$4),$X722+ROW()/10000000,""))</f>
        <v/>
      </c>
    </row>
    <row r="723" ht="18" customHeight="1">
      <c r="A723" s="18" t="n"/>
      <c r="B723" s="26" t="n"/>
      <c r="C723" s="18" t="n"/>
      <c r="D723" s="20">
        <f>IF($W723="","",IF($W723="なし","※得意先にないコード",INDEX('得意先'!$C$5:$C$104,$W723)&amp;""))</f>
        <v/>
      </c>
      <c r="E723" s="26" t="n"/>
      <c r="F723" s="19" t="n"/>
      <c r="G723" s="27" t="n"/>
      <c r="H723" s="27" t="n"/>
      <c r="I723" s="27" t="n"/>
      <c r="J723" s="28">
        <f>IF($A723="","",IF('設定'!$B$10="四捨五入",ROUND(IF('設定'!$B$9="税込",N($G723)*10/110,N($G723)*10/100),0),IF('設定'!$B$10="切り上げ",ROUNDUP(IF('設定'!$B$9="税込",N($G723)*10/110,N($G723)*10/100),0),ROUNDDOWN(IF('設定'!$B$9="税込",N($G723)*10/110,N($G723)*10/100),0))))</f>
        <v/>
      </c>
      <c r="K723" s="28">
        <f>IF($A723="","",IF('設定'!$B$10="四捨五入",ROUND(IF('設定'!$B$9="税込",N($H723)*8/108,N($H723)*8/100),0),IF('設定'!$B$10="切り上げ",ROUNDUP(IF('設定'!$B$9="税込",N($H723)*8/108,N($H723)*8/100),0),ROUNDDOWN(IF('設定'!$B$9="税込",N($H723)*8/108,N($H723)*8/100),0))))</f>
        <v/>
      </c>
      <c r="L723" s="28">
        <f>IF($A723="","",N($G723)+N($H723)+N($I723)+IF('設定'!$B$9="税込",0,$J723+$K723))</f>
        <v/>
      </c>
      <c r="M723" s="29">
        <f>IF(OR($A723="",NOT(ISNUMBER($W723)),NOT(ISNUMBER($X723))),"",IF(OR(INDEX('得意先'!$D$5:$D$104,$W723)="",INDEX('得意先'!$E$5:$E$104,$W723)="",INDEX('得意先'!$F$5:$F$104,$W723)=""),"",IF(INDEX('得意先'!$F$5:$F$104,$W723)="末",DATE(YEAR($X723),(MONTH($X723)+IF(INDEX('得意先'!$D$5:$D$104,$W723)="末",0,IF(DAY($X723)&lt;=INDEX('得意先'!$D$5:$D$104,$W723),0,1))+N(INDEX('得意先'!$E$5:$E$104,$W723)))+1,0),DATE(YEAR($X723),(MONTH($X723)+IF(INDEX('得意先'!$D$5:$D$104,$W723)="末",0,IF(DAY($X723)&lt;=INDEX('得意先'!$D$5:$D$104,$W723),0,1))+N(INDEX('得意先'!$E$5:$E$104,$W723))),MIN(INDEX('得意先'!$F$5:$F$104,$W723),DAY(DATE(YEAR($X723),(MONTH($X723)+IF(INDEX('得意先'!$D$5:$D$104,$W723)="末",0,IF(DAY($X723)&lt;=INDEX('得意先'!$D$5:$D$104,$W723),0,1))+N(INDEX('得意先'!$E$5:$E$104,$W723)))+1,0)))))))</f>
        <v/>
      </c>
      <c r="N723" s="26" t="n"/>
      <c r="O723" s="29">
        <f>IF($A723="","",IF(ISNUMBER($N723),$N723,$M723))</f>
        <v/>
      </c>
      <c r="P723" s="28">
        <f>IF($A723="","",SUMIF('入金消込'!$F$5:$F$1004,$A723,'入金消込'!$G$5:$G$1004))</f>
        <v/>
      </c>
      <c r="Q723" s="28">
        <f>IF($A723="","",SUMIF('入金消込'!$F$5:$F$1004,$A723,'入金消込'!$H$5:$H$1004)+SUMIF('入金消込'!$F$5:$F$1004,$A723,'入金消込'!$I$5:$I$1004))</f>
        <v/>
      </c>
      <c r="R723" s="28">
        <f>IF($A723="","",$L723-$P723-$Q723)</f>
        <v/>
      </c>
      <c r="S723" s="30">
        <f>IF($A723="","",IF($R723=0,IF($L723=0,"請求額0","回収済"),IF($L723&lt;0,IF($R723&lt;0,"差し引き待ち","差し引きすぎ"),IF($R723&lt;0,"入金が多い",IF($P723+$Q723=0,"未入金","一部入金")))))</f>
        <v/>
      </c>
      <c r="T723" s="31">
        <f>IF(OR($A723="",N($R723)&lt;=0,NOT(ISNUMBER($O723))),"",IF($O723&lt;'設定'!$B$7,'設定'!$B$7-$O723,""))</f>
        <v/>
      </c>
      <c r="U723" s="30">
        <f>IF(OR($A723="",N($R723)&lt;=0),"",IF(NOT(ISNUMBER($O723)),'設定'!$B$22,IF($O723&gt;='設定'!$B$7,'設定'!$B$17,IF('設定'!$B$7-$O723&lt;='設定'!$B$12,'設定'!$B$18,IF('設定'!$B$7-$O723&lt;='設定'!$B$13,'設定'!$B$19,IF('設定'!$B$7-$O723&lt;='設定'!$B$14,'設定'!$B$20,'設定'!$B$21))))))</f>
        <v/>
      </c>
      <c r="V723" s="56" t="n"/>
      <c r="W723" s="32">
        <f>IF($C723="","",IFERROR(MATCH($C723,'得意先'!$B$5:$B$104,0),"なし"))</f>
        <v/>
      </c>
      <c r="X723" s="33">
        <f>IF($A723="","",IF(ISNUMBER($E723),$E723,IF(ISNUMBER($B723),$B723,"")))</f>
        <v/>
      </c>
      <c r="Y723" s="34">
        <f>IF($T723="","",$O723+ROW()/1000000)</f>
        <v/>
      </c>
      <c r="Z723" s="35">
        <f>IF(OR($A723="",$C723="",$C723&lt;&gt;'売掛帳'!$B$3,NOT(ISNUMBER($X723))),"",IF(AND($X723&gt;='売掛帳'!$Q$3,$X723&lt;='売掛帳'!$Q$4),$X723+ROW()/10000000,""))</f>
        <v/>
      </c>
    </row>
    <row r="724" ht="18" customHeight="1">
      <c r="A724" s="18" t="n"/>
      <c r="B724" s="26" t="n"/>
      <c r="C724" s="18" t="n"/>
      <c r="D724" s="20">
        <f>IF($W724="","",IF($W724="なし","※得意先にないコード",INDEX('得意先'!$C$5:$C$104,$W724)&amp;""))</f>
        <v/>
      </c>
      <c r="E724" s="26" t="n"/>
      <c r="F724" s="19" t="n"/>
      <c r="G724" s="27" t="n"/>
      <c r="H724" s="27" t="n"/>
      <c r="I724" s="27" t="n"/>
      <c r="J724" s="28">
        <f>IF($A724="","",IF('設定'!$B$10="四捨五入",ROUND(IF('設定'!$B$9="税込",N($G724)*10/110,N($G724)*10/100),0),IF('設定'!$B$10="切り上げ",ROUNDUP(IF('設定'!$B$9="税込",N($G724)*10/110,N($G724)*10/100),0),ROUNDDOWN(IF('設定'!$B$9="税込",N($G724)*10/110,N($G724)*10/100),0))))</f>
        <v/>
      </c>
      <c r="K724" s="28">
        <f>IF($A724="","",IF('設定'!$B$10="四捨五入",ROUND(IF('設定'!$B$9="税込",N($H724)*8/108,N($H724)*8/100),0),IF('設定'!$B$10="切り上げ",ROUNDUP(IF('設定'!$B$9="税込",N($H724)*8/108,N($H724)*8/100),0),ROUNDDOWN(IF('設定'!$B$9="税込",N($H724)*8/108,N($H724)*8/100),0))))</f>
        <v/>
      </c>
      <c r="L724" s="28">
        <f>IF($A724="","",N($G724)+N($H724)+N($I724)+IF('設定'!$B$9="税込",0,$J724+$K724))</f>
        <v/>
      </c>
      <c r="M724" s="29">
        <f>IF(OR($A724="",NOT(ISNUMBER($W724)),NOT(ISNUMBER($X724))),"",IF(OR(INDEX('得意先'!$D$5:$D$104,$W724)="",INDEX('得意先'!$E$5:$E$104,$W724)="",INDEX('得意先'!$F$5:$F$104,$W724)=""),"",IF(INDEX('得意先'!$F$5:$F$104,$W724)="末",DATE(YEAR($X724),(MONTH($X724)+IF(INDEX('得意先'!$D$5:$D$104,$W724)="末",0,IF(DAY($X724)&lt;=INDEX('得意先'!$D$5:$D$104,$W724),0,1))+N(INDEX('得意先'!$E$5:$E$104,$W724)))+1,0),DATE(YEAR($X724),(MONTH($X724)+IF(INDEX('得意先'!$D$5:$D$104,$W724)="末",0,IF(DAY($X724)&lt;=INDEX('得意先'!$D$5:$D$104,$W724),0,1))+N(INDEX('得意先'!$E$5:$E$104,$W724))),MIN(INDEX('得意先'!$F$5:$F$104,$W724),DAY(DATE(YEAR($X724),(MONTH($X724)+IF(INDEX('得意先'!$D$5:$D$104,$W724)="末",0,IF(DAY($X724)&lt;=INDEX('得意先'!$D$5:$D$104,$W724),0,1))+N(INDEX('得意先'!$E$5:$E$104,$W724)))+1,0)))))))</f>
        <v/>
      </c>
      <c r="N724" s="26" t="n"/>
      <c r="O724" s="29">
        <f>IF($A724="","",IF(ISNUMBER($N724),$N724,$M724))</f>
        <v/>
      </c>
      <c r="P724" s="28">
        <f>IF($A724="","",SUMIF('入金消込'!$F$5:$F$1004,$A724,'入金消込'!$G$5:$G$1004))</f>
        <v/>
      </c>
      <c r="Q724" s="28">
        <f>IF($A724="","",SUMIF('入金消込'!$F$5:$F$1004,$A724,'入金消込'!$H$5:$H$1004)+SUMIF('入金消込'!$F$5:$F$1004,$A724,'入金消込'!$I$5:$I$1004))</f>
        <v/>
      </c>
      <c r="R724" s="28">
        <f>IF($A724="","",$L724-$P724-$Q724)</f>
        <v/>
      </c>
      <c r="S724" s="30">
        <f>IF($A724="","",IF($R724=0,IF($L724=0,"請求額0","回収済"),IF($L724&lt;0,IF($R724&lt;0,"差し引き待ち","差し引きすぎ"),IF($R724&lt;0,"入金が多い",IF($P724+$Q724=0,"未入金","一部入金")))))</f>
        <v/>
      </c>
      <c r="T724" s="31">
        <f>IF(OR($A724="",N($R724)&lt;=0,NOT(ISNUMBER($O724))),"",IF($O724&lt;'設定'!$B$7,'設定'!$B$7-$O724,""))</f>
        <v/>
      </c>
      <c r="U724" s="30">
        <f>IF(OR($A724="",N($R724)&lt;=0),"",IF(NOT(ISNUMBER($O724)),'設定'!$B$22,IF($O724&gt;='設定'!$B$7,'設定'!$B$17,IF('設定'!$B$7-$O724&lt;='設定'!$B$12,'設定'!$B$18,IF('設定'!$B$7-$O724&lt;='設定'!$B$13,'設定'!$B$19,IF('設定'!$B$7-$O724&lt;='設定'!$B$14,'設定'!$B$20,'設定'!$B$21))))))</f>
        <v/>
      </c>
      <c r="V724" s="56" t="n"/>
      <c r="W724" s="32">
        <f>IF($C724="","",IFERROR(MATCH($C724,'得意先'!$B$5:$B$104,0),"なし"))</f>
        <v/>
      </c>
      <c r="X724" s="33">
        <f>IF($A724="","",IF(ISNUMBER($E724),$E724,IF(ISNUMBER($B724),$B724,"")))</f>
        <v/>
      </c>
      <c r="Y724" s="34">
        <f>IF($T724="","",$O724+ROW()/1000000)</f>
        <v/>
      </c>
      <c r="Z724" s="35">
        <f>IF(OR($A724="",$C724="",$C724&lt;&gt;'売掛帳'!$B$3,NOT(ISNUMBER($X724))),"",IF(AND($X724&gt;='売掛帳'!$Q$3,$X724&lt;='売掛帳'!$Q$4),$X724+ROW()/10000000,""))</f>
        <v/>
      </c>
    </row>
    <row r="725" ht="18" customHeight="1">
      <c r="A725" s="18" t="n"/>
      <c r="B725" s="26" t="n"/>
      <c r="C725" s="18" t="n"/>
      <c r="D725" s="20">
        <f>IF($W725="","",IF($W725="なし","※得意先にないコード",INDEX('得意先'!$C$5:$C$104,$W725)&amp;""))</f>
        <v/>
      </c>
      <c r="E725" s="26" t="n"/>
      <c r="F725" s="19" t="n"/>
      <c r="G725" s="27" t="n"/>
      <c r="H725" s="27" t="n"/>
      <c r="I725" s="27" t="n"/>
      <c r="J725" s="28">
        <f>IF($A725="","",IF('設定'!$B$10="四捨五入",ROUND(IF('設定'!$B$9="税込",N($G725)*10/110,N($G725)*10/100),0),IF('設定'!$B$10="切り上げ",ROUNDUP(IF('設定'!$B$9="税込",N($G725)*10/110,N($G725)*10/100),0),ROUNDDOWN(IF('設定'!$B$9="税込",N($G725)*10/110,N($G725)*10/100),0))))</f>
        <v/>
      </c>
      <c r="K725" s="28">
        <f>IF($A725="","",IF('設定'!$B$10="四捨五入",ROUND(IF('設定'!$B$9="税込",N($H725)*8/108,N($H725)*8/100),0),IF('設定'!$B$10="切り上げ",ROUNDUP(IF('設定'!$B$9="税込",N($H725)*8/108,N($H725)*8/100),0),ROUNDDOWN(IF('設定'!$B$9="税込",N($H725)*8/108,N($H725)*8/100),0))))</f>
        <v/>
      </c>
      <c r="L725" s="28">
        <f>IF($A725="","",N($G725)+N($H725)+N($I725)+IF('設定'!$B$9="税込",0,$J725+$K725))</f>
        <v/>
      </c>
      <c r="M725" s="29">
        <f>IF(OR($A725="",NOT(ISNUMBER($W725)),NOT(ISNUMBER($X725))),"",IF(OR(INDEX('得意先'!$D$5:$D$104,$W725)="",INDEX('得意先'!$E$5:$E$104,$W725)="",INDEX('得意先'!$F$5:$F$104,$W725)=""),"",IF(INDEX('得意先'!$F$5:$F$104,$W725)="末",DATE(YEAR($X725),(MONTH($X725)+IF(INDEX('得意先'!$D$5:$D$104,$W725)="末",0,IF(DAY($X725)&lt;=INDEX('得意先'!$D$5:$D$104,$W725),0,1))+N(INDEX('得意先'!$E$5:$E$104,$W725)))+1,0),DATE(YEAR($X725),(MONTH($X725)+IF(INDEX('得意先'!$D$5:$D$104,$W725)="末",0,IF(DAY($X725)&lt;=INDEX('得意先'!$D$5:$D$104,$W725),0,1))+N(INDEX('得意先'!$E$5:$E$104,$W725))),MIN(INDEX('得意先'!$F$5:$F$104,$W725),DAY(DATE(YEAR($X725),(MONTH($X725)+IF(INDEX('得意先'!$D$5:$D$104,$W725)="末",0,IF(DAY($X725)&lt;=INDEX('得意先'!$D$5:$D$104,$W725),0,1))+N(INDEX('得意先'!$E$5:$E$104,$W725)))+1,0)))))))</f>
        <v/>
      </c>
      <c r="N725" s="26" t="n"/>
      <c r="O725" s="29">
        <f>IF($A725="","",IF(ISNUMBER($N725),$N725,$M725))</f>
        <v/>
      </c>
      <c r="P725" s="28">
        <f>IF($A725="","",SUMIF('入金消込'!$F$5:$F$1004,$A725,'入金消込'!$G$5:$G$1004))</f>
        <v/>
      </c>
      <c r="Q725" s="28">
        <f>IF($A725="","",SUMIF('入金消込'!$F$5:$F$1004,$A725,'入金消込'!$H$5:$H$1004)+SUMIF('入金消込'!$F$5:$F$1004,$A725,'入金消込'!$I$5:$I$1004))</f>
        <v/>
      </c>
      <c r="R725" s="28">
        <f>IF($A725="","",$L725-$P725-$Q725)</f>
        <v/>
      </c>
      <c r="S725" s="30">
        <f>IF($A725="","",IF($R725=0,IF($L725=0,"請求額0","回収済"),IF($L725&lt;0,IF($R725&lt;0,"差し引き待ち","差し引きすぎ"),IF($R725&lt;0,"入金が多い",IF($P725+$Q725=0,"未入金","一部入金")))))</f>
        <v/>
      </c>
      <c r="T725" s="31">
        <f>IF(OR($A725="",N($R725)&lt;=0,NOT(ISNUMBER($O725))),"",IF($O725&lt;'設定'!$B$7,'設定'!$B$7-$O725,""))</f>
        <v/>
      </c>
      <c r="U725" s="30">
        <f>IF(OR($A725="",N($R725)&lt;=0),"",IF(NOT(ISNUMBER($O725)),'設定'!$B$22,IF($O725&gt;='設定'!$B$7,'設定'!$B$17,IF('設定'!$B$7-$O725&lt;='設定'!$B$12,'設定'!$B$18,IF('設定'!$B$7-$O725&lt;='設定'!$B$13,'設定'!$B$19,IF('設定'!$B$7-$O725&lt;='設定'!$B$14,'設定'!$B$20,'設定'!$B$21))))))</f>
        <v/>
      </c>
      <c r="V725" s="56" t="n"/>
      <c r="W725" s="32">
        <f>IF($C725="","",IFERROR(MATCH($C725,'得意先'!$B$5:$B$104,0),"なし"))</f>
        <v/>
      </c>
      <c r="X725" s="33">
        <f>IF($A725="","",IF(ISNUMBER($E725),$E725,IF(ISNUMBER($B725),$B725,"")))</f>
        <v/>
      </c>
      <c r="Y725" s="34">
        <f>IF($T725="","",$O725+ROW()/1000000)</f>
        <v/>
      </c>
      <c r="Z725" s="35">
        <f>IF(OR($A725="",$C725="",$C725&lt;&gt;'売掛帳'!$B$3,NOT(ISNUMBER($X725))),"",IF(AND($X725&gt;='売掛帳'!$Q$3,$X725&lt;='売掛帳'!$Q$4),$X725+ROW()/10000000,""))</f>
        <v/>
      </c>
    </row>
    <row r="726" ht="18" customHeight="1">
      <c r="A726" s="18" t="n"/>
      <c r="B726" s="26" t="n"/>
      <c r="C726" s="18" t="n"/>
      <c r="D726" s="20">
        <f>IF($W726="","",IF($W726="なし","※得意先にないコード",INDEX('得意先'!$C$5:$C$104,$W726)&amp;""))</f>
        <v/>
      </c>
      <c r="E726" s="26" t="n"/>
      <c r="F726" s="19" t="n"/>
      <c r="G726" s="27" t="n"/>
      <c r="H726" s="27" t="n"/>
      <c r="I726" s="27" t="n"/>
      <c r="J726" s="28">
        <f>IF($A726="","",IF('設定'!$B$10="四捨五入",ROUND(IF('設定'!$B$9="税込",N($G726)*10/110,N($G726)*10/100),0),IF('設定'!$B$10="切り上げ",ROUNDUP(IF('設定'!$B$9="税込",N($G726)*10/110,N($G726)*10/100),0),ROUNDDOWN(IF('設定'!$B$9="税込",N($G726)*10/110,N($G726)*10/100),0))))</f>
        <v/>
      </c>
      <c r="K726" s="28">
        <f>IF($A726="","",IF('設定'!$B$10="四捨五入",ROUND(IF('設定'!$B$9="税込",N($H726)*8/108,N($H726)*8/100),0),IF('設定'!$B$10="切り上げ",ROUNDUP(IF('設定'!$B$9="税込",N($H726)*8/108,N($H726)*8/100),0),ROUNDDOWN(IF('設定'!$B$9="税込",N($H726)*8/108,N($H726)*8/100),0))))</f>
        <v/>
      </c>
      <c r="L726" s="28">
        <f>IF($A726="","",N($G726)+N($H726)+N($I726)+IF('設定'!$B$9="税込",0,$J726+$K726))</f>
        <v/>
      </c>
      <c r="M726" s="29">
        <f>IF(OR($A726="",NOT(ISNUMBER($W726)),NOT(ISNUMBER($X726))),"",IF(OR(INDEX('得意先'!$D$5:$D$104,$W726)="",INDEX('得意先'!$E$5:$E$104,$W726)="",INDEX('得意先'!$F$5:$F$104,$W726)=""),"",IF(INDEX('得意先'!$F$5:$F$104,$W726)="末",DATE(YEAR($X726),(MONTH($X726)+IF(INDEX('得意先'!$D$5:$D$104,$W726)="末",0,IF(DAY($X726)&lt;=INDEX('得意先'!$D$5:$D$104,$W726),0,1))+N(INDEX('得意先'!$E$5:$E$104,$W726)))+1,0),DATE(YEAR($X726),(MONTH($X726)+IF(INDEX('得意先'!$D$5:$D$104,$W726)="末",0,IF(DAY($X726)&lt;=INDEX('得意先'!$D$5:$D$104,$W726),0,1))+N(INDEX('得意先'!$E$5:$E$104,$W726))),MIN(INDEX('得意先'!$F$5:$F$104,$W726),DAY(DATE(YEAR($X726),(MONTH($X726)+IF(INDEX('得意先'!$D$5:$D$104,$W726)="末",0,IF(DAY($X726)&lt;=INDEX('得意先'!$D$5:$D$104,$W726),0,1))+N(INDEX('得意先'!$E$5:$E$104,$W726)))+1,0)))))))</f>
        <v/>
      </c>
      <c r="N726" s="26" t="n"/>
      <c r="O726" s="29">
        <f>IF($A726="","",IF(ISNUMBER($N726),$N726,$M726))</f>
        <v/>
      </c>
      <c r="P726" s="28">
        <f>IF($A726="","",SUMIF('入金消込'!$F$5:$F$1004,$A726,'入金消込'!$G$5:$G$1004))</f>
        <v/>
      </c>
      <c r="Q726" s="28">
        <f>IF($A726="","",SUMIF('入金消込'!$F$5:$F$1004,$A726,'入金消込'!$H$5:$H$1004)+SUMIF('入金消込'!$F$5:$F$1004,$A726,'入金消込'!$I$5:$I$1004))</f>
        <v/>
      </c>
      <c r="R726" s="28">
        <f>IF($A726="","",$L726-$P726-$Q726)</f>
        <v/>
      </c>
      <c r="S726" s="30">
        <f>IF($A726="","",IF($R726=0,IF($L726=0,"請求額0","回収済"),IF($L726&lt;0,IF($R726&lt;0,"差し引き待ち","差し引きすぎ"),IF($R726&lt;0,"入金が多い",IF($P726+$Q726=0,"未入金","一部入金")))))</f>
        <v/>
      </c>
      <c r="T726" s="31">
        <f>IF(OR($A726="",N($R726)&lt;=0,NOT(ISNUMBER($O726))),"",IF($O726&lt;'設定'!$B$7,'設定'!$B$7-$O726,""))</f>
        <v/>
      </c>
      <c r="U726" s="30">
        <f>IF(OR($A726="",N($R726)&lt;=0),"",IF(NOT(ISNUMBER($O726)),'設定'!$B$22,IF($O726&gt;='設定'!$B$7,'設定'!$B$17,IF('設定'!$B$7-$O726&lt;='設定'!$B$12,'設定'!$B$18,IF('設定'!$B$7-$O726&lt;='設定'!$B$13,'設定'!$B$19,IF('設定'!$B$7-$O726&lt;='設定'!$B$14,'設定'!$B$20,'設定'!$B$21))))))</f>
        <v/>
      </c>
      <c r="V726" s="56" t="n"/>
      <c r="W726" s="32">
        <f>IF($C726="","",IFERROR(MATCH($C726,'得意先'!$B$5:$B$104,0),"なし"))</f>
        <v/>
      </c>
      <c r="X726" s="33">
        <f>IF($A726="","",IF(ISNUMBER($E726),$E726,IF(ISNUMBER($B726),$B726,"")))</f>
        <v/>
      </c>
      <c r="Y726" s="34">
        <f>IF($T726="","",$O726+ROW()/1000000)</f>
        <v/>
      </c>
      <c r="Z726" s="35">
        <f>IF(OR($A726="",$C726="",$C726&lt;&gt;'売掛帳'!$B$3,NOT(ISNUMBER($X726))),"",IF(AND($X726&gt;='売掛帳'!$Q$3,$X726&lt;='売掛帳'!$Q$4),$X726+ROW()/10000000,""))</f>
        <v/>
      </c>
    </row>
    <row r="727" ht="18" customHeight="1">
      <c r="A727" s="18" t="n"/>
      <c r="B727" s="26" t="n"/>
      <c r="C727" s="18" t="n"/>
      <c r="D727" s="20">
        <f>IF($W727="","",IF($W727="なし","※得意先にないコード",INDEX('得意先'!$C$5:$C$104,$W727)&amp;""))</f>
        <v/>
      </c>
      <c r="E727" s="26" t="n"/>
      <c r="F727" s="19" t="n"/>
      <c r="G727" s="27" t="n"/>
      <c r="H727" s="27" t="n"/>
      <c r="I727" s="27" t="n"/>
      <c r="J727" s="28">
        <f>IF($A727="","",IF('設定'!$B$10="四捨五入",ROUND(IF('設定'!$B$9="税込",N($G727)*10/110,N($G727)*10/100),0),IF('設定'!$B$10="切り上げ",ROUNDUP(IF('設定'!$B$9="税込",N($G727)*10/110,N($G727)*10/100),0),ROUNDDOWN(IF('設定'!$B$9="税込",N($G727)*10/110,N($G727)*10/100),0))))</f>
        <v/>
      </c>
      <c r="K727" s="28">
        <f>IF($A727="","",IF('設定'!$B$10="四捨五入",ROUND(IF('設定'!$B$9="税込",N($H727)*8/108,N($H727)*8/100),0),IF('設定'!$B$10="切り上げ",ROUNDUP(IF('設定'!$B$9="税込",N($H727)*8/108,N($H727)*8/100),0),ROUNDDOWN(IF('設定'!$B$9="税込",N($H727)*8/108,N($H727)*8/100),0))))</f>
        <v/>
      </c>
      <c r="L727" s="28">
        <f>IF($A727="","",N($G727)+N($H727)+N($I727)+IF('設定'!$B$9="税込",0,$J727+$K727))</f>
        <v/>
      </c>
      <c r="M727" s="29">
        <f>IF(OR($A727="",NOT(ISNUMBER($W727)),NOT(ISNUMBER($X727))),"",IF(OR(INDEX('得意先'!$D$5:$D$104,$W727)="",INDEX('得意先'!$E$5:$E$104,$W727)="",INDEX('得意先'!$F$5:$F$104,$W727)=""),"",IF(INDEX('得意先'!$F$5:$F$104,$W727)="末",DATE(YEAR($X727),(MONTH($X727)+IF(INDEX('得意先'!$D$5:$D$104,$W727)="末",0,IF(DAY($X727)&lt;=INDEX('得意先'!$D$5:$D$104,$W727),0,1))+N(INDEX('得意先'!$E$5:$E$104,$W727)))+1,0),DATE(YEAR($X727),(MONTH($X727)+IF(INDEX('得意先'!$D$5:$D$104,$W727)="末",0,IF(DAY($X727)&lt;=INDEX('得意先'!$D$5:$D$104,$W727),0,1))+N(INDEX('得意先'!$E$5:$E$104,$W727))),MIN(INDEX('得意先'!$F$5:$F$104,$W727),DAY(DATE(YEAR($X727),(MONTH($X727)+IF(INDEX('得意先'!$D$5:$D$104,$W727)="末",0,IF(DAY($X727)&lt;=INDEX('得意先'!$D$5:$D$104,$W727),0,1))+N(INDEX('得意先'!$E$5:$E$104,$W727)))+1,0)))))))</f>
        <v/>
      </c>
      <c r="N727" s="26" t="n"/>
      <c r="O727" s="29">
        <f>IF($A727="","",IF(ISNUMBER($N727),$N727,$M727))</f>
        <v/>
      </c>
      <c r="P727" s="28">
        <f>IF($A727="","",SUMIF('入金消込'!$F$5:$F$1004,$A727,'入金消込'!$G$5:$G$1004))</f>
        <v/>
      </c>
      <c r="Q727" s="28">
        <f>IF($A727="","",SUMIF('入金消込'!$F$5:$F$1004,$A727,'入金消込'!$H$5:$H$1004)+SUMIF('入金消込'!$F$5:$F$1004,$A727,'入金消込'!$I$5:$I$1004))</f>
        <v/>
      </c>
      <c r="R727" s="28">
        <f>IF($A727="","",$L727-$P727-$Q727)</f>
        <v/>
      </c>
      <c r="S727" s="30">
        <f>IF($A727="","",IF($R727=0,IF($L727=0,"請求額0","回収済"),IF($L727&lt;0,IF($R727&lt;0,"差し引き待ち","差し引きすぎ"),IF($R727&lt;0,"入金が多い",IF($P727+$Q727=0,"未入金","一部入金")))))</f>
        <v/>
      </c>
      <c r="T727" s="31">
        <f>IF(OR($A727="",N($R727)&lt;=0,NOT(ISNUMBER($O727))),"",IF($O727&lt;'設定'!$B$7,'設定'!$B$7-$O727,""))</f>
        <v/>
      </c>
      <c r="U727" s="30">
        <f>IF(OR($A727="",N($R727)&lt;=0),"",IF(NOT(ISNUMBER($O727)),'設定'!$B$22,IF($O727&gt;='設定'!$B$7,'設定'!$B$17,IF('設定'!$B$7-$O727&lt;='設定'!$B$12,'設定'!$B$18,IF('設定'!$B$7-$O727&lt;='設定'!$B$13,'設定'!$B$19,IF('設定'!$B$7-$O727&lt;='設定'!$B$14,'設定'!$B$20,'設定'!$B$21))))))</f>
        <v/>
      </c>
      <c r="V727" s="56" t="n"/>
      <c r="W727" s="32">
        <f>IF($C727="","",IFERROR(MATCH($C727,'得意先'!$B$5:$B$104,0),"なし"))</f>
        <v/>
      </c>
      <c r="X727" s="33">
        <f>IF($A727="","",IF(ISNUMBER($E727),$E727,IF(ISNUMBER($B727),$B727,"")))</f>
        <v/>
      </c>
      <c r="Y727" s="34">
        <f>IF($T727="","",$O727+ROW()/1000000)</f>
        <v/>
      </c>
      <c r="Z727" s="35">
        <f>IF(OR($A727="",$C727="",$C727&lt;&gt;'売掛帳'!$B$3,NOT(ISNUMBER($X727))),"",IF(AND($X727&gt;='売掛帳'!$Q$3,$X727&lt;='売掛帳'!$Q$4),$X727+ROW()/10000000,""))</f>
        <v/>
      </c>
    </row>
    <row r="728" ht="18" customHeight="1">
      <c r="A728" s="18" t="n"/>
      <c r="B728" s="26" t="n"/>
      <c r="C728" s="18" t="n"/>
      <c r="D728" s="20">
        <f>IF($W728="","",IF($W728="なし","※得意先にないコード",INDEX('得意先'!$C$5:$C$104,$W728)&amp;""))</f>
        <v/>
      </c>
      <c r="E728" s="26" t="n"/>
      <c r="F728" s="19" t="n"/>
      <c r="G728" s="27" t="n"/>
      <c r="H728" s="27" t="n"/>
      <c r="I728" s="27" t="n"/>
      <c r="J728" s="28">
        <f>IF($A728="","",IF('設定'!$B$10="四捨五入",ROUND(IF('設定'!$B$9="税込",N($G728)*10/110,N($G728)*10/100),0),IF('設定'!$B$10="切り上げ",ROUNDUP(IF('設定'!$B$9="税込",N($G728)*10/110,N($G728)*10/100),0),ROUNDDOWN(IF('設定'!$B$9="税込",N($G728)*10/110,N($G728)*10/100),0))))</f>
        <v/>
      </c>
      <c r="K728" s="28">
        <f>IF($A728="","",IF('設定'!$B$10="四捨五入",ROUND(IF('設定'!$B$9="税込",N($H728)*8/108,N($H728)*8/100),0),IF('設定'!$B$10="切り上げ",ROUNDUP(IF('設定'!$B$9="税込",N($H728)*8/108,N($H728)*8/100),0),ROUNDDOWN(IF('設定'!$B$9="税込",N($H728)*8/108,N($H728)*8/100),0))))</f>
        <v/>
      </c>
      <c r="L728" s="28">
        <f>IF($A728="","",N($G728)+N($H728)+N($I728)+IF('設定'!$B$9="税込",0,$J728+$K728))</f>
        <v/>
      </c>
      <c r="M728" s="29">
        <f>IF(OR($A728="",NOT(ISNUMBER($W728)),NOT(ISNUMBER($X728))),"",IF(OR(INDEX('得意先'!$D$5:$D$104,$W728)="",INDEX('得意先'!$E$5:$E$104,$W728)="",INDEX('得意先'!$F$5:$F$104,$W728)=""),"",IF(INDEX('得意先'!$F$5:$F$104,$W728)="末",DATE(YEAR($X728),(MONTH($X728)+IF(INDEX('得意先'!$D$5:$D$104,$W728)="末",0,IF(DAY($X728)&lt;=INDEX('得意先'!$D$5:$D$104,$W728),0,1))+N(INDEX('得意先'!$E$5:$E$104,$W728)))+1,0),DATE(YEAR($X728),(MONTH($X728)+IF(INDEX('得意先'!$D$5:$D$104,$W728)="末",0,IF(DAY($X728)&lt;=INDEX('得意先'!$D$5:$D$104,$W728),0,1))+N(INDEX('得意先'!$E$5:$E$104,$W728))),MIN(INDEX('得意先'!$F$5:$F$104,$W728),DAY(DATE(YEAR($X728),(MONTH($X728)+IF(INDEX('得意先'!$D$5:$D$104,$W728)="末",0,IF(DAY($X728)&lt;=INDEX('得意先'!$D$5:$D$104,$W728),0,1))+N(INDEX('得意先'!$E$5:$E$104,$W728)))+1,0)))))))</f>
        <v/>
      </c>
      <c r="N728" s="26" t="n"/>
      <c r="O728" s="29">
        <f>IF($A728="","",IF(ISNUMBER($N728),$N728,$M728))</f>
        <v/>
      </c>
      <c r="P728" s="28">
        <f>IF($A728="","",SUMIF('入金消込'!$F$5:$F$1004,$A728,'入金消込'!$G$5:$G$1004))</f>
        <v/>
      </c>
      <c r="Q728" s="28">
        <f>IF($A728="","",SUMIF('入金消込'!$F$5:$F$1004,$A728,'入金消込'!$H$5:$H$1004)+SUMIF('入金消込'!$F$5:$F$1004,$A728,'入金消込'!$I$5:$I$1004))</f>
        <v/>
      </c>
      <c r="R728" s="28">
        <f>IF($A728="","",$L728-$P728-$Q728)</f>
        <v/>
      </c>
      <c r="S728" s="30">
        <f>IF($A728="","",IF($R728=0,IF($L728=0,"請求額0","回収済"),IF($L728&lt;0,IF($R728&lt;0,"差し引き待ち","差し引きすぎ"),IF($R728&lt;0,"入金が多い",IF($P728+$Q728=0,"未入金","一部入金")))))</f>
        <v/>
      </c>
      <c r="T728" s="31">
        <f>IF(OR($A728="",N($R728)&lt;=0,NOT(ISNUMBER($O728))),"",IF($O728&lt;'設定'!$B$7,'設定'!$B$7-$O728,""))</f>
        <v/>
      </c>
      <c r="U728" s="30">
        <f>IF(OR($A728="",N($R728)&lt;=0),"",IF(NOT(ISNUMBER($O728)),'設定'!$B$22,IF($O728&gt;='設定'!$B$7,'設定'!$B$17,IF('設定'!$B$7-$O728&lt;='設定'!$B$12,'設定'!$B$18,IF('設定'!$B$7-$O728&lt;='設定'!$B$13,'設定'!$B$19,IF('設定'!$B$7-$O728&lt;='設定'!$B$14,'設定'!$B$20,'設定'!$B$21))))))</f>
        <v/>
      </c>
      <c r="V728" s="56" t="n"/>
      <c r="W728" s="32">
        <f>IF($C728="","",IFERROR(MATCH($C728,'得意先'!$B$5:$B$104,0),"なし"))</f>
        <v/>
      </c>
      <c r="X728" s="33">
        <f>IF($A728="","",IF(ISNUMBER($E728),$E728,IF(ISNUMBER($B728),$B728,"")))</f>
        <v/>
      </c>
      <c r="Y728" s="34">
        <f>IF($T728="","",$O728+ROW()/1000000)</f>
        <v/>
      </c>
      <c r="Z728" s="35">
        <f>IF(OR($A728="",$C728="",$C728&lt;&gt;'売掛帳'!$B$3,NOT(ISNUMBER($X728))),"",IF(AND($X728&gt;='売掛帳'!$Q$3,$X728&lt;='売掛帳'!$Q$4),$X728+ROW()/10000000,""))</f>
        <v/>
      </c>
    </row>
    <row r="729" ht="18" customHeight="1">
      <c r="A729" s="18" t="n"/>
      <c r="B729" s="26" t="n"/>
      <c r="C729" s="18" t="n"/>
      <c r="D729" s="20">
        <f>IF($W729="","",IF($W729="なし","※得意先にないコード",INDEX('得意先'!$C$5:$C$104,$W729)&amp;""))</f>
        <v/>
      </c>
      <c r="E729" s="26" t="n"/>
      <c r="F729" s="19" t="n"/>
      <c r="G729" s="27" t="n"/>
      <c r="H729" s="27" t="n"/>
      <c r="I729" s="27" t="n"/>
      <c r="J729" s="28">
        <f>IF($A729="","",IF('設定'!$B$10="四捨五入",ROUND(IF('設定'!$B$9="税込",N($G729)*10/110,N($G729)*10/100),0),IF('設定'!$B$10="切り上げ",ROUNDUP(IF('設定'!$B$9="税込",N($G729)*10/110,N($G729)*10/100),0),ROUNDDOWN(IF('設定'!$B$9="税込",N($G729)*10/110,N($G729)*10/100),0))))</f>
        <v/>
      </c>
      <c r="K729" s="28">
        <f>IF($A729="","",IF('設定'!$B$10="四捨五入",ROUND(IF('設定'!$B$9="税込",N($H729)*8/108,N($H729)*8/100),0),IF('設定'!$B$10="切り上げ",ROUNDUP(IF('設定'!$B$9="税込",N($H729)*8/108,N($H729)*8/100),0),ROUNDDOWN(IF('設定'!$B$9="税込",N($H729)*8/108,N($H729)*8/100),0))))</f>
        <v/>
      </c>
      <c r="L729" s="28">
        <f>IF($A729="","",N($G729)+N($H729)+N($I729)+IF('設定'!$B$9="税込",0,$J729+$K729))</f>
        <v/>
      </c>
      <c r="M729" s="29">
        <f>IF(OR($A729="",NOT(ISNUMBER($W729)),NOT(ISNUMBER($X729))),"",IF(OR(INDEX('得意先'!$D$5:$D$104,$W729)="",INDEX('得意先'!$E$5:$E$104,$W729)="",INDEX('得意先'!$F$5:$F$104,$W729)=""),"",IF(INDEX('得意先'!$F$5:$F$104,$W729)="末",DATE(YEAR($X729),(MONTH($X729)+IF(INDEX('得意先'!$D$5:$D$104,$W729)="末",0,IF(DAY($X729)&lt;=INDEX('得意先'!$D$5:$D$104,$W729),0,1))+N(INDEX('得意先'!$E$5:$E$104,$W729)))+1,0),DATE(YEAR($X729),(MONTH($X729)+IF(INDEX('得意先'!$D$5:$D$104,$W729)="末",0,IF(DAY($X729)&lt;=INDEX('得意先'!$D$5:$D$104,$W729),0,1))+N(INDEX('得意先'!$E$5:$E$104,$W729))),MIN(INDEX('得意先'!$F$5:$F$104,$W729),DAY(DATE(YEAR($X729),(MONTH($X729)+IF(INDEX('得意先'!$D$5:$D$104,$W729)="末",0,IF(DAY($X729)&lt;=INDEX('得意先'!$D$5:$D$104,$W729),0,1))+N(INDEX('得意先'!$E$5:$E$104,$W729)))+1,0)))))))</f>
        <v/>
      </c>
      <c r="N729" s="26" t="n"/>
      <c r="O729" s="29">
        <f>IF($A729="","",IF(ISNUMBER($N729),$N729,$M729))</f>
        <v/>
      </c>
      <c r="P729" s="28">
        <f>IF($A729="","",SUMIF('入金消込'!$F$5:$F$1004,$A729,'入金消込'!$G$5:$G$1004))</f>
        <v/>
      </c>
      <c r="Q729" s="28">
        <f>IF($A729="","",SUMIF('入金消込'!$F$5:$F$1004,$A729,'入金消込'!$H$5:$H$1004)+SUMIF('入金消込'!$F$5:$F$1004,$A729,'入金消込'!$I$5:$I$1004))</f>
        <v/>
      </c>
      <c r="R729" s="28">
        <f>IF($A729="","",$L729-$P729-$Q729)</f>
        <v/>
      </c>
      <c r="S729" s="30">
        <f>IF($A729="","",IF($R729=0,IF($L729=0,"請求額0","回収済"),IF($L729&lt;0,IF($R729&lt;0,"差し引き待ち","差し引きすぎ"),IF($R729&lt;0,"入金が多い",IF($P729+$Q729=0,"未入金","一部入金")))))</f>
        <v/>
      </c>
      <c r="T729" s="31">
        <f>IF(OR($A729="",N($R729)&lt;=0,NOT(ISNUMBER($O729))),"",IF($O729&lt;'設定'!$B$7,'設定'!$B$7-$O729,""))</f>
        <v/>
      </c>
      <c r="U729" s="30">
        <f>IF(OR($A729="",N($R729)&lt;=0),"",IF(NOT(ISNUMBER($O729)),'設定'!$B$22,IF($O729&gt;='設定'!$B$7,'設定'!$B$17,IF('設定'!$B$7-$O729&lt;='設定'!$B$12,'設定'!$B$18,IF('設定'!$B$7-$O729&lt;='設定'!$B$13,'設定'!$B$19,IF('設定'!$B$7-$O729&lt;='設定'!$B$14,'設定'!$B$20,'設定'!$B$21))))))</f>
        <v/>
      </c>
      <c r="V729" s="56" t="n"/>
      <c r="W729" s="32">
        <f>IF($C729="","",IFERROR(MATCH($C729,'得意先'!$B$5:$B$104,0),"なし"))</f>
        <v/>
      </c>
      <c r="X729" s="33">
        <f>IF($A729="","",IF(ISNUMBER($E729),$E729,IF(ISNUMBER($B729),$B729,"")))</f>
        <v/>
      </c>
      <c r="Y729" s="34">
        <f>IF($T729="","",$O729+ROW()/1000000)</f>
        <v/>
      </c>
      <c r="Z729" s="35">
        <f>IF(OR($A729="",$C729="",$C729&lt;&gt;'売掛帳'!$B$3,NOT(ISNUMBER($X729))),"",IF(AND($X729&gt;='売掛帳'!$Q$3,$X729&lt;='売掛帳'!$Q$4),$X729+ROW()/10000000,""))</f>
        <v/>
      </c>
    </row>
    <row r="730" ht="18" customHeight="1">
      <c r="A730" s="18" t="n"/>
      <c r="B730" s="26" t="n"/>
      <c r="C730" s="18" t="n"/>
      <c r="D730" s="20">
        <f>IF($W730="","",IF($W730="なし","※得意先にないコード",INDEX('得意先'!$C$5:$C$104,$W730)&amp;""))</f>
        <v/>
      </c>
      <c r="E730" s="26" t="n"/>
      <c r="F730" s="19" t="n"/>
      <c r="G730" s="27" t="n"/>
      <c r="H730" s="27" t="n"/>
      <c r="I730" s="27" t="n"/>
      <c r="J730" s="28">
        <f>IF($A730="","",IF('設定'!$B$10="四捨五入",ROUND(IF('設定'!$B$9="税込",N($G730)*10/110,N($G730)*10/100),0),IF('設定'!$B$10="切り上げ",ROUNDUP(IF('設定'!$B$9="税込",N($G730)*10/110,N($G730)*10/100),0),ROUNDDOWN(IF('設定'!$B$9="税込",N($G730)*10/110,N($G730)*10/100),0))))</f>
        <v/>
      </c>
      <c r="K730" s="28">
        <f>IF($A730="","",IF('設定'!$B$10="四捨五入",ROUND(IF('設定'!$B$9="税込",N($H730)*8/108,N($H730)*8/100),0),IF('設定'!$B$10="切り上げ",ROUNDUP(IF('設定'!$B$9="税込",N($H730)*8/108,N($H730)*8/100),0),ROUNDDOWN(IF('設定'!$B$9="税込",N($H730)*8/108,N($H730)*8/100),0))))</f>
        <v/>
      </c>
      <c r="L730" s="28">
        <f>IF($A730="","",N($G730)+N($H730)+N($I730)+IF('設定'!$B$9="税込",0,$J730+$K730))</f>
        <v/>
      </c>
      <c r="M730" s="29">
        <f>IF(OR($A730="",NOT(ISNUMBER($W730)),NOT(ISNUMBER($X730))),"",IF(OR(INDEX('得意先'!$D$5:$D$104,$W730)="",INDEX('得意先'!$E$5:$E$104,$W730)="",INDEX('得意先'!$F$5:$F$104,$W730)=""),"",IF(INDEX('得意先'!$F$5:$F$104,$W730)="末",DATE(YEAR($X730),(MONTH($X730)+IF(INDEX('得意先'!$D$5:$D$104,$W730)="末",0,IF(DAY($X730)&lt;=INDEX('得意先'!$D$5:$D$104,$W730),0,1))+N(INDEX('得意先'!$E$5:$E$104,$W730)))+1,0),DATE(YEAR($X730),(MONTH($X730)+IF(INDEX('得意先'!$D$5:$D$104,$W730)="末",0,IF(DAY($X730)&lt;=INDEX('得意先'!$D$5:$D$104,$W730),0,1))+N(INDEX('得意先'!$E$5:$E$104,$W730))),MIN(INDEX('得意先'!$F$5:$F$104,$W730),DAY(DATE(YEAR($X730),(MONTH($X730)+IF(INDEX('得意先'!$D$5:$D$104,$W730)="末",0,IF(DAY($X730)&lt;=INDEX('得意先'!$D$5:$D$104,$W730),0,1))+N(INDEX('得意先'!$E$5:$E$104,$W730)))+1,0)))))))</f>
        <v/>
      </c>
      <c r="N730" s="26" t="n"/>
      <c r="O730" s="29">
        <f>IF($A730="","",IF(ISNUMBER($N730),$N730,$M730))</f>
        <v/>
      </c>
      <c r="P730" s="28">
        <f>IF($A730="","",SUMIF('入金消込'!$F$5:$F$1004,$A730,'入金消込'!$G$5:$G$1004))</f>
        <v/>
      </c>
      <c r="Q730" s="28">
        <f>IF($A730="","",SUMIF('入金消込'!$F$5:$F$1004,$A730,'入金消込'!$H$5:$H$1004)+SUMIF('入金消込'!$F$5:$F$1004,$A730,'入金消込'!$I$5:$I$1004))</f>
        <v/>
      </c>
      <c r="R730" s="28">
        <f>IF($A730="","",$L730-$P730-$Q730)</f>
        <v/>
      </c>
      <c r="S730" s="30">
        <f>IF($A730="","",IF($R730=0,IF($L730=0,"請求額0","回収済"),IF($L730&lt;0,IF($R730&lt;0,"差し引き待ち","差し引きすぎ"),IF($R730&lt;0,"入金が多い",IF($P730+$Q730=0,"未入金","一部入金")))))</f>
        <v/>
      </c>
      <c r="T730" s="31">
        <f>IF(OR($A730="",N($R730)&lt;=0,NOT(ISNUMBER($O730))),"",IF($O730&lt;'設定'!$B$7,'設定'!$B$7-$O730,""))</f>
        <v/>
      </c>
      <c r="U730" s="30">
        <f>IF(OR($A730="",N($R730)&lt;=0),"",IF(NOT(ISNUMBER($O730)),'設定'!$B$22,IF($O730&gt;='設定'!$B$7,'設定'!$B$17,IF('設定'!$B$7-$O730&lt;='設定'!$B$12,'設定'!$B$18,IF('設定'!$B$7-$O730&lt;='設定'!$B$13,'設定'!$B$19,IF('設定'!$B$7-$O730&lt;='設定'!$B$14,'設定'!$B$20,'設定'!$B$21))))))</f>
        <v/>
      </c>
      <c r="V730" s="56" t="n"/>
      <c r="W730" s="32">
        <f>IF($C730="","",IFERROR(MATCH($C730,'得意先'!$B$5:$B$104,0),"なし"))</f>
        <v/>
      </c>
      <c r="X730" s="33">
        <f>IF($A730="","",IF(ISNUMBER($E730),$E730,IF(ISNUMBER($B730),$B730,"")))</f>
        <v/>
      </c>
      <c r="Y730" s="34">
        <f>IF($T730="","",$O730+ROW()/1000000)</f>
        <v/>
      </c>
      <c r="Z730" s="35">
        <f>IF(OR($A730="",$C730="",$C730&lt;&gt;'売掛帳'!$B$3,NOT(ISNUMBER($X730))),"",IF(AND($X730&gt;='売掛帳'!$Q$3,$X730&lt;='売掛帳'!$Q$4),$X730+ROW()/10000000,""))</f>
        <v/>
      </c>
    </row>
    <row r="731" ht="18" customHeight="1">
      <c r="A731" s="18" t="n"/>
      <c r="B731" s="26" t="n"/>
      <c r="C731" s="18" t="n"/>
      <c r="D731" s="20">
        <f>IF($W731="","",IF($W731="なし","※得意先にないコード",INDEX('得意先'!$C$5:$C$104,$W731)&amp;""))</f>
        <v/>
      </c>
      <c r="E731" s="26" t="n"/>
      <c r="F731" s="19" t="n"/>
      <c r="G731" s="27" t="n"/>
      <c r="H731" s="27" t="n"/>
      <c r="I731" s="27" t="n"/>
      <c r="J731" s="28">
        <f>IF($A731="","",IF('設定'!$B$10="四捨五入",ROUND(IF('設定'!$B$9="税込",N($G731)*10/110,N($G731)*10/100),0),IF('設定'!$B$10="切り上げ",ROUNDUP(IF('設定'!$B$9="税込",N($G731)*10/110,N($G731)*10/100),0),ROUNDDOWN(IF('設定'!$B$9="税込",N($G731)*10/110,N($G731)*10/100),0))))</f>
        <v/>
      </c>
      <c r="K731" s="28">
        <f>IF($A731="","",IF('設定'!$B$10="四捨五入",ROUND(IF('設定'!$B$9="税込",N($H731)*8/108,N($H731)*8/100),0),IF('設定'!$B$10="切り上げ",ROUNDUP(IF('設定'!$B$9="税込",N($H731)*8/108,N($H731)*8/100),0),ROUNDDOWN(IF('設定'!$B$9="税込",N($H731)*8/108,N($H731)*8/100),0))))</f>
        <v/>
      </c>
      <c r="L731" s="28">
        <f>IF($A731="","",N($G731)+N($H731)+N($I731)+IF('設定'!$B$9="税込",0,$J731+$K731))</f>
        <v/>
      </c>
      <c r="M731" s="29">
        <f>IF(OR($A731="",NOT(ISNUMBER($W731)),NOT(ISNUMBER($X731))),"",IF(OR(INDEX('得意先'!$D$5:$D$104,$W731)="",INDEX('得意先'!$E$5:$E$104,$W731)="",INDEX('得意先'!$F$5:$F$104,$W731)=""),"",IF(INDEX('得意先'!$F$5:$F$104,$W731)="末",DATE(YEAR($X731),(MONTH($X731)+IF(INDEX('得意先'!$D$5:$D$104,$W731)="末",0,IF(DAY($X731)&lt;=INDEX('得意先'!$D$5:$D$104,$W731),0,1))+N(INDEX('得意先'!$E$5:$E$104,$W731)))+1,0),DATE(YEAR($X731),(MONTH($X731)+IF(INDEX('得意先'!$D$5:$D$104,$W731)="末",0,IF(DAY($X731)&lt;=INDEX('得意先'!$D$5:$D$104,$W731),0,1))+N(INDEX('得意先'!$E$5:$E$104,$W731))),MIN(INDEX('得意先'!$F$5:$F$104,$W731),DAY(DATE(YEAR($X731),(MONTH($X731)+IF(INDEX('得意先'!$D$5:$D$104,$W731)="末",0,IF(DAY($X731)&lt;=INDEX('得意先'!$D$5:$D$104,$W731),0,1))+N(INDEX('得意先'!$E$5:$E$104,$W731)))+1,0)))))))</f>
        <v/>
      </c>
      <c r="N731" s="26" t="n"/>
      <c r="O731" s="29">
        <f>IF($A731="","",IF(ISNUMBER($N731),$N731,$M731))</f>
        <v/>
      </c>
      <c r="P731" s="28">
        <f>IF($A731="","",SUMIF('入金消込'!$F$5:$F$1004,$A731,'入金消込'!$G$5:$G$1004))</f>
        <v/>
      </c>
      <c r="Q731" s="28">
        <f>IF($A731="","",SUMIF('入金消込'!$F$5:$F$1004,$A731,'入金消込'!$H$5:$H$1004)+SUMIF('入金消込'!$F$5:$F$1004,$A731,'入金消込'!$I$5:$I$1004))</f>
        <v/>
      </c>
      <c r="R731" s="28">
        <f>IF($A731="","",$L731-$P731-$Q731)</f>
        <v/>
      </c>
      <c r="S731" s="30">
        <f>IF($A731="","",IF($R731=0,IF($L731=0,"請求額0","回収済"),IF($L731&lt;0,IF($R731&lt;0,"差し引き待ち","差し引きすぎ"),IF($R731&lt;0,"入金が多い",IF($P731+$Q731=0,"未入金","一部入金")))))</f>
        <v/>
      </c>
      <c r="T731" s="31">
        <f>IF(OR($A731="",N($R731)&lt;=0,NOT(ISNUMBER($O731))),"",IF($O731&lt;'設定'!$B$7,'設定'!$B$7-$O731,""))</f>
        <v/>
      </c>
      <c r="U731" s="30">
        <f>IF(OR($A731="",N($R731)&lt;=0),"",IF(NOT(ISNUMBER($O731)),'設定'!$B$22,IF($O731&gt;='設定'!$B$7,'設定'!$B$17,IF('設定'!$B$7-$O731&lt;='設定'!$B$12,'設定'!$B$18,IF('設定'!$B$7-$O731&lt;='設定'!$B$13,'設定'!$B$19,IF('設定'!$B$7-$O731&lt;='設定'!$B$14,'設定'!$B$20,'設定'!$B$21))))))</f>
        <v/>
      </c>
      <c r="V731" s="56" t="n"/>
      <c r="W731" s="32">
        <f>IF($C731="","",IFERROR(MATCH($C731,'得意先'!$B$5:$B$104,0),"なし"))</f>
        <v/>
      </c>
      <c r="X731" s="33">
        <f>IF($A731="","",IF(ISNUMBER($E731),$E731,IF(ISNUMBER($B731),$B731,"")))</f>
        <v/>
      </c>
      <c r="Y731" s="34">
        <f>IF($T731="","",$O731+ROW()/1000000)</f>
        <v/>
      </c>
      <c r="Z731" s="35">
        <f>IF(OR($A731="",$C731="",$C731&lt;&gt;'売掛帳'!$B$3,NOT(ISNUMBER($X731))),"",IF(AND($X731&gt;='売掛帳'!$Q$3,$X731&lt;='売掛帳'!$Q$4),$X731+ROW()/10000000,""))</f>
        <v/>
      </c>
    </row>
    <row r="732" ht="18" customHeight="1">
      <c r="A732" s="18" t="n"/>
      <c r="B732" s="26" t="n"/>
      <c r="C732" s="18" t="n"/>
      <c r="D732" s="20">
        <f>IF($W732="","",IF($W732="なし","※得意先にないコード",INDEX('得意先'!$C$5:$C$104,$W732)&amp;""))</f>
        <v/>
      </c>
      <c r="E732" s="26" t="n"/>
      <c r="F732" s="19" t="n"/>
      <c r="G732" s="27" t="n"/>
      <c r="H732" s="27" t="n"/>
      <c r="I732" s="27" t="n"/>
      <c r="J732" s="28">
        <f>IF($A732="","",IF('設定'!$B$10="四捨五入",ROUND(IF('設定'!$B$9="税込",N($G732)*10/110,N($G732)*10/100),0),IF('設定'!$B$10="切り上げ",ROUNDUP(IF('設定'!$B$9="税込",N($G732)*10/110,N($G732)*10/100),0),ROUNDDOWN(IF('設定'!$B$9="税込",N($G732)*10/110,N($G732)*10/100),0))))</f>
        <v/>
      </c>
      <c r="K732" s="28">
        <f>IF($A732="","",IF('設定'!$B$10="四捨五入",ROUND(IF('設定'!$B$9="税込",N($H732)*8/108,N($H732)*8/100),0),IF('設定'!$B$10="切り上げ",ROUNDUP(IF('設定'!$B$9="税込",N($H732)*8/108,N($H732)*8/100),0),ROUNDDOWN(IF('設定'!$B$9="税込",N($H732)*8/108,N($H732)*8/100),0))))</f>
        <v/>
      </c>
      <c r="L732" s="28">
        <f>IF($A732="","",N($G732)+N($H732)+N($I732)+IF('設定'!$B$9="税込",0,$J732+$K732))</f>
        <v/>
      </c>
      <c r="M732" s="29">
        <f>IF(OR($A732="",NOT(ISNUMBER($W732)),NOT(ISNUMBER($X732))),"",IF(OR(INDEX('得意先'!$D$5:$D$104,$W732)="",INDEX('得意先'!$E$5:$E$104,$W732)="",INDEX('得意先'!$F$5:$F$104,$W732)=""),"",IF(INDEX('得意先'!$F$5:$F$104,$W732)="末",DATE(YEAR($X732),(MONTH($X732)+IF(INDEX('得意先'!$D$5:$D$104,$W732)="末",0,IF(DAY($X732)&lt;=INDEX('得意先'!$D$5:$D$104,$W732),0,1))+N(INDEX('得意先'!$E$5:$E$104,$W732)))+1,0),DATE(YEAR($X732),(MONTH($X732)+IF(INDEX('得意先'!$D$5:$D$104,$W732)="末",0,IF(DAY($X732)&lt;=INDEX('得意先'!$D$5:$D$104,$W732),0,1))+N(INDEX('得意先'!$E$5:$E$104,$W732))),MIN(INDEX('得意先'!$F$5:$F$104,$W732),DAY(DATE(YEAR($X732),(MONTH($X732)+IF(INDEX('得意先'!$D$5:$D$104,$W732)="末",0,IF(DAY($X732)&lt;=INDEX('得意先'!$D$5:$D$104,$W732),0,1))+N(INDEX('得意先'!$E$5:$E$104,$W732)))+1,0)))))))</f>
        <v/>
      </c>
      <c r="N732" s="26" t="n"/>
      <c r="O732" s="29">
        <f>IF($A732="","",IF(ISNUMBER($N732),$N732,$M732))</f>
        <v/>
      </c>
      <c r="P732" s="28">
        <f>IF($A732="","",SUMIF('入金消込'!$F$5:$F$1004,$A732,'入金消込'!$G$5:$G$1004))</f>
        <v/>
      </c>
      <c r="Q732" s="28">
        <f>IF($A732="","",SUMIF('入金消込'!$F$5:$F$1004,$A732,'入金消込'!$H$5:$H$1004)+SUMIF('入金消込'!$F$5:$F$1004,$A732,'入金消込'!$I$5:$I$1004))</f>
        <v/>
      </c>
      <c r="R732" s="28">
        <f>IF($A732="","",$L732-$P732-$Q732)</f>
        <v/>
      </c>
      <c r="S732" s="30">
        <f>IF($A732="","",IF($R732=0,IF($L732=0,"請求額0","回収済"),IF($L732&lt;0,IF($R732&lt;0,"差し引き待ち","差し引きすぎ"),IF($R732&lt;0,"入金が多い",IF($P732+$Q732=0,"未入金","一部入金")))))</f>
        <v/>
      </c>
      <c r="T732" s="31">
        <f>IF(OR($A732="",N($R732)&lt;=0,NOT(ISNUMBER($O732))),"",IF($O732&lt;'設定'!$B$7,'設定'!$B$7-$O732,""))</f>
        <v/>
      </c>
      <c r="U732" s="30">
        <f>IF(OR($A732="",N($R732)&lt;=0),"",IF(NOT(ISNUMBER($O732)),'設定'!$B$22,IF($O732&gt;='設定'!$B$7,'設定'!$B$17,IF('設定'!$B$7-$O732&lt;='設定'!$B$12,'設定'!$B$18,IF('設定'!$B$7-$O732&lt;='設定'!$B$13,'設定'!$B$19,IF('設定'!$B$7-$O732&lt;='設定'!$B$14,'設定'!$B$20,'設定'!$B$21))))))</f>
        <v/>
      </c>
      <c r="V732" s="56" t="n"/>
      <c r="W732" s="32">
        <f>IF($C732="","",IFERROR(MATCH($C732,'得意先'!$B$5:$B$104,0),"なし"))</f>
        <v/>
      </c>
      <c r="X732" s="33">
        <f>IF($A732="","",IF(ISNUMBER($E732),$E732,IF(ISNUMBER($B732),$B732,"")))</f>
        <v/>
      </c>
      <c r="Y732" s="34">
        <f>IF($T732="","",$O732+ROW()/1000000)</f>
        <v/>
      </c>
      <c r="Z732" s="35">
        <f>IF(OR($A732="",$C732="",$C732&lt;&gt;'売掛帳'!$B$3,NOT(ISNUMBER($X732))),"",IF(AND($X732&gt;='売掛帳'!$Q$3,$X732&lt;='売掛帳'!$Q$4),$X732+ROW()/10000000,""))</f>
        <v/>
      </c>
    </row>
    <row r="733" ht="18" customHeight="1">
      <c r="A733" s="18" t="n"/>
      <c r="B733" s="26" t="n"/>
      <c r="C733" s="18" t="n"/>
      <c r="D733" s="20">
        <f>IF($W733="","",IF($W733="なし","※得意先にないコード",INDEX('得意先'!$C$5:$C$104,$W733)&amp;""))</f>
        <v/>
      </c>
      <c r="E733" s="26" t="n"/>
      <c r="F733" s="19" t="n"/>
      <c r="G733" s="27" t="n"/>
      <c r="H733" s="27" t="n"/>
      <c r="I733" s="27" t="n"/>
      <c r="J733" s="28">
        <f>IF($A733="","",IF('設定'!$B$10="四捨五入",ROUND(IF('設定'!$B$9="税込",N($G733)*10/110,N($G733)*10/100),0),IF('設定'!$B$10="切り上げ",ROUNDUP(IF('設定'!$B$9="税込",N($G733)*10/110,N($G733)*10/100),0),ROUNDDOWN(IF('設定'!$B$9="税込",N($G733)*10/110,N($G733)*10/100),0))))</f>
        <v/>
      </c>
      <c r="K733" s="28">
        <f>IF($A733="","",IF('設定'!$B$10="四捨五入",ROUND(IF('設定'!$B$9="税込",N($H733)*8/108,N($H733)*8/100),0),IF('設定'!$B$10="切り上げ",ROUNDUP(IF('設定'!$B$9="税込",N($H733)*8/108,N($H733)*8/100),0),ROUNDDOWN(IF('設定'!$B$9="税込",N($H733)*8/108,N($H733)*8/100),0))))</f>
        <v/>
      </c>
      <c r="L733" s="28">
        <f>IF($A733="","",N($G733)+N($H733)+N($I733)+IF('設定'!$B$9="税込",0,$J733+$K733))</f>
        <v/>
      </c>
      <c r="M733" s="29">
        <f>IF(OR($A733="",NOT(ISNUMBER($W733)),NOT(ISNUMBER($X733))),"",IF(OR(INDEX('得意先'!$D$5:$D$104,$W733)="",INDEX('得意先'!$E$5:$E$104,$W733)="",INDEX('得意先'!$F$5:$F$104,$W733)=""),"",IF(INDEX('得意先'!$F$5:$F$104,$W733)="末",DATE(YEAR($X733),(MONTH($X733)+IF(INDEX('得意先'!$D$5:$D$104,$W733)="末",0,IF(DAY($X733)&lt;=INDEX('得意先'!$D$5:$D$104,$W733),0,1))+N(INDEX('得意先'!$E$5:$E$104,$W733)))+1,0),DATE(YEAR($X733),(MONTH($X733)+IF(INDEX('得意先'!$D$5:$D$104,$W733)="末",0,IF(DAY($X733)&lt;=INDEX('得意先'!$D$5:$D$104,$W733),0,1))+N(INDEX('得意先'!$E$5:$E$104,$W733))),MIN(INDEX('得意先'!$F$5:$F$104,$W733),DAY(DATE(YEAR($X733),(MONTH($X733)+IF(INDEX('得意先'!$D$5:$D$104,$W733)="末",0,IF(DAY($X733)&lt;=INDEX('得意先'!$D$5:$D$104,$W733),0,1))+N(INDEX('得意先'!$E$5:$E$104,$W733)))+1,0)))))))</f>
        <v/>
      </c>
      <c r="N733" s="26" t="n"/>
      <c r="O733" s="29">
        <f>IF($A733="","",IF(ISNUMBER($N733),$N733,$M733))</f>
        <v/>
      </c>
      <c r="P733" s="28">
        <f>IF($A733="","",SUMIF('入金消込'!$F$5:$F$1004,$A733,'入金消込'!$G$5:$G$1004))</f>
        <v/>
      </c>
      <c r="Q733" s="28">
        <f>IF($A733="","",SUMIF('入金消込'!$F$5:$F$1004,$A733,'入金消込'!$H$5:$H$1004)+SUMIF('入金消込'!$F$5:$F$1004,$A733,'入金消込'!$I$5:$I$1004))</f>
        <v/>
      </c>
      <c r="R733" s="28">
        <f>IF($A733="","",$L733-$P733-$Q733)</f>
        <v/>
      </c>
      <c r="S733" s="30">
        <f>IF($A733="","",IF($R733=0,IF($L733=0,"請求額0","回収済"),IF($L733&lt;0,IF($R733&lt;0,"差し引き待ち","差し引きすぎ"),IF($R733&lt;0,"入金が多い",IF($P733+$Q733=0,"未入金","一部入金")))))</f>
        <v/>
      </c>
      <c r="T733" s="31">
        <f>IF(OR($A733="",N($R733)&lt;=0,NOT(ISNUMBER($O733))),"",IF($O733&lt;'設定'!$B$7,'設定'!$B$7-$O733,""))</f>
        <v/>
      </c>
      <c r="U733" s="30">
        <f>IF(OR($A733="",N($R733)&lt;=0),"",IF(NOT(ISNUMBER($O733)),'設定'!$B$22,IF($O733&gt;='設定'!$B$7,'設定'!$B$17,IF('設定'!$B$7-$O733&lt;='設定'!$B$12,'設定'!$B$18,IF('設定'!$B$7-$O733&lt;='設定'!$B$13,'設定'!$B$19,IF('設定'!$B$7-$O733&lt;='設定'!$B$14,'設定'!$B$20,'設定'!$B$21))))))</f>
        <v/>
      </c>
      <c r="V733" s="56" t="n"/>
      <c r="W733" s="32">
        <f>IF($C733="","",IFERROR(MATCH($C733,'得意先'!$B$5:$B$104,0),"なし"))</f>
        <v/>
      </c>
      <c r="X733" s="33">
        <f>IF($A733="","",IF(ISNUMBER($E733),$E733,IF(ISNUMBER($B733),$B733,"")))</f>
        <v/>
      </c>
      <c r="Y733" s="34">
        <f>IF($T733="","",$O733+ROW()/1000000)</f>
        <v/>
      </c>
      <c r="Z733" s="35">
        <f>IF(OR($A733="",$C733="",$C733&lt;&gt;'売掛帳'!$B$3,NOT(ISNUMBER($X733))),"",IF(AND($X733&gt;='売掛帳'!$Q$3,$X733&lt;='売掛帳'!$Q$4),$X733+ROW()/10000000,""))</f>
        <v/>
      </c>
    </row>
    <row r="734" ht="18" customHeight="1">
      <c r="A734" s="18" t="n"/>
      <c r="B734" s="26" t="n"/>
      <c r="C734" s="18" t="n"/>
      <c r="D734" s="20">
        <f>IF($W734="","",IF($W734="なし","※得意先にないコード",INDEX('得意先'!$C$5:$C$104,$W734)&amp;""))</f>
        <v/>
      </c>
      <c r="E734" s="26" t="n"/>
      <c r="F734" s="19" t="n"/>
      <c r="G734" s="27" t="n"/>
      <c r="H734" s="27" t="n"/>
      <c r="I734" s="27" t="n"/>
      <c r="J734" s="28">
        <f>IF($A734="","",IF('設定'!$B$10="四捨五入",ROUND(IF('設定'!$B$9="税込",N($G734)*10/110,N($G734)*10/100),0),IF('設定'!$B$10="切り上げ",ROUNDUP(IF('設定'!$B$9="税込",N($G734)*10/110,N($G734)*10/100),0),ROUNDDOWN(IF('設定'!$B$9="税込",N($G734)*10/110,N($G734)*10/100),0))))</f>
        <v/>
      </c>
      <c r="K734" s="28">
        <f>IF($A734="","",IF('設定'!$B$10="四捨五入",ROUND(IF('設定'!$B$9="税込",N($H734)*8/108,N($H734)*8/100),0),IF('設定'!$B$10="切り上げ",ROUNDUP(IF('設定'!$B$9="税込",N($H734)*8/108,N($H734)*8/100),0),ROUNDDOWN(IF('設定'!$B$9="税込",N($H734)*8/108,N($H734)*8/100),0))))</f>
        <v/>
      </c>
      <c r="L734" s="28">
        <f>IF($A734="","",N($G734)+N($H734)+N($I734)+IF('設定'!$B$9="税込",0,$J734+$K734))</f>
        <v/>
      </c>
      <c r="M734" s="29">
        <f>IF(OR($A734="",NOT(ISNUMBER($W734)),NOT(ISNUMBER($X734))),"",IF(OR(INDEX('得意先'!$D$5:$D$104,$W734)="",INDEX('得意先'!$E$5:$E$104,$W734)="",INDEX('得意先'!$F$5:$F$104,$W734)=""),"",IF(INDEX('得意先'!$F$5:$F$104,$W734)="末",DATE(YEAR($X734),(MONTH($X734)+IF(INDEX('得意先'!$D$5:$D$104,$W734)="末",0,IF(DAY($X734)&lt;=INDEX('得意先'!$D$5:$D$104,$W734),0,1))+N(INDEX('得意先'!$E$5:$E$104,$W734)))+1,0),DATE(YEAR($X734),(MONTH($X734)+IF(INDEX('得意先'!$D$5:$D$104,$W734)="末",0,IF(DAY($X734)&lt;=INDEX('得意先'!$D$5:$D$104,$W734),0,1))+N(INDEX('得意先'!$E$5:$E$104,$W734))),MIN(INDEX('得意先'!$F$5:$F$104,$W734),DAY(DATE(YEAR($X734),(MONTH($X734)+IF(INDEX('得意先'!$D$5:$D$104,$W734)="末",0,IF(DAY($X734)&lt;=INDEX('得意先'!$D$5:$D$104,$W734),0,1))+N(INDEX('得意先'!$E$5:$E$104,$W734)))+1,0)))))))</f>
        <v/>
      </c>
      <c r="N734" s="26" t="n"/>
      <c r="O734" s="29">
        <f>IF($A734="","",IF(ISNUMBER($N734),$N734,$M734))</f>
        <v/>
      </c>
      <c r="P734" s="28">
        <f>IF($A734="","",SUMIF('入金消込'!$F$5:$F$1004,$A734,'入金消込'!$G$5:$G$1004))</f>
        <v/>
      </c>
      <c r="Q734" s="28">
        <f>IF($A734="","",SUMIF('入金消込'!$F$5:$F$1004,$A734,'入金消込'!$H$5:$H$1004)+SUMIF('入金消込'!$F$5:$F$1004,$A734,'入金消込'!$I$5:$I$1004))</f>
        <v/>
      </c>
      <c r="R734" s="28">
        <f>IF($A734="","",$L734-$P734-$Q734)</f>
        <v/>
      </c>
      <c r="S734" s="30">
        <f>IF($A734="","",IF($R734=0,IF($L734=0,"請求額0","回収済"),IF($L734&lt;0,IF($R734&lt;0,"差し引き待ち","差し引きすぎ"),IF($R734&lt;0,"入金が多い",IF($P734+$Q734=0,"未入金","一部入金")))))</f>
        <v/>
      </c>
      <c r="T734" s="31">
        <f>IF(OR($A734="",N($R734)&lt;=0,NOT(ISNUMBER($O734))),"",IF($O734&lt;'設定'!$B$7,'設定'!$B$7-$O734,""))</f>
        <v/>
      </c>
      <c r="U734" s="30">
        <f>IF(OR($A734="",N($R734)&lt;=0),"",IF(NOT(ISNUMBER($O734)),'設定'!$B$22,IF($O734&gt;='設定'!$B$7,'設定'!$B$17,IF('設定'!$B$7-$O734&lt;='設定'!$B$12,'設定'!$B$18,IF('設定'!$B$7-$O734&lt;='設定'!$B$13,'設定'!$B$19,IF('設定'!$B$7-$O734&lt;='設定'!$B$14,'設定'!$B$20,'設定'!$B$21))))))</f>
        <v/>
      </c>
      <c r="V734" s="56" t="n"/>
      <c r="W734" s="32">
        <f>IF($C734="","",IFERROR(MATCH($C734,'得意先'!$B$5:$B$104,0),"なし"))</f>
        <v/>
      </c>
      <c r="X734" s="33">
        <f>IF($A734="","",IF(ISNUMBER($E734),$E734,IF(ISNUMBER($B734),$B734,"")))</f>
        <v/>
      </c>
      <c r="Y734" s="34">
        <f>IF($T734="","",$O734+ROW()/1000000)</f>
        <v/>
      </c>
      <c r="Z734" s="35">
        <f>IF(OR($A734="",$C734="",$C734&lt;&gt;'売掛帳'!$B$3,NOT(ISNUMBER($X734))),"",IF(AND($X734&gt;='売掛帳'!$Q$3,$X734&lt;='売掛帳'!$Q$4),$X734+ROW()/10000000,""))</f>
        <v/>
      </c>
    </row>
    <row r="735" ht="18" customHeight="1">
      <c r="A735" s="18" t="n"/>
      <c r="B735" s="26" t="n"/>
      <c r="C735" s="18" t="n"/>
      <c r="D735" s="20">
        <f>IF($W735="","",IF($W735="なし","※得意先にないコード",INDEX('得意先'!$C$5:$C$104,$W735)&amp;""))</f>
        <v/>
      </c>
      <c r="E735" s="26" t="n"/>
      <c r="F735" s="19" t="n"/>
      <c r="G735" s="27" t="n"/>
      <c r="H735" s="27" t="n"/>
      <c r="I735" s="27" t="n"/>
      <c r="J735" s="28">
        <f>IF($A735="","",IF('設定'!$B$10="四捨五入",ROUND(IF('設定'!$B$9="税込",N($G735)*10/110,N($G735)*10/100),0),IF('設定'!$B$10="切り上げ",ROUNDUP(IF('設定'!$B$9="税込",N($G735)*10/110,N($G735)*10/100),0),ROUNDDOWN(IF('設定'!$B$9="税込",N($G735)*10/110,N($G735)*10/100),0))))</f>
        <v/>
      </c>
      <c r="K735" s="28">
        <f>IF($A735="","",IF('設定'!$B$10="四捨五入",ROUND(IF('設定'!$B$9="税込",N($H735)*8/108,N($H735)*8/100),0),IF('設定'!$B$10="切り上げ",ROUNDUP(IF('設定'!$B$9="税込",N($H735)*8/108,N($H735)*8/100),0),ROUNDDOWN(IF('設定'!$B$9="税込",N($H735)*8/108,N($H735)*8/100),0))))</f>
        <v/>
      </c>
      <c r="L735" s="28">
        <f>IF($A735="","",N($G735)+N($H735)+N($I735)+IF('設定'!$B$9="税込",0,$J735+$K735))</f>
        <v/>
      </c>
      <c r="M735" s="29">
        <f>IF(OR($A735="",NOT(ISNUMBER($W735)),NOT(ISNUMBER($X735))),"",IF(OR(INDEX('得意先'!$D$5:$D$104,$W735)="",INDEX('得意先'!$E$5:$E$104,$W735)="",INDEX('得意先'!$F$5:$F$104,$W735)=""),"",IF(INDEX('得意先'!$F$5:$F$104,$W735)="末",DATE(YEAR($X735),(MONTH($X735)+IF(INDEX('得意先'!$D$5:$D$104,$W735)="末",0,IF(DAY($X735)&lt;=INDEX('得意先'!$D$5:$D$104,$W735),0,1))+N(INDEX('得意先'!$E$5:$E$104,$W735)))+1,0),DATE(YEAR($X735),(MONTH($X735)+IF(INDEX('得意先'!$D$5:$D$104,$W735)="末",0,IF(DAY($X735)&lt;=INDEX('得意先'!$D$5:$D$104,$W735),0,1))+N(INDEX('得意先'!$E$5:$E$104,$W735))),MIN(INDEX('得意先'!$F$5:$F$104,$W735),DAY(DATE(YEAR($X735),(MONTH($X735)+IF(INDEX('得意先'!$D$5:$D$104,$W735)="末",0,IF(DAY($X735)&lt;=INDEX('得意先'!$D$5:$D$104,$W735),0,1))+N(INDEX('得意先'!$E$5:$E$104,$W735)))+1,0)))))))</f>
        <v/>
      </c>
      <c r="N735" s="26" t="n"/>
      <c r="O735" s="29">
        <f>IF($A735="","",IF(ISNUMBER($N735),$N735,$M735))</f>
        <v/>
      </c>
      <c r="P735" s="28">
        <f>IF($A735="","",SUMIF('入金消込'!$F$5:$F$1004,$A735,'入金消込'!$G$5:$G$1004))</f>
        <v/>
      </c>
      <c r="Q735" s="28">
        <f>IF($A735="","",SUMIF('入金消込'!$F$5:$F$1004,$A735,'入金消込'!$H$5:$H$1004)+SUMIF('入金消込'!$F$5:$F$1004,$A735,'入金消込'!$I$5:$I$1004))</f>
        <v/>
      </c>
      <c r="R735" s="28">
        <f>IF($A735="","",$L735-$P735-$Q735)</f>
        <v/>
      </c>
      <c r="S735" s="30">
        <f>IF($A735="","",IF($R735=0,IF($L735=0,"請求額0","回収済"),IF($L735&lt;0,IF($R735&lt;0,"差し引き待ち","差し引きすぎ"),IF($R735&lt;0,"入金が多い",IF($P735+$Q735=0,"未入金","一部入金")))))</f>
        <v/>
      </c>
      <c r="T735" s="31">
        <f>IF(OR($A735="",N($R735)&lt;=0,NOT(ISNUMBER($O735))),"",IF($O735&lt;'設定'!$B$7,'設定'!$B$7-$O735,""))</f>
        <v/>
      </c>
      <c r="U735" s="30">
        <f>IF(OR($A735="",N($R735)&lt;=0),"",IF(NOT(ISNUMBER($O735)),'設定'!$B$22,IF($O735&gt;='設定'!$B$7,'設定'!$B$17,IF('設定'!$B$7-$O735&lt;='設定'!$B$12,'設定'!$B$18,IF('設定'!$B$7-$O735&lt;='設定'!$B$13,'設定'!$B$19,IF('設定'!$B$7-$O735&lt;='設定'!$B$14,'設定'!$B$20,'設定'!$B$21))))))</f>
        <v/>
      </c>
      <c r="V735" s="56" t="n"/>
      <c r="W735" s="32">
        <f>IF($C735="","",IFERROR(MATCH($C735,'得意先'!$B$5:$B$104,0),"なし"))</f>
        <v/>
      </c>
      <c r="X735" s="33">
        <f>IF($A735="","",IF(ISNUMBER($E735),$E735,IF(ISNUMBER($B735),$B735,"")))</f>
        <v/>
      </c>
      <c r="Y735" s="34">
        <f>IF($T735="","",$O735+ROW()/1000000)</f>
        <v/>
      </c>
      <c r="Z735" s="35">
        <f>IF(OR($A735="",$C735="",$C735&lt;&gt;'売掛帳'!$B$3,NOT(ISNUMBER($X735))),"",IF(AND($X735&gt;='売掛帳'!$Q$3,$X735&lt;='売掛帳'!$Q$4),$X735+ROW()/10000000,""))</f>
        <v/>
      </c>
    </row>
    <row r="736" ht="18" customHeight="1">
      <c r="A736" s="18" t="n"/>
      <c r="B736" s="26" t="n"/>
      <c r="C736" s="18" t="n"/>
      <c r="D736" s="20">
        <f>IF($W736="","",IF($W736="なし","※得意先にないコード",INDEX('得意先'!$C$5:$C$104,$W736)&amp;""))</f>
        <v/>
      </c>
      <c r="E736" s="26" t="n"/>
      <c r="F736" s="19" t="n"/>
      <c r="G736" s="27" t="n"/>
      <c r="H736" s="27" t="n"/>
      <c r="I736" s="27" t="n"/>
      <c r="J736" s="28">
        <f>IF($A736="","",IF('設定'!$B$10="四捨五入",ROUND(IF('設定'!$B$9="税込",N($G736)*10/110,N($G736)*10/100),0),IF('設定'!$B$10="切り上げ",ROUNDUP(IF('設定'!$B$9="税込",N($G736)*10/110,N($G736)*10/100),0),ROUNDDOWN(IF('設定'!$B$9="税込",N($G736)*10/110,N($G736)*10/100),0))))</f>
        <v/>
      </c>
      <c r="K736" s="28">
        <f>IF($A736="","",IF('設定'!$B$10="四捨五入",ROUND(IF('設定'!$B$9="税込",N($H736)*8/108,N($H736)*8/100),0),IF('設定'!$B$10="切り上げ",ROUNDUP(IF('設定'!$B$9="税込",N($H736)*8/108,N($H736)*8/100),0),ROUNDDOWN(IF('設定'!$B$9="税込",N($H736)*8/108,N($H736)*8/100),0))))</f>
        <v/>
      </c>
      <c r="L736" s="28">
        <f>IF($A736="","",N($G736)+N($H736)+N($I736)+IF('設定'!$B$9="税込",0,$J736+$K736))</f>
        <v/>
      </c>
      <c r="M736" s="29">
        <f>IF(OR($A736="",NOT(ISNUMBER($W736)),NOT(ISNUMBER($X736))),"",IF(OR(INDEX('得意先'!$D$5:$D$104,$W736)="",INDEX('得意先'!$E$5:$E$104,$W736)="",INDEX('得意先'!$F$5:$F$104,$W736)=""),"",IF(INDEX('得意先'!$F$5:$F$104,$W736)="末",DATE(YEAR($X736),(MONTH($X736)+IF(INDEX('得意先'!$D$5:$D$104,$W736)="末",0,IF(DAY($X736)&lt;=INDEX('得意先'!$D$5:$D$104,$W736),0,1))+N(INDEX('得意先'!$E$5:$E$104,$W736)))+1,0),DATE(YEAR($X736),(MONTH($X736)+IF(INDEX('得意先'!$D$5:$D$104,$W736)="末",0,IF(DAY($X736)&lt;=INDEX('得意先'!$D$5:$D$104,$W736),0,1))+N(INDEX('得意先'!$E$5:$E$104,$W736))),MIN(INDEX('得意先'!$F$5:$F$104,$W736),DAY(DATE(YEAR($X736),(MONTH($X736)+IF(INDEX('得意先'!$D$5:$D$104,$W736)="末",0,IF(DAY($X736)&lt;=INDEX('得意先'!$D$5:$D$104,$W736),0,1))+N(INDEX('得意先'!$E$5:$E$104,$W736)))+1,0)))))))</f>
        <v/>
      </c>
      <c r="N736" s="26" t="n"/>
      <c r="O736" s="29">
        <f>IF($A736="","",IF(ISNUMBER($N736),$N736,$M736))</f>
        <v/>
      </c>
      <c r="P736" s="28">
        <f>IF($A736="","",SUMIF('入金消込'!$F$5:$F$1004,$A736,'入金消込'!$G$5:$G$1004))</f>
        <v/>
      </c>
      <c r="Q736" s="28">
        <f>IF($A736="","",SUMIF('入金消込'!$F$5:$F$1004,$A736,'入金消込'!$H$5:$H$1004)+SUMIF('入金消込'!$F$5:$F$1004,$A736,'入金消込'!$I$5:$I$1004))</f>
        <v/>
      </c>
      <c r="R736" s="28">
        <f>IF($A736="","",$L736-$P736-$Q736)</f>
        <v/>
      </c>
      <c r="S736" s="30">
        <f>IF($A736="","",IF($R736=0,IF($L736=0,"請求額0","回収済"),IF($L736&lt;0,IF($R736&lt;0,"差し引き待ち","差し引きすぎ"),IF($R736&lt;0,"入金が多い",IF($P736+$Q736=0,"未入金","一部入金")))))</f>
        <v/>
      </c>
      <c r="T736" s="31">
        <f>IF(OR($A736="",N($R736)&lt;=0,NOT(ISNUMBER($O736))),"",IF($O736&lt;'設定'!$B$7,'設定'!$B$7-$O736,""))</f>
        <v/>
      </c>
      <c r="U736" s="30">
        <f>IF(OR($A736="",N($R736)&lt;=0),"",IF(NOT(ISNUMBER($O736)),'設定'!$B$22,IF($O736&gt;='設定'!$B$7,'設定'!$B$17,IF('設定'!$B$7-$O736&lt;='設定'!$B$12,'設定'!$B$18,IF('設定'!$B$7-$O736&lt;='設定'!$B$13,'設定'!$B$19,IF('設定'!$B$7-$O736&lt;='設定'!$B$14,'設定'!$B$20,'設定'!$B$21))))))</f>
        <v/>
      </c>
      <c r="V736" s="56" t="n"/>
      <c r="W736" s="32">
        <f>IF($C736="","",IFERROR(MATCH($C736,'得意先'!$B$5:$B$104,0),"なし"))</f>
        <v/>
      </c>
      <c r="X736" s="33">
        <f>IF($A736="","",IF(ISNUMBER($E736),$E736,IF(ISNUMBER($B736),$B736,"")))</f>
        <v/>
      </c>
      <c r="Y736" s="34">
        <f>IF($T736="","",$O736+ROW()/1000000)</f>
        <v/>
      </c>
      <c r="Z736" s="35">
        <f>IF(OR($A736="",$C736="",$C736&lt;&gt;'売掛帳'!$B$3,NOT(ISNUMBER($X736))),"",IF(AND($X736&gt;='売掛帳'!$Q$3,$X736&lt;='売掛帳'!$Q$4),$X736+ROW()/10000000,""))</f>
        <v/>
      </c>
    </row>
    <row r="737" ht="18" customHeight="1">
      <c r="A737" s="18" t="n"/>
      <c r="B737" s="26" t="n"/>
      <c r="C737" s="18" t="n"/>
      <c r="D737" s="20">
        <f>IF($W737="","",IF($W737="なし","※得意先にないコード",INDEX('得意先'!$C$5:$C$104,$W737)&amp;""))</f>
        <v/>
      </c>
      <c r="E737" s="26" t="n"/>
      <c r="F737" s="19" t="n"/>
      <c r="G737" s="27" t="n"/>
      <c r="H737" s="27" t="n"/>
      <c r="I737" s="27" t="n"/>
      <c r="J737" s="28">
        <f>IF($A737="","",IF('設定'!$B$10="四捨五入",ROUND(IF('設定'!$B$9="税込",N($G737)*10/110,N($G737)*10/100),0),IF('設定'!$B$10="切り上げ",ROUNDUP(IF('設定'!$B$9="税込",N($G737)*10/110,N($G737)*10/100),0),ROUNDDOWN(IF('設定'!$B$9="税込",N($G737)*10/110,N($G737)*10/100),0))))</f>
        <v/>
      </c>
      <c r="K737" s="28">
        <f>IF($A737="","",IF('設定'!$B$10="四捨五入",ROUND(IF('設定'!$B$9="税込",N($H737)*8/108,N($H737)*8/100),0),IF('設定'!$B$10="切り上げ",ROUNDUP(IF('設定'!$B$9="税込",N($H737)*8/108,N($H737)*8/100),0),ROUNDDOWN(IF('設定'!$B$9="税込",N($H737)*8/108,N($H737)*8/100),0))))</f>
        <v/>
      </c>
      <c r="L737" s="28">
        <f>IF($A737="","",N($G737)+N($H737)+N($I737)+IF('設定'!$B$9="税込",0,$J737+$K737))</f>
        <v/>
      </c>
      <c r="M737" s="29">
        <f>IF(OR($A737="",NOT(ISNUMBER($W737)),NOT(ISNUMBER($X737))),"",IF(OR(INDEX('得意先'!$D$5:$D$104,$W737)="",INDEX('得意先'!$E$5:$E$104,$W737)="",INDEX('得意先'!$F$5:$F$104,$W737)=""),"",IF(INDEX('得意先'!$F$5:$F$104,$W737)="末",DATE(YEAR($X737),(MONTH($X737)+IF(INDEX('得意先'!$D$5:$D$104,$W737)="末",0,IF(DAY($X737)&lt;=INDEX('得意先'!$D$5:$D$104,$W737),0,1))+N(INDEX('得意先'!$E$5:$E$104,$W737)))+1,0),DATE(YEAR($X737),(MONTH($X737)+IF(INDEX('得意先'!$D$5:$D$104,$W737)="末",0,IF(DAY($X737)&lt;=INDEX('得意先'!$D$5:$D$104,$W737),0,1))+N(INDEX('得意先'!$E$5:$E$104,$W737))),MIN(INDEX('得意先'!$F$5:$F$104,$W737),DAY(DATE(YEAR($X737),(MONTH($X737)+IF(INDEX('得意先'!$D$5:$D$104,$W737)="末",0,IF(DAY($X737)&lt;=INDEX('得意先'!$D$5:$D$104,$W737),0,1))+N(INDEX('得意先'!$E$5:$E$104,$W737)))+1,0)))))))</f>
        <v/>
      </c>
      <c r="N737" s="26" t="n"/>
      <c r="O737" s="29">
        <f>IF($A737="","",IF(ISNUMBER($N737),$N737,$M737))</f>
        <v/>
      </c>
      <c r="P737" s="28">
        <f>IF($A737="","",SUMIF('入金消込'!$F$5:$F$1004,$A737,'入金消込'!$G$5:$G$1004))</f>
        <v/>
      </c>
      <c r="Q737" s="28">
        <f>IF($A737="","",SUMIF('入金消込'!$F$5:$F$1004,$A737,'入金消込'!$H$5:$H$1004)+SUMIF('入金消込'!$F$5:$F$1004,$A737,'入金消込'!$I$5:$I$1004))</f>
        <v/>
      </c>
      <c r="R737" s="28">
        <f>IF($A737="","",$L737-$P737-$Q737)</f>
        <v/>
      </c>
      <c r="S737" s="30">
        <f>IF($A737="","",IF($R737=0,IF($L737=0,"請求額0","回収済"),IF($L737&lt;0,IF($R737&lt;0,"差し引き待ち","差し引きすぎ"),IF($R737&lt;0,"入金が多い",IF($P737+$Q737=0,"未入金","一部入金")))))</f>
        <v/>
      </c>
      <c r="T737" s="31">
        <f>IF(OR($A737="",N($R737)&lt;=0,NOT(ISNUMBER($O737))),"",IF($O737&lt;'設定'!$B$7,'設定'!$B$7-$O737,""))</f>
        <v/>
      </c>
      <c r="U737" s="30">
        <f>IF(OR($A737="",N($R737)&lt;=0),"",IF(NOT(ISNUMBER($O737)),'設定'!$B$22,IF($O737&gt;='設定'!$B$7,'設定'!$B$17,IF('設定'!$B$7-$O737&lt;='設定'!$B$12,'設定'!$B$18,IF('設定'!$B$7-$O737&lt;='設定'!$B$13,'設定'!$B$19,IF('設定'!$B$7-$O737&lt;='設定'!$B$14,'設定'!$B$20,'設定'!$B$21))))))</f>
        <v/>
      </c>
      <c r="V737" s="56" t="n"/>
      <c r="W737" s="32">
        <f>IF($C737="","",IFERROR(MATCH($C737,'得意先'!$B$5:$B$104,0),"なし"))</f>
        <v/>
      </c>
      <c r="X737" s="33">
        <f>IF($A737="","",IF(ISNUMBER($E737),$E737,IF(ISNUMBER($B737),$B737,"")))</f>
        <v/>
      </c>
      <c r="Y737" s="34">
        <f>IF($T737="","",$O737+ROW()/1000000)</f>
        <v/>
      </c>
      <c r="Z737" s="35">
        <f>IF(OR($A737="",$C737="",$C737&lt;&gt;'売掛帳'!$B$3,NOT(ISNUMBER($X737))),"",IF(AND($X737&gt;='売掛帳'!$Q$3,$X737&lt;='売掛帳'!$Q$4),$X737+ROW()/10000000,""))</f>
        <v/>
      </c>
    </row>
    <row r="738" ht="18" customHeight="1">
      <c r="A738" s="18" t="n"/>
      <c r="B738" s="26" t="n"/>
      <c r="C738" s="18" t="n"/>
      <c r="D738" s="20">
        <f>IF($W738="","",IF($W738="なし","※得意先にないコード",INDEX('得意先'!$C$5:$C$104,$W738)&amp;""))</f>
        <v/>
      </c>
      <c r="E738" s="26" t="n"/>
      <c r="F738" s="19" t="n"/>
      <c r="G738" s="27" t="n"/>
      <c r="H738" s="27" t="n"/>
      <c r="I738" s="27" t="n"/>
      <c r="J738" s="28">
        <f>IF($A738="","",IF('設定'!$B$10="四捨五入",ROUND(IF('設定'!$B$9="税込",N($G738)*10/110,N($G738)*10/100),0),IF('設定'!$B$10="切り上げ",ROUNDUP(IF('設定'!$B$9="税込",N($G738)*10/110,N($G738)*10/100),0),ROUNDDOWN(IF('設定'!$B$9="税込",N($G738)*10/110,N($G738)*10/100),0))))</f>
        <v/>
      </c>
      <c r="K738" s="28">
        <f>IF($A738="","",IF('設定'!$B$10="四捨五入",ROUND(IF('設定'!$B$9="税込",N($H738)*8/108,N($H738)*8/100),0),IF('設定'!$B$10="切り上げ",ROUNDUP(IF('設定'!$B$9="税込",N($H738)*8/108,N($H738)*8/100),0),ROUNDDOWN(IF('設定'!$B$9="税込",N($H738)*8/108,N($H738)*8/100),0))))</f>
        <v/>
      </c>
      <c r="L738" s="28">
        <f>IF($A738="","",N($G738)+N($H738)+N($I738)+IF('設定'!$B$9="税込",0,$J738+$K738))</f>
        <v/>
      </c>
      <c r="M738" s="29">
        <f>IF(OR($A738="",NOT(ISNUMBER($W738)),NOT(ISNUMBER($X738))),"",IF(OR(INDEX('得意先'!$D$5:$D$104,$W738)="",INDEX('得意先'!$E$5:$E$104,$W738)="",INDEX('得意先'!$F$5:$F$104,$W738)=""),"",IF(INDEX('得意先'!$F$5:$F$104,$W738)="末",DATE(YEAR($X738),(MONTH($X738)+IF(INDEX('得意先'!$D$5:$D$104,$W738)="末",0,IF(DAY($X738)&lt;=INDEX('得意先'!$D$5:$D$104,$W738),0,1))+N(INDEX('得意先'!$E$5:$E$104,$W738)))+1,0),DATE(YEAR($X738),(MONTH($X738)+IF(INDEX('得意先'!$D$5:$D$104,$W738)="末",0,IF(DAY($X738)&lt;=INDEX('得意先'!$D$5:$D$104,$W738),0,1))+N(INDEX('得意先'!$E$5:$E$104,$W738))),MIN(INDEX('得意先'!$F$5:$F$104,$W738),DAY(DATE(YEAR($X738),(MONTH($X738)+IF(INDEX('得意先'!$D$5:$D$104,$W738)="末",0,IF(DAY($X738)&lt;=INDEX('得意先'!$D$5:$D$104,$W738),0,1))+N(INDEX('得意先'!$E$5:$E$104,$W738)))+1,0)))))))</f>
        <v/>
      </c>
      <c r="N738" s="26" t="n"/>
      <c r="O738" s="29">
        <f>IF($A738="","",IF(ISNUMBER($N738),$N738,$M738))</f>
        <v/>
      </c>
      <c r="P738" s="28">
        <f>IF($A738="","",SUMIF('入金消込'!$F$5:$F$1004,$A738,'入金消込'!$G$5:$G$1004))</f>
        <v/>
      </c>
      <c r="Q738" s="28">
        <f>IF($A738="","",SUMIF('入金消込'!$F$5:$F$1004,$A738,'入金消込'!$H$5:$H$1004)+SUMIF('入金消込'!$F$5:$F$1004,$A738,'入金消込'!$I$5:$I$1004))</f>
        <v/>
      </c>
      <c r="R738" s="28">
        <f>IF($A738="","",$L738-$P738-$Q738)</f>
        <v/>
      </c>
      <c r="S738" s="30">
        <f>IF($A738="","",IF($R738=0,IF($L738=0,"請求額0","回収済"),IF($L738&lt;0,IF($R738&lt;0,"差し引き待ち","差し引きすぎ"),IF($R738&lt;0,"入金が多い",IF($P738+$Q738=0,"未入金","一部入金")))))</f>
        <v/>
      </c>
      <c r="T738" s="31">
        <f>IF(OR($A738="",N($R738)&lt;=0,NOT(ISNUMBER($O738))),"",IF($O738&lt;'設定'!$B$7,'設定'!$B$7-$O738,""))</f>
        <v/>
      </c>
      <c r="U738" s="30">
        <f>IF(OR($A738="",N($R738)&lt;=0),"",IF(NOT(ISNUMBER($O738)),'設定'!$B$22,IF($O738&gt;='設定'!$B$7,'設定'!$B$17,IF('設定'!$B$7-$O738&lt;='設定'!$B$12,'設定'!$B$18,IF('設定'!$B$7-$O738&lt;='設定'!$B$13,'設定'!$B$19,IF('設定'!$B$7-$O738&lt;='設定'!$B$14,'設定'!$B$20,'設定'!$B$21))))))</f>
        <v/>
      </c>
      <c r="V738" s="56" t="n"/>
      <c r="W738" s="32">
        <f>IF($C738="","",IFERROR(MATCH($C738,'得意先'!$B$5:$B$104,0),"なし"))</f>
        <v/>
      </c>
      <c r="X738" s="33">
        <f>IF($A738="","",IF(ISNUMBER($E738),$E738,IF(ISNUMBER($B738),$B738,"")))</f>
        <v/>
      </c>
      <c r="Y738" s="34">
        <f>IF($T738="","",$O738+ROW()/1000000)</f>
        <v/>
      </c>
      <c r="Z738" s="35">
        <f>IF(OR($A738="",$C738="",$C738&lt;&gt;'売掛帳'!$B$3,NOT(ISNUMBER($X738))),"",IF(AND($X738&gt;='売掛帳'!$Q$3,$X738&lt;='売掛帳'!$Q$4),$X738+ROW()/10000000,""))</f>
        <v/>
      </c>
    </row>
    <row r="739" ht="18" customHeight="1">
      <c r="A739" s="18" t="n"/>
      <c r="B739" s="26" t="n"/>
      <c r="C739" s="18" t="n"/>
      <c r="D739" s="20">
        <f>IF($W739="","",IF($W739="なし","※得意先にないコード",INDEX('得意先'!$C$5:$C$104,$W739)&amp;""))</f>
        <v/>
      </c>
      <c r="E739" s="26" t="n"/>
      <c r="F739" s="19" t="n"/>
      <c r="G739" s="27" t="n"/>
      <c r="H739" s="27" t="n"/>
      <c r="I739" s="27" t="n"/>
      <c r="J739" s="28">
        <f>IF($A739="","",IF('設定'!$B$10="四捨五入",ROUND(IF('設定'!$B$9="税込",N($G739)*10/110,N($G739)*10/100),0),IF('設定'!$B$10="切り上げ",ROUNDUP(IF('設定'!$B$9="税込",N($G739)*10/110,N($G739)*10/100),0),ROUNDDOWN(IF('設定'!$B$9="税込",N($G739)*10/110,N($G739)*10/100),0))))</f>
        <v/>
      </c>
      <c r="K739" s="28">
        <f>IF($A739="","",IF('設定'!$B$10="四捨五入",ROUND(IF('設定'!$B$9="税込",N($H739)*8/108,N($H739)*8/100),0),IF('設定'!$B$10="切り上げ",ROUNDUP(IF('設定'!$B$9="税込",N($H739)*8/108,N($H739)*8/100),0),ROUNDDOWN(IF('設定'!$B$9="税込",N($H739)*8/108,N($H739)*8/100),0))))</f>
        <v/>
      </c>
      <c r="L739" s="28">
        <f>IF($A739="","",N($G739)+N($H739)+N($I739)+IF('設定'!$B$9="税込",0,$J739+$K739))</f>
        <v/>
      </c>
      <c r="M739" s="29">
        <f>IF(OR($A739="",NOT(ISNUMBER($W739)),NOT(ISNUMBER($X739))),"",IF(OR(INDEX('得意先'!$D$5:$D$104,$W739)="",INDEX('得意先'!$E$5:$E$104,$W739)="",INDEX('得意先'!$F$5:$F$104,$W739)=""),"",IF(INDEX('得意先'!$F$5:$F$104,$W739)="末",DATE(YEAR($X739),(MONTH($X739)+IF(INDEX('得意先'!$D$5:$D$104,$W739)="末",0,IF(DAY($X739)&lt;=INDEX('得意先'!$D$5:$D$104,$W739),0,1))+N(INDEX('得意先'!$E$5:$E$104,$W739)))+1,0),DATE(YEAR($X739),(MONTH($X739)+IF(INDEX('得意先'!$D$5:$D$104,$W739)="末",0,IF(DAY($X739)&lt;=INDEX('得意先'!$D$5:$D$104,$W739),0,1))+N(INDEX('得意先'!$E$5:$E$104,$W739))),MIN(INDEX('得意先'!$F$5:$F$104,$W739),DAY(DATE(YEAR($X739),(MONTH($X739)+IF(INDEX('得意先'!$D$5:$D$104,$W739)="末",0,IF(DAY($X739)&lt;=INDEX('得意先'!$D$5:$D$104,$W739),0,1))+N(INDEX('得意先'!$E$5:$E$104,$W739)))+1,0)))))))</f>
        <v/>
      </c>
      <c r="N739" s="26" t="n"/>
      <c r="O739" s="29">
        <f>IF($A739="","",IF(ISNUMBER($N739),$N739,$M739))</f>
        <v/>
      </c>
      <c r="P739" s="28">
        <f>IF($A739="","",SUMIF('入金消込'!$F$5:$F$1004,$A739,'入金消込'!$G$5:$G$1004))</f>
        <v/>
      </c>
      <c r="Q739" s="28">
        <f>IF($A739="","",SUMIF('入金消込'!$F$5:$F$1004,$A739,'入金消込'!$H$5:$H$1004)+SUMIF('入金消込'!$F$5:$F$1004,$A739,'入金消込'!$I$5:$I$1004))</f>
        <v/>
      </c>
      <c r="R739" s="28">
        <f>IF($A739="","",$L739-$P739-$Q739)</f>
        <v/>
      </c>
      <c r="S739" s="30">
        <f>IF($A739="","",IF($R739=0,IF($L739=0,"請求額0","回収済"),IF($L739&lt;0,IF($R739&lt;0,"差し引き待ち","差し引きすぎ"),IF($R739&lt;0,"入金が多い",IF($P739+$Q739=0,"未入金","一部入金")))))</f>
        <v/>
      </c>
      <c r="T739" s="31">
        <f>IF(OR($A739="",N($R739)&lt;=0,NOT(ISNUMBER($O739))),"",IF($O739&lt;'設定'!$B$7,'設定'!$B$7-$O739,""))</f>
        <v/>
      </c>
      <c r="U739" s="30">
        <f>IF(OR($A739="",N($R739)&lt;=0),"",IF(NOT(ISNUMBER($O739)),'設定'!$B$22,IF($O739&gt;='設定'!$B$7,'設定'!$B$17,IF('設定'!$B$7-$O739&lt;='設定'!$B$12,'設定'!$B$18,IF('設定'!$B$7-$O739&lt;='設定'!$B$13,'設定'!$B$19,IF('設定'!$B$7-$O739&lt;='設定'!$B$14,'設定'!$B$20,'設定'!$B$21))))))</f>
        <v/>
      </c>
      <c r="V739" s="56" t="n"/>
      <c r="W739" s="32">
        <f>IF($C739="","",IFERROR(MATCH($C739,'得意先'!$B$5:$B$104,0),"なし"))</f>
        <v/>
      </c>
      <c r="X739" s="33">
        <f>IF($A739="","",IF(ISNUMBER($E739),$E739,IF(ISNUMBER($B739),$B739,"")))</f>
        <v/>
      </c>
      <c r="Y739" s="34">
        <f>IF($T739="","",$O739+ROW()/1000000)</f>
        <v/>
      </c>
      <c r="Z739" s="35">
        <f>IF(OR($A739="",$C739="",$C739&lt;&gt;'売掛帳'!$B$3,NOT(ISNUMBER($X739))),"",IF(AND($X739&gt;='売掛帳'!$Q$3,$X739&lt;='売掛帳'!$Q$4),$X739+ROW()/10000000,""))</f>
        <v/>
      </c>
    </row>
    <row r="740" ht="18" customHeight="1">
      <c r="A740" s="18" t="n"/>
      <c r="B740" s="26" t="n"/>
      <c r="C740" s="18" t="n"/>
      <c r="D740" s="20">
        <f>IF($W740="","",IF($W740="なし","※得意先にないコード",INDEX('得意先'!$C$5:$C$104,$W740)&amp;""))</f>
        <v/>
      </c>
      <c r="E740" s="26" t="n"/>
      <c r="F740" s="19" t="n"/>
      <c r="G740" s="27" t="n"/>
      <c r="H740" s="27" t="n"/>
      <c r="I740" s="27" t="n"/>
      <c r="J740" s="28">
        <f>IF($A740="","",IF('設定'!$B$10="四捨五入",ROUND(IF('設定'!$B$9="税込",N($G740)*10/110,N($G740)*10/100),0),IF('設定'!$B$10="切り上げ",ROUNDUP(IF('設定'!$B$9="税込",N($G740)*10/110,N($G740)*10/100),0),ROUNDDOWN(IF('設定'!$B$9="税込",N($G740)*10/110,N($G740)*10/100),0))))</f>
        <v/>
      </c>
      <c r="K740" s="28">
        <f>IF($A740="","",IF('設定'!$B$10="四捨五入",ROUND(IF('設定'!$B$9="税込",N($H740)*8/108,N($H740)*8/100),0),IF('設定'!$B$10="切り上げ",ROUNDUP(IF('設定'!$B$9="税込",N($H740)*8/108,N($H740)*8/100),0),ROUNDDOWN(IF('設定'!$B$9="税込",N($H740)*8/108,N($H740)*8/100),0))))</f>
        <v/>
      </c>
      <c r="L740" s="28">
        <f>IF($A740="","",N($G740)+N($H740)+N($I740)+IF('設定'!$B$9="税込",0,$J740+$K740))</f>
        <v/>
      </c>
      <c r="M740" s="29">
        <f>IF(OR($A740="",NOT(ISNUMBER($W740)),NOT(ISNUMBER($X740))),"",IF(OR(INDEX('得意先'!$D$5:$D$104,$W740)="",INDEX('得意先'!$E$5:$E$104,$W740)="",INDEX('得意先'!$F$5:$F$104,$W740)=""),"",IF(INDEX('得意先'!$F$5:$F$104,$W740)="末",DATE(YEAR($X740),(MONTH($X740)+IF(INDEX('得意先'!$D$5:$D$104,$W740)="末",0,IF(DAY($X740)&lt;=INDEX('得意先'!$D$5:$D$104,$W740),0,1))+N(INDEX('得意先'!$E$5:$E$104,$W740)))+1,0),DATE(YEAR($X740),(MONTH($X740)+IF(INDEX('得意先'!$D$5:$D$104,$W740)="末",0,IF(DAY($X740)&lt;=INDEX('得意先'!$D$5:$D$104,$W740),0,1))+N(INDEX('得意先'!$E$5:$E$104,$W740))),MIN(INDEX('得意先'!$F$5:$F$104,$W740),DAY(DATE(YEAR($X740),(MONTH($X740)+IF(INDEX('得意先'!$D$5:$D$104,$W740)="末",0,IF(DAY($X740)&lt;=INDEX('得意先'!$D$5:$D$104,$W740),0,1))+N(INDEX('得意先'!$E$5:$E$104,$W740)))+1,0)))))))</f>
        <v/>
      </c>
      <c r="N740" s="26" t="n"/>
      <c r="O740" s="29">
        <f>IF($A740="","",IF(ISNUMBER($N740),$N740,$M740))</f>
        <v/>
      </c>
      <c r="P740" s="28">
        <f>IF($A740="","",SUMIF('入金消込'!$F$5:$F$1004,$A740,'入金消込'!$G$5:$G$1004))</f>
        <v/>
      </c>
      <c r="Q740" s="28">
        <f>IF($A740="","",SUMIF('入金消込'!$F$5:$F$1004,$A740,'入金消込'!$H$5:$H$1004)+SUMIF('入金消込'!$F$5:$F$1004,$A740,'入金消込'!$I$5:$I$1004))</f>
        <v/>
      </c>
      <c r="R740" s="28">
        <f>IF($A740="","",$L740-$P740-$Q740)</f>
        <v/>
      </c>
      <c r="S740" s="30">
        <f>IF($A740="","",IF($R740=0,IF($L740=0,"請求額0","回収済"),IF($L740&lt;0,IF($R740&lt;0,"差し引き待ち","差し引きすぎ"),IF($R740&lt;0,"入金が多い",IF($P740+$Q740=0,"未入金","一部入金")))))</f>
        <v/>
      </c>
      <c r="T740" s="31">
        <f>IF(OR($A740="",N($R740)&lt;=0,NOT(ISNUMBER($O740))),"",IF($O740&lt;'設定'!$B$7,'設定'!$B$7-$O740,""))</f>
        <v/>
      </c>
      <c r="U740" s="30">
        <f>IF(OR($A740="",N($R740)&lt;=0),"",IF(NOT(ISNUMBER($O740)),'設定'!$B$22,IF($O740&gt;='設定'!$B$7,'設定'!$B$17,IF('設定'!$B$7-$O740&lt;='設定'!$B$12,'設定'!$B$18,IF('設定'!$B$7-$O740&lt;='設定'!$B$13,'設定'!$B$19,IF('設定'!$B$7-$O740&lt;='設定'!$B$14,'設定'!$B$20,'設定'!$B$21))))))</f>
        <v/>
      </c>
      <c r="V740" s="56" t="n"/>
      <c r="W740" s="32">
        <f>IF($C740="","",IFERROR(MATCH($C740,'得意先'!$B$5:$B$104,0),"なし"))</f>
        <v/>
      </c>
      <c r="X740" s="33">
        <f>IF($A740="","",IF(ISNUMBER($E740),$E740,IF(ISNUMBER($B740),$B740,"")))</f>
        <v/>
      </c>
      <c r="Y740" s="34">
        <f>IF($T740="","",$O740+ROW()/1000000)</f>
        <v/>
      </c>
      <c r="Z740" s="35">
        <f>IF(OR($A740="",$C740="",$C740&lt;&gt;'売掛帳'!$B$3,NOT(ISNUMBER($X740))),"",IF(AND($X740&gt;='売掛帳'!$Q$3,$X740&lt;='売掛帳'!$Q$4),$X740+ROW()/10000000,""))</f>
        <v/>
      </c>
    </row>
    <row r="741" ht="18" customHeight="1">
      <c r="A741" s="18" t="n"/>
      <c r="B741" s="26" t="n"/>
      <c r="C741" s="18" t="n"/>
      <c r="D741" s="20">
        <f>IF($W741="","",IF($W741="なし","※得意先にないコード",INDEX('得意先'!$C$5:$C$104,$W741)&amp;""))</f>
        <v/>
      </c>
      <c r="E741" s="26" t="n"/>
      <c r="F741" s="19" t="n"/>
      <c r="G741" s="27" t="n"/>
      <c r="H741" s="27" t="n"/>
      <c r="I741" s="27" t="n"/>
      <c r="J741" s="28">
        <f>IF($A741="","",IF('設定'!$B$10="四捨五入",ROUND(IF('設定'!$B$9="税込",N($G741)*10/110,N($G741)*10/100),0),IF('設定'!$B$10="切り上げ",ROUNDUP(IF('設定'!$B$9="税込",N($G741)*10/110,N($G741)*10/100),0),ROUNDDOWN(IF('設定'!$B$9="税込",N($G741)*10/110,N($G741)*10/100),0))))</f>
        <v/>
      </c>
      <c r="K741" s="28">
        <f>IF($A741="","",IF('設定'!$B$10="四捨五入",ROUND(IF('設定'!$B$9="税込",N($H741)*8/108,N($H741)*8/100),0),IF('設定'!$B$10="切り上げ",ROUNDUP(IF('設定'!$B$9="税込",N($H741)*8/108,N($H741)*8/100),0),ROUNDDOWN(IF('設定'!$B$9="税込",N($H741)*8/108,N($H741)*8/100),0))))</f>
        <v/>
      </c>
      <c r="L741" s="28">
        <f>IF($A741="","",N($G741)+N($H741)+N($I741)+IF('設定'!$B$9="税込",0,$J741+$K741))</f>
        <v/>
      </c>
      <c r="M741" s="29">
        <f>IF(OR($A741="",NOT(ISNUMBER($W741)),NOT(ISNUMBER($X741))),"",IF(OR(INDEX('得意先'!$D$5:$D$104,$W741)="",INDEX('得意先'!$E$5:$E$104,$W741)="",INDEX('得意先'!$F$5:$F$104,$W741)=""),"",IF(INDEX('得意先'!$F$5:$F$104,$W741)="末",DATE(YEAR($X741),(MONTH($X741)+IF(INDEX('得意先'!$D$5:$D$104,$W741)="末",0,IF(DAY($X741)&lt;=INDEX('得意先'!$D$5:$D$104,$W741),0,1))+N(INDEX('得意先'!$E$5:$E$104,$W741)))+1,0),DATE(YEAR($X741),(MONTH($X741)+IF(INDEX('得意先'!$D$5:$D$104,$W741)="末",0,IF(DAY($X741)&lt;=INDEX('得意先'!$D$5:$D$104,$W741),0,1))+N(INDEX('得意先'!$E$5:$E$104,$W741))),MIN(INDEX('得意先'!$F$5:$F$104,$W741),DAY(DATE(YEAR($X741),(MONTH($X741)+IF(INDEX('得意先'!$D$5:$D$104,$W741)="末",0,IF(DAY($X741)&lt;=INDEX('得意先'!$D$5:$D$104,$W741),0,1))+N(INDEX('得意先'!$E$5:$E$104,$W741)))+1,0)))))))</f>
        <v/>
      </c>
      <c r="N741" s="26" t="n"/>
      <c r="O741" s="29">
        <f>IF($A741="","",IF(ISNUMBER($N741),$N741,$M741))</f>
        <v/>
      </c>
      <c r="P741" s="28">
        <f>IF($A741="","",SUMIF('入金消込'!$F$5:$F$1004,$A741,'入金消込'!$G$5:$G$1004))</f>
        <v/>
      </c>
      <c r="Q741" s="28">
        <f>IF($A741="","",SUMIF('入金消込'!$F$5:$F$1004,$A741,'入金消込'!$H$5:$H$1004)+SUMIF('入金消込'!$F$5:$F$1004,$A741,'入金消込'!$I$5:$I$1004))</f>
        <v/>
      </c>
      <c r="R741" s="28">
        <f>IF($A741="","",$L741-$P741-$Q741)</f>
        <v/>
      </c>
      <c r="S741" s="30">
        <f>IF($A741="","",IF($R741=0,IF($L741=0,"請求額0","回収済"),IF($L741&lt;0,IF($R741&lt;0,"差し引き待ち","差し引きすぎ"),IF($R741&lt;0,"入金が多い",IF($P741+$Q741=0,"未入金","一部入金")))))</f>
        <v/>
      </c>
      <c r="T741" s="31">
        <f>IF(OR($A741="",N($R741)&lt;=0,NOT(ISNUMBER($O741))),"",IF($O741&lt;'設定'!$B$7,'設定'!$B$7-$O741,""))</f>
        <v/>
      </c>
      <c r="U741" s="30">
        <f>IF(OR($A741="",N($R741)&lt;=0),"",IF(NOT(ISNUMBER($O741)),'設定'!$B$22,IF($O741&gt;='設定'!$B$7,'設定'!$B$17,IF('設定'!$B$7-$O741&lt;='設定'!$B$12,'設定'!$B$18,IF('設定'!$B$7-$O741&lt;='設定'!$B$13,'設定'!$B$19,IF('設定'!$B$7-$O741&lt;='設定'!$B$14,'設定'!$B$20,'設定'!$B$21))))))</f>
        <v/>
      </c>
      <c r="V741" s="56" t="n"/>
      <c r="W741" s="32">
        <f>IF($C741="","",IFERROR(MATCH($C741,'得意先'!$B$5:$B$104,0),"なし"))</f>
        <v/>
      </c>
      <c r="X741" s="33">
        <f>IF($A741="","",IF(ISNUMBER($E741),$E741,IF(ISNUMBER($B741),$B741,"")))</f>
        <v/>
      </c>
      <c r="Y741" s="34">
        <f>IF($T741="","",$O741+ROW()/1000000)</f>
        <v/>
      </c>
      <c r="Z741" s="35">
        <f>IF(OR($A741="",$C741="",$C741&lt;&gt;'売掛帳'!$B$3,NOT(ISNUMBER($X741))),"",IF(AND($X741&gt;='売掛帳'!$Q$3,$X741&lt;='売掛帳'!$Q$4),$X741+ROW()/10000000,""))</f>
        <v/>
      </c>
    </row>
    <row r="742" ht="18" customHeight="1">
      <c r="A742" s="18" t="n"/>
      <c r="B742" s="26" t="n"/>
      <c r="C742" s="18" t="n"/>
      <c r="D742" s="20">
        <f>IF($W742="","",IF($W742="なし","※得意先にないコード",INDEX('得意先'!$C$5:$C$104,$W742)&amp;""))</f>
        <v/>
      </c>
      <c r="E742" s="26" t="n"/>
      <c r="F742" s="19" t="n"/>
      <c r="G742" s="27" t="n"/>
      <c r="H742" s="27" t="n"/>
      <c r="I742" s="27" t="n"/>
      <c r="J742" s="28">
        <f>IF($A742="","",IF('設定'!$B$10="四捨五入",ROUND(IF('設定'!$B$9="税込",N($G742)*10/110,N($G742)*10/100),0),IF('設定'!$B$10="切り上げ",ROUNDUP(IF('設定'!$B$9="税込",N($G742)*10/110,N($G742)*10/100),0),ROUNDDOWN(IF('設定'!$B$9="税込",N($G742)*10/110,N($G742)*10/100),0))))</f>
        <v/>
      </c>
      <c r="K742" s="28">
        <f>IF($A742="","",IF('設定'!$B$10="四捨五入",ROUND(IF('設定'!$B$9="税込",N($H742)*8/108,N($H742)*8/100),0),IF('設定'!$B$10="切り上げ",ROUNDUP(IF('設定'!$B$9="税込",N($H742)*8/108,N($H742)*8/100),0),ROUNDDOWN(IF('設定'!$B$9="税込",N($H742)*8/108,N($H742)*8/100),0))))</f>
        <v/>
      </c>
      <c r="L742" s="28">
        <f>IF($A742="","",N($G742)+N($H742)+N($I742)+IF('設定'!$B$9="税込",0,$J742+$K742))</f>
        <v/>
      </c>
      <c r="M742" s="29">
        <f>IF(OR($A742="",NOT(ISNUMBER($W742)),NOT(ISNUMBER($X742))),"",IF(OR(INDEX('得意先'!$D$5:$D$104,$W742)="",INDEX('得意先'!$E$5:$E$104,$W742)="",INDEX('得意先'!$F$5:$F$104,$W742)=""),"",IF(INDEX('得意先'!$F$5:$F$104,$W742)="末",DATE(YEAR($X742),(MONTH($X742)+IF(INDEX('得意先'!$D$5:$D$104,$W742)="末",0,IF(DAY($X742)&lt;=INDEX('得意先'!$D$5:$D$104,$W742),0,1))+N(INDEX('得意先'!$E$5:$E$104,$W742)))+1,0),DATE(YEAR($X742),(MONTH($X742)+IF(INDEX('得意先'!$D$5:$D$104,$W742)="末",0,IF(DAY($X742)&lt;=INDEX('得意先'!$D$5:$D$104,$W742),0,1))+N(INDEX('得意先'!$E$5:$E$104,$W742))),MIN(INDEX('得意先'!$F$5:$F$104,$W742),DAY(DATE(YEAR($X742),(MONTH($X742)+IF(INDEX('得意先'!$D$5:$D$104,$W742)="末",0,IF(DAY($X742)&lt;=INDEX('得意先'!$D$5:$D$104,$W742),0,1))+N(INDEX('得意先'!$E$5:$E$104,$W742)))+1,0)))))))</f>
        <v/>
      </c>
      <c r="N742" s="26" t="n"/>
      <c r="O742" s="29">
        <f>IF($A742="","",IF(ISNUMBER($N742),$N742,$M742))</f>
        <v/>
      </c>
      <c r="P742" s="28">
        <f>IF($A742="","",SUMIF('入金消込'!$F$5:$F$1004,$A742,'入金消込'!$G$5:$G$1004))</f>
        <v/>
      </c>
      <c r="Q742" s="28">
        <f>IF($A742="","",SUMIF('入金消込'!$F$5:$F$1004,$A742,'入金消込'!$H$5:$H$1004)+SUMIF('入金消込'!$F$5:$F$1004,$A742,'入金消込'!$I$5:$I$1004))</f>
        <v/>
      </c>
      <c r="R742" s="28">
        <f>IF($A742="","",$L742-$P742-$Q742)</f>
        <v/>
      </c>
      <c r="S742" s="30">
        <f>IF($A742="","",IF($R742=0,IF($L742=0,"請求額0","回収済"),IF($L742&lt;0,IF($R742&lt;0,"差し引き待ち","差し引きすぎ"),IF($R742&lt;0,"入金が多い",IF($P742+$Q742=0,"未入金","一部入金")))))</f>
        <v/>
      </c>
      <c r="T742" s="31">
        <f>IF(OR($A742="",N($R742)&lt;=0,NOT(ISNUMBER($O742))),"",IF($O742&lt;'設定'!$B$7,'設定'!$B$7-$O742,""))</f>
        <v/>
      </c>
      <c r="U742" s="30">
        <f>IF(OR($A742="",N($R742)&lt;=0),"",IF(NOT(ISNUMBER($O742)),'設定'!$B$22,IF($O742&gt;='設定'!$B$7,'設定'!$B$17,IF('設定'!$B$7-$O742&lt;='設定'!$B$12,'設定'!$B$18,IF('設定'!$B$7-$O742&lt;='設定'!$B$13,'設定'!$B$19,IF('設定'!$B$7-$O742&lt;='設定'!$B$14,'設定'!$B$20,'設定'!$B$21))))))</f>
        <v/>
      </c>
      <c r="V742" s="56" t="n"/>
      <c r="W742" s="32">
        <f>IF($C742="","",IFERROR(MATCH($C742,'得意先'!$B$5:$B$104,0),"なし"))</f>
        <v/>
      </c>
      <c r="X742" s="33">
        <f>IF($A742="","",IF(ISNUMBER($E742),$E742,IF(ISNUMBER($B742),$B742,"")))</f>
        <v/>
      </c>
      <c r="Y742" s="34">
        <f>IF($T742="","",$O742+ROW()/1000000)</f>
        <v/>
      </c>
      <c r="Z742" s="35">
        <f>IF(OR($A742="",$C742="",$C742&lt;&gt;'売掛帳'!$B$3,NOT(ISNUMBER($X742))),"",IF(AND($X742&gt;='売掛帳'!$Q$3,$X742&lt;='売掛帳'!$Q$4),$X742+ROW()/10000000,""))</f>
        <v/>
      </c>
    </row>
    <row r="743" ht="18" customHeight="1">
      <c r="A743" s="18" t="n"/>
      <c r="B743" s="26" t="n"/>
      <c r="C743" s="18" t="n"/>
      <c r="D743" s="20">
        <f>IF($W743="","",IF($W743="なし","※得意先にないコード",INDEX('得意先'!$C$5:$C$104,$W743)&amp;""))</f>
        <v/>
      </c>
      <c r="E743" s="26" t="n"/>
      <c r="F743" s="19" t="n"/>
      <c r="G743" s="27" t="n"/>
      <c r="H743" s="27" t="n"/>
      <c r="I743" s="27" t="n"/>
      <c r="J743" s="28">
        <f>IF($A743="","",IF('設定'!$B$10="四捨五入",ROUND(IF('設定'!$B$9="税込",N($G743)*10/110,N($G743)*10/100),0),IF('設定'!$B$10="切り上げ",ROUNDUP(IF('設定'!$B$9="税込",N($G743)*10/110,N($G743)*10/100),0),ROUNDDOWN(IF('設定'!$B$9="税込",N($G743)*10/110,N($G743)*10/100),0))))</f>
        <v/>
      </c>
      <c r="K743" s="28">
        <f>IF($A743="","",IF('設定'!$B$10="四捨五入",ROUND(IF('設定'!$B$9="税込",N($H743)*8/108,N($H743)*8/100),0),IF('設定'!$B$10="切り上げ",ROUNDUP(IF('設定'!$B$9="税込",N($H743)*8/108,N($H743)*8/100),0),ROUNDDOWN(IF('設定'!$B$9="税込",N($H743)*8/108,N($H743)*8/100),0))))</f>
        <v/>
      </c>
      <c r="L743" s="28">
        <f>IF($A743="","",N($G743)+N($H743)+N($I743)+IF('設定'!$B$9="税込",0,$J743+$K743))</f>
        <v/>
      </c>
      <c r="M743" s="29">
        <f>IF(OR($A743="",NOT(ISNUMBER($W743)),NOT(ISNUMBER($X743))),"",IF(OR(INDEX('得意先'!$D$5:$D$104,$W743)="",INDEX('得意先'!$E$5:$E$104,$W743)="",INDEX('得意先'!$F$5:$F$104,$W743)=""),"",IF(INDEX('得意先'!$F$5:$F$104,$W743)="末",DATE(YEAR($X743),(MONTH($X743)+IF(INDEX('得意先'!$D$5:$D$104,$W743)="末",0,IF(DAY($X743)&lt;=INDEX('得意先'!$D$5:$D$104,$W743),0,1))+N(INDEX('得意先'!$E$5:$E$104,$W743)))+1,0),DATE(YEAR($X743),(MONTH($X743)+IF(INDEX('得意先'!$D$5:$D$104,$W743)="末",0,IF(DAY($X743)&lt;=INDEX('得意先'!$D$5:$D$104,$W743),0,1))+N(INDEX('得意先'!$E$5:$E$104,$W743))),MIN(INDEX('得意先'!$F$5:$F$104,$W743),DAY(DATE(YEAR($X743),(MONTH($X743)+IF(INDEX('得意先'!$D$5:$D$104,$W743)="末",0,IF(DAY($X743)&lt;=INDEX('得意先'!$D$5:$D$104,$W743),0,1))+N(INDEX('得意先'!$E$5:$E$104,$W743)))+1,0)))))))</f>
        <v/>
      </c>
      <c r="N743" s="26" t="n"/>
      <c r="O743" s="29">
        <f>IF($A743="","",IF(ISNUMBER($N743),$N743,$M743))</f>
        <v/>
      </c>
      <c r="P743" s="28">
        <f>IF($A743="","",SUMIF('入金消込'!$F$5:$F$1004,$A743,'入金消込'!$G$5:$G$1004))</f>
        <v/>
      </c>
      <c r="Q743" s="28">
        <f>IF($A743="","",SUMIF('入金消込'!$F$5:$F$1004,$A743,'入金消込'!$H$5:$H$1004)+SUMIF('入金消込'!$F$5:$F$1004,$A743,'入金消込'!$I$5:$I$1004))</f>
        <v/>
      </c>
      <c r="R743" s="28">
        <f>IF($A743="","",$L743-$P743-$Q743)</f>
        <v/>
      </c>
      <c r="S743" s="30">
        <f>IF($A743="","",IF($R743=0,IF($L743=0,"請求額0","回収済"),IF($L743&lt;0,IF($R743&lt;0,"差し引き待ち","差し引きすぎ"),IF($R743&lt;0,"入金が多い",IF($P743+$Q743=0,"未入金","一部入金")))))</f>
        <v/>
      </c>
      <c r="T743" s="31">
        <f>IF(OR($A743="",N($R743)&lt;=0,NOT(ISNUMBER($O743))),"",IF($O743&lt;'設定'!$B$7,'設定'!$B$7-$O743,""))</f>
        <v/>
      </c>
      <c r="U743" s="30">
        <f>IF(OR($A743="",N($R743)&lt;=0),"",IF(NOT(ISNUMBER($O743)),'設定'!$B$22,IF($O743&gt;='設定'!$B$7,'設定'!$B$17,IF('設定'!$B$7-$O743&lt;='設定'!$B$12,'設定'!$B$18,IF('設定'!$B$7-$O743&lt;='設定'!$B$13,'設定'!$B$19,IF('設定'!$B$7-$O743&lt;='設定'!$B$14,'設定'!$B$20,'設定'!$B$21))))))</f>
        <v/>
      </c>
      <c r="V743" s="56" t="n"/>
      <c r="W743" s="32">
        <f>IF($C743="","",IFERROR(MATCH($C743,'得意先'!$B$5:$B$104,0),"なし"))</f>
        <v/>
      </c>
      <c r="X743" s="33">
        <f>IF($A743="","",IF(ISNUMBER($E743),$E743,IF(ISNUMBER($B743),$B743,"")))</f>
        <v/>
      </c>
      <c r="Y743" s="34">
        <f>IF($T743="","",$O743+ROW()/1000000)</f>
        <v/>
      </c>
      <c r="Z743" s="35">
        <f>IF(OR($A743="",$C743="",$C743&lt;&gt;'売掛帳'!$B$3,NOT(ISNUMBER($X743))),"",IF(AND($X743&gt;='売掛帳'!$Q$3,$X743&lt;='売掛帳'!$Q$4),$X743+ROW()/10000000,""))</f>
        <v/>
      </c>
    </row>
    <row r="744" ht="18" customHeight="1">
      <c r="A744" s="18" t="n"/>
      <c r="B744" s="26" t="n"/>
      <c r="C744" s="18" t="n"/>
      <c r="D744" s="20">
        <f>IF($W744="","",IF($W744="なし","※得意先にないコード",INDEX('得意先'!$C$5:$C$104,$W744)&amp;""))</f>
        <v/>
      </c>
      <c r="E744" s="26" t="n"/>
      <c r="F744" s="19" t="n"/>
      <c r="G744" s="27" t="n"/>
      <c r="H744" s="27" t="n"/>
      <c r="I744" s="27" t="n"/>
      <c r="J744" s="28">
        <f>IF($A744="","",IF('設定'!$B$10="四捨五入",ROUND(IF('設定'!$B$9="税込",N($G744)*10/110,N($G744)*10/100),0),IF('設定'!$B$10="切り上げ",ROUNDUP(IF('設定'!$B$9="税込",N($G744)*10/110,N($G744)*10/100),0),ROUNDDOWN(IF('設定'!$B$9="税込",N($G744)*10/110,N($G744)*10/100),0))))</f>
        <v/>
      </c>
      <c r="K744" s="28">
        <f>IF($A744="","",IF('設定'!$B$10="四捨五入",ROUND(IF('設定'!$B$9="税込",N($H744)*8/108,N($H744)*8/100),0),IF('設定'!$B$10="切り上げ",ROUNDUP(IF('設定'!$B$9="税込",N($H744)*8/108,N($H744)*8/100),0),ROUNDDOWN(IF('設定'!$B$9="税込",N($H744)*8/108,N($H744)*8/100),0))))</f>
        <v/>
      </c>
      <c r="L744" s="28">
        <f>IF($A744="","",N($G744)+N($H744)+N($I744)+IF('設定'!$B$9="税込",0,$J744+$K744))</f>
        <v/>
      </c>
      <c r="M744" s="29">
        <f>IF(OR($A744="",NOT(ISNUMBER($W744)),NOT(ISNUMBER($X744))),"",IF(OR(INDEX('得意先'!$D$5:$D$104,$W744)="",INDEX('得意先'!$E$5:$E$104,$W744)="",INDEX('得意先'!$F$5:$F$104,$W744)=""),"",IF(INDEX('得意先'!$F$5:$F$104,$W744)="末",DATE(YEAR($X744),(MONTH($X744)+IF(INDEX('得意先'!$D$5:$D$104,$W744)="末",0,IF(DAY($X744)&lt;=INDEX('得意先'!$D$5:$D$104,$W744),0,1))+N(INDEX('得意先'!$E$5:$E$104,$W744)))+1,0),DATE(YEAR($X744),(MONTH($X744)+IF(INDEX('得意先'!$D$5:$D$104,$W744)="末",0,IF(DAY($X744)&lt;=INDEX('得意先'!$D$5:$D$104,$W744),0,1))+N(INDEX('得意先'!$E$5:$E$104,$W744))),MIN(INDEX('得意先'!$F$5:$F$104,$W744),DAY(DATE(YEAR($X744),(MONTH($X744)+IF(INDEX('得意先'!$D$5:$D$104,$W744)="末",0,IF(DAY($X744)&lt;=INDEX('得意先'!$D$5:$D$104,$W744),0,1))+N(INDEX('得意先'!$E$5:$E$104,$W744)))+1,0)))))))</f>
        <v/>
      </c>
      <c r="N744" s="26" t="n"/>
      <c r="O744" s="29">
        <f>IF($A744="","",IF(ISNUMBER($N744),$N744,$M744))</f>
        <v/>
      </c>
      <c r="P744" s="28">
        <f>IF($A744="","",SUMIF('入金消込'!$F$5:$F$1004,$A744,'入金消込'!$G$5:$G$1004))</f>
        <v/>
      </c>
      <c r="Q744" s="28">
        <f>IF($A744="","",SUMIF('入金消込'!$F$5:$F$1004,$A744,'入金消込'!$H$5:$H$1004)+SUMIF('入金消込'!$F$5:$F$1004,$A744,'入金消込'!$I$5:$I$1004))</f>
        <v/>
      </c>
      <c r="R744" s="28">
        <f>IF($A744="","",$L744-$P744-$Q744)</f>
        <v/>
      </c>
      <c r="S744" s="30">
        <f>IF($A744="","",IF($R744=0,IF($L744=0,"請求額0","回収済"),IF($L744&lt;0,IF($R744&lt;0,"差し引き待ち","差し引きすぎ"),IF($R744&lt;0,"入金が多い",IF($P744+$Q744=0,"未入金","一部入金")))))</f>
        <v/>
      </c>
      <c r="T744" s="31">
        <f>IF(OR($A744="",N($R744)&lt;=0,NOT(ISNUMBER($O744))),"",IF($O744&lt;'設定'!$B$7,'設定'!$B$7-$O744,""))</f>
        <v/>
      </c>
      <c r="U744" s="30">
        <f>IF(OR($A744="",N($R744)&lt;=0),"",IF(NOT(ISNUMBER($O744)),'設定'!$B$22,IF($O744&gt;='設定'!$B$7,'設定'!$B$17,IF('設定'!$B$7-$O744&lt;='設定'!$B$12,'設定'!$B$18,IF('設定'!$B$7-$O744&lt;='設定'!$B$13,'設定'!$B$19,IF('設定'!$B$7-$O744&lt;='設定'!$B$14,'設定'!$B$20,'設定'!$B$21))))))</f>
        <v/>
      </c>
      <c r="V744" s="56" t="n"/>
      <c r="W744" s="32">
        <f>IF($C744="","",IFERROR(MATCH($C744,'得意先'!$B$5:$B$104,0),"なし"))</f>
        <v/>
      </c>
      <c r="X744" s="33">
        <f>IF($A744="","",IF(ISNUMBER($E744),$E744,IF(ISNUMBER($B744),$B744,"")))</f>
        <v/>
      </c>
      <c r="Y744" s="34">
        <f>IF($T744="","",$O744+ROW()/1000000)</f>
        <v/>
      </c>
      <c r="Z744" s="35">
        <f>IF(OR($A744="",$C744="",$C744&lt;&gt;'売掛帳'!$B$3,NOT(ISNUMBER($X744))),"",IF(AND($X744&gt;='売掛帳'!$Q$3,$X744&lt;='売掛帳'!$Q$4),$X744+ROW()/10000000,""))</f>
        <v/>
      </c>
    </row>
    <row r="745" ht="18" customHeight="1">
      <c r="A745" s="18" t="n"/>
      <c r="B745" s="26" t="n"/>
      <c r="C745" s="18" t="n"/>
      <c r="D745" s="20">
        <f>IF($W745="","",IF($W745="なし","※得意先にないコード",INDEX('得意先'!$C$5:$C$104,$W745)&amp;""))</f>
        <v/>
      </c>
      <c r="E745" s="26" t="n"/>
      <c r="F745" s="19" t="n"/>
      <c r="G745" s="27" t="n"/>
      <c r="H745" s="27" t="n"/>
      <c r="I745" s="27" t="n"/>
      <c r="J745" s="28">
        <f>IF($A745="","",IF('設定'!$B$10="四捨五入",ROUND(IF('設定'!$B$9="税込",N($G745)*10/110,N($G745)*10/100),0),IF('設定'!$B$10="切り上げ",ROUNDUP(IF('設定'!$B$9="税込",N($G745)*10/110,N($G745)*10/100),0),ROUNDDOWN(IF('設定'!$B$9="税込",N($G745)*10/110,N($G745)*10/100),0))))</f>
        <v/>
      </c>
      <c r="K745" s="28">
        <f>IF($A745="","",IF('設定'!$B$10="四捨五入",ROUND(IF('設定'!$B$9="税込",N($H745)*8/108,N($H745)*8/100),0),IF('設定'!$B$10="切り上げ",ROUNDUP(IF('設定'!$B$9="税込",N($H745)*8/108,N($H745)*8/100),0),ROUNDDOWN(IF('設定'!$B$9="税込",N($H745)*8/108,N($H745)*8/100),0))))</f>
        <v/>
      </c>
      <c r="L745" s="28">
        <f>IF($A745="","",N($G745)+N($H745)+N($I745)+IF('設定'!$B$9="税込",0,$J745+$K745))</f>
        <v/>
      </c>
      <c r="M745" s="29">
        <f>IF(OR($A745="",NOT(ISNUMBER($W745)),NOT(ISNUMBER($X745))),"",IF(OR(INDEX('得意先'!$D$5:$D$104,$W745)="",INDEX('得意先'!$E$5:$E$104,$W745)="",INDEX('得意先'!$F$5:$F$104,$W745)=""),"",IF(INDEX('得意先'!$F$5:$F$104,$W745)="末",DATE(YEAR($X745),(MONTH($X745)+IF(INDEX('得意先'!$D$5:$D$104,$W745)="末",0,IF(DAY($X745)&lt;=INDEX('得意先'!$D$5:$D$104,$W745),0,1))+N(INDEX('得意先'!$E$5:$E$104,$W745)))+1,0),DATE(YEAR($X745),(MONTH($X745)+IF(INDEX('得意先'!$D$5:$D$104,$W745)="末",0,IF(DAY($X745)&lt;=INDEX('得意先'!$D$5:$D$104,$W745),0,1))+N(INDEX('得意先'!$E$5:$E$104,$W745))),MIN(INDEX('得意先'!$F$5:$F$104,$W745),DAY(DATE(YEAR($X745),(MONTH($X745)+IF(INDEX('得意先'!$D$5:$D$104,$W745)="末",0,IF(DAY($X745)&lt;=INDEX('得意先'!$D$5:$D$104,$W745),0,1))+N(INDEX('得意先'!$E$5:$E$104,$W745)))+1,0)))))))</f>
        <v/>
      </c>
      <c r="N745" s="26" t="n"/>
      <c r="O745" s="29">
        <f>IF($A745="","",IF(ISNUMBER($N745),$N745,$M745))</f>
        <v/>
      </c>
      <c r="P745" s="28">
        <f>IF($A745="","",SUMIF('入金消込'!$F$5:$F$1004,$A745,'入金消込'!$G$5:$G$1004))</f>
        <v/>
      </c>
      <c r="Q745" s="28">
        <f>IF($A745="","",SUMIF('入金消込'!$F$5:$F$1004,$A745,'入金消込'!$H$5:$H$1004)+SUMIF('入金消込'!$F$5:$F$1004,$A745,'入金消込'!$I$5:$I$1004))</f>
        <v/>
      </c>
      <c r="R745" s="28">
        <f>IF($A745="","",$L745-$P745-$Q745)</f>
        <v/>
      </c>
      <c r="S745" s="30">
        <f>IF($A745="","",IF($R745=0,IF($L745=0,"請求額0","回収済"),IF($L745&lt;0,IF($R745&lt;0,"差し引き待ち","差し引きすぎ"),IF($R745&lt;0,"入金が多い",IF($P745+$Q745=0,"未入金","一部入金")))))</f>
        <v/>
      </c>
      <c r="T745" s="31">
        <f>IF(OR($A745="",N($R745)&lt;=0,NOT(ISNUMBER($O745))),"",IF($O745&lt;'設定'!$B$7,'設定'!$B$7-$O745,""))</f>
        <v/>
      </c>
      <c r="U745" s="30">
        <f>IF(OR($A745="",N($R745)&lt;=0),"",IF(NOT(ISNUMBER($O745)),'設定'!$B$22,IF($O745&gt;='設定'!$B$7,'設定'!$B$17,IF('設定'!$B$7-$O745&lt;='設定'!$B$12,'設定'!$B$18,IF('設定'!$B$7-$O745&lt;='設定'!$B$13,'設定'!$B$19,IF('設定'!$B$7-$O745&lt;='設定'!$B$14,'設定'!$B$20,'設定'!$B$21))))))</f>
        <v/>
      </c>
      <c r="V745" s="56" t="n"/>
      <c r="W745" s="32">
        <f>IF($C745="","",IFERROR(MATCH($C745,'得意先'!$B$5:$B$104,0),"なし"))</f>
        <v/>
      </c>
      <c r="X745" s="33">
        <f>IF($A745="","",IF(ISNUMBER($E745),$E745,IF(ISNUMBER($B745),$B745,"")))</f>
        <v/>
      </c>
      <c r="Y745" s="34">
        <f>IF($T745="","",$O745+ROW()/1000000)</f>
        <v/>
      </c>
      <c r="Z745" s="35">
        <f>IF(OR($A745="",$C745="",$C745&lt;&gt;'売掛帳'!$B$3,NOT(ISNUMBER($X745))),"",IF(AND($X745&gt;='売掛帳'!$Q$3,$X745&lt;='売掛帳'!$Q$4),$X745+ROW()/10000000,""))</f>
        <v/>
      </c>
    </row>
    <row r="746" ht="18" customHeight="1">
      <c r="A746" s="18" t="n"/>
      <c r="B746" s="26" t="n"/>
      <c r="C746" s="18" t="n"/>
      <c r="D746" s="20">
        <f>IF($W746="","",IF($W746="なし","※得意先にないコード",INDEX('得意先'!$C$5:$C$104,$W746)&amp;""))</f>
        <v/>
      </c>
      <c r="E746" s="26" t="n"/>
      <c r="F746" s="19" t="n"/>
      <c r="G746" s="27" t="n"/>
      <c r="H746" s="27" t="n"/>
      <c r="I746" s="27" t="n"/>
      <c r="J746" s="28">
        <f>IF($A746="","",IF('設定'!$B$10="四捨五入",ROUND(IF('設定'!$B$9="税込",N($G746)*10/110,N($G746)*10/100),0),IF('設定'!$B$10="切り上げ",ROUNDUP(IF('設定'!$B$9="税込",N($G746)*10/110,N($G746)*10/100),0),ROUNDDOWN(IF('設定'!$B$9="税込",N($G746)*10/110,N($G746)*10/100),0))))</f>
        <v/>
      </c>
      <c r="K746" s="28">
        <f>IF($A746="","",IF('設定'!$B$10="四捨五入",ROUND(IF('設定'!$B$9="税込",N($H746)*8/108,N($H746)*8/100),0),IF('設定'!$B$10="切り上げ",ROUNDUP(IF('設定'!$B$9="税込",N($H746)*8/108,N($H746)*8/100),0),ROUNDDOWN(IF('設定'!$B$9="税込",N($H746)*8/108,N($H746)*8/100),0))))</f>
        <v/>
      </c>
      <c r="L746" s="28">
        <f>IF($A746="","",N($G746)+N($H746)+N($I746)+IF('設定'!$B$9="税込",0,$J746+$K746))</f>
        <v/>
      </c>
      <c r="M746" s="29">
        <f>IF(OR($A746="",NOT(ISNUMBER($W746)),NOT(ISNUMBER($X746))),"",IF(OR(INDEX('得意先'!$D$5:$D$104,$W746)="",INDEX('得意先'!$E$5:$E$104,$W746)="",INDEX('得意先'!$F$5:$F$104,$W746)=""),"",IF(INDEX('得意先'!$F$5:$F$104,$W746)="末",DATE(YEAR($X746),(MONTH($X746)+IF(INDEX('得意先'!$D$5:$D$104,$W746)="末",0,IF(DAY($X746)&lt;=INDEX('得意先'!$D$5:$D$104,$W746),0,1))+N(INDEX('得意先'!$E$5:$E$104,$W746)))+1,0),DATE(YEAR($X746),(MONTH($X746)+IF(INDEX('得意先'!$D$5:$D$104,$W746)="末",0,IF(DAY($X746)&lt;=INDEX('得意先'!$D$5:$D$104,$W746),0,1))+N(INDEX('得意先'!$E$5:$E$104,$W746))),MIN(INDEX('得意先'!$F$5:$F$104,$W746),DAY(DATE(YEAR($X746),(MONTH($X746)+IF(INDEX('得意先'!$D$5:$D$104,$W746)="末",0,IF(DAY($X746)&lt;=INDEX('得意先'!$D$5:$D$104,$W746),0,1))+N(INDEX('得意先'!$E$5:$E$104,$W746)))+1,0)))))))</f>
        <v/>
      </c>
      <c r="N746" s="26" t="n"/>
      <c r="O746" s="29">
        <f>IF($A746="","",IF(ISNUMBER($N746),$N746,$M746))</f>
        <v/>
      </c>
      <c r="P746" s="28">
        <f>IF($A746="","",SUMIF('入金消込'!$F$5:$F$1004,$A746,'入金消込'!$G$5:$G$1004))</f>
        <v/>
      </c>
      <c r="Q746" s="28">
        <f>IF($A746="","",SUMIF('入金消込'!$F$5:$F$1004,$A746,'入金消込'!$H$5:$H$1004)+SUMIF('入金消込'!$F$5:$F$1004,$A746,'入金消込'!$I$5:$I$1004))</f>
        <v/>
      </c>
      <c r="R746" s="28">
        <f>IF($A746="","",$L746-$P746-$Q746)</f>
        <v/>
      </c>
      <c r="S746" s="30">
        <f>IF($A746="","",IF($R746=0,IF($L746=0,"請求額0","回収済"),IF($L746&lt;0,IF($R746&lt;0,"差し引き待ち","差し引きすぎ"),IF($R746&lt;0,"入金が多い",IF($P746+$Q746=0,"未入金","一部入金")))))</f>
        <v/>
      </c>
      <c r="T746" s="31">
        <f>IF(OR($A746="",N($R746)&lt;=0,NOT(ISNUMBER($O746))),"",IF($O746&lt;'設定'!$B$7,'設定'!$B$7-$O746,""))</f>
        <v/>
      </c>
      <c r="U746" s="30">
        <f>IF(OR($A746="",N($R746)&lt;=0),"",IF(NOT(ISNUMBER($O746)),'設定'!$B$22,IF($O746&gt;='設定'!$B$7,'設定'!$B$17,IF('設定'!$B$7-$O746&lt;='設定'!$B$12,'設定'!$B$18,IF('設定'!$B$7-$O746&lt;='設定'!$B$13,'設定'!$B$19,IF('設定'!$B$7-$O746&lt;='設定'!$B$14,'設定'!$B$20,'設定'!$B$21))))))</f>
        <v/>
      </c>
      <c r="V746" s="56" t="n"/>
      <c r="W746" s="32">
        <f>IF($C746="","",IFERROR(MATCH($C746,'得意先'!$B$5:$B$104,0),"なし"))</f>
        <v/>
      </c>
      <c r="X746" s="33">
        <f>IF($A746="","",IF(ISNUMBER($E746),$E746,IF(ISNUMBER($B746),$B746,"")))</f>
        <v/>
      </c>
      <c r="Y746" s="34">
        <f>IF($T746="","",$O746+ROW()/1000000)</f>
        <v/>
      </c>
      <c r="Z746" s="35">
        <f>IF(OR($A746="",$C746="",$C746&lt;&gt;'売掛帳'!$B$3,NOT(ISNUMBER($X746))),"",IF(AND($X746&gt;='売掛帳'!$Q$3,$X746&lt;='売掛帳'!$Q$4),$X746+ROW()/10000000,""))</f>
        <v/>
      </c>
    </row>
    <row r="747" ht="18" customHeight="1">
      <c r="A747" s="18" t="n"/>
      <c r="B747" s="26" t="n"/>
      <c r="C747" s="18" t="n"/>
      <c r="D747" s="20">
        <f>IF($W747="","",IF($W747="なし","※得意先にないコード",INDEX('得意先'!$C$5:$C$104,$W747)&amp;""))</f>
        <v/>
      </c>
      <c r="E747" s="26" t="n"/>
      <c r="F747" s="19" t="n"/>
      <c r="G747" s="27" t="n"/>
      <c r="H747" s="27" t="n"/>
      <c r="I747" s="27" t="n"/>
      <c r="J747" s="28">
        <f>IF($A747="","",IF('設定'!$B$10="四捨五入",ROUND(IF('設定'!$B$9="税込",N($G747)*10/110,N($G747)*10/100),0),IF('設定'!$B$10="切り上げ",ROUNDUP(IF('設定'!$B$9="税込",N($G747)*10/110,N($G747)*10/100),0),ROUNDDOWN(IF('設定'!$B$9="税込",N($G747)*10/110,N($G747)*10/100),0))))</f>
        <v/>
      </c>
      <c r="K747" s="28">
        <f>IF($A747="","",IF('設定'!$B$10="四捨五入",ROUND(IF('設定'!$B$9="税込",N($H747)*8/108,N($H747)*8/100),0),IF('設定'!$B$10="切り上げ",ROUNDUP(IF('設定'!$B$9="税込",N($H747)*8/108,N($H747)*8/100),0),ROUNDDOWN(IF('設定'!$B$9="税込",N($H747)*8/108,N($H747)*8/100),0))))</f>
        <v/>
      </c>
      <c r="L747" s="28">
        <f>IF($A747="","",N($G747)+N($H747)+N($I747)+IF('設定'!$B$9="税込",0,$J747+$K747))</f>
        <v/>
      </c>
      <c r="M747" s="29">
        <f>IF(OR($A747="",NOT(ISNUMBER($W747)),NOT(ISNUMBER($X747))),"",IF(OR(INDEX('得意先'!$D$5:$D$104,$W747)="",INDEX('得意先'!$E$5:$E$104,$W747)="",INDEX('得意先'!$F$5:$F$104,$W747)=""),"",IF(INDEX('得意先'!$F$5:$F$104,$W747)="末",DATE(YEAR($X747),(MONTH($X747)+IF(INDEX('得意先'!$D$5:$D$104,$W747)="末",0,IF(DAY($X747)&lt;=INDEX('得意先'!$D$5:$D$104,$W747),0,1))+N(INDEX('得意先'!$E$5:$E$104,$W747)))+1,0),DATE(YEAR($X747),(MONTH($X747)+IF(INDEX('得意先'!$D$5:$D$104,$W747)="末",0,IF(DAY($X747)&lt;=INDEX('得意先'!$D$5:$D$104,$W747),0,1))+N(INDEX('得意先'!$E$5:$E$104,$W747))),MIN(INDEX('得意先'!$F$5:$F$104,$W747),DAY(DATE(YEAR($X747),(MONTH($X747)+IF(INDEX('得意先'!$D$5:$D$104,$W747)="末",0,IF(DAY($X747)&lt;=INDEX('得意先'!$D$5:$D$104,$W747),0,1))+N(INDEX('得意先'!$E$5:$E$104,$W747)))+1,0)))))))</f>
        <v/>
      </c>
      <c r="N747" s="26" t="n"/>
      <c r="O747" s="29">
        <f>IF($A747="","",IF(ISNUMBER($N747),$N747,$M747))</f>
        <v/>
      </c>
      <c r="P747" s="28">
        <f>IF($A747="","",SUMIF('入金消込'!$F$5:$F$1004,$A747,'入金消込'!$G$5:$G$1004))</f>
        <v/>
      </c>
      <c r="Q747" s="28">
        <f>IF($A747="","",SUMIF('入金消込'!$F$5:$F$1004,$A747,'入金消込'!$H$5:$H$1004)+SUMIF('入金消込'!$F$5:$F$1004,$A747,'入金消込'!$I$5:$I$1004))</f>
        <v/>
      </c>
      <c r="R747" s="28">
        <f>IF($A747="","",$L747-$P747-$Q747)</f>
        <v/>
      </c>
      <c r="S747" s="30">
        <f>IF($A747="","",IF($R747=0,IF($L747=0,"請求額0","回収済"),IF($L747&lt;0,IF($R747&lt;0,"差し引き待ち","差し引きすぎ"),IF($R747&lt;0,"入金が多い",IF($P747+$Q747=0,"未入金","一部入金")))))</f>
        <v/>
      </c>
      <c r="T747" s="31">
        <f>IF(OR($A747="",N($R747)&lt;=0,NOT(ISNUMBER($O747))),"",IF($O747&lt;'設定'!$B$7,'設定'!$B$7-$O747,""))</f>
        <v/>
      </c>
      <c r="U747" s="30">
        <f>IF(OR($A747="",N($R747)&lt;=0),"",IF(NOT(ISNUMBER($O747)),'設定'!$B$22,IF($O747&gt;='設定'!$B$7,'設定'!$B$17,IF('設定'!$B$7-$O747&lt;='設定'!$B$12,'設定'!$B$18,IF('設定'!$B$7-$O747&lt;='設定'!$B$13,'設定'!$B$19,IF('設定'!$B$7-$O747&lt;='設定'!$B$14,'設定'!$B$20,'設定'!$B$21))))))</f>
        <v/>
      </c>
      <c r="V747" s="56" t="n"/>
      <c r="W747" s="32">
        <f>IF($C747="","",IFERROR(MATCH($C747,'得意先'!$B$5:$B$104,0),"なし"))</f>
        <v/>
      </c>
      <c r="X747" s="33">
        <f>IF($A747="","",IF(ISNUMBER($E747),$E747,IF(ISNUMBER($B747),$B747,"")))</f>
        <v/>
      </c>
      <c r="Y747" s="34">
        <f>IF($T747="","",$O747+ROW()/1000000)</f>
        <v/>
      </c>
      <c r="Z747" s="35">
        <f>IF(OR($A747="",$C747="",$C747&lt;&gt;'売掛帳'!$B$3,NOT(ISNUMBER($X747))),"",IF(AND($X747&gt;='売掛帳'!$Q$3,$X747&lt;='売掛帳'!$Q$4),$X747+ROW()/10000000,""))</f>
        <v/>
      </c>
    </row>
    <row r="748" ht="18" customHeight="1">
      <c r="A748" s="18" t="n"/>
      <c r="B748" s="26" t="n"/>
      <c r="C748" s="18" t="n"/>
      <c r="D748" s="20">
        <f>IF($W748="","",IF($W748="なし","※得意先にないコード",INDEX('得意先'!$C$5:$C$104,$W748)&amp;""))</f>
        <v/>
      </c>
      <c r="E748" s="26" t="n"/>
      <c r="F748" s="19" t="n"/>
      <c r="G748" s="27" t="n"/>
      <c r="H748" s="27" t="n"/>
      <c r="I748" s="27" t="n"/>
      <c r="J748" s="28">
        <f>IF($A748="","",IF('設定'!$B$10="四捨五入",ROUND(IF('設定'!$B$9="税込",N($G748)*10/110,N($G748)*10/100),0),IF('設定'!$B$10="切り上げ",ROUNDUP(IF('設定'!$B$9="税込",N($G748)*10/110,N($G748)*10/100),0),ROUNDDOWN(IF('設定'!$B$9="税込",N($G748)*10/110,N($G748)*10/100),0))))</f>
        <v/>
      </c>
      <c r="K748" s="28">
        <f>IF($A748="","",IF('設定'!$B$10="四捨五入",ROUND(IF('設定'!$B$9="税込",N($H748)*8/108,N($H748)*8/100),0),IF('設定'!$B$10="切り上げ",ROUNDUP(IF('設定'!$B$9="税込",N($H748)*8/108,N($H748)*8/100),0),ROUNDDOWN(IF('設定'!$B$9="税込",N($H748)*8/108,N($H748)*8/100),0))))</f>
        <v/>
      </c>
      <c r="L748" s="28">
        <f>IF($A748="","",N($G748)+N($H748)+N($I748)+IF('設定'!$B$9="税込",0,$J748+$K748))</f>
        <v/>
      </c>
      <c r="M748" s="29">
        <f>IF(OR($A748="",NOT(ISNUMBER($W748)),NOT(ISNUMBER($X748))),"",IF(OR(INDEX('得意先'!$D$5:$D$104,$W748)="",INDEX('得意先'!$E$5:$E$104,$W748)="",INDEX('得意先'!$F$5:$F$104,$W748)=""),"",IF(INDEX('得意先'!$F$5:$F$104,$W748)="末",DATE(YEAR($X748),(MONTH($X748)+IF(INDEX('得意先'!$D$5:$D$104,$W748)="末",0,IF(DAY($X748)&lt;=INDEX('得意先'!$D$5:$D$104,$W748),0,1))+N(INDEX('得意先'!$E$5:$E$104,$W748)))+1,0),DATE(YEAR($X748),(MONTH($X748)+IF(INDEX('得意先'!$D$5:$D$104,$W748)="末",0,IF(DAY($X748)&lt;=INDEX('得意先'!$D$5:$D$104,$W748),0,1))+N(INDEX('得意先'!$E$5:$E$104,$W748))),MIN(INDEX('得意先'!$F$5:$F$104,$W748),DAY(DATE(YEAR($X748),(MONTH($X748)+IF(INDEX('得意先'!$D$5:$D$104,$W748)="末",0,IF(DAY($X748)&lt;=INDEX('得意先'!$D$5:$D$104,$W748),0,1))+N(INDEX('得意先'!$E$5:$E$104,$W748)))+1,0)))))))</f>
        <v/>
      </c>
      <c r="N748" s="26" t="n"/>
      <c r="O748" s="29">
        <f>IF($A748="","",IF(ISNUMBER($N748),$N748,$M748))</f>
        <v/>
      </c>
      <c r="P748" s="28">
        <f>IF($A748="","",SUMIF('入金消込'!$F$5:$F$1004,$A748,'入金消込'!$G$5:$G$1004))</f>
        <v/>
      </c>
      <c r="Q748" s="28">
        <f>IF($A748="","",SUMIF('入金消込'!$F$5:$F$1004,$A748,'入金消込'!$H$5:$H$1004)+SUMIF('入金消込'!$F$5:$F$1004,$A748,'入金消込'!$I$5:$I$1004))</f>
        <v/>
      </c>
      <c r="R748" s="28">
        <f>IF($A748="","",$L748-$P748-$Q748)</f>
        <v/>
      </c>
      <c r="S748" s="30">
        <f>IF($A748="","",IF($R748=0,IF($L748=0,"請求額0","回収済"),IF($L748&lt;0,IF($R748&lt;0,"差し引き待ち","差し引きすぎ"),IF($R748&lt;0,"入金が多い",IF($P748+$Q748=0,"未入金","一部入金")))))</f>
        <v/>
      </c>
      <c r="T748" s="31">
        <f>IF(OR($A748="",N($R748)&lt;=0,NOT(ISNUMBER($O748))),"",IF($O748&lt;'設定'!$B$7,'設定'!$B$7-$O748,""))</f>
        <v/>
      </c>
      <c r="U748" s="30">
        <f>IF(OR($A748="",N($R748)&lt;=0),"",IF(NOT(ISNUMBER($O748)),'設定'!$B$22,IF($O748&gt;='設定'!$B$7,'設定'!$B$17,IF('設定'!$B$7-$O748&lt;='設定'!$B$12,'設定'!$B$18,IF('設定'!$B$7-$O748&lt;='設定'!$B$13,'設定'!$B$19,IF('設定'!$B$7-$O748&lt;='設定'!$B$14,'設定'!$B$20,'設定'!$B$21))))))</f>
        <v/>
      </c>
      <c r="V748" s="56" t="n"/>
      <c r="W748" s="32">
        <f>IF($C748="","",IFERROR(MATCH($C748,'得意先'!$B$5:$B$104,0),"なし"))</f>
        <v/>
      </c>
      <c r="X748" s="33">
        <f>IF($A748="","",IF(ISNUMBER($E748),$E748,IF(ISNUMBER($B748),$B748,"")))</f>
        <v/>
      </c>
      <c r="Y748" s="34">
        <f>IF($T748="","",$O748+ROW()/1000000)</f>
        <v/>
      </c>
      <c r="Z748" s="35">
        <f>IF(OR($A748="",$C748="",$C748&lt;&gt;'売掛帳'!$B$3,NOT(ISNUMBER($X748))),"",IF(AND($X748&gt;='売掛帳'!$Q$3,$X748&lt;='売掛帳'!$Q$4),$X748+ROW()/10000000,""))</f>
        <v/>
      </c>
    </row>
    <row r="749" ht="18" customHeight="1">
      <c r="A749" s="18" t="n"/>
      <c r="B749" s="26" t="n"/>
      <c r="C749" s="18" t="n"/>
      <c r="D749" s="20">
        <f>IF($W749="","",IF($W749="なし","※得意先にないコード",INDEX('得意先'!$C$5:$C$104,$W749)&amp;""))</f>
        <v/>
      </c>
      <c r="E749" s="26" t="n"/>
      <c r="F749" s="19" t="n"/>
      <c r="G749" s="27" t="n"/>
      <c r="H749" s="27" t="n"/>
      <c r="I749" s="27" t="n"/>
      <c r="J749" s="28">
        <f>IF($A749="","",IF('設定'!$B$10="四捨五入",ROUND(IF('設定'!$B$9="税込",N($G749)*10/110,N($G749)*10/100),0),IF('設定'!$B$10="切り上げ",ROUNDUP(IF('設定'!$B$9="税込",N($G749)*10/110,N($G749)*10/100),0),ROUNDDOWN(IF('設定'!$B$9="税込",N($G749)*10/110,N($G749)*10/100),0))))</f>
        <v/>
      </c>
      <c r="K749" s="28">
        <f>IF($A749="","",IF('設定'!$B$10="四捨五入",ROUND(IF('設定'!$B$9="税込",N($H749)*8/108,N($H749)*8/100),0),IF('設定'!$B$10="切り上げ",ROUNDUP(IF('設定'!$B$9="税込",N($H749)*8/108,N($H749)*8/100),0),ROUNDDOWN(IF('設定'!$B$9="税込",N($H749)*8/108,N($H749)*8/100),0))))</f>
        <v/>
      </c>
      <c r="L749" s="28">
        <f>IF($A749="","",N($G749)+N($H749)+N($I749)+IF('設定'!$B$9="税込",0,$J749+$K749))</f>
        <v/>
      </c>
      <c r="M749" s="29">
        <f>IF(OR($A749="",NOT(ISNUMBER($W749)),NOT(ISNUMBER($X749))),"",IF(OR(INDEX('得意先'!$D$5:$D$104,$W749)="",INDEX('得意先'!$E$5:$E$104,$W749)="",INDEX('得意先'!$F$5:$F$104,$W749)=""),"",IF(INDEX('得意先'!$F$5:$F$104,$W749)="末",DATE(YEAR($X749),(MONTH($X749)+IF(INDEX('得意先'!$D$5:$D$104,$W749)="末",0,IF(DAY($X749)&lt;=INDEX('得意先'!$D$5:$D$104,$W749),0,1))+N(INDEX('得意先'!$E$5:$E$104,$W749)))+1,0),DATE(YEAR($X749),(MONTH($X749)+IF(INDEX('得意先'!$D$5:$D$104,$W749)="末",0,IF(DAY($X749)&lt;=INDEX('得意先'!$D$5:$D$104,$W749),0,1))+N(INDEX('得意先'!$E$5:$E$104,$W749))),MIN(INDEX('得意先'!$F$5:$F$104,$W749),DAY(DATE(YEAR($X749),(MONTH($X749)+IF(INDEX('得意先'!$D$5:$D$104,$W749)="末",0,IF(DAY($X749)&lt;=INDEX('得意先'!$D$5:$D$104,$W749),0,1))+N(INDEX('得意先'!$E$5:$E$104,$W749)))+1,0)))))))</f>
        <v/>
      </c>
      <c r="N749" s="26" t="n"/>
      <c r="O749" s="29">
        <f>IF($A749="","",IF(ISNUMBER($N749),$N749,$M749))</f>
        <v/>
      </c>
      <c r="P749" s="28">
        <f>IF($A749="","",SUMIF('入金消込'!$F$5:$F$1004,$A749,'入金消込'!$G$5:$G$1004))</f>
        <v/>
      </c>
      <c r="Q749" s="28">
        <f>IF($A749="","",SUMIF('入金消込'!$F$5:$F$1004,$A749,'入金消込'!$H$5:$H$1004)+SUMIF('入金消込'!$F$5:$F$1004,$A749,'入金消込'!$I$5:$I$1004))</f>
        <v/>
      </c>
      <c r="R749" s="28">
        <f>IF($A749="","",$L749-$P749-$Q749)</f>
        <v/>
      </c>
      <c r="S749" s="30">
        <f>IF($A749="","",IF($R749=0,IF($L749=0,"請求額0","回収済"),IF($L749&lt;0,IF($R749&lt;0,"差し引き待ち","差し引きすぎ"),IF($R749&lt;0,"入金が多い",IF($P749+$Q749=0,"未入金","一部入金")))))</f>
        <v/>
      </c>
      <c r="T749" s="31">
        <f>IF(OR($A749="",N($R749)&lt;=0,NOT(ISNUMBER($O749))),"",IF($O749&lt;'設定'!$B$7,'設定'!$B$7-$O749,""))</f>
        <v/>
      </c>
      <c r="U749" s="30">
        <f>IF(OR($A749="",N($R749)&lt;=0),"",IF(NOT(ISNUMBER($O749)),'設定'!$B$22,IF($O749&gt;='設定'!$B$7,'設定'!$B$17,IF('設定'!$B$7-$O749&lt;='設定'!$B$12,'設定'!$B$18,IF('設定'!$B$7-$O749&lt;='設定'!$B$13,'設定'!$B$19,IF('設定'!$B$7-$O749&lt;='設定'!$B$14,'設定'!$B$20,'設定'!$B$21))))))</f>
        <v/>
      </c>
      <c r="V749" s="56" t="n"/>
      <c r="W749" s="32">
        <f>IF($C749="","",IFERROR(MATCH($C749,'得意先'!$B$5:$B$104,0),"なし"))</f>
        <v/>
      </c>
      <c r="X749" s="33">
        <f>IF($A749="","",IF(ISNUMBER($E749),$E749,IF(ISNUMBER($B749),$B749,"")))</f>
        <v/>
      </c>
      <c r="Y749" s="34">
        <f>IF($T749="","",$O749+ROW()/1000000)</f>
        <v/>
      </c>
      <c r="Z749" s="35">
        <f>IF(OR($A749="",$C749="",$C749&lt;&gt;'売掛帳'!$B$3,NOT(ISNUMBER($X749))),"",IF(AND($X749&gt;='売掛帳'!$Q$3,$X749&lt;='売掛帳'!$Q$4),$X749+ROW()/10000000,""))</f>
        <v/>
      </c>
    </row>
    <row r="750" ht="18" customHeight="1">
      <c r="A750" s="18" t="n"/>
      <c r="B750" s="26" t="n"/>
      <c r="C750" s="18" t="n"/>
      <c r="D750" s="20">
        <f>IF($W750="","",IF($W750="なし","※得意先にないコード",INDEX('得意先'!$C$5:$C$104,$W750)&amp;""))</f>
        <v/>
      </c>
      <c r="E750" s="26" t="n"/>
      <c r="F750" s="19" t="n"/>
      <c r="G750" s="27" t="n"/>
      <c r="H750" s="27" t="n"/>
      <c r="I750" s="27" t="n"/>
      <c r="J750" s="28">
        <f>IF($A750="","",IF('設定'!$B$10="四捨五入",ROUND(IF('設定'!$B$9="税込",N($G750)*10/110,N($G750)*10/100),0),IF('設定'!$B$10="切り上げ",ROUNDUP(IF('設定'!$B$9="税込",N($G750)*10/110,N($G750)*10/100),0),ROUNDDOWN(IF('設定'!$B$9="税込",N($G750)*10/110,N($G750)*10/100),0))))</f>
        <v/>
      </c>
      <c r="K750" s="28">
        <f>IF($A750="","",IF('設定'!$B$10="四捨五入",ROUND(IF('設定'!$B$9="税込",N($H750)*8/108,N($H750)*8/100),0),IF('設定'!$B$10="切り上げ",ROUNDUP(IF('設定'!$B$9="税込",N($H750)*8/108,N($H750)*8/100),0),ROUNDDOWN(IF('設定'!$B$9="税込",N($H750)*8/108,N($H750)*8/100),0))))</f>
        <v/>
      </c>
      <c r="L750" s="28">
        <f>IF($A750="","",N($G750)+N($H750)+N($I750)+IF('設定'!$B$9="税込",0,$J750+$K750))</f>
        <v/>
      </c>
      <c r="M750" s="29">
        <f>IF(OR($A750="",NOT(ISNUMBER($W750)),NOT(ISNUMBER($X750))),"",IF(OR(INDEX('得意先'!$D$5:$D$104,$W750)="",INDEX('得意先'!$E$5:$E$104,$W750)="",INDEX('得意先'!$F$5:$F$104,$W750)=""),"",IF(INDEX('得意先'!$F$5:$F$104,$W750)="末",DATE(YEAR($X750),(MONTH($X750)+IF(INDEX('得意先'!$D$5:$D$104,$W750)="末",0,IF(DAY($X750)&lt;=INDEX('得意先'!$D$5:$D$104,$W750),0,1))+N(INDEX('得意先'!$E$5:$E$104,$W750)))+1,0),DATE(YEAR($X750),(MONTH($X750)+IF(INDEX('得意先'!$D$5:$D$104,$W750)="末",0,IF(DAY($X750)&lt;=INDEX('得意先'!$D$5:$D$104,$W750),0,1))+N(INDEX('得意先'!$E$5:$E$104,$W750))),MIN(INDEX('得意先'!$F$5:$F$104,$W750),DAY(DATE(YEAR($X750),(MONTH($X750)+IF(INDEX('得意先'!$D$5:$D$104,$W750)="末",0,IF(DAY($X750)&lt;=INDEX('得意先'!$D$5:$D$104,$W750),0,1))+N(INDEX('得意先'!$E$5:$E$104,$W750)))+1,0)))))))</f>
        <v/>
      </c>
      <c r="N750" s="26" t="n"/>
      <c r="O750" s="29">
        <f>IF($A750="","",IF(ISNUMBER($N750),$N750,$M750))</f>
        <v/>
      </c>
      <c r="P750" s="28">
        <f>IF($A750="","",SUMIF('入金消込'!$F$5:$F$1004,$A750,'入金消込'!$G$5:$G$1004))</f>
        <v/>
      </c>
      <c r="Q750" s="28">
        <f>IF($A750="","",SUMIF('入金消込'!$F$5:$F$1004,$A750,'入金消込'!$H$5:$H$1004)+SUMIF('入金消込'!$F$5:$F$1004,$A750,'入金消込'!$I$5:$I$1004))</f>
        <v/>
      </c>
      <c r="R750" s="28">
        <f>IF($A750="","",$L750-$P750-$Q750)</f>
        <v/>
      </c>
      <c r="S750" s="30">
        <f>IF($A750="","",IF($R750=0,IF($L750=0,"請求額0","回収済"),IF($L750&lt;0,IF($R750&lt;0,"差し引き待ち","差し引きすぎ"),IF($R750&lt;0,"入金が多い",IF($P750+$Q750=0,"未入金","一部入金")))))</f>
        <v/>
      </c>
      <c r="T750" s="31">
        <f>IF(OR($A750="",N($R750)&lt;=0,NOT(ISNUMBER($O750))),"",IF($O750&lt;'設定'!$B$7,'設定'!$B$7-$O750,""))</f>
        <v/>
      </c>
      <c r="U750" s="30">
        <f>IF(OR($A750="",N($R750)&lt;=0),"",IF(NOT(ISNUMBER($O750)),'設定'!$B$22,IF($O750&gt;='設定'!$B$7,'設定'!$B$17,IF('設定'!$B$7-$O750&lt;='設定'!$B$12,'設定'!$B$18,IF('設定'!$B$7-$O750&lt;='設定'!$B$13,'設定'!$B$19,IF('設定'!$B$7-$O750&lt;='設定'!$B$14,'設定'!$B$20,'設定'!$B$21))))))</f>
        <v/>
      </c>
      <c r="V750" s="56" t="n"/>
      <c r="W750" s="32">
        <f>IF($C750="","",IFERROR(MATCH($C750,'得意先'!$B$5:$B$104,0),"なし"))</f>
        <v/>
      </c>
      <c r="X750" s="33">
        <f>IF($A750="","",IF(ISNUMBER($E750),$E750,IF(ISNUMBER($B750),$B750,"")))</f>
        <v/>
      </c>
      <c r="Y750" s="34">
        <f>IF($T750="","",$O750+ROW()/1000000)</f>
        <v/>
      </c>
      <c r="Z750" s="35">
        <f>IF(OR($A750="",$C750="",$C750&lt;&gt;'売掛帳'!$B$3,NOT(ISNUMBER($X750))),"",IF(AND($X750&gt;='売掛帳'!$Q$3,$X750&lt;='売掛帳'!$Q$4),$X750+ROW()/10000000,""))</f>
        <v/>
      </c>
    </row>
    <row r="751" ht="18" customHeight="1">
      <c r="A751" s="18" t="n"/>
      <c r="B751" s="26" t="n"/>
      <c r="C751" s="18" t="n"/>
      <c r="D751" s="20">
        <f>IF($W751="","",IF($W751="なし","※得意先にないコード",INDEX('得意先'!$C$5:$C$104,$W751)&amp;""))</f>
        <v/>
      </c>
      <c r="E751" s="26" t="n"/>
      <c r="F751" s="19" t="n"/>
      <c r="G751" s="27" t="n"/>
      <c r="H751" s="27" t="n"/>
      <c r="I751" s="27" t="n"/>
      <c r="J751" s="28">
        <f>IF($A751="","",IF('設定'!$B$10="四捨五入",ROUND(IF('設定'!$B$9="税込",N($G751)*10/110,N($G751)*10/100),0),IF('設定'!$B$10="切り上げ",ROUNDUP(IF('設定'!$B$9="税込",N($G751)*10/110,N($G751)*10/100),0),ROUNDDOWN(IF('設定'!$B$9="税込",N($G751)*10/110,N($G751)*10/100),0))))</f>
        <v/>
      </c>
      <c r="K751" s="28">
        <f>IF($A751="","",IF('設定'!$B$10="四捨五入",ROUND(IF('設定'!$B$9="税込",N($H751)*8/108,N($H751)*8/100),0),IF('設定'!$B$10="切り上げ",ROUNDUP(IF('設定'!$B$9="税込",N($H751)*8/108,N($H751)*8/100),0),ROUNDDOWN(IF('設定'!$B$9="税込",N($H751)*8/108,N($H751)*8/100),0))))</f>
        <v/>
      </c>
      <c r="L751" s="28">
        <f>IF($A751="","",N($G751)+N($H751)+N($I751)+IF('設定'!$B$9="税込",0,$J751+$K751))</f>
        <v/>
      </c>
      <c r="M751" s="29">
        <f>IF(OR($A751="",NOT(ISNUMBER($W751)),NOT(ISNUMBER($X751))),"",IF(OR(INDEX('得意先'!$D$5:$D$104,$W751)="",INDEX('得意先'!$E$5:$E$104,$W751)="",INDEX('得意先'!$F$5:$F$104,$W751)=""),"",IF(INDEX('得意先'!$F$5:$F$104,$W751)="末",DATE(YEAR($X751),(MONTH($X751)+IF(INDEX('得意先'!$D$5:$D$104,$W751)="末",0,IF(DAY($X751)&lt;=INDEX('得意先'!$D$5:$D$104,$W751),0,1))+N(INDEX('得意先'!$E$5:$E$104,$W751)))+1,0),DATE(YEAR($X751),(MONTH($X751)+IF(INDEX('得意先'!$D$5:$D$104,$W751)="末",0,IF(DAY($X751)&lt;=INDEX('得意先'!$D$5:$D$104,$W751),0,1))+N(INDEX('得意先'!$E$5:$E$104,$W751))),MIN(INDEX('得意先'!$F$5:$F$104,$W751),DAY(DATE(YEAR($X751),(MONTH($X751)+IF(INDEX('得意先'!$D$5:$D$104,$W751)="末",0,IF(DAY($X751)&lt;=INDEX('得意先'!$D$5:$D$104,$W751),0,1))+N(INDEX('得意先'!$E$5:$E$104,$W751)))+1,0)))))))</f>
        <v/>
      </c>
      <c r="N751" s="26" t="n"/>
      <c r="O751" s="29">
        <f>IF($A751="","",IF(ISNUMBER($N751),$N751,$M751))</f>
        <v/>
      </c>
      <c r="P751" s="28">
        <f>IF($A751="","",SUMIF('入金消込'!$F$5:$F$1004,$A751,'入金消込'!$G$5:$G$1004))</f>
        <v/>
      </c>
      <c r="Q751" s="28">
        <f>IF($A751="","",SUMIF('入金消込'!$F$5:$F$1004,$A751,'入金消込'!$H$5:$H$1004)+SUMIF('入金消込'!$F$5:$F$1004,$A751,'入金消込'!$I$5:$I$1004))</f>
        <v/>
      </c>
      <c r="R751" s="28">
        <f>IF($A751="","",$L751-$P751-$Q751)</f>
        <v/>
      </c>
      <c r="S751" s="30">
        <f>IF($A751="","",IF($R751=0,IF($L751=0,"請求額0","回収済"),IF($L751&lt;0,IF($R751&lt;0,"差し引き待ち","差し引きすぎ"),IF($R751&lt;0,"入金が多い",IF($P751+$Q751=0,"未入金","一部入金")))))</f>
        <v/>
      </c>
      <c r="T751" s="31">
        <f>IF(OR($A751="",N($R751)&lt;=0,NOT(ISNUMBER($O751))),"",IF($O751&lt;'設定'!$B$7,'設定'!$B$7-$O751,""))</f>
        <v/>
      </c>
      <c r="U751" s="30">
        <f>IF(OR($A751="",N($R751)&lt;=0),"",IF(NOT(ISNUMBER($O751)),'設定'!$B$22,IF($O751&gt;='設定'!$B$7,'設定'!$B$17,IF('設定'!$B$7-$O751&lt;='設定'!$B$12,'設定'!$B$18,IF('設定'!$B$7-$O751&lt;='設定'!$B$13,'設定'!$B$19,IF('設定'!$B$7-$O751&lt;='設定'!$B$14,'設定'!$B$20,'設定'!$B$21))))))</f>
        <v/>
      </c>
      <c r="V751" s="56" t="n"/>
      <c r="W751" s="32">
        <f>IF($C751="","",IFERROR(MATCH($C751,'得意先'!$B$5:$B$104,0),"なし"))</f>
        <v/>
      </c>
      <c r="X751" s="33">
        <f>IF($A751="","",IF(ISNUMBER($E751),$E751,IF(ISNUMBER($B751),$B751,"")))</f>
        <v/>
      </c>
      <c r="Y751" s="34">
        <f>IF($T751="","",$O751+ROW()/1000000)</f>
        <v/>
      </c>
      <c r="Z751" s="35">
        <f>IF(OR($A751="",$C751="",$C751&lt;&gt;'売掛帳'!$B$3,NOT(ISNUMBER($X751))),"",IF(AND($X751&gt;='売掛帳'!$Q$3,$X751&lt;='売掛帳'!$Q$4),$X751+ROW()/10000000,""))</f>
        <v/>
      </c>
    </row>
    <row r="752" ht="18" customHeight="1">
      <c r="A752" s="18" t="n"/>
      <c r="B752" s="26" t="n"/>
      <c r="C752" s="18" t="n"/>
      <c r="D752" s="20">
        <f>IF($W752="","",IF($W752="なし","※得意先にないコード",INDEX('得意先'!$C$5:$C$104,$W752)&amp;""))</f>
        <v/>
      </c>
      <c r="E752" s="26" t="n"/>
      <c r="F752" s="19" t="n"/>
      <c r="G752" s="27" t="n"/>
      <c r="H752" s="27" t="n"/>
      <c r="I752" s="27" t="n"/>
      <c r="J752" s="28">
        <f>IF($A752="","",IF('設定'!$B$10="四捨五入",ROUND(IF('設定'!$B$9="税込",N($G752)*10/110,N($G752)*10/100),0),IF('設定'!$B$10="切り上げ",ROUNDUP(IF('設定'!$B$9="税込",N($G752)*10/110,N($G752)*10/100),0),ROUNDDOWN(IF('設定'!$B$9="税込",N($G752)*10/110,N($G752)*10/100),0))))</f>
        <v/>
      </c>
      <c r="K752" s="28">
        <f>IF($A752="","",IF('設定'!$B$10="四捨五入",ROUND(IF('設定'!$B$9="税込",N($H752)*8/108,N($H752)*8/100),0),IF('設定'!$B$10="切り上げ",ROUNDUP(IF('設定'!$B$9="税込",N($H752)*8/108,N($H752)*8/100),0),ROUNDDOWN(IF('設定'!$B$9="税込",N($H752)*8/108,N($H752)*8/100),0))))</f>
        <v/>
      </c>
      <c r="L752" s="28">
        <f>IF($A752="","",N($G752)+N($H752)+N($I752)+IF('設定'!$B$9="税込",0,$J752+$K752))</f>
        <v/>
      </c>
      <c r="M752" s="29">
        <f>IF(OR($A752="",NOT(ISNUMBER($W752)),NOT(ISNUMBER($X752))),"",IF(OR(INDEX('得意先'!$D$5:$D$104,$W752)="",INDEX('得意先'!$E$5:$E$104,$W752)="",INDEX('得意先'!$F$5:$F$104,$W752)=""),"",IF(INDEX('得意先'!$F$5:$F$104,$W752)="末",DATE(YEAR($X752),(MONTH($X752)+IF(INDEX('得意先'!$D$5:$D$104,$W752)="末",0,IF(DAY($X752)&lt;=INDEX('得意先'!$D$5:$D$104,$W752),0,1))+N(INDEX('得意先'!$E$5:$E$104,$W752)))+1,0),DATE(YEAR($X752),(MONTH($X752)+IF(INDEX('得意先'!$D$5:$D$104,$W752)="末",0,IF(DAY($X752)&lt;=INDEX('得意先'!$D$5:$D$104,$W752),0,1))+N(INDEX('得意先'!$E$5:$E$104,$W752))),MIN(INDEX('得意先'!$F$5:$F$104,$W752),DAY(DATE(YEAR($X752),(MONTH($X752)+IF(INDEX('得意先'!$D$5:$D$104,$W752)="末",0,IF(DAY($X752)&lt;=INDEX('得意先'!$D$5:$D$104,$W752),0,1))+N(INDEX('得意先'!$E$5:$E$104,$W752)))+1,0)))))))</f>
        <v/>
      </c>
      <c r="N752" s="26" t="n"/>
      <c r="O752" s="29">
        <f>IF($A752="","",IF(ISNUMBER($N752),$N752,$M752))</f>
        <v/>
      </c>
      <c r="P752" s="28">
        <f>IF($A752="","",SUMIF('入金消込'!$F$5:$F$1004,$A752,'入金消込'!$G$5:$G$1004))</f>
        <v/>
      </c>
      <c r="Q752" s="28">
        <f>IF($A752="","",SUMIF('入金消込'!$F$5:$F$1004,$A752,'入金消込'!$H$5:$H$1004)+SUMIF('入金消込'!$F$5:$F$1004,$A752,'入金消込'!$I$5:$I$1004))</f>
        <v/>
      </c>
      <c r="R752" s="28">
        <f>IF($A752="","",$L752-$P752-$Q752)</f>
        <v/>
      </c>
      <c r="S752" s="30">
        <f>IF($A752="","",IF($R752=0,IF($L752=0,"請求額0","回収済"),IF($L752&lt;0,IF($R752&lt;0,"差し引き待ち","差し引きすぎ"),IF($R752&lt;0,"入金が多い",IF($P752+$Q752=0,"未入金","一部入金")))))</f>
        <v/>
      </c>
      <c r="T752" s="31">
        <f>IF(OR($A752="",N($R752)&lt;=0,NOT(ISNUMBER($O752))),"",IF($O752&lt;'設定'!$B$7,'設定'!$B$7-$O752,""))</f>
        <v/>
      </c>
      <c r="U752" s="30">
        <f>IF(OR($A752="",N($R752)&lt;=0),"",IF(NOT(ISNUMBER($O752)),'設定'!$B$22,IF($O752&gt;='設定'!$B$7,'設定'!$B$17,IF('設定'!$B$7-$O752&lt;='設定'!$B$12,'設定'!$B$18,IF('設定'!$B$7-$O752&lt;='設定'!$B$13,'設定'!$B$19,IF('設定'!$B$7-$O752&lt;='設定'!$B$14,'設定'!$B$20,'設定'!$B$21))))))</f>
        <v/>
      </c>
      <c r="V752" s="56" t="n"/>
      <c r="W752" s="32">
        <f>IF($C752="","",IFERROR(MATCH($C752,'得意先'!$B$5:$B$104,0),"なし"))</f>
        <v/>
      </c>
      <c r="X752" s="33">
        <f>IF($A752="","",IF(ISNUMBER($E752),$E752,IF(ISNUMBER($B752),$B752,"")))</f>
        <v/>
      </c>
      <c r="Y752" s="34">
        <f>IF($T752="","",$O752+ROW()/1000000)</f>
        <v/>
      </c>
      <c r="Z752" s="35">
        <f>IF(OR($A752="",$C752="",$C752&lt;&gt;'売掛帳'!$B$3,NOT(ISNUMBER($X752))),"",IF(AND($X752&gt;='売掛帳'!$Q$3,$X752&lt;='売掛帳'!$Q$4),$X752+ROW()/10000000,""))</f>
        <v/>
      </c>
    </row>
    <row r="753" ht="18" customHeight="1">
      <c r="A753" s="18" t="n"/>
      <c r="B753" s="26" t="n"/>
      <c r="C753" s="18" t="n"/>
      <c r="D753" s="20">
        <f>IF($W753="","",IF($W753="なし","※得意先にないコード",INDEX('得意先'!$C$5:$C$104,$W753)&amp;""))</f>
        <v/>
      </c>
      <c r="E753" s="26" t="n"/>
      <c r="F753" s="19" t="n"/>
      <c r="G753" s="27" t="n"/>
      <c r="H753" s="27" t="n"/>
      <c r="I753" s="27" t="n"/>
      <c r="J753" s="28">
        <f>IF($A753="","",IF('設定'!$B$10="四捨五入",ROUND(IF('設定'!$B$9="税込",N($G753)*10/110,N($G753)*10/100),0),IF('設定'!$B$10="切り上げ",ROUNDUP(IF('設定'!$B$9="税込",N($G753)*10/110,N($G753)*10/100),0),ROUNDDOWN(IF('設定'!$B$9="税込",N($G753)*10/110,N($G753)*10/100),0))))</f>
        <v/>
      </c>
      <c r="K753" s="28">
        <f>IF($A753="","",IF('設定'!$B$10="四捨五入",ROUND(IF('設定'!$B$9="税込",N($H753)*8/108,N($H753)*8/100),0),IF('設定'!$B$10="切り上げ",ROUNDUP(IF('設定'!$B$9="税込",N($H753)*8/108,N($H753)*8/100),0),ROUNDDOWN(IF('設定'!$B$9="税込",N($H753)*8/108,N($H753)*8/100),0))))</f>
        <v/>
      </c>
      <c r="L753" s="28">
        <f>IF($A753="","",N($G753)+N($H753)+N($I753)+IF('設定'!$B$9="税込",0,$J753+$K753))</f>
        <v/>
      </c>
      <c r="M753" s="29">
        <f>IF(OR($A753="",NOT(ISNUMBER($W753)),NOT(ISNUMBER($X753))),"",IF(OR(INDEX('得意先'!$D$5:$D$104,$W753)="",INDEX('得意先'!$E$5:$E$104,$W753)="",INDEX('得意先'!$F$5:$F$104,$W753)=""),"",IF(INDEX('得意先'!$F$5:$F$104,$W753)="末",DATE(YEAR($X753),(MONTH($X753)+IF(INDEX('得意先'!$D$5:$D$104,$W753)="末",0,IF(DAY($X753)&lt;=INDEX('得意先'!$D$5:$D$104,$W753),0,1))+N(INDEX('得意先'!$E$5:$E$104,$W753)))+1,0),DATE(YEAR($X753),(MONTH($X753)+IF(INDEX('得意先'!$D$5:$D$104,$W753)="末",0,IF(DAY($X753)&lt;=INDEX('得意先'!$D$5:$D$104,$W753),0,1))+N(INDEX('得意先'!$E$5:$E$104,$W753))),MIN(INDEX('得意先'!$F$5:$F$104,$W753),DAY(DATE(YEAR($X753),(MONTH($X753)+IF(INDEX('得意先'!$D$5:$D$104,$W753)="末",0,IF(DAY($X753)&lt;=INDEX('得意先'!$D$5:$D$104,$W753),0,1))+N(INDEX('得意先'!$E$5:$E$104,$W753)))+1,0)))))))</f>
        <v/>
      </c>
      <c r="N753" s="26" t="n"/>
      <c r="O753" s="29">
        <f>IF($A753="","",IF(ISNUMBER($N753),$N753,$M753))</f>
        <v/>
      </c>
      <c r="P753" s="28">
        <f>IF($A753="","",SUMIF('入金消込'!$F$5:$F$1004,$A753,'入金消込'!$G$5:$G$1004))</f>
        <v/>
      </c>
      <c r="Q753" s="28">
        <f>IF($A753="","",SUMIF('入金消込'!$F$5:$F$1004,$A753,'入金消込'!$H$5:$H$1004)+SUMIF('入金消込'!$F$5:$F$1004,$A753,'入金消込'!$I$5:$I$1004))</f>
        <v/>
      </c>
      <c r="R753" s="28">
        <f>IF($A753="","",$L753-$P753-$Q753)</f>
        <v/>
      </c>
      <c r="S753" s="30">
        <f>IF($A753="","",IF($R753=0,IF($L753=0,"請求額0","回収済"),IF($L753&lt;0,IF($R753&lt;0,"差し引き待ち","差し引きすぎ"),IF($R753&lt;0,"入金が多い",IF($P753+$Q753=0,"未入金","一部入金")))))</f>
        <v/>
      </c>
      <c r="T753" s="31">
        <f>IF(OR($A753="",N($R753)&lt;=0,NOT(ISNUMBER($O753))),"",IF($O753&lt;'設定'!$B$7,'設定'!$B$7-$O753,""))</f>
        <v/>
      </c>
      <c r="U753" s="30">
        <f>IF(OR($A753="",N($R753)&lt;=0),"",IF(NOT(ISNUMBER($O753)),'設定'!$B$22,IF($O753&gt;='設定'!$B$7,'設定'!$B$17,IF('設定'!$B$7-$O753&lt;='設定'!$B$12,'設定'!$B$18,IF('設定'!$B$7-$O753&lt;='設定'!$B$13,'設定'!$B$19,IF('設定'!$B$7-$O753&lt;='設定'!$B$14,'設定'!$B$20,'設定'!$B$21))))))</f>
        <v/>
      </c>
      <c r="V753" s="56" t="n"/>
      <c r="W753" s="32">
        <f>IF($C753="","",IFERROR(MATCH($C753,'得意先'!$B$5:$B$104,0),"なし"))</f>
        <v/>
      </c>
      <c r="X753" s="33">
        <f>IF($A753="","",IF(ISNUMBER($E753),$E753,IF(ISNUMBER($B753),$B753,"")))</f>
        <v/>
      </c>
      <c r="Y753" s="34">
        <f>IF($T753="","",$O753+ROW()/1000000)</f>
        <v/>
      </c>
      <c r="Z753" s="35">
        <f>IF(OR($A753="",$C753="",$C753&lt;&gt;'売掛帳'!$B$3,NOT(ISNUMBER($X753))),"",IF(AND($X753&gt;='売掛帳'!$Q$3,$X753&lt;='売掛帳'!$Q$4),$X753+ROW()/10000000,""))</f>
        <v/>
      </c>
    </row>
    <row r="754" ht="18" customHeight="1">
      <c r="A754" s="18" t="n"/>
      <c r="B754" s="26" t="n"/>
      <c r="C754" s="18" t="n"/>
      <c r="D754" s="20">
        <f>IF($W754="","",IF($W754="なし","※得意先にないコード",INDEX('得意先'!$C$5:$C$104,$W754)&amp;""))</f>
        <v/>
      </c>
      <c r="E754" s="26" t="n"/>
      <c r="F754" s="19" t="n"/>
      <c r="G754" s="27" t="n"/>
      <c r="H754" s="27" t="n"/>
      <c r="I754" s="27" t="n"/>
      <c r="J754" s="28">
        <f>IF($A754="","",IF('設定'!$B$10="四捨五入",ROUND(IF('設定'!$B$9="税込",N($G754)*10/110,N($G754)*10/100),0),IF('設定'!$B$10="切り上げ",ROUNDUP(IF('設定'!$B$9="税込",N($G754)*10/110,N($G754)*10/100),0),ROUNDDOWN(IF('設定'!$B$9="税込",N($G754)*10/110,N($G754)*10/100),0))))</f>
        <v/>
      </c>
      <c r="K754" s="28">
        <f>IF($A754="","",IF('設定'!$B$10="四捨五入",ROUND(IF('設定'!$B$9="税込",N($H754)*8/108,N($H754)*8/100),0),IF('設定'!$B$10="切り上げ",ROUNDUP(IF('設定'!$B$9="税込",N($H754)*8/108,N($H754)*8/100),0),ROUNDDOWN(IF('設定'!$B$9="税込",N($H754)*8/108,N($H754)*8/100),0))))</f>
        <v/>
      </c>
      <c r="L754" s="28">
        <f>IF($A754="","",N($G754)+N($H754)+N($I754)+IF('設定'!$B$9="税込",0,$J754+$K754))</f>
        <v/>
      </c>
      <c r="M754" s="29">
        <f>IF(OR($A754="",NOT(ISNUMBER($W754)),NOT(ISNUMBER($X754))),"",IF(OR(INDEX('得意先'!$D$5:$D$104,$W754)="",INDEX('得意先'!$E$5:$E$104,$W754)="",INDEX('得意先'!$F$5:$F$104,$W754)=""),"",IF(INDEX('得意先'!$F$5:$F$104,$W754)="末",DATE(YEAR($X754),(MONTH($X754)+IF(INDEX('得意先'!$D$5:$D$104,$W754)="末",0,IF(DAY($X754)&lt;=INDEX('得意先'!$D$5:$D$104,$W754),0,1))+N(INDEX('得意先'!$E$5:$E$104,$W754)))+1,0),DATE(YEAR($X754),(MONTH($X754)+IF(INDEX('得意先'!$D$5:$D$104,$W754)="末",0,IF(DAY($X754)&lt;=INDEX('得意先'!$D$5:$D$104,$W754),0,1))+N(INDEX('得意先'!$E$5:$E$104,$W754))),MIN(INDEX('得意先'!$F$5:$F$104,$W754),DAY(DATE(YEAR($X754),(MONTH($X754)+IF(INDEX('得意先'!$D$5:$D$104,$W754)="末",0,IF(DAY($X754)&lt;=INDEX('得意先'!$D$5:$D$104,$W754),0,1))+N(INDEX('得意先'!$E$5:$E$104,$W754)))+1,0)))))))</f>
        <v/>
      </c>
      <c r="N754" s="26" t="n"/>
      <c r="O754" s="29">
        <f>IF($A754="","",IF(ISNUMBER($N754),$N754,$M754))</f>
        <v/>
      </c>
      <c r="P754" s="28">
        <f>IF($A754="","",SUMIF('入金消込'!$F$5:$F$1004,$A754,'入金消込'!$G$5:$G$1004))</f>
        <v/>
      </c>
      <c r="Q754" s="28">
        <f>IF($A754="","",SUMIF('入金消込'!$F$5:$F$1004,$A754,'入金消込'!$H$5:$H$1004)+SUMIF('入金消込'!$F$5:$F$1004,$A754,'入金消込'!$I$5:$I$1004))</f>
        <v/>
      </c>
      <c r="R754" s="28">
        <f>IF($A754="","",$L754-$P754-$Q754)</f>
        <v/>
      </c>
      <c r="S754" s="30">
        <f>IF($A754="","",IF($R754=0,IF($L754=0,"請求額0","回収済"),IF($L754&lt;0,IF($R754&lt;0,"差し引き待ち","差し引きすぎ"),IF($R754&lt;0,"入金が多い",IF($P754+$Q754=0,"未入金","一部入金")))))</f>
        <v/>
      </c>
      <c r="T754" s="31">
        <f>IF(OR($A754="",N($R754)&lt;=0,NOT(ISNUMBER($O754))),"",IF($O754&lt;'設定'!$B$7,'設定'!$B$7-$O754,""))</f>
        <v/>
      </c>
      <c r="U754" s="30">
        <f>IF(OR($A754="",N($R754)&lt;=0),"",IF(NOT(ISNUMBER($O754)),'設定'!$B$22,IF($O754&gt;='設定'!$B$7,'設定'!$B$17,IF('設定'!$B$7-$O754&lt;='設定'!$B$12,'設定'!$B$18,IF('設定'!$B$7-$O754&lt;='設定'!$B$13,'設定'!$B$19,IF('設定'!$B$7-$O754&lt;='設定'!$B$14,'設定'!$B$20,'設定'!$B$21))))))</f>
        <v/>
      </c>
      <c r="V754" s="56" t="n"/>
      <c r="W754" s="32">
        <f>IF($C754="","",IFERROR(MATCH($C754,'得意先'!$B$5:$B$104,0),"なし"))</f>
        <v/>
      </c>
      <c r="X754" s="33">
        <f>IF($A754="","",IF(ISNUMBER($E754),$E754,IF(ISNUMBER($B754),$B754,"")))</f>
        <v/>
      </c>
      <c r="Y754" s="34">
        <f>IF($T754="","",$O754+ROW()/1000000)</f>
        <v/>
      </c>
      <c r="Z754" s="35">
        <f>IF(OR($A754="",$C754="",$C754&lt;&gt;'売掛帳'!$B$3,NOT(ISNUMBER($X754))),"",IF(AND($X754&gt;='売掛帳'!$Q$3,$X754&lt;='売掛帳'!$Q$4),$X754+ROW()/10000000,""))</f>
        <v/>
      </c>
    </row>
    <row r="755" ht="18" customHeight="1">
      <c r="A755" s="18" t="n"/>
      <c r="B755" s="26" t="n"/>
      <c r="C755" s="18" t="n"/>
      <c r="D755" s="20">
        <f>IF($W755="","",IF($W755="なし","※得意先にないコード",INDEX('得意先'!$C$5:$C$104,$W755)&amp;""))</f>
        <v/>
      </c>
      <c r="E755" s="26" t="n"/>
      <c r="F755" s="19" t="n"/>
      <c r="G755" s="27" t="n"/>
      <c r="H755" s="27" t="n"/>
      <c r="I755" s="27" t="n"/>
      <c r="J755" s="28">
        <f>IF($A755="","",IF('設定'!$B$10="四捨五入",ROUND(IF('設定'!$B$9="税込",N($G755)*10/110,N($G755)*10/100),0),IF('設定'!$B$10="切り上げ",ROUNDUP(IF('設定'!$B$9="税込",N($G755)*10/110,N($G755)*10/100),0),ROUNDDOWN(IF('設定'!$B$9="税込",N($G755)*10/110,N($G755)*10/100),0))))</f>
        <v/>
      </c>
      <c r="K755" s="28">
        <f>IF($A755="","",IF('設定'!$B$10="四捨五入",ROUND(IF('設定'!$B$9="税込",N($H755)*8/108,N($H755)*8/100),0),IF('設定'!$B$10="切り上げ",ROUNDUP(IF('設定'!$B$9="税込",N($H755)*8/108,N($H755)*8/100),0),ROUNDDOWN(IF('設定'!$B$9="税込",N($H755)*8/108,N($H755)*8/100),0))))</f>
        <v/>
      </c>
      <c r="L755" s="28">
        <f>IF($A755="","",N($G755)+N($H755)+N($I755)+IF('設定'!$B$9="税込",0,$J755+$K755))</f>
        <v/>
      </c>
      <c r="M755" s="29">
        <f>IF(OR($A755="",NOT(ISNUMBER($W755)),NOT(ISNUMBER($X755))),"",IF(OR(INDEX('得意先'!$D$5:$D$104,$W755)="",INDEX('得意先'!$E$5:$E$104,$W755)="",INDEX('得意先'!$F$5:$F$104,$W755)=""),"",IF(INDEX('得意先'!$F$5:$F$104,$W755)="末",DATE(YEAR($X755),(MONTH($X755)+IF(INDEX('得意先'!$D$5:$D$104,$W755)="末",0,IF(DAY($X755)&lt;=INDEX('得意先'!$D$5:$D$104,$W755),0,1))+N(INDEX('得意先'!$E$5:$E$104,$W755)))+1,0),DATE(YEAR($X755),(MONTH($X755)+IF(INDEX('得意先'!$D$5:$D$104,$W755)="末",0,IF(DAY($X755)&lt;=INDEX('得意先'!$D$5:$D$104,$W755),0,1))+N(INDEX('得意先'!$E$5:$E$104,$W755))),MIN(INDEX('得意先'!$F$5:$F$104,$W755),DAY(DATE(YEAR($X755),(MONTH($X755)+IF(INDEX('得意先'!$D$5:$D$104,$W755)="末",0,IF(DAY($X755)&lt;=INDEX('得意先'!$D$5:$D$104,$W755),0,1))+N(INDEX('得意先'!$E$5:$E$104,$W755)))+1,0)))))))</f>
        <v/>
      </c>
      <c r="N755" s="26" t="n"/>
      <c r="O755" s="29">
        <f>IF($A755="","",IF(ISNUMBER($N755),$N755,$M755))</f>
        <v/>
      </c>
      <c r="P755" s="28">
        <f>IF($A755="","",SUMIF('入金消込'!$F$5:$F$1004,$A755,'入金消込'!$G$5:$G$1004))</f>
        <v/>
      </c>
      <c r="Q755" s="28">
        <f>IF($A755="","",SUMIF('入金消込'!$F$5:$F$1004,$A755,'入金消込'!$H$5:$H$1004)+SUMIF('入金消込'!$F$5:$F$1004,$A755,'入金消込'!$I$5:$I$1004))</f>
        <v/>
      </c>
      <c r="R755" s="28">
        <f>IF($A755="","",$L755-$P755-$Q755)</f>
        <v/>
      </c>
      <c r="S755" s="30">
        <f>IF($A755="","",IF($R755=0,IF($L755=0,"請求額0","回収済"),IF($L755&lt;0,IF($R755&lt;0,"差し引き待ち","差し引きすぎ"),IF($R755&lt;0,"入金が多い",IF($P755+$Q755=0,"未入金","一部入金")))))</f>
        <v/>
      </c>
      <c r="T755" s="31">
        <f>IF(OR($A755="",N($R755)&lt;=0,NOT(ISNUMBER($O755))),"",IF($O755&lt;'設定'!$B$7,'設定'!$B$7-$O755,""))</f>
        <v/>
      </c>
      <c r="U755" s="30">
        <f>IF(OR($A755="",N($R755)&lt;=0),"",IF(NOT(ISNUMBER($O755)),'設定'!$B$22,IF($O755&gt;='設定'!$B$7,'設定'!$B$17,IF('設定'!$B$7-$O755&lt;='設定'!$B$12,'設定'!$B$18,IF('設定'!$B$7-$O755&lt;='設定'!$B$13,'設定'!$B$19,IF('設定'!$B$7-$O755&lt;='設定'!$B$14,'設定'!$B$20,'設定'!$B$21))))))</f>
        <v/>
      </c>
      <c r="V755" s="56" t="n"/>
      <c r="W755" s="32">
        <f>IF($C755="","",IFERROR(MATCH($C755,'得意先'!$B$5:$B$104,0),"なし"))</f>
        <v/>
      </c>
      <c r="X755" s="33">
        <f>IF($A755="","",IF(ISNUMBER($E755),$E755,IF(ISNUMBER($B755),$B755,"")))</f>
        <v/>
      </c>
      <c r="Y755" s="34">
        <f>IF($T755="","",$O755+ROW()/1000000)</f>
        <v/>
      </c>
      <c r="Z755" s="35">
        <f>IF(OR($A755="",$C755="",$C755&lt;&gt;'売掛帳'!$B$3,NOT(ISNUMBER($X755))),"",IF(AND($X755&gt;='売掛帳'!$Q$3,$X755&lt;='売掛帳'!$Q$4),$X755+ROW()/10000000,""))</f>
        <v/>
      </c>
    </row>
    <row r="756" ht="18" customHeight="1">
      <c r="A756" s="18" t="n"/>
      <c r="B756" s="26" t="n"/>
      <c r="C756" s="18" t="n"/>
      <c r="D756" s="20">
        <f>IF($W756="","",IF($W756="なし","※得意先にないコード",INDEX('得意先'!$C$5:$C$104,$W756)&amp;""))</f>
        <v/>
      </c>
      <c r="E756" s="26" t="n"/>
      <c r="F756" s="19" t="n"/>
      <c r="G756" s="27" t="n"/>
      <c r="H756" s="27" t="n"/>
      <c r="I756" s="27" t="n"/>
      <c r="J756" s="28">
        <f>IF($A756="","",IF('設定'!$B$10="四捨五入",ROUND(IF('設定'!$B$9="税込",N($G756)*10/110,N($G756)*10/100),0),IF('設定'!$B$10="切り上げ",ROUNDUP(IF('設定'!$B$9="税込",N($G756)*10/110,N($G756)*10/100),0),ROUNDDOWN(IF('設定'!$B$9="税込",N($G756)*10/110,N($G756)*10/100),0))))</f>
        <v/>
      </c>
      <c r="K756" s="28">
        <f>IF($A756="","",IF('設定'!$B$10="四捨五入",ROUND(IF('設定'!$B$9="税込",N($H756)*8/108,N($H756)*8/100),0),IF('設定'!$B$10="切り上げ",ROUNDUP(IF('設定'!$B$9="税込",N($H756)*8/108,N($H756)*8/100),0),ROUNDDOWN(IF('設定'!$B$9="税込",N($H756)*8/108,N($H756)*8/100),0))))</f>
        <v/>
      </c>
      <c r="L756" s="28">
        <f>IF($A756="","",N($G756)+N($H756)+N($I756)+IF('設定'!$B$9="税込",0,$J756+$K756))</f>
        <v/>
      </c>
      <c r="M756" s="29">
        <f>IF(OR($A756="",NOT(ISNUMBER($W756)),NOT(ISNUMBER($X756))),"",IF(OR(INDEX('得意先'!$D$5:$D$104,$W756)="",INDEX('得意先'!$E$5:$E$104,$W756)="",INDEX('得意先'!$F$5:$F$104,$W756)=""),"",IF(INDEX('得意先'!$F$5:$F$104,$W756)="末",DATE(YEAR($X756),(MONTH($X756)+IF(INDEX('得意先'!$D$5:$D$104,$W756)="末",0,IF(DAY($X756)&lt;=INDEX('得意先'!$D$5:$D$104,$W756),0,1))+N(INDEX('得意先'!$E$5:$E$104,$W756)))+1,0),DATE(YEAR($X756),(MONTH($X756)+IF(INDEX('得意先'!$D$5:$D$104,$W756)="末",0,IF(DAY($X756)&lt;=INDEX('得意先'!$D$5:$D$104,$W756),0,1))+N(INDEX('得意先'!$E$5:$E$104,$W756))),MIN(INDEX('得意先'!$F$5:$F$104,$W756),DAY(DATE(YEAR($X756),(MONTH($X756)+IF(INDEX('得意先'!$D$5:$D$104,$W756)="末",0,IF(DAY($X756)&lt;=INDEX('得意先'!$D$5:$D$104,$W756),0,1))+N(INDEX('得意先'!$E$5:$E$104,$W756)))+1,0)))))))</f>
        <v/>
      </c>
      <c r="N756" s="26" t="n"/>
      <c r="O756" s="29">
        <f>IF($A756="","",IF(ISNUMBER($N756),$N756,$M756))</f>
        <v/>
      </c>
      <c r="P756" s="28">
        <f>IF($A756="","",SUMIF('入金消込'!$F$5:$F$1004,$A756,'入金消込'!$G$5:$G$1004))</f>
        <v/>
      </c>
      <c r="Q756" s="28">
        <f>IF($A756="","",SUMIF('入金消込'!$F$5:$F$1004,$A756,'入金消込'!$H$5:$H$1004)+SUMIF('入金消込'!$F$5:$F$1004,$A756,'入金消込'!$I$5:$I$1004))</f>
        <v/>
      </c>
      <c r="R756" s="28">
        <f>IF($A756="","",$L756-$P756-$Q756)</f>
        <v/>
      </c>
      <c r="S756" s="30">
        <f>IF($A756="","",IF($R756=0,IF($L756=0,"請求額0","回収済"),IF($L756&lt;0,IF($R756&lt;0,"差し引き待ち","差し引きすぎ"),IF($R756&lt;0,"入金が多い",IF($P756+$Q756=0,"未入金","一部入金")))))</f>
        <v/>
      </c>
      <c r="T756" s="31">
        <f>IF(OR($A756="",N($R756)&lt;=0,NOT(ISNUMBER($O756))),"",IF($O756&lt;'設定'!$B$7,'設定'!$B$7-$O756,""))</f>
        <v/>
      </c>
      <c r="U756" s="30">
        <f>IF(OR($A756="",N($R756)&lt;=0),"",IF(NOT(ISNUMBER($O756)),'設定'!$B$22,IF($O756&gt;='設定'!$B$7,'設定'!$B$17,IF('設定'!$B$7-$O756&lt;='設定'!$B$12,'設定'!$B$18,IF('設定'!$B$7-$O756&lt;='設定'!$B$13,'設定'!$B$19,IF('設定'!$B$7-$O756&lt;='設定'!$B$14,'設定'!$B$20,'設定'!$B$21))))))</f>
        <v/>
      </c>
      <c r="V756" s="56" t="n"/>
      <c r="W756" s="32">
        <f>IF($C756="","",IFERROR(MATCH($C756,'得意先'!$B$5:$B$104,0),"なし"))</f>
        <v/>
      </c>
      <c r="X756" s="33">
        <f>IF($A756="","",IF(ISNUMBER($E756),$E756,IF(ISNUMBER($B756),$B756,"")))</f>
        <v/>
      </c>
      <c r="Y756" s="34">
        <f>IF($T756="","",$O756+ROW()/1000000)</f>
        <v/>
      </c>
      <c r="Z756" s="35">
        <f>IF(OR($A756="",$C756="",$C756&lt;&gt;'売掛帳'!$B$3,NOT(ISNUMBER($X756))),"",IF(AND($X756&gt;='売掛帳'!$Q$3,$X756&lt;='売掛帳'!$Q$4),$X756+ROW()/10000000,""))</f>
        <v/>
      </c>
    </row>
    <row r="757" ht="18" customHeight="1">
      <c r="A757" s="18" t="n"/>
      <c r="B757" s="26" t="n"/>
      <c r="C757" s="18" t="n"/>
      <c r="D757" s="20">
        <f>IF($W757="","",IF($W757="なし","※得意先にないコード",INDEX('得意先'!$C$5:$C$104,$W757)&amp;""))</f>
        <v/>
      </c>
      <c r="E757" s="26" t="n"/>
      <c r="F757" s="19" t="n"/>
      <c r="G757" s="27" t="n"/>
      <c r="H757" s="27" t="n"/>
      <c r="I757" s="27" t="n"/>
      <c r="J757" s="28">
        <f>IF($A757="","",IF('設定'!$B$10="四捨五入",ROUND(IF('設定'!$B$9="税込",N($G757)*10/110,N($G757)*10/100),0),IF('設定'!$B$10="切り上げ",ROUNDUP(IF('設定'!$B$9="税込",N($G757)*10/110,N($G757)*10/100),0),ROUNDDOWN(IF('設定'!$B$9="税込",N($G757)*10/110,N($G757)*10/100),0))))</f>
        <v/>
      </c>
      <c r="K757" s="28">
        <f>IF($A757="","",IF('設定'!$B$10="四捨五入",ROUND(IF('設定'!$B$9="税込",N($H757)*8/108,N($H757)*8/100),0),IF('設定'!$B$10="切り上げ",ROUNDUP(IF('設定'!$B$9="税込",N($H757)*8/108,N($H757)*8/100),0),ROUNDDOWN(IF('設定'!$B$9="税込",N($H757)*8/108,N($H757)*8/100),0))))</f>
        <v/>
      </c>
      <c r="L757" s="28">
        <f>IF($A757="","",N($G757)+N($H757)+N($I757)+IF('設定'!$B$9="税込",0,$J757+$K757))</f>
        <v/>
      </c>
      <c r="M757" s="29">
        <f>IF(OR($A757="",NOT(ISNUMBER($W757)),NOT(ISNUMBER($X757))),"",IF(OR(INDEX('得意先'!$D$5:$D$104,$W757)="",INDEX('得意先'!$E$5:$E$104,$W757)="",INDEX('得意先'!$F$5:$F$104,$W757)=""),"",IF(INDEX('得意先'!$F$5:$F$104,$W757)="末",DATE(YEAR($X757),(MONTH($X757)+IF(INDEX('得意先'!$D$5:$D$104,$W757)="末",0,IF(DAY($X757)&lt;=INDEX('得意先'!$D$5:$D$104,$W757),0,1))+N(INDEX('得意先'!$E$5:$E$104,$W757)))+1,0),DATE(YEAR($X757),(MONTH($X757)+IF(INDEX('得意先'!$D$5:$D$104,$W757)="末",0,IF(DAY($X757)&lt;=INDEX('得意先'!$D$5:$D$104,$W757),0,1))+N(INDEX('得意先'!$E$5:$E$104,$W757))),MIN(INDEX('得意先'!$F$5:$F$104,$W757),DAY(DATE(YEAR($X757),(MONTH($X757)+IF(INDEX('得意先'!$D$5:$D$104,$W757)="末",0,IF(DAY($X757)&lt;=INDEX('得意先'!$D$5:$D$104,$W757),0,1))+N(INDEX('得意先'!$E$5:$E$104,$W757)))+1,0)))))))</f>
        <v/>
      </c>
      <c r="N757" s="26" t="n"/>
      <c r="O757" s="29">
        <f>IF($A757="","",IF(ISNUMBER($N757),$N757,$M757))</f>
        <v/>
      </c>
      <c r="P757" s="28">
        <f>IF($A757="","",SUMIF('入金消込'!$F$5:$F$1004,$A757,'入金消込'!$G$5:$G$1004))</f>
        <v/>
      </c>
      <c r="Q757" s="28">
        <f>IF($A757="","",SUMIF('入金消込'!$F$5:$F$1004,$A757,'入金消込'!$H$5:$H$1004)+SUMIF('入金消込'!$F$5:$F$1004,$A757,'入金消込'!$I$5:$I$1004))</f>
        <v/>
      </c>
      <c r="R757" s="28">
        <f>IF($A757="","",$L757-$P757-$Q757)</f>
        <v/>
      </c>
      <c r="S757" s="30">
        <f>IF($A757="","",IF($R757=0,IF($L757=0,"請求額0","回収済"),IF($L757&lt;0,IF($R757&lt;0,"差し引き待ち","差し引きすぎ"),IF($R757&lt;0,"入金が多い",IF($P757+$Q757=0,"未入金","一部入金")))))</f>
        <v/>
      </c>
      <c r="T757" s="31">
        <f>IF(OR($A757="",N($R757)&lt;=0,NOT(ISNUMBER($O757))),"",IF($O757&lt;'設定'!$B$7,'設定'!$B$7-$O757,""))</f>
        <v/>
      </c>
      <c r="U757" s="30">
        <f>IF(OR($A757="",N($R757)&lt;=0),"",IF(NOT(ISNUMBER($O757)),'設定'!$B$22,IF($O757&gt;='設定'!$B$7,'設定'!$B$17,IF('設定'!$B$7-$O757&lt;='設定'!$B$12,'設定'!$B$18,IF('設定'!$B$7-$O757&lt;='設定'!$B$13,'設定'!$B$19,IF('設定'!$B$7-$O757&lt;='設定'!$B$14,'設定'!$B$20,'設定'!$B$21))))))</f>
        <v/>
      </c>
      <c r="V757" s="56" t="n"/>
      <c r="W757" s="32">
        <f>IF($C757="","",IFERROR(MATCH($C757,'得意先'!$B$5:$B$104,0),"なし"))</f>
        <v/>
      </c>
      <c r="X757" s="33">
        <f>IF($A757="","",IF(ISNUMBER($E757),$E757,IF(ISNUMBER($B757),$B757,"")))</f>
        <v/>
      </c>
      <c r="Y757" s="34">
        <f>IF($T757="","",$O757+ROW()/1000000)</f>
        <v/>
      </c>
      <c r="Z757" s="35">
        <f>IF(OR($A757="",$C757="",$C757&lt;&gt;'売掛帳'!$B$3,NOT(ISNUMBER($X757))),"",IF(AND($X757&gt;='売掛帳'!$Q$3,$X757&lt;='売掛帳'!$Q$4),$X757+ROW()/10000000,""))</f>
        <v/>
      </c>
    </row>
    <row r="758" ht="18" customHeight="1">
      <c r="A758" s="18" t="n"/>
      <c r="B758" s="26" t="n"/>
      <c r="C758" s="18" t="n"/>
      <c r="D758" s="20">
        <f>IF($W758="","",IF($W758="なし","※得意先にないコード",INDEX('得意先'!$C$5:$C$104,$W758)&amp;""))</f>
        <v/>
      </c>
      <c r="E758" s="26" t="n"/>
      <c r="F758" s="19" t="n"/>
      <c r="G758" s="27" t="n"/>
      <c r="H758" s="27" t="n"/>
      <c r="I758" s="27" t="n"/>
      <c r="J758" s="28">
        <f>IF($A758="","",IF('設定'!$B$10="四捨五入",ROUND(IF('設定'!$B$9="税込",N($G758)*10/110,N($G758)*10/100),0),IF('設定'!$B$10="切り上げ",ROUNDUP(IF('設定'!$B$9="税込",N($G758)*10/110,N($G758)*10/100),0),ROUNDDOWN(IF('設定'!$B$9="税込",N($G758)*10/110,N($G758)*10/100),0))))</f>
        <v/>
      </c>
      <c r="K758" s="28">
        <f>IF($A758="","",IF('設定'!$B$10="四捨五入",ROUND(IF('設定'!$B$9="税込",N($H758)*8/108,N($H758)*8/100),0),IF('設定'!$B$10="切り上げ",ROUNDUP(IF('設定'!$B$9="税込",N($H758)*8/108,N($H758)*8/100),0),ROUNDDOWN(IF('設定'!$B$9="税込",N($H758)*8/108,N($H758)*8/100),0))))</f>
        <v/>
      </c>
      <c r="L758" s="28">
        <f>IF($A758="","",N($G758)+N($H758)+N($I758)+IF('設定'!$B$9="税込",0,$J758+$K758))</f>
        <v/>
      </c>
      <c r="M758" s="29">
        <f>IF(OR($A758="",NOT(ISNUMBER($W758)),NOT(ISNUMBER($X758))),"",IF(OR(INDEX('得意先'!$D$5:$D$104,$W758)="",INDEX('得意先'!$E$5:$E$104,$W758)="",INDEX('得意先'!$F$5:$F$104,$W758)=""),"",IF(INDEX('得意先'!$F$5:$F$104,$W758)="末",DATE(YEAR($X758),(MONTH($X758)+IF(INDEX('得意先'!$D$5:$D$104,$W758)="末",0,IF(DAY($X758)&lt;=INDEX('得意先'!$D$5:$D$104,$W758),0,1))+N(INDEX('得意先'!$E$5:$E$104,$W758)))+1,0),DATE(YEAR($X758),(MONTH($X758)+IF(INDEX('得意先'!$D$5:$D$104,$W758)="末",0,IF(DAY($X758)&lt;=INDEX('得意先'!$D$5:$D$104,$W758),0,1))+N(INDEX('得意先'!$E$5:$E$104,$W758))),MIN(INDEX('得意先'!$F$5:$F$104,$W758),DAY(DATE(YEAR($X758),(MONTH($X758)+IF(INDEX('得意先'!$D$5:$D$104,$W758)="末",0,IF(DAY($X758)&lt;=INDEX('得意先'!$D$5:$D$104,$W758),0,1))+N(INDEX('得意先'!$E$5:$E$104,$W758)))+1,0)))))))</f>
        <v/>
      </c>
      <c r="N758" s="26" t="n"/>
      <c r="O758" s="29">
        <f>IF($A758="","",IF(ISNUMBER($N758),$N758,$M758))</f>
        <v/>
      </c>
      <c r="P758" s="28">
        <f>IF($A758="","",SUMIF('入金消込'!$F$5:$F$1004,$A758,'入金消込'!$G$5:$G$1004))</f>
        <v/>
      </c>
      <c r="Q758" s="28">
        <f>IF($A758="","",SUMIF('入金消込'!$F$5:$F$1004,$A758,'入金消込'!$H$5:$H$1004)+SUMIF('入金消込'!$F$5:$F$1004,$A758,'入金消込'!$I$5:$I$1004))</f>
        <v/>
      </c>
      <c r="R758" s="28">
        <f>IF($A758="","",$L758-$P758-$Q758)</f>
        <v/>
      </c>
      <c r="S758" s="30">
        <f>IF($A758="","",IF($R758=0,IF($L758=0,"請求額0","回収済"),IF($L758&lt;0,IF($R758&lt;0,"差し引き待ち","差し引きすぎ"),IF($R758&lt;0,"入金が多い",IF($P758+$Q758=0,"未入金","一部入金")))))</f>
        <v/>
      </c>
      <c r="T758" s="31">
        <f>IF(OR($A758="",N($R758)&lt;=0,NOT(ISNUMBER($O758))),"",IF($O758&lt;'設定'!$B$7,'設定'!$B$7-$O758,""))</f>
        <v/>
      </c>
      <c r="U758" s="30">
        <f>IF(OR($A758="",N($R758)&lt;=0),"",IF(NOT(ISNUMBER($O758)),'設定'!$B$22,IF($O758&gt;='設定'!$B$7,'設定'!$B$17,IF('設定'!$B$7-$O758&lt;='設定'!$B$12,'設定'!$B$18,IF('設定'!$B$7-$O758&lt;='設定'!$B$13,'設定'!$B$19,IF('設定'!$B$7-$O758&lt;='設定'!$B$14,'設定'!$B$20,'設定'!$B$21))))))</f>
        <v/>
      </c>
      <c r="V758" s="56" t="n"/>
      <c r="W758" s="32">
        <f>IF($C758="","",IFERROR(MATCH($C758,'得意先'!$B$5:$B$104,0),"なし"))</f>
        <v/>
      </c>
      <c r="X758" s="33">
        <f>IF($A758="","",IF(ISNUMBER($E758),$E758,IF(ISNUMBER($B758),$B758,"")))</f>
        <v/>
      </c>
      <c r="Y758" s="34">
        <f>IF($T758="","",$O758+ROW()/1000000)</f>
        <v/>
      </c>
      <c r="Z758" s="35">
        <f>IF(OR($A758="",$C758="",$C758&lt;&gt;'売掛帳'!$B$3,NOT(ISNUMBER($X758))),"",IF(AND($X758&gt;='売掛帳'!$Q$3,$X758&lt;='売掛帳'!$Q$4),$X758+ROW()/10000000,""))</f>
        <v/>
      </c>
    </row>
    <row r="759" ht="18" customHeight="1">
      <c r="A759" s="18" t="n"/>
      <c r="B759" s="26" t="n"/>
      <c r="C759" s="18" t="n"/>
      <c r="D759" s="20">
        <f>IF($W759="","",IF($W759="なし","※得意先にないコード",INDEX('得意先'!$C$5:$C$104,$W759)&amp;""))</f>
        <v/>
      </c>
      <c r="E759" s="26" t="n"/>
      <c r="F759" s="19" t="n"/>
      <c r="G759" s="27" t="n"/>
      <c r="H759" s="27" t="n"/>
      <c r="I759" s="27" t="n"/>
      <c r="J759" s="28">
        <f>IF($A759="","",IF('設定'!$B$10="四捨五入",ROUND(IF('設定'!$B$9="税込",N($G759)*10/110,N($G759)*10/100),0),IF('設定'!$B$10="切り上げ",ROUNDUP(IF('設定'!$B$9="税込",N($G759)*10/110,N($G759)*10/100),0),ROUNDDOWN(IF('設定'!$B$9="税込",N($G759)*10/110,N($G759)*10/100),0))))</f>
        <v/>
      </c>
      <c r="K759" s="28">
        <f>IF($A759="","",IF('設定'!$B$10="四捨五入",ROUND(IF('設定'!$B$9="税込",N($H759)*8/108,N($H759)*8/100),0),IF('設定'!$B$10="切り上げ",ROUNDUP(IF('設定'!$B$9="税込",N($H759)*8/108,N($H759)*8/100),0),ROUNDDOWN(IF('設定'!$B$9="税込",N($H759)*8/108,N($H759)*8/100),0))))</f>
        <v/>
      </c>
      <c r="L759" s="28">
        <f>IF($A759="","",N($G759)+N($H759)+N($I759)+IF('設定'!$B$9="税込",0,$J759+$K759))</f>
        <v/>
      </c>
      <c r="M759" s="29">
        <f>IF(OR($A759="",NOT(ISNUMBER($W759)),NOT(ISNUMBER($X759))),"",IF(OR(INDEX('得意先'!$D$5:$D$104,$W759)="",INDEX('得意先'!$E$5:$E$104,$W759)="",INDEX('得意先'!$F$5:$F$104,$W759)=""),"",IF(INDEX('得意先'!$F$5:$F$104,$W759)="末",DATE(YEAR($X759),(MONTH($X759)+IF(INDEX('得意先'!$D$5:$D$104,$W759)="末",0,IF(DAY($X759)&lt;=INDEX('得意先'!$D$5:$D$104,$W759),0,1))+N(INDEX('得意先'!$E$5:$E$104,$W759)))+1,0),DATE(YEAR($X759),(MONTH($X759)+IF(INDEX('得意先'!$D$5:$D$104,$W759)="末",0,IF(DAY($X759)&lt;=INDEX('得意先'!$D$5:$D$104,$W759),0,1))+N(INDEX('得意先'!$E$5:$E$104,$W759))),MIN(INDEX('得意先'!$F$5:$F$104,$W759),DAY(DATE(YEAR($X759),(MONTH($X759)+IF(INDEX('得意先'!$D$5:$D$104,$W759)="末",0,IF(DAY($X759)&lt;=INDEX('得意先'!$D$5:$D$104,$W759),0,1))+N(INDEX('得意先'!$E$5:$E$104,$W759)))+1,0)))))))</f>
        <v/>
      </c>
      <c r="N759" s="26" t="n"/>
      <c r="O759" s="29">
        <f>IF($A759="","",IF(ISNUMBER($N759),$N759,$M759))</f>
        <v/>
      </c>
      <c r="P759" s="28">
        <f>IF($A759="","",SUMIF('入金消込'!$F$5:$F$1004,$A759,'入金消込'!$G$5:$G$1004))</f>
        <v/>
      </c>
      <c r="Q759" s="28">
        <f>IF($A759="","",SUMIF('入金消込'!$F$5:$F$1004,$A759,'入金消込'!$H$5:$H$1004)+SUMIF('入金消込'!$F$5:$F$1004,$A759,'入金消込'!$I$5:$I$1004))</f>
        <v/>
      </c>
      <c r="R759" s="28">
        <f>IF($A759="","",$L759-$P759-$Q759)</f>
        <v/>
      </c>
      <c r="S759" s="30">
        <f>IF($A759="","",IF($R759=0,IF($L759=0,"請求額0","回収済"),IF($L759&lt;0,IF($R759&lt;0,"差し引き待ち","差し引きすぎ"),IF($R759&lt;0,"入金が多い",IF($P759+$Q759=0,"未入金","一部入金")))))</f>
        <v/>
      </c>
      <c r="T759" s="31">
        <f>IF(OR($A759="",N($R759)&lt;=0,NOT(ISNUMBER($O759))),"",IF($O759&lt;'設定'!$B$7,'設定'!$B$7-$O759,""))</f>
        <v/>
      </c>
      <c r="U759" s="30">
        <f>IF(OR($A759="",N($R759)&lt;=0),"",IF(NOT(ISNUMBER($O759)),'設定'!$B$22,IF($O759&gt;='設定'!$B$7,'設定'!$B$17,IF('設定'!$B$7-$O759&lt;='設定'!$B$12,'設定'!$B$18,IF('設定'!$B$7-$O759&lt;='設定'!$B$13,'設定'!$B$19,IF('設定'!$B$7-$O759&lt;='設定'!$B$14,'設定'!$B$20,'設定'!$B$21))))))</f>
        <v/>
      </c>
      <c r="V759" s="56" t="n"/>
      <c r="W759" s="32">
        <f>IF($C759="","",IFERROR(MATCH($C759,'得意先'!$B$5:$B$104,0),"なし"))</f>
        <v/>
      </c>
      <c r="X759" s="33">
        <f>IF($A759="","",IF(ISNUMBER($E759),$E759,IF(ISNUMBER($B759),$B759,"")))</f>
        <v/>
      </c>
      <c r="Y759" s="34">
        <f>IF($T759="","",$O759+ROW()/1000000)</f>
        <v/>
      </c>
      <c r="Z759" s="35">
        <f>IF(OR($A759="",$C759="",$C759&lt;&gt;'売掛帳'!$B$3,NOT(ISNUMBER($X759))),"",IF(AND($X759&gt;='売掛帳'!$Q$3,$X759&lt;='売掛帳'!$Q$4),$X759+ROW()/10000000,""))</f>
        <v/>
      </c>
    </row>
    <row r="760" ht="18" customHeight="1">
      <c r="A760" s="18" t="n"/>
      <c r="B760" s="26" t="n"/>
      <c r="C760" s="18" t="n"/>
      <c r="D760" s="20">
        <f>IF($W760="","",IF($W760="なし","※得意先にないコード",INDEX('得意先'!$C$5:$C$104,$W760)&amp;""))</f>
        <v/>
      </c>
      <c r="E760" s="26" t="n"/>
      <c r="F760" s="19" t="n"/>
      <c r="G760" s="27" t="n"/>
      <c r="H760" s="27" t="n"/>
      <c r="I760" s="27" t="n"/>
      <c r="J760" s="28">
        <f>IF($A760="","",IF('設定'!$B$10="四捨五入",ROUND(IF('設定'!$B$9="税込",N($G760)*10/110,N($G760)*10/100),0),IF('設定'!$B$10="切り上げ",ROUNDUP(IF('設定'!$B$9="税込",N($G760)*10/110,N($G760)*10/100),0),ROUNDDOWN(IF('設定'!$B$9="税込",N($G760)*10/110,N($G760)*10/100),0))))</f>
        <v/>
      </c>
      <c r="K760" s="28">
        <f>IF($A760="","",IF('設定'!$B$10="四捨五入",ROUND(IF('設定'!$B$9="税込",N($H760)*8/108,N($H760)*8/100),0),IF('設定'!$B$10="切り上げ",ROUNDUP(IF('設定'!$B$9="税込",N($H760)*8/108,N($H760)*8/100),0),ROUNDDOWN(IF('設定'!$B$9="税込",N($H760)*8/108,N($H760)*8/100),0))))</f>
        <v/>
      </c>
      <c r="L760" s="28">
        <f>IF($A760="","",N($G760)+N($H760)+N($I760)+IF('設定'!$B$9="税込",0,$J760+$K760))</f>
        <v/>
      </c>
      <c r="M760" s="29">
        <f>IF(OR($A760="",NOT(ISNUMBER($W760)),NOT(ISNUMBER($X760))),"",IF(OR(INDEX('得意先'!$D$5:$D$104,$W760)="",INDEX('得意先'!$E$5:$E$104,$W760)="",INDEX('得意先'!$F$5:$F$104,$W760)=""),"",IF(INDEX('得意先'!$F$5:$F$104,$W760)="末",DATE(YEAR($X760),(MONTH($X760)+IF(INDEX('得意先'!$D$5:$D$104,$W760)="末",0,IF(DAY($X760)&lt;=INDEX('得意先'!$D$5:$D$104,$W760),0,1))+N(INDEX('得意先'!$E$5:$E$104,$W760)))+1,0),DATE(YEAR($X760),(MONTH($X760)+IF(INDEX('得意先'!$D$5:$D$104,$W760)="末",0,IF(DAY($X760)&lt;=INDEX('得意先'!$D$5:$D$104,$W760),0,1))+N(INDEX('得意先'!$E$5:$E$104,$W760))),MIN(INDEX('得意先'!$F$5:$F$104,$W760),DAY(DATE(YEAR($X760),(MONTH($X760)+IF(INDEX('得意先'!$D$5:$D$104,$W760)="末",0,IF(DAY($X760)&lt;=INDEX('得意先'!$D$5:$D$104,$W760),0,1))+N(INDEX('得意先'!$E$5:$E$104,$W760)))+1,0)))))))</f>
        <v/>
      </c>
      <c r="N760" s="26" t="n"/>
      <c r="O760" s="29">
        <f>IF($A760="","",IF(ISNUMBER($N760),$N760,$M760))</f>
        <v/>
      </c>
      <c r="P760" s="28">
        <f>IF($A760="","",SUMIF('入金消込'!$F$5:$F$1004,$A760,'入金消込'!$G$5:$G$1004))</f>
        <v/>
      </c>
      <c r="Q760" s="28">
        <f>IF($A760="","",SUMIF('入金消込'!$F$5:$F$1004,$A760,'入金消込'!$H$5:$H$1004)+SUMIF('入金消込'!$F$5:$F$1004,$A760,'入金消込'!$I$5:$I$1004))</f>
        <v/>
      </c>
      <c r="R760" s="28">
        <f>IF($A760="","",$L760-$P760-$Q760)</f>
        <v/>
      </c>
      <c r="S760" s="30">
        <f>IF($A760="","",IF($R760=0,IF($L760=0,"請求額0","回収済"),IF($L760&lt;0,IF($R760&lt;0,"差し引き待ち","差し引きすぎ"),IF($R760&lt;0,"入金が多い",IF($P760+$Q760=0,"未入金","一部入金")))))</f>
        <v/>
      </c>
      <c r="T760" s="31">
        <f>IF(OR($A760="",N($R760)&lt;=0,NOT(ISNUMBER($O760))),"",IF($O760&lt;'設定'!$B$7,'設定'!$B$7-$O760,""))</f>
        <v/>
      </c>
      <c r="U760" s="30">
        <f>IF(OR($A760="",N($R760)&lt;=0),"",IF(NOT(ISNUMBER($O760)),'設定'!$B$22,IF($O760&gt;='設定'!$B$7,'設定'!$B$17,IF('設定'!$B$7-$O760&lt;='設定'!$B$12,'設定'!$B$18,IF('設定'!$B$7-$O760&lt;='設定'!$B$13,'設定'!$B$19,IF('設定'!$B$7-$O760&lt;='設定'!$B$14,'設定'!$B$20,'設定'!$B$21))))))</f>
        <v/>
      </c>
      <c r="V760" s="56" t="n"/>
      <c r="W760" s="32">
        <f>IF($C760="","",IFERROR(MATCH($C760,'得意先'!$B$5:$B$104,0),"なし"))</f>
        <v/>
      </c>
      <c r="X760" s="33">
        <f>IF($A760="","",IF(ISNUMBER($E760),$E760,IF(ISNUMBER($B760),$B760,"")))</f>
        <v/>
      </c>
      <c r="Y760" s="34">
        <f>IF($T760="","",$O760+ROW()/1000000)</f>
        <v/>
      </c>
      <c r="Z760" s="35">
        <f>IF(OR($A760="",$C760="",$C760&lt;&gt;'売掛帳'!$B$3,NOT(ISNUMBER($X760))),"",IF(AND($X760&gt;='売掛帳'!$Q$3,$X760&lt;='売掛帳'!$Q$4),$X760+ROW()/10000000,""))</f>
        <v/>
      </c>
    </row>
    <row r="761" ht="18" customHeight="1">
      <c r="A761" s="18" t="n"/>
      <c r="B761" s="26" t="n"/>
      <c r="C761" s="18" t="n"/>
      <c r="D761" s="20">
        <f>IF($W761="","",IF($W761="なし","※得意先にないコード",INDEX('得意先'!$C$5:$C$104,$W761)&amp;""))</f>
        <v/>
      </c>
      <c r="E761" s="26" t="n"/>
      <c r="F761" s="19" t="n"/>
      <c r="G761" s="27" t="n"/>
      <c r="H761" s="27" t="n"/>
      <c r="I761" s="27" t="n"/>
      <c r="J761" s="28">
        <f>IF($A761="","",IF('設定'!$B$10="四捨五入",ROUND(IF('設定'!$B$9="税込",N($G761)*10/110,N($G761)*10/100),0),IF('設定'!$B$10="切り上げ",ROUNDUP(IF('設定'!$B$9="税込",N($G761)*10/110,N($G761)*10/100),0),ROUNDDOWN(IF('設定'!$B$9="税込",N($G761)*10/110,N($G761)*10/100),0))))</f>
        <v/>
      </c>
      <c r="K761" s="28">
        <f>IF($A761="","",IF('設定'!$B$10="四捨五入",ROUND(IF('設定'!$B$9="税込",N($H761)*8/108,N($H761)*8/100),0),IF('設定'!$B$10="切り上げ",ROUNDUP(IF('設定'!$B$9="税込",N($H761)*8/108,N($H761)*8/100),0),ROUNDDOWN(IF('設定'!$B$9="税込",N($H761)*8/108,N($H761)*8/100),0))))</f>
        <v/>
      </c>
      <c r="L761" s="28">
        <f>IF($A761="","",N($G761)+N($H761)+N($I761)+IF('設定'!$B$9="税込",0,$J761+$K761))</f>
        <v/>
      </c>
      <c r="M761" s="29">
        <f>IF(OR($A761="",NOT(ISNUMBER($W761)),NOT(ISNUMBER($X761))),"",IF(OR(INDEX('得意先'!$D$5:$D$104,$W761)="",INDEX('得意先'!$E$5:$E$104,$W761)="",INDEX('得意先'!$F$5:$F$104,$W761)=""),"",IF(INDEX('得意先'!$F$5:$F$104,$W761)="末",DATE(YEAR($X761),(MONTH($X761)+IF(INDEX('得意先'!$D$5:$D$104,$W761)="末",0,IF(DAY($X761)&lt;=INDEX('得意先'!$D$5:$D$104,$W761),0,1))+N(INDEX('得意先'!$E$5:$E$104,$W761)))+1,0),DATE(YEAR($X761),(MONTH($X761)+IF(INDEX('得意先'!$D$5:$D$104,$W761)="末",0,IF(DAY($X761)&lt;=INDEX('得意先'!$D$5:$D$104,$W761),0,1))+N(INDEX('得意先'!$E$5:$E$104,$W761))),MIN(INDEX('得意先'!$F$5:$F$104,$W761),DAY(DATE(YEAR($X761),(MONTH($X761)+IF(INDEX('得意先'!$D$5:$D$104,$W761)="末",0,IF(DAY($X761)&lt;=INDEX('得意先'!$D$5:$D$104,$W761),0,1))+N(INDEX('得意先'!$E$5:$E$104,$W761)))+1,0)))))))</f>
        <v/>
      </c>
      <c r="N761" s="26" t="n"/>
      <c r="O761" s="29">
        <f>IF($A761="","",IF(ISNUMBER($N761),$N761,$M761))</f>
        <v/>
      </c>
      <c r="P761" s="28">
        <f>IF($A761="","",SUMIF('入金消込'!$F$5:$F$1004,$A761,'入金消込'!$G$5:$G$1004))</f>
        <v/>
      </c>
      <c r="Q761" s="28">
        <f>IF($A761="","",SUMIF('入金消込'!$F$5:$F$1004,$A761,'入金消込'!$H$5:$H$1004)+SUMIF('入金消込'!$F$5:$F$1004,$A761,'入金消込'!$I$5:$I$1004))</f>
        <v/>
      </c>
      <c r="R761" s="28">
        <f>IF($A761="","",$L761-$P761-$Q761)</f>
        <v/>
      </c>
      <c r="S761" s="30">
        <f>IF($A761="","",IF($R761=0,IF($L761=0,"請求額0","回収済"),IF($L761&lt;0,IF($R761&lt;0,"差し引き待ち","差し引きすぎ"),IF($R761&lt;0,"入金が多い",IF($P761+$Q761=0,"未入金","一部入金")))))</f>
        <v/>
      </c>
      <c r="T761" s="31">
        <f>IF(OR($A761="",N($R761)&lt;=0,NOT(ISNUMBER($O761))),"",IF($O761&lt;'設定'!$B$7,'設定'!$B$7-$O761,""))</f>
        <v/>
      </c>
      <c r="U761" s="30">
        <f>IF(OR($A761="",N($R761)&lt;=0),"",IF(NOT(ISNUMBER($O761)),'設定'!$B$22,IF($O761&gt;='設定'!$B$7,'設定'!$B$17,IF('設定'!$B$7-$O761&lt;='設定'!$B$12,'設定'!$B$18,IF('設定'!$B$7-$O761&lt;='設定'!$B$13,'設定'!$B$19,IF('設定'!$B$7-$O761&lt;='設定'!$B$14,'設定'!$B$20,'設定'!$B$21))))))</f>
        <v/>
      </c>
      <c r="V761" s="56" t="n"/>
      <c r="W761" s="32">
        <f>IF($C761="","",IFERROR(MATCH($C761,'得意先'!$B$5:$B$104,0),"なし"))</f>
        <v/>
      </c>
      <c r="X761" s="33">
        <f>IF($A761="","",IF(ISNUMBER($E761),$E761,IF(ISNUMBER($B761),$B761,"")))</f>
        <v/>
      </c>
      <c r="Y761" s="34">
        <f>IF($T761="","",$O761+ROW()/1000000)</f>
        <v/>
      </c>
      <c r="Z761" s="35">
        <f>IF(OR($A761="",$C761="",$C761&lt;&gt;'売掛帳'!$B$3,NOT(ISNUMBER($X761))),"",IF(AND($X761&gt;='売掛帳'!$Q$3,$X761&lt;='売掛帳'!$Q$4),$X761+ROW()/10000000,""))</f>
        <v/>
      </c>
    </row>
    <row r="762" ht="18" customHeight="1">
      <c r="A762" s="18" t="n"/>
      <c r="B762" s="26" t="n"/>
      <c r="C762" s="18" t="n"/>
      <c r="D762" s="20">
        <f>IF($W762="","",IF($W762="なし","※得意先にないコード",INDEX('得意先'!$C$5:$C$104,$W762)&amp;""))</f>
        <v/>
      </c>
      <c r="E762" s="26" t="n"/>
      <c r="F762" s="19" t="n"/>
      <c r="G762" s="27" t="n"/>
      <c r="H762" s="27" t="n"/>
      <c r="I762" s="27" t="n"/>
      <c r="J762" s="28">
        <f>IF($A762="","",IF('設定'!$B$10="四捨五入",ROUND(IF('設定'!$B$9="税込",N($G762)*10/110,N($G762)*10/100),0),IF('設定'!$B$10="切り上げ",ROUNDUP(IF('設定'!$B$9="税込",N($G762)*10/110,N($G762)*10/100),0),ROUNDDOWN(IF('設定'!$B$9="税込",N($G762)*10/110,N($G762)*10/100),0))))</f>
        <v/>
      </c>
      <c r="K762" s="28">
        <f>IF($A762="","",IF('設定'!$B$10="四捨五入",ROUND(IF('設定'!$B$9="税込",N($H762)*8/108,N($H762)*8/100),0),IF('設定'!$B$10="切り上げ",ROUNDUP(IF('設定'!$B$9="税込",N($H762)*8/108,N($H762)*8/100),0),ROUNDDOWN(IF('設定'!$B$9="税込",N($H762)*8/108,N($H762)*8/100),0))))</f>
        <v/>
      </c>
      <c r="L762" s="28">
        <f>IF($A762="","",N($G762)+N($H762)+N($I762)+IF('設定'!$B$9="税込",0,$J762+$K762))</f>
        <v/>
      </c>
      <c r="M762" s="29">
        <f>IF(OR($A762="",NOT(ISNUMBER($W762)),NOT(ISNUMBER($X762))),"",IF(OR(INDEX('得意先'!$D$5:$D$104,$W762)="",INDEX('得意先'!$E$5:$E$104,$W762)="",INDEX('得意先'!$F$5:$F$104,$W762)=""),"",IF(INDEX('得意先'!$F$5:$F$104,$W762)="末",DATE(YEAR($X762),(MONTH($X762)+IF(INDEX('得意先'!$D$5:$D$104,$W762)="末",0,IF(DAY($X762)&lt;=INDEX('得意先'!$D$5:$D$104,$W762),0,1))+N(INDEX('得意先'!$E$5:$E$104,$W762)))+1,0),DATE(YEAR($X762),(MONTH($X762)+IF(INDEX('得意先'!$D$5:$D$104,$W762)="末",0,IF(DAY($X762)&lt;=INDEX('得意先'!$D$5:$D$104,$W762),0,1))+N(INDEX('得意先'!$E$5:$E$104,$W762))),MIN(INDEX('得意先'!$F$5:$F$104,$W762),DAY(DATE(YEAR($X762),(MONTH($X762)+IF(INDEX('得意先'!$D$5:$D$104,$W762)="末",0,IF(DAY($X762)&lt;=INDEX('得意先'!$D$5:$D$104,$W762),0,1))+N(INDEX('得意先'!$E$5:$E$104,$W762)))+1,0)))))))</f>
        <v/>
      </c>
      <c r="N762" s="26" t="n"/>
      <c r="O762" s="29">
        <f>IF($A762="","",IF(ISNUMBER($N762),$N762,$M762))</f>
        <v/>
      </c>
      <c r="P762" s="28">
        <f>IF($A762="","",SUMIF('入金消込'!$F$5:$F$1004,$A762,'入金消込'!$G$5:$G$1004))</f>
        <v/>
      </c>
      <c r="Q762" s="28">
        <f>IF($A762="","",SUMIF('入金消込'!$F$5:$F$1004,$A762,'入金消込'!$H$5:$H$1004)+SUMIF('入金消込'!$F$5:$F$1004,$A762,'入金消込'!$I$5:$I$1004))</f>
        <v/>
      </c>
      <c r="R762" s="28">
        <f>IF($A762="","",$L762-$P762-$Q762)</f>
        <v/>
      </c>
      <c r="S762" s="30">
        <f>IF($A762="","",IF($R762=0,IF($L762=0,"請求額0","回収済"),IF($L762&lt;0,IF($R762&lt;0,"差し引き待ち","差し引きすぎ"),IF($R762&lt;0,"入金が多い",IF($P762+$Q762=0,"未入金","一部入金")))))</f>
        <v/>
      </c>
      <c r="T762" s="31">
        <f>IF(OR($A762="",N($R762)&lt;=0,NOT(ISNUMBER($O762))),"",IF($O762&lt;'設定'!$B$7,'設定'!$B$7-$O762,""))</f>
        <v/>
      </c>
      <c r="U762" s="30">
        <f>IF(OR($A762="",N($R762)&lt;=0),"",IF(NOT(ISNUMBER($O762)),'設定'!$B$22,IF($O762&gt;='設定'!$B$7,'設定'!$B$17,IF('設定'!$B$7-$O762&lt;='設定'!$B$12,'設定'!$B$18,IF('設定'!$B$7-$O762&lt;='設定'!$B$13,'設定'!$B$19,IF('設定'!$B$7-$O762&lt;='設定'!$B$14,'設定'!$B$20,'設定'!$B$21))))))</f>
        <v/>
      </c>
      <c r="V762" s="56" t="n"/>
      <c r="W762" s="32">
        <f>IF($C762="","",IFERROR(MATCH($C762,'得意先'!$B$5:$B$104,0),"なし"))</f>
        <v/>
      </c>
      <c r="X762" s="33">
        <f>IF($A762="","",IF(ISNUMBER($E762),$E762,IF(ISNUMBER($B762),$B762,"")))</f>
        <v/>
      </c>
      <c r="Y762" s="34">
        <f>IF($T762="","",$O762+ROW()/1000000)</f>
        <v/>
      </c>
      <c r="Z762" s="35">
        <f>IF(OR($A762="",$C762="",$C762&lt;&gt;'売掛帳'!$B$3,NOT(ISNUMBER($X762))),"",IF(AND($X762&gt;='売掛帳'!$Q$3,$X762&lt;='売掛帳'!$Q$4),$X762+ROW()/10000000,""))</f>
        <v/>
      </c>
    </row>
    <row r="763" ht="18" customHeight="1">
      <c r="A763" s="18" t="n"/>
      <c r="B763" s="26" t="n"/>
      <c r="C763" s="18" t="n"/>
      <c r="D763" s="20">
        <f>IF($W763="","",IF($W763="なし","※得意先にないコード",INDEX('得意先'!$C$5:$C$104,$W763)&amp;""))</f>
        <v/>
      </c>
      <c r="E763" s="26" t="n"/>
      <c r="F763" s="19" t="n"/>
      <c r="G763" s="27" t="n"/>
      <c r="H763" s="27" t="n"/>
      <c r="I763" s="27" t="n"/>
      <c r="J763" s="28">
        <f>IF($A763="","",IF('設定'!$B$10="四捨五入",ROUND(IF('設定'!$B$9="税込",N($G763)*10/110,N($G763)*10/100),0),IF('設定'!$B$10="切り上げ",ROUNDUP(IF('設定'!$B$9="税込",N($G763)*10/110,N($G763)*10/100),0),ROUNDDOWN(IF('設定'!$B$9="税込",N($G763)*10/110,N($G763)*10/100),0))))</f>
        <v/>
      </c>
      <c r="K763" s="28">
        <f>IF($A763="","",IF('設定'!$B$10="四捨五入",ROUND(IF('設定'!$B$9="税込",N($H763)*8/108,N($H763)*8/100),0),IF('設定'!$B$10="切り上げ",ROUNDUP(IF('設定'!$B$9="税込",N($H763)*8/108,N($H763)*8/100),0),ROUNDDOWN(IF('設定'!$B$9="税込",N($H763)*8/108,N($H763)*8/100),0))))</f>
        <v/>
      </c>
      <c r="L763" s="28">
        <f>IF($A763="","",N($G763)+N($H763)+N($I763)+IF('設定'!$B$9="税込",0,$J763+$K763))</f>
        <v/>
      </c>
      <c r="M763" s="29">
        <f>IF(OR($A763="",NOT(ISNUMBER($W763)),NOT(ISNUMBER($X763))),"",IF(OR(INDEX('得意先'!$D$5:$D$104,$W763)="",INDEX('得意先'!$E$5:$E$104,$W763)="",INDEX('得意先'!$F$5:$F$104,$W763)=""),"",IF(INDEX('得意先'!$F$5:$F$104,$W763)="末",DATE(YEAR($X763),(MONTH($X763)+IF(INDEX('得意先'!$D$5:$D$104,$W763)="末",0,IF(DAY($X763)&lt;=INDEX('得意先'!$D$5:$D$104,$W763),0,1))+N(INDEX('得意先'!$E$5:$E$104,$W763)))+1,0),DATE(YEAR($X763),(MONTH($X763)+IF(INDEX('得意先'!$D$5:$D$104,$W763)="末",0,IF(DAY($X763)&lt;=INDEX('得意先'!$D$5:$D$104,$W763),0,1))+N(INDEX('得意先'!$E$5:$E$104,$W763))),MIN(INDEX('得意先'!$F$5:$F$104,$W763),DAY(DATE(YEAR($X763),(MONTH($X763)+IF(INDEX('得意先'!$D$5:$D$104,$W763)="末",0,IF(DAY($X763)&lt;=INDEX('得意先'!$D$5:$D$104,$W763),0,1))+N(INDEX('得意先'!$E$5:$E$104,$W763)))+1,0)))))))</f>
        <v/>
      </c>
      <c r="N763" s="26" t="n"/>
      <c r="O763" s="29">
        <f>IF($A763="","",IF(ISNUMBER($N763),$N763,$M763))</f>
        <v/>
      </c>
      <c r="P763" s="28">
        <f>IF($A763="","",SUMIF('入金消込'!$F$5:$F$1004,$A763,'入金消込'!$G$5:$G$1004))</f>
        <v/>
      </c>
      <c r="Q763" s="28">
        <f>IF($A763="","",SUMIF('入金消込'!$F$5:$F$1004,$A763,'入金消込'!$H$5:$H$1004)+SUMIF('入金消込'!$F$5:$F$1004,$A763,'入金消込'!$I$5:$I$1004))</f>
        <v/>
      </c>
      <c r="R763" s="28">
        <f>IF($A763="","",$L763-$P763-$Q763)</f>
        <v/>
      </c>
      <c r="S763" s="30">
        <f>IF($A763="","",IF($R763=0,IF($L763=0,"請求額0","回収済"),IF($L763&lt;0,IF($R763&lt;0,"差し引き待ち","差し引きすぎ"),IF($R763&lt;0,"入金が多い",IF($P763+$Q763=0,"未入金","一部入金")))))</f>
        <v/>
      </c>
      <c r="T763" s="31">
        <f>IF(OR($A763="",N($R763)&lt;=0,NOT(ISNUMBER($O763))),"",IF($O763&lt;'設定'!$B$7,'設定'!$B$7-$O763,""))</f>
        <v/>
      </c>
      <c r="U763" s="30">
        <f>IF(OR($A763="",N($R763)&lt;=0),"",IF(NOT(ISNUMBER($O763)),'設定'!$B$22,IF($O763&gt;='設定'!$B$7,'設定'!$B$17,IF('設定'!$B$7-$O763&lt;='設定'!$B$12,'設定'!$B$18,IF('設定'!$B$7-$O763&lt;='設定'!$B$13,'設定'!$B$19,IF('設定'!$B$7-$O763&lt;='設定'!$B$14,'設定'!$B$20,'設定'!$B$21))))))</f>
        <v/>
      </c>
      <c r="V763" s="56" t="n"/>
      <c r="W763" s="32">
        <f>IF($C763="","",IFERROR(MATCH($C763,'得意先'!$B$5:$B$104,0),"なし"))</f>
        <v/>
      </c>
      <c r="X763" s="33">
        <f>IF($A763="","",IF(ISNUMBER($E763),$E763,IF(ISNUMBER($B763),$B763,"")))</f>
        <v/>
      </c>
      <c r="Y763" s="34">
        <f>IF($T763="","",$O763+ROW()/1000000)</f>
        <v/>
      </c>
      <c r="Z763" s="35">
        <f>IF(OR($A763="",$C763="",$C763&lt;&gt;'売掛帳'!$B$3,NOT(ISNUMBER($X763))),"",IF(AND($X763&gt;='売掛帳'!$Q$3,$X763&lt;='売掛帳'!$Q$4),$X763+ROW()/10000000,""))</f>
        <v/>
      </c>
    </row>
    <row r="764" ht="18" customHeight="1">
      <c r="A764" s="18" t="n"/>
      <c r="B764" s="26" t="n"/>
      <c r="C764" s="18" t="n"/>
      <c r="D764" s="20">
        <f>IF($W764="","",IF($W764="なし","※得意先にないコード",INDEX('得意先'!$C$5:$C$104,$W764)&amp;""))</f>
        <v/>
      </c>
      <c r="E764" s="26" t="n"/>
      <c r="F764" s="19" t="n"/>
      <c r="G764" s="27" t="n"/>
      <c r="H764" s="27" t="n"/>
      <c r="I764" s="27" t="n"/>
      <c r="J764" s="28">
        <f>IF($A764="","",IF('設定'!$B$10="四捨五入",ROUND(IF('設定'!$B$9="税込",N($G764)*10/110,N($G764)*10/100),0),IF('設定'!$B$10="切り上げ",ROUNDUP(IF('設定'!$B$9="税込",N($G764)*10/110,N($G764)*10/100),0),ROUNDDOWN(IF('設定'!$B$9="税込",N($G764)*10/110,N($G764)*10/100),0))))</f>
        <v/>
      </c>
      <c r="K764" s="28">
        <f>IF($A764="","",IF('設定'!$B$10="四捨五入",ROUND(IF('設定'!$B$9="税込",N($H764)*8/108,N($H764)*8/100),0),IF('設定'!$B$10="切り上げ",ROUNDUP(IF('設定'!$B$9="税込",N($H764)*8/108,N($H764)*8/100),0),ROUNDDOWN(IF('設定'!$B$9="税込",N($H764)*8/108,N($H764)*8/100),0))))</f>
        <v/>
      </c>
      <c r="L764" s="28">
        <f>IF($A764="","",N($G764)+N($H764)+N($I764)+IF('設定'!$B$9="税込",0,$J764+$K764))</f>
        <v/>
      </c>
      <c r="M764" s="29">
        <f>IF(OR($A764="",NOT(ISNUMBER($W764)),NOT(ISNUMBER($X764))),"",IF(OR(INDEX('得意先'!$D$5:$D$104,$W764)="",INDEX('得意先'!$E$5:$E$104,$W764)="",INDEX('得意先'!$F$5:$F$104,$W764)=""),"",IF(INDEX('得意先'!$F$5:$F$104,$W764)="末",DATE(YEAR($X764),(MONTH($X764)+IF(INDEX('得意先'!$D$5:$D$104,$W764)="末",0,IF(DAY($X764)&lt;=INDEX('得意先'!$D$5:$D$104,$W764),0,1))+N(INDEX('得意先'!$E$5:$E$104,$W764)))+1,0),DATE(YEAR($X764),(MONTH($X764)+IF(INDEX('得意先'!$D$5:$D$104,$W764)="末",0,IF(DAY($X764)&lt;=INDEX('得意先'!$D$5:$D$104,$W764),0,1))+N(INDEX('得意先'!$E$5:$E$104,$W764))),MIN(INDEX('得意先'!$F$5:$F$104,$W764),DAY(DATE(YEAR($X764),(MONTH($X764)+IF(INDEX('得意先'!$D$5:$D$104,$W764)="末",0,IF(DAY($X764)&lt;=INDEX('得意先'!$D$5:$D$104,$W764),0,1))+N(INDEX('得意先'!$E$5:$E$104,$W764)))+1,0)))))))</f>
        <v/>
      </c>
      <c r="N764" s="26" t="n"/>
      <c r="O764" s="29">
        <f>IF($A764="","",IF(ISNUMBER($N764),$N764,$M764))</f>
        <v/>
      </c>
      <c r="P764" s="28">
        <f>IF($A764="","",SUMIF('入金消込'!$F$5:$F$1004,$A764,'入金消込'!$G$5:$G$1004))</f>
        <v/>
      </c>
      <c r="Q764" s="28">
        <f>IF($A764="","",SUMIF('入金消込'!$F$5:$F$1004,$A764,'入金消込'!$H$5:$H$1004)+SUMIF('入金消込'!$F$5:$F$1004,$A764,'入金消込'!$I$5:$I$1004))</f>
        <v/>
      </c>
      <c r="R764" s="28">
        <f>IF($A764="","",$L764-$P764-$Q764)</f>
        <v/>
      </c>
      <c r="S764" s="30">
        <f>IF($A764="","",IF($R764=0,IF($L764=0,"請求額0","回収済"),IF($L764&lt;0,IF($R764&lt;0,"差し引き待ち","差し引きすぎ"),IF($R764&lt;0,"入金が多い",IF($P764+$Q764=0,"未入金","一部入金")))))</f>
        <v/>
      </c>
      <c r="T764" s="31">
        <f>IF(OR($A764="",N($R764)&lt;=0,NOT(ISNUMBER($O764))),"",IF($O764&lt;'設定'!$B$7,'設定'!$B$7-$O764,""))</f>
        <v/>
      </c>
      <c r="U764" s="30">
        <f>IF(OR($A764="",N($R764)&lt;=0),"",IF(NOT(ISNUMBER($O764)),'設定'!$B$22,IF($O764&gt;='設定'!$B$7,'設定'!$B$17,IF('設定'!$B$7-$O764&lt;='設定'!$B$12,'設定'!$B$18,IF('設定'!$B$7-$O764&lt;='設定'!$B$13,'設定'!$B$19,IF('設定'!$B$7-$O764&lt;='設定'!$B$14,'設定'!$B$20,'設定'!$B$21))))))</f>
        <v/>
      </c>
      <c r="V764" s="56" t="n"/>
      <c r="W764" s="32">
        <f>IF($C764="","",IFERROR(MATCH($C764,'得意先'!$B$5:$B$104,0),"なし"))</f>
        <v/>
      </c>
      <c r="X764" s="33">
        <f>IF($A764="","",IF(ISNUMBER($E764),$E764,IF(ISNUMBER($B764),$B764,"")))</f>
        <v/>
      </c>
      <c r="Y764" s="34">
        <f>IF($T764="","",$O764+ROW()/1000000)</f>
        <v/>
      </c>
      <c r="Z764" s="35">
        <f>IF(OR($A764="",$C764="",$C764&lt;&gt;'売掛帳'!$B$3,NOT(ISNUMBER($X764))),"",IF(AND($X764&gt;='売掛帳'!$Q$3,$X764&lt;='売掛帳'!$Q$4),$X764+ROW()/10000000,""))</f>
        <v/>
      </c>
    </row>
    <row r="765" ht="18" customHeight="1">
      <c r="A765" s="18" t="n"/>
      <c r="B765" s="26" t="n"/>
      <c r="C765" s="18" t="n"/>
      <c r="D765" s="20">
        <f>IF($W765="","",IF($W765="なし","※得意先にないコード",INDEX('得意先'!$C$5:$C$104,$W765)&amp;""))</f>
        <v/>
      </c>
      <c r="E765" s="26" t="n"/>
      <c r="F765" s="19" t="n"/>
      <c r="G765" s="27" t="n"/>
      <c r="H765" s="27" t="n"/>
      <c r="I765" s="27" t="n"/>
      <c r="J765" s="28">
        <f>IF($A765="","",IF('設定'!$B$10="四捨五入",ROUND(IF('設定'!$B$9="税込",N($G765)*10/110,N($G765)*10/100),0),IF('設定'!$B$10="切り上げ",ROUNDUP(IF('設定'!$B$9="税込",N($G765)*10/110,N($G765)*10/100),0),ROUNDDOWN(IF('設定'!$B$9="税込",N($G765)*10/110,N($G765)*10/100),0))))</f>
        <v/>
      </c>
      <c r="K765" s="28">
        <f>IF($A765="","",IF('設定'!$B$10="四捨五入",ROUND(IF('設定'!$B$9="税込",N($H765)*8/108,N($H765)*8/100),0),IF('設定'!$B$10="切り上げ",ROUNDUP(IF('設定'!$B$9="税込",N($H765)*8/108,N($H765)*8/100),0),ROUNDDOWN(IF('設定'!$B$9="税込",N($H765)*8/108,N($H765)*8/100),0))))</f>
        <v/>
      </c>
      <c r="L765" s="28">
        <f>IF($A765="","",N($G765)+N($H765)+N($I765)+IF('設定'!$B$9="税込",0,$J765+$K765))</f>
        <v/>
      </c>
      <c r="M765" s="29">
        <f>IF(OR($A765="",NOT(ISNUMBER($W765)),NOT(ISNUMBER($X765))),"",IF(OR(INDEX('得意先'!$D$5:$D$104,$W765)="",INDEX('得意先'!$E$5:$E$104,$W765)="",INDEX('得意先'!$F$5:$F$104,$W765)=""),"",IF(INDEX('得意先'!$F$5:$F$104,$W765)="末",DATE(YEAR($X765),(MONTH($X765)+IF(INDEX('得意先'!$D$5:$D$104,$W765)="末",0,IF(DAY($X765)&lt;=INDEX('得意先'!$D$5:$D$104,$W765),0,1))+N(INDEX('得意先'!$E$5:$E$104,$W765)))+1,0),DATE(YEAR($X765),(MONTH($X765)+IF(INDEX('得意先'!$D$5:$D$104,$W765)="末",0,IF(DAY($X765)&lt;=INDEX('得意先'!$D$5:$D$104,$W765),0,1))+N(INDEX('得意先'!$E$5:$E$104,$W765))),MIN(INDEX('得意先'!$F$5:$F$104,$W765),DAY(DATE(YEAR($X765),(MONTH($X765)+IF(INDEX('得意先'!$D$5:$D$104,$W765)="末",0,IF(DAY($X765)&lt;=INDEX('得意先'!$D$5:$D$104,$W765),0,1))+N(INDEX('得意先'!$E$5:$E$104,$W765)))+1,0)))))))</f>
        <v/>
      </c>
      <c r="N765" s="26" t="n"/>
      <c r="O765" s="29">
        <f>IF($A765="","",IF(ISNUMBER($N765),$N765,$M765))</f>
        <v/>
      </c>
      <c r="P765" s="28">
        <f>IF($A765="","",SUMIF('入金消込'!$F$5:$F$1004,$A765,'入金消込'!$G$5:$G$1004))</f>
        <v/>
      </c>
      <c r="Q765" s="28">
        <f>IF($A765="","",SUMIF('入金消込'!$F$5:$F$1004,$A765,'入金消込'!$H$5:$H$1004)+SUMIF('入金消込'!$F$5:$F$1004,$A765,'入金消込'!$I$5:$I$1004))</f>
        <v/>
      </c>
      <c r="R765" s="28">
        <f>IF($A765="","",$L765-$P765-$Q765)</f>
        <v/>
      </c>
      <c r="S765" s="30">
        <f>IF($A765="","",IF($R765=0,IF($L765=0,"請求額0","回収済"),IF($L765&lt;0,IF($R765&lt;0,"差し引き待ち","差し引きすぎ"),IF($R765&lt;0,"入金が多い",IF($P765+$Q765=0,"未入金","一部入金")))))</f>
        <v/>
      </c>
      <c r="T765" s="31">
        <f>IF(OR($A765="",N($R765)&lt;=0,NOT(ISNUMBER($O765))),"",IF($O765&lt;'設定'!$B$7,'設定'!$B$7-$O765,""))</f>
        <v/>
      </c>
      <c r="U765" s="30">
        <f>IF(OR($A765="",N($R765)&lt;=0),"",IF(NOT(ISNUMBER($O765)),'設定'!$B$22,IF($O765&gt;='設定'!$B$7,'設定'!$B$17,IF('設定'!$B$7-$O765&lt;='設定'!$B$12,'設定'!$B$18,IF('設定'!$B$7-$O765&lt;='設定'!$B$13,'設定'!$B$19,IF('設定'!$B$7-$O765&lt;='設定'!$B$14,'設定'!$B$20,'設定'!$B$21))))))</f>
        <v/>
      </c>
      <c r="V765" s="56" t="n"/>
      <c r="W765" s="32">
        <f>IF($C765="","",IFERROR(MATCH($C765,'得意先'!$B$5:$B$104,0),"なし"))</f>
        <v/>
      </c>
      <c r="X765" s="33">
        <f>IF($A765="","",IF(ISNUMBER($E765),$E765,IF(ISNUMBER($B765),$B765,"")))</f>
        <v/>
      </c>
      <c r="Y765" s="34">
        <f>IF($T765="","",$O765+ROW()/1000000)</f>
        <v/>
      </c>
      <c r="Z765" s="35">
        <f>IF(OR($A765="",$C765="",$C765&lt;&gt;'売掛帳'!$B$3,NOT(ISNUMBER($X765))),"",IF(AND($X765&gt;='売掛帳'!$Q$3,$X765&lt;='売掛帳'!$Q$4),$X765+ROW()/10000000,""))</f>
        <v/>
      </c>
    </row>
    <row r="766" ht="18" customHeight="1">
      <c r="A766" s="18" t="n"/>
      <c r="B766" s="26" t="n"/>
      <c r="C766" s="18" t="n"/>
      <c r="D766" s="20">
        <f>IF($W766="","",IF($W766="なし","※得意先にないコード",INDEX('得意先'!$C$5:$C$104,$W766)&amp;""))</f>
        <v/>
      </c>
      <c r="E766" s="26" t="n"/>
      <c r="F766" s="19" t="n"/>
      <c r="G766" s="27" t="n"/>
      <c r="H766" s="27" t="n"/>
      <c r="I766" s="27" t="n"/>
      <c r="J766" s="28">
        <f>IF($A766="","",IF('設定'!$B$10="四捨五入",ROUND(IF('設定'!$B$9="税込",N($G766)*10/110,N($G766)*10/100),0),IF('設定'!$B$10="切り上げ",ROUNDUP(IF('設定'!$B$9="税込",N($G766)*10/110,N($G766)*10/100),0),ROUNDDOWN(IF('設定'!$B$9="税込",N($G766)*10/110,N($G766)*10/100),0))))</f>
        <v/>
      </c>
      <c r="K766" s="28">
        <f>IF($A766="","",IF('設定'!$B$10="四捨五入",ROUND(IF('設定'!$B$9="税込",N($H766)*8/108,N($H766)*8/100),0),IF('設定'!$B$10="切り上げ",ROUNDUP(IF('設定'!$B$9="税込",N($H766)*8/108,N($H766)*8/100),0),ROUNDDOWN(IF('設定'!$B$9="税込",N($H766)*8/108,N($H766)*8/100),0))))</f>
        <v/>
      </c>
      <c r="L766" s="28">
        <f>IF($A766="","",N($G766)+N($H766)+N($I766)+IF('設定'!$B$9="税込",0,$J766+$K766))</f>
        <v/>
      </c>
      <c r="M766" s="29">
        <f>IF(OR($A766="",NOT(ISNUMBER($W766)),NOT(ISNUMBER($X766))),"",IF(OR(INDEX('得意先'!$D$5:$D$104,$W766)="",INDEX('得意先'!$E$5:$E$104,$W766)="",INDEX('得意先'!$F$5:$F$104,$W766)=""),"",IF(INDEX('得意先'!$F$5:$F$104,$W766)="末",DATE(YEAR($X766),(MONTH($X766)+IF(INDEX('得意先'!$D$5:$D$104,$W766)="末",0,IF(DAY($X766)&lt;=INDEX('得意先'!$D$5:$D$104,$W766),0,1))+N(INDEX('得意先'!$E$5:$E$104,$W766)))+1,0),DATE(YEAR($X766),(MONTH($X766)+IF(INDEX('得意先'!$D$5:$D$104,$W766)="末",0,IF(DAY($X766)&lt;=INDEX('得意先'!$D$5:$D$104,$W766),0,1))+N(INDEX('得意先'!$E$5:$E$104,$W766))),MIN(INDEX('得意先'!$F$5:$F$104,$W766),DAY(DATE(YEAR($X766),(MONTH($X766)+IF(INDEX('得意先'!$D$5:$D$104,$W766)="末",0,IF(DAY($X766)&lt;=INDEX('得意先'!$D$5:$D$104,$W766),0,1))+N(INDEX('得意先'!$E$5:$E$104,$W766)))+1,0)))))))</f>
        <v/>
      </c>
      <c r="N766" s="26" t="n"/>
      <c r="O766" s="29">
        <f>IF($A766="","",IF(ISNUMBER($N766),$N766,$M766))</f>
        <v/>
      </c>
      <c r="P766" s="28">
        <f>IF($A766="","",SUMIF('入金消込'!$F$5:$F$1004,$A766,'入金消込'!$G$5:$G$1004))</f>
        <v/>
      </c>
      <c r="Q766" s="28">
        <f>IF($A766="","",SUMIF('入金消込'!$F$5:$F$1004,$A766,'入金消込'!$H$5:$H$1004)+SUMIF('入金消込'!$F$5:$F$1004,$A766,'入金消込'!$I$5:$I$1004))</f>
        <v/>
      </c>
      <c r="R766" s="28">
        <f>IF($A766="","",$L766-$P766-$Q766)</f>
        <v/>
      </c>
      <c r="S766" s="30">
        <f>IF($A766="","",IF($R766=0,IF($L766=0,"請求額0","回収済"),IF($L766&lt;0,IF($R766&lt;0,"差し引き待ち","差し引きすぎ"),IF($R766&lt;0,"入金が多い",IF($P766+$Q766=0,"未入金","一部入金")))))</f>
        <v/>
      </c>
      <c r="T766" s="31">
        <f>IF(OR($A766="",N($R766)&lt;=0,NOT(ISNUMBER($O766))),"",IF($O766&lt;'設定'!$B$7,'設定'!$B$7-$O766,""))</f>
        <v/>
      </c>
      <c r="U766" s="30">
        <f>IF(OR($A766="",N($R766)&lt;=0),"",IF(NOT(ISNUMBER($O766)),'設定'!$B$22,IF($O766&gt;='設定'!$B$7,'設定'!$B$17,IF('設定'!$B$7-$O766&lt;='設定'!$B$12,'設定'!$B$18,IF('設定'!$B$7-$O766&lt;='設定'!$B$13,'設定'!$B$19,IF('設定'!$B$7-$O766&lt;='設定'!$B$14,'設定'!$B$20,'設定'!$B$21))))))</f>
        <v/>
      </c>
      <c r="V766" s="56" t="n"/>
      <c r="W766" s="32">
        <f>IF($C766="","",IFERROR(MATCH($C766,'得意先'!$B$5:$B$104,0),"なし"))</f>
        <v/>
      </c>
      <c r="X766" s="33">
        <f>IF($A766="","",IF(ISNUMBER($E766),$E766,IF(ISNUMBER($B766),$B766,"")))</f>
        <v/>
      </c>
      <c r="Y766" s="34">
        <f>IF($T766="","",$O766+ROW()/1000000)</f>
        <v/>
      </c>
      <c r="Z766" s="35">
        <f>IF(OR($A766="",$C766="",$C766&lt;&gt;'売掛帳'!$B$3,NOT(ISNUMBER($X766))),"",IF(AND($X766&gt;='売掛帳'!$Q$3,$X766&lt;='売掛帳'!$Q$4),$X766+ROW()/10000000,""))</f>
        <v/>
      </c>
    </row>
    <row r="767" ht="18" customHeight="1">
      <c r="A767" s="18" t="n"/>
      <c r="B767" s="26" t="n"/>
      <c r="C767" s="18" t="n"/>
      <c r="D767" s="20">
        <f>IF($W767="","",IF($W767="なし","※得意先にないコード",INDEX('得意先'!$C$5:$C$104,$W767)&amp;""))</f>
        <v/>
      </c>
      <c r="E767" s="26" t="n"/>
      <c r="F767" s="19" t="n"/>
      <c r="G767" s="27" t="n"/>
      <c r="H767" s="27" t="n"/>
      <c r="I767" s="27" t="n"/>
      <c r="J767" s="28">
        <f>IF($A767="","",IF('設定'!$B$10="四捨五入",ROUND(IF('設定'!$B$9="税込",N($G767)*10/110,N($G767)*10/100),0),IF('設定'!$B$10="切り上げ",ROUNDUP(IF('設定'!$B$9="税込",N($G767)*10/110,N($G767)*10/100),0),ROUNDDOWN(IF('設定'!$B$9="税込",N($G767)*10/110,N($G767)*10/100),0))))</f>
        <v/>
      </c>
      <c r="K767" s="28">
        <f>IF($A767="","",IF('設定'!$B$10="四捨五入",ROUND(IF('設定'!$B$9="税込",N($H767)*8/108,N($H767)*8/100),0),IF('設定'!$B$10="切り上げ",ROUNDUP(IF('設定'!$B$9="税込",N($H767)*8/108,N($H767)*8/100),0),ROUNDDOWN(IF('設定'!$B$9="税込",N($H767)*8/108,N($H767)*8/100),0))))</f>
        <v/>
      </c>
      <c r="L767" s="28">
        <f>IF($A767="","",N($G767)+N($H767)+N($I767)+IF('設定'!$B$9="税込",0,$J767+$K767))</f>
        <v/>
      </c>
      <c r="M767" s="29">
        <f>IF(OR($A767="",NOT(ISNUMBER($W767)),NOT(ISNUMBER($X767))),"",IF(OR(INDEX('得意先'!$D$5:$D$104,$W767)="",INDEX('得意先'!$E$5:$E$104,$W767)="",INDEX('得意先'!$F$5:$F$104,$W767)=""),"",IF(INDEX('得意先'!$F$5:$F$104,$W767)="末",DATE(YEAR($X767),(MONTH($X767)+IF(INDEX('得意先'!$D$5:$D$104,$W767)="末",0,IF(DAY($X767)&lt;=INDEX('得意先'!$D$5:$D$104,$W767),0,1))+N(INDEX('得意先'!$E$5:$E$104,$W767)))+1,0),DATE(YEAR($X767),(MONTH($X767)+IF(INDEX('得意先'!$D$5:$D$104,$W767)="末",0,IF(DAY($X767)&lt;=INDEX('得意先'!$D$5:$D$104,$W767),0,1))+N(INDEX('得意先'!$E$5:$E$104,$W767))),MIN(INDEX('得意先'!$F$5:$F$104,$W767),DAY(DATE(YEAR($X767),(MONTH($X767)+IF(INDEX('得意先'!$D$5:$D$104,$W767)="末",0,IF(DAY($X767)&lt;=INDEX('得意先'!$D$5:$D$104,$W767),0,1))+N(INDEX('得意先'!$E$5:$E$104,$W767)))+1,0)))))))</f>
        <v/>
      </c>
      <c r="N767" s="26" t="n"/>
      <c r="O767" s="29">
        <f>IF($A767="","",IF(ISNUMBER($N767),$N767,$M767))</f>
        <v/>
      </c>
      <c r="P767" s="28">
        <f>IF($A767="","",SUMIF('入金消込'!$F$5:$F$1004,$A767,'入金消込'!$G$5:$G$1004))</f>
        <v/>
      </c>
      <c r="Q767" s="28">
        <f>IF($A767="","",SUMIF('入金消込'!$F$5:$F$1004,$A767,'入金消込'!$H$5:$H$1004)+SUMIF('入金消込'!$F$5:$F$1004,$A767,'入金消込'!$I$5:$I$1004))</f>
        <v/>
      </c>
      <c r="R767" s="28">
        <f>IF($A767="","",$L767-$P767-$Q767)</f>
        <v/>
      </c>
      <c r="S767" s="30">
        <f>IF($A767="","",IF($R767=0,IF($L767=0,"請求額0","回収済"),IF($L767&lt;0,IF($R767&lt;0,"差し引き待ち","差し引きすぎ"),IF($R767&lt;0,"入金が多い",IF($P767+$Q767=0,"未入金","一部入金")))))</f>
        <v/>
      </c>
      <c r="T767" s="31">
        <f>IF(OR($A767="",N($R767)&lt;=0,NOT(ISNUMBER($O767))),"",IF($O767&lt;'設定'!$B$7,'設定'!$B$7-$O767,""))</f>
        <v/>
      </c>
      <c r="U767" s="30">
        <f>IF(OR($A767="",N($R767)&lt;=0),"",IF(NOT(ISNUMBER($O767)),'設定'!$B$22,IF($O767&gt;='設定'!$B$7,'設定'!$B$17,IF('設定'!$B$7-$O767&lt;='設定'!$B$12,'設定'!$B$18,IF('設定'!$B$7-$O767&lt;='設定'!$B$13,'設定'!$B$19,IF('設定'!$B$7-$O767&lt;='設定'!$B$14,'設定'!$B$20,'設定'!$B$21))))))</f>
        <v/>
      </c>
      <c r="V767" s="56" t="n"/>
      <c r="W767" s="32">
        <f>IF($C767="","",IFERROR(MATCH($C767,'得意先'!$B$5:$B$104,0),"なし"))</f>
        <v/>
      </c>
      <c r="X767" s="33">
        <f>IF($A767="","",IF(ISNUMBER($E767),$E767,IF(ISNUMBER($B767),$B767,"")))</f>
        <v/>
      </c>
      <c r="Y767" s="34">
        <f>IF($T767="","",$O767+ROW()/1000000)</f>
        <v/>
      </c>
      <c r="Z767" s="35">
        <f>IF(OR($A767="",$C767="",$C767&lt;&gt;'売掛帳'!$B$3,NOT(ISNUMBER($X767))),"",IF(AND($X767&gt;='売掛帳'!$Q$3,$X767&lt;='売掛帳'!$Q$4),$X767+ROW()/10000000,""))</f>
        <v/>
      </c>
    </row>
    <row r="768" ht="18" customHeight="1">
      <c r="A768" s="18" t="n"/>
      <c r="B768" s="26" t="n"/>
      <c r="C768" s="18" t="n"/>
      <c r="D768" s="20">
        <f>IF($W768="","",IF($W768="なし","※得意先にないコード",INDEX('得意先'!$C$5:$C$104,$W768)&amp;""))</f>
        <v/>
      </c>
      <c r="E768" s="26" t="n"/>
      <c r="F768" s="19" t="n"/>
      <c r="G768" s="27" t="n"/>
      <c r="H768" s="27" t="n"/>
      <c r="I768" s="27" t="n"/>
      <c r="J768" s="28">
        <f>IF($A768="","",IF('設定'!$B$10="四捨五入",ROUND(IF('設定'!$B$9="税込",N($G768)*10/110,N($G768)*10/100),0),IF('設定'!$B$10="切り上げ",ROUNDUP(IF('設定'!$B$9="税込",N($G768)*10/110,N($G768)*10/100),0),ROUNDDOWN(IF('設定'!$B$9="税込",N($G768)*10/110,N($G768)*10/100),0))))</f>
        <v/>
      </c>
      <c r="K768" s="28">
        <f>IF($A768="","",IF('設定'!$B$10="四捨五入",ROUND(IF('設定'!$B$9="税込",N($H768)*8/108,N($H768)*8/100),0),IF('設定'!$B$10="切り上げ",ROUNDUP(IF('設定'!$B$9="税込",N($H768)*8/108,N($H768)*8/100),0),ROUNDDOWN(IF('設定'!$B$9="税込",N($H768)*8/108,N($H768)*8/100),0))))</f>
        <v/>
      </c>
      <c r="L768" s="28">
        <f>IF($A768="","",N($G768)+N($H768)+N($I768)+IF('設定'!$B$9="税込",0,$J768+$K768))</f>
        <v/>
      </c>
      <c r="M768" s="29">
        <f>IF(OR($A768="",NOT(ISNUMBER($W768)),NOT(ISNUMBER($X768))),"",IF(OR(INDEX('得意先'!$D$5:$D$104,$W768)="",INDEX('得意先'!$E$5:$E$104,$W768)="",INDEX('得意先'!$F$5:$F$104,$W768)=""),"",IF(INDEX('得意先'!$F$5:$F$104,$W768)="末",DATE(YEAR($X768),(MONTH($X768)+IF(INDEX('得意先'!$D$5:$D$104,$W768)="末",0,IF(DAY($X768)&lt;=INDEX('得意先'!$D$5:$D$104,$W768),0,1))+N(INDEX('得意先'!$E$5:$E$104,$W768)))+1,0),DATE(YEAR($X768),(MONTH($X768)+IF(INDEX('得意先'!$D$5:$D$104,$W768)="末",0,IF(DAY($X768)&lt;=INDEX('得意先'!$D$5:$D$104,$W768),0,1))+N(INDEX('得意先'!$E$5:$E$104,$W768))),MIN(INDEX('得意先'!$F$5:$F$104,$W768),DAY(DATE(YEAR($X768),(MONTH($X768)+IF(INDEX('得意先'!$D$5:$D$104,$W768)="末",0,IF(DAY($X768)&lt;=INDEX('得意先'!$D$5:$D$104,$W768),0,1))+N(INDEX('得意先'!$E$5:$E$104,$W768)))+1,0)))))))</f>
        <v/>
      </c>
      <c r="N768" s="26" t="n"/>
      <c r="O768" s="29">
        <f>IF($A768="","",IF(ISNUMBER($N768),$N768,$M768))</f>
        <v/>
      </c>
      <c r="P768" s="28">
        <f>IF($A768="","",SUMIF('入金消込'!$F$5:$F$1004,$A768,'入金消込'!$G$5:$G$1004))</f>
        <v/>
      </c>
      <c r="Q768" s="28">
        <f>IF($A768="","",SUMIF('入金消込'!$F$5:$F$1004,$A768,'入金消込'!$H$5:$H$1004)+SUMIF('入金消込'!$F$5:$F$1004,$A768,'入金消込'!$I$5:$I$1004))</f>
        <v/>
      </c>
      <c r="R768" s="28">
        <f>IF($A768="","",$L768-$P768-$Q768)</f>
        <v/>
      </c>
      <c r="S768" s="30">
        <f>IF($A768="","",IF($R768=0,IF($L768=0,"請求額0","回収済"),IF($L768&lt;0,IF($R768&lt;0,"差し引き待ち","差し引きすぎ"),IF($R768&lt;0,"入金が多い",IF($P768+$Q768=0,"未入金","一部入金")))))</f>
        <v/>
      </c>
      <c r="T768" s="31">
        <f>IF(OR($A768="",N($R768)&lt;=0,NOT(ISNUMBER($O768))),"",IF($O768&lt;'設定'!$B$7,'設定'!$B$7-$O768,""))</f>
        <v/>
      </c>
      <c r="U768" s="30">
        <f>IF(OR($A768="",N($R768)&lt;=0),"",IF(NOT(ISNUMBER($O768)),'設定'!$B$22,IF($O768&gt;='設定'!$B$7,'設定'!$B$17,IF('設定'!$B$7-$O768&lt;='設定'!$B$12,'設定'!$B$18,IF('設定'!$B$7-$O768&lt;='設定'!$B$13,'設定'!$B$19,IF('設定'!$B$7-$O768&lt;='設定'!$B$14,'設定'!$B$20,'設定'!$B$21))))))</f>
        <v/>
      </c>
      <c r="V768" s="56" t="n"/>
      <c r="W768" s="32">
        <f>IF($C768="","",IFERROR(MATCH($C768,'得意先'!$B$5:$B$104,0),"なし"))</f>
        <v/>
      </c>
      <c r="X768" s="33">
        <f>IF($A768="","",IF(ISNUMBER($E768),$E768,IF(ISNUMBER($B768),$B768,"")))</f>
        <v/>
      </c>
      <c r="Y768" s="34">
        <f>IF($T768="","",$O768+ROW()/1000000)</f>
        <v/>
      </c>
      <c r="Z768" s="35">
        <f>IF(OR($A768="",$C768="",$C768&lt;&gt;'売掛帳'!$B$3,NOT(ISNUMBER($X768))),"",IF(AND($X768&gt;='売掛帳'!$Q$3,$X768&lt;='売掛帳'!$Q$4),$X768+ROW()/10000000,""))</f>
        <v/>
      </c>
    </row>
    <row r="769" ht="18" customHeight="1">
      <c r="A769" s="18" t="n"/>
      <c r="B769" s="26" t="n"/>
      <c r="C769" s="18" t="n"/>
      <c r="D769" s="20">
        <f>IF($W769="","",IF($W769="なし","※得意先にないコード",INDEX('得意先'!$C$5:$C$104,$W769)&amp;""))</f>
        <v/>
      </c>
      <c r="E769" s="26" t="n"/>
      <c r="F769" s="19" t="n"/>
      <c r="G769" s="27" t="n"/>
      <c r="H769" s="27" t="n"/>
      <c r="I769" s="27" t="n"/>
      <c r="J769" s="28">
        <f>IF($A769="","",IF('設定'!$B$10="四捨五入",ROUND(IF('設定'!$B$9="税込",N($G769)*10/110,N($G769)*10/100),0),IF('設定'!$B$10="切り上げ",ROUNDUP(IF('設定'!$B$9="税込",N($G769)*10/110,N($G769)*10/100),0),ROUNDDOWN(IF('設定'!$B$9="税込",N($G769)*10/110,N($G769)*10/100),0))))</f>
        <v/>
      </c>
      <c r="K769" s="28">
        <f>IF($A769="","",IF('設定'!$B$10="四捨五入",ROUND(IF('設定'!$B$9="税込",N($H769)*8/108,N($H769)*8/100),0),IF('設定'!$B$10="切り上げ",ROUNDUP(IF('設定'!$B$9="税込",N($H769)*8/108,N($H769)*8/100),0),ROUNDDOWN(IF('設定'!$B$9="税込",N($H769)*8/108,N($H769)*8/100),0))))</f>
        <v/>
      </c>
      <c r="L769" s="28">
        <f>IF($A769="","",N($G769)+N($H769)+N($I769)+IF('設定'!$B$9="税込",0,$J769+$K769))</f>
        <v/>
      </c>
      <c r="M769" s="29">
        <f>IF(OR($A769="",NOT(ISNUMBER($W769)),NOT(ISNUMBER($X769))),"",IF(OR(INDEX('得意先'!$D$5:$D$104,$W769)="",INDEX('得意先'!$E$5:$E$104,$W769)="",INDEX('得意先'!$F$5:$F$104,$W769)=""),"",IF(INDEX('得意先'!$F$5:$F$104,$W769)="末",DATE(YEAR($X769),(MONTH($X769)+IF(INDEX('得意先'!$D$5:$D$104,$W769)="末",0,IF(DAY($X769)&lt;=INDEX('得意先'!$D$5:$D$104,$W769),0,1))+N(INDEX('得意先'!$E$5:$E$104,$W769)))+1,0),DATE(YEAR($X769),(MONTH($X769)+IF(INDEX('得意先'!$D$5:$D$104,$W769)="末",0,IF(DAY($X769)&lt;=INDEX('得意先'!$D$5:$D$104,$W769),0,1))+N(INDEX('得意先'!$E$5:$E$104,$W769))),MIN(INDEX('得意先'!$F$5:$F$104,$W769),DAY(DATE(YEAR($X769),(MONTH($X769)+IF(INDEX('得意先'!$D$5:$D$104,$W769)="末",0,IF(DAY($X769)&lt;=INDEX('得意先'!$D$5:$D$104,$W769),0,1))+N(INDEX('得意先'!$E$5:$E$104,$W769)))+1,0)))))))</f>
        <v/>
      </c>
      <c r="N769" s="26" t="n"/>
      <c r="O769" s="29">
        <f>IF($A769="","",IF(ISNUMBER($N769),$N769,$M769))</f>
        <v/>
      </c>
      <c r="P769" s="28">
        <f>IF($A769="","",SUMIF('入金消込'!$F$5:$F$1004,$A769,'入金消込'!$G$5:$G$1004))</f>
        <v/>
      </c>
      <c r="Q769" s="28">
        <f>IF($A769="","",SUMIF('入金消込'!$F$5:$F$1004,$A769,'入金消込'!$H$5:$H$1004)+SUMIF('入金消込'!$F$5:$F$1004,$A769,'入金消込'!$I$5:$I$1004))</f>
        <v/>
      </c>
      <c r="R769" s="28">
        <f>IF($A769="","",$L769-$P769-$Q769)</f>
        <v/>
      </c>
      <c r="S769" s="30">
        <f>IF($A769="","",IF($R769=0,IF($L769=0,"請求額0","回収済"),IF($L769&lt;0,IF($R769&lt;0,"差し引き待ち","差し引きすぎ"),IF($R769&lt;0,"入金が多い",IF($P769+$Q769=0,"未入金","一部入金")))))</f>
        <v/>
      </c>
      <c r="T769" s="31">
        <f>IF(OR($A769="",N($R769)&lt;=0,NOT(ISNUMBER($O769))),"",IF($O769&lt;'設定'!$B$7,'設定'!$B$7-$O769,""))</f>
        <v/>
      </c>
      <c r="U769" s="30">
        <f>IF(OR($A769="",N($R769)&lt;=0),"",IF(NOT(ISNUMBER($O769)),'設定'!$B$22,IF($O769&gt;='設定'!$B$7,'設定'!$B$17,IF('設定'!$B$7-$O769&lt;='設定'!$B$12,'設定'!$B$18,IF('設定'!$B$7-$O769&lt;='設定'!$B$13,'設定'!$B$19,IF('設定'!$B$7-$O769&lt;='設定'!$B$14,'設定'!$B$20,'設定'!$B$21))))))</f>
        <v/>
      </c>
      <c r="V769" s="56" t="n"/>
      <c r="W769" s="32">
        <f>IF($C769="","",IFERROR(MATCH($C769,'得意先'!$B$5:$B$104,0),"なし"))</f>
        <v/>
      </c>
      <c r="X769" s="33">
        <f>IF($A769="","",IF(ISNUMBER($E769),$E769,IF(ISNUMBER($B769),$B769,"")))</f>
        <v/>
      </c>
      <c r="Y769" s="34">
        <f>IF($T769="","",$O769+ROW()/1000000)</f>
        <v/>
      </c>
      <c r="Z769" s="35">
        <f>IF(OR($A769="",$C769="",$C769&lt;&gt;'売掛帳'!$B$3,NOT(ISNUMBER($X769))),"",IF(AND($X769&gt;='売掛帳'!$Q$3,$X769&lt;='売掛帳'!$Q$4),$X769+ROW()/10000000,""))</f>
        <v/>
      </c>
    </row>
    <row r="770" ht="18" customHeight="1">
      <c r="A770" s="18" t="n"/>
      <c r="B770" s="26" t="n"/>
      <c r="C770" s="18" t="n"/>
      <c r="D770" s="20">
        <f>IF($W770="","",IF($W770="なし","※得意先にないコード",INDEX('得意先'!$C$5:$C$104,$W770)&amp;""))</f>
        <v/>
      </c>
      <c r="E770" s="26" t="n"/>
      <c r="F770" s="19" t="n"/>
      <c r="G770" s="27" t="n"/>
      <c r="H770" s="27" t="n"/>
      <c r="I770" s="27" t="n"/>
      <c r="J770" s="28">
        <f>IF($A770="","",IF('設定'!$B$10="四捨五入",ROUND(IF('設定'!$B$9="税込",N($G770)*10/110,N($G770)*10/100),0),IF('設定'!$B$10="切り上げ",ROUNDUP(IF('設定'!$B$9="税込",N($G770)*10/110,N($G770)*10/100),0),ROUNDDOWN(IF('設定'!$B$9="税込",N($G770)*10/110,N($G770)*10/100),0))))</f>
        <v/>
      </c>
      <c r="K770" s="28">
        <f>IF($A770="","",IF('設定'!$B$10="四捨五入",ROUND(IF('設定'!$B$9="税込",N($H770)*8/108,N($H770)*8/100),0),IF('設定'!$B$10="切り上げ",ROUNDUP(IF('設定'!$B$9="税込",N($H770)*8/108,N($H770)*8/100),0),ROUNDDOWN(IF('設定'!$B$9="税込",N($H770)*8/108,N($H770)*8/100),0))))</f>
        <v/>
      </c>
      <c r="L770" s="28">
        <f>IF($A770="","",N($G770)+N($H770)+N($I770)+IF('設定'!$B$9="税込",0,$J770+$K770))</f>
        <v/>
      </c>
      <c r="M770" s="29">
        <f>IF(OR($A770="",NOT(ISNUMBER($W770)),NOT(ISNUMBER($X770))),"",IF(OR(INDEX('得意先'!$D$5:$D$104,$W770)="",INDEX('得意先'!$E$5:$E$104,$W770)="",INDEX('得意先'!$F$5:$F$104,$W770)=""),"",IF(INDEX('得意先'!$F$5:$F$104,$W770)="末",DATE(YEAR($X770),(MONTH($X770)+IF(INDEX('得意先'!$D$5:$D$104,$W770)="末",0,IF(DAY($X770)&lt;=INDEX('得意先'!$D$5:$D$104,$W770),0,1))+N(INDEX('得意先'!$E$5:$E$104,$W770)))+1,0),DATE(YEAR($X770),(MONTH($X770)+IF(INDEX('得意先'!$D$5:$D$104,$W770)="末",0,IF(DAY($X770)&lt;=INDEX('得意先'!$D$5:$D$104,$W770),0,1))+N(INDEX('得意先'!$E$5:$E$104,$W770))),MIN(INDEX('得意先'!$F$5:$F$104,$W770),DAY(DATE(YEAR($X770),(MONTH($X770)+IF(INDEX('得意先'!$D$5:$D$104,$W770)="末",0,IF(DAY($X770)&lt;=INDEX('得意先'!$D$5:$D$104,$W770),0,1))+N(INDEX('得意先'!$E$5:$E$104,$W770)))+1,0)))))))</f>
        <v/>
      </c>
      <c r="N770" s="26" t="n"/>
      <c r="O770" s="29">
        <f>IF($A770="","",IF(ISNUMBER($N770),$N770,$M770))</f>
        <v/>
      </c>
      <c r="P770" s="28">
        <f>IF($A770="","",SUMIF('入金消込'!$F$5:$F$1004,$A770,'入金消込'!$G$5:$G$1004))</f>
        <v/>
      </c>
      <c r="Q770" s="28">
        <f>IF($A770="","",SUMIF('入金消込'!$F$5:$F$1004,$A770,'入金消込'!$H$5:$H$1004)+SUMIF('入金消込'!$F$5:$F$1004,$A770,'入金消込'!$I$5:$I$1004))</f>
        <v/>
      </c>
      <c r="R770" s="28">
        <f>IF($A770="","",$L770-$P770-$Q770)</f>
        <v/>
      </c>
      <c r="S770" s="30">
        <f>IF($A770="","",IF($R770=0,IF($L770=0,"請求額0","回収済"),IF($L770&lt;0,IF($R770&lt;0,"差し引き待ち","差し引きすぎ"),IF($R770&lt;0,"入金が多い",IF($P770+$Q770=0,"未入金","一部入金")))))</f>
        <v/>
      </c>
      <c r="T770" s="31">
        <f>IF(OR($A770="",N($R770)&lt;=0,NOT(ISNUMBER($O770))),"",IF($O770&lt;'設定'!$B$7,'設定'!$B$7-$O770,""))</f>
        <v/>
      </c>
      <c r="U770" s="30">
        <f>IF(OR($A770="",N($R770)&lt;=0),"",IF(NOT(ISNUMBER($O770)),'設定'!$B$22,IF($O770&gt;='設定'!$B$7,'設定'!$B$17,IF('設定'!$B$7-$O770&lt;='設定'!$B$12,'設定'!$B$18,IF('設定'!$B$7-$O770&lt;='設定'!$B$13,'設定'!$B$19,IF('設定'!$B$7-$O770&lt;='設定'!$B$14,'設定'!$B$20,'設定'!$B$21))))))</f>
        <v/>
      </c>
      <c r="V770" s="56" t="n"/>
      <c r="W770" s="32">
        <f>IF($C770="","",IFERROR(MATCH($C770,'得意先'!$B$5:$B$104,0),"なし"))</f>
        <v/>
      </c>
      <c r="X770" s="33">
        <f>IF($A770="","",IF(ISNUMBER($E770),$E770,IF(ISNUMBER($B770),$B770,"")))</f>
        <v/>
      </c>
      <c r="Y770" s="34">
        <f>IF($T770="","",$O770+ROW()/1000000)</f>
        <v/>
      </c>
      <c r="Z770" s="35">
        <f>IF(OR($A770="",$C770="",$C770&lt;&gt;'売掛帳'!$B$3,NOT(ISNUMBER($X770))),"",IF(AND($X770&gt;='売掛帳'!$Q$3,$X770&lt;='売掛帳'!$Q$4),$X770+ROW()/10000000,""))</f>
        <v/>
      </c>
    </row>
    <row r="771" ht="18" customHeight="1">
      <c r="A771" s="18" t="n"/>
      <c r="B771" s="26" t="n"/>
      <c r="C771" s="18" t="n"/>
      <c r="D771" s="20">
        <f>IF($W771="","",IF($W771="なし","※得意先にないコード",INDEX('得意先'!$C$5:$C$104,$W771)&amp;""))</f>
        <v/>
      </c>
      <c r="E771" s="26" t="n"/>
      <c r="F771" s="19" t="n"/>
      <c r="G771" s="27" t="n"/>
      <c r="H771" s="27" t="n"/>
      <c r="I771" s="27" t="n"/>
      <c r="J771" s="28">
        <f>IF($A771="","",IF('設定'!$B$10="四捨五入",ROUND(IF('設定'!$B$9="税込",N($G771)*10/110,N($G771)*10/100),0),IF('設定'!$B$10="切り上げ",ROUNDUP(IF('設定'!$B$9="税込",N($G771)*10/110,N($G771)*10/100),0),ROUNDDOWN(IF('設定'!$B$9="税込",N($G771)*10/110,N($G771)*10/100),0))))</f>
        <v/>
      </c>
      <c r="K771" s="28">
        <f>IF($A771="","",IF('設定'!$B$10="四捨五入",ROUND(IF('設定'!$B$9="税込",N($H771)*8/108,N($H771)*8/100),0),IF('設定'!$B$10="切り上げ",ROUNDUP(IF('設定'!$B$9="税込",N($H771)*8/108,N($H771)*8/100),0),ROUNDDOWN(IF('設定'!$B$9="税込",N($H771)*8/108,N($H771)*8/100),0))))</f>
        <v/>
      </c>
      <c r="L771" s="28">
        <f>IF($A771="","",N($G771)+N($H771)+N($I771)+IF('設定'!$B$9="税込",0,$J771+$K771))</f>
        <v/>
      </c>
      <c r="M771" s="29">
        <f>IF(OR($A771="",NOT(ISNUMBER($W771)),NOT(ISNUMBER($X771))),"",IF(OR(INDEX('得意先'!$D$5:$D$104,$W771)="",INDEX('得意先'!$E$5:$E$104,$W771)="",INDEX('得意先'!$F$5:$F$104,$W771)=""),"",IF(INDEX('得意先'!$F$5:$F$104,$W771)="末",DATE(YEAR($X771),(MONTH($X771)+IF(INDEX('得意先'!$D$5:$D$104,$W771)="末",0,IF(DAY($X771)&lt;=INDEX('得意先'!$D$5:$D$104,$W771),0,1))+N(INDEX('得意先'!$E$5:$E$104,$W771)))+1,0),DATE(YEAR($X771),(MONTH($X771)+IF(INDEX('得意先'!$D$5:$D$104,$W771)="末",0,IF(DAY($X771)&lt;=INDEX('得意先'!$D$5:$D$104,$W771),0,1))+N(INDEX('得意先'!$E$5:$E$104,$W771))),MIN(INDEX('得意先'!$F$5:$F$104,$W771),DAY(DATE(YEAR($X771),(MONTH($X771)+IF(INDEX('得意先'!$D$5:$D$104,$W771)="末",0,IF(DAY($X771)&lt;=INDEX('得意先'!$D$5:$D$104,$W771),0,1))+N(INDEX('得意先'!$E$5:$E$104,$W771)))+1,0)))))))</f>
        <v/>
      </c>
      <c r="N771" s="26" t="n"/>
      <c r="O771" s="29">
        <f>IF($A771="","",IF(ISNUMBER($N771),$N771,$M771))</f>
        <v/>
      </c>
      <c r="P771" s="28">
        <f>IF($A771="","",SUMIF('入金消込'!$F$5:$F$1004,$A771,'入金消込'!$G$5:$G$1004))</f>
        <v/>
      </c>
      <c r="Q771" s="28">
        <f>IF($A771="","",SUMIF('入金消込'!$F$5:$F$1004,$A771,'入金消込'!$H$5:$H$1004)+SUMIF('入金消込'!$F$5:$F$1004,$A771,'入金消込'!$I$5:$I$1004))</f>
        <v/>
      </c>
      <c r="R771" s="28">
        <f>IF($A771="","",$L771-$P771-$Q771)</f>
        <v/>
      </c>
      <c r="S771" s="30">
        <f>IF($A771="","",IF($R771=0,IF($L771=0,"請求額0","回収済"),IF($L771&lt;0,IF($R771&lt;0,"差し引き待ち","差し引きすぎ"),IF($R771&lt;0,"入金が多い",IF($P771+$Q771=0,"未入金","一部入金")))))</f>
        <v/>
      </c>
      <c r="T771" s="31">
        <f>IF(OR($A771="",N($R771)&lt;=0,NOT(ISNUMBER($O771))),"",IF($O771&lt;'設定'!$B$7,'設定'!$B$7-$O771,""))</f>
        <v/>
      </c>
      <c r="U771" s="30">
        <f>IF(OR($A771="",N($R771)&lt;=0),"",IF(NOT(ISNUMBER($O771)),'設定'!$B$22,IF($O771&gt;='設定'!$B$7,'設定'!$B$17,IF('設定'!$B$7-$O771&lt;='設定'!$B$12,'設定'!$B$18,IF('設定'!$B$7-$O771&lt;='設定'!$B$13,'設定'!$B$19,IF('設定'!$B$7-$O771&lt;='設定'!$B$14,'設定'!$B$20,'設定'!$B$21))))))</f>
        <v/>
      </c>
      <c r="V771" s="56" t="n"/>
      <c r="W771" s="32">
        <f>IF($C771="","",IFERROR(MATCH($C771,'得意先'!$B$5:$B$104,0),"なし"))</f>
        <v/>
      </c>
      <c r="X771" s="33">
        <f>IF($A771="","",IF(ISNUMBER($E771),$E771,IF(ISNUMBER($B771),$B771,"")))</f>
        <v/>
      </c>
      <c r="Y771" s="34">
        <f>IF($T771="","",$O771+ROW()/1000000)</f>
        <v/>
      </c>
      <c r="Z771" s="35">
        <f>IF(OR($A771="",$C771="",$C771&lt;&gt;'売掛帳'!$B$3,NOT(ISNUMBER($X771))),"",IF(AND($X771&gt;='売掛帳'!$Q$3,$X771&lt;='売掛帳'!$Q$4),$X771+ROW()/10000000,""))</f>
        <v/>
      </c>
    </row>
    <row r="772" ht="18" customHeight="1">
      <c r="A772" s="18" t="n"/>
      <c r="B772" s="26" t="n"/>
      <c r="C772" s="18" t="n"/>
      <c r="D772" s="20">
        <f>IF($W772="","",IF($W772="なし","※得意先にないコード",INDEX('得意先'!$C$5:$C$104,$W772)&amp;""))</f>
        <v/>
      </c>
      <c r="E772" s="26" t="n"/>
      <c r="F772" s="19" t="n"/>
      <c r="G772" s="27" t="n"/>
      <c r="H772" s="27" t="n"/>
      <c r="I772" s="27" t="n"/>
      <c r="J772" s="28">
        <f>IF($A772="","",IF('設定'!$B$10="四捨五入",ROUND(IF('設定'!$B$9="税込",N($G772)*10/110,N($G772)*10/100),0),IF('設定'!$B$10="切り上げ",ROUNDUP(IF('設定'!$B$9="税込",N($G772)*10/110,N($G772)*10/100),0),ROUNDDOWN(IF('設定'!$B$9="税込",N($G772)*10/110,N($G772)*10/100),0))))</f>
        <v/>
      </c>
      <c r="K772" s="28">
        <f>IF($A772="","",IF('設定'!$B$10="四捨五入",ROUND(IF('設定'!$B$9="税込",N($H772)*8/108,N($H772)*8/100),0),IF('設定'!$B$10="切り上げ",ROUNDUP(IF('設定'!$B$9="税込",N($H772)*8/108,N($H772)*8/100),0),ROUNDDOWN(IF('設定'!$B$9="税込",N($H772)*8/108,N($H772)*8/100),0))))</f>
        <v/>
      </c>
      <c r="L772" s="28">
        <f>IF($A772="","",N($G772)+N($H772)+N($I772)+IF('設定'!$B$9="税込",0,$J772+$K772))</f>
        <v/>
      </c>
      <c r="M772" s="29">
        <f>IF(OR($A772="",NOT(ISNUMBER($W772)),NOT(ISNUMBER($X772))),"",IF(OR(INDEX('得意先'!$D$5:$D$104,$W772)="",INDEX('得意先'!$E$5:$E$104,$W772)="",INDEX('得意先'!$F$5:$F$104,$W772)=""),"",IF(INDEX('得意先'!$F$5:$F$104,$W772)="末",DATE(YEAR($X772),(MONTH($X772)+IF(INDEX('得意先'!$D$5:$D$104,$W772)="末",0,IF(DAY($X772)&lt;=INDEX('得意先'!$D$5:$D$104,$W772),0,1))+N(INDEX('得意先'!$E$5:$E$104,$W772)))+1,0),DATE(YEAR($X772),(MONTH($X772)+IF(INDEX('得意先'!$D$5:$D$104,$W772)="末",0,IF(DAY($X772)&lt;=INDEX('得意先'!$D$5:$D$104,$W772),0,1))+N(INDEX('得意先'!$E$5:$E$104,$W772))),MIN(INDEX('得意先'!$F$5:$F$104,$W772),DAY(DATE(YEAR($X772),(MONTH($X772)+IF(INDEX('得意先'!$D$5:$D$104,$W772)="末",0,IF(DAY($X772)&lt;=INDEX('得意先'!$D$5:$D$104,$W772),0,1))+N(INDEX('得意先'!$E$5:$E$104,$W772)))+1,0)))))))</f>
        <v/>
      </c>
      <c r="N772" s="26" t="n"/>
      <c r="O772" s="29">
        <f>IF($A772="","",IF(ISNUMBER($N772),$N772,$M772))</f>
        <v/>
      </c>
      <c r="P772" s="28">
        <f>IF($A772="","",SUMIF('入金消込'!$F$5:$F$1004,$A772,'入金消込'!$G$5:$G$1004))</f>
        <v/>
      </c>
      <c r="Q772" s="28">
        <f>IF($A772="","",SUMIF('入金消込'!$F$5:$F$1004,$A772,'入金消込'!$H$5:$H$1004)+SUMIF('入金消込'!$F$5:$F$1004,$A772,'入金消込'!$I$5:$I$1004))</f>
        <v/>
      </c>
      <c r="R772" s="28">
        <f>IF($A772="","",$L772-$P772-$Q772)</f>
        <v/>
      </c>
      <c r="S772" s="30">
        <f>IF($A772="","",IF($R772=0,IF($L772=0,"請求額0","回収済"),IF($L772&lt;0,IF($R772&lt;0,"差し引き待ち","差し引きすぎ"),IF($R772&lt;0,"入金が多い",IF($P772+$Q772=0,"未入金","一部入金")))))</f>
        <v/>
      </c>
      <c r="T772" s="31">
        <f>IF(OR($A772="",N($R772)&lt;=0,NOT(ISNUMBER($O772))),"",IF($O772&lt;'設定'!$B$7,'設定'!$B$7-$O772,""))</f>
        <v/>
      </c>
      <c r="U772" s="30">
        <f>IF(OR($A772="",N($R772)&lt;=0),"",IF(NOT(ISNUMBER($O772)),'設定'!$B$22,IF($O772&gt;='設定'!$B$7,'設定'!$B$17,IF('設定'!$B$7-$O772&lt;='設定'!$B$12,'設定'!$B$18,IF('設定'!$B$7-$O772&lt;='設定'!$B$13,'設定'!$B$19,IF('設定'!$B$7-$O772&lt;='設定'!$B$14,'設定'!$B$20,'設定'!$B$21))))))</f>
        <v/>
      </c>
      <c r="V772" s="56" t="n"/>
      <c r="W772" s="32">
        <f>IF($C772="","",IFERROR(MATCH($C772,'得意先'!$B$5:$B$104,0),"なし"))</f>
        <v/>
      </c>
      <c r="X772" s="33">
        <f>IF($A772="","",IF(ISNUMBER($E772),$E772,IF(ISNUMBER($B772),$B772,"")))</f>
        <v/>
      </c>
      <c r="Y772" s="34">
        <f>IF($T772="","",$O772+ROW()/1000000)</f>
        <v/>
      </c>
      <c r="Z772" s="35">
        <f>IF(OR($A772="",$C772="",$C772&lt;&gt;'売掛帳'!$B$3,NOT(ISNUMBER($X772))),"",IF(AND($X772&gt;='売掛帳'!$Q$3,$X772&lt;='売掛帳'!$Q$4),$X772+ROW()/10000000,""))</f>
        <v/>
      </c>
    </row>
    <row r="773" ht="18" customHeight="1">
      <c r="A773" s="18" t="n"/>
      <c r="B773" s="26" t="n"/>
      <c r="C773" s="18" t="n"/>
      <c r="D773" s="20">
        <f>IF($W773="","",IF($W773="なし","※得意先にないコード",INDEX('得意先'!$C$5:$C$104,$W773)&amp;""))</f>
        <v/>
      </c>
      <c r="E773" s="26" t="n"/>
      <c r="F773" s="19" t="n"/>
      <c r="G773" s="27" t="n"/>
      <c r="H773" s="27" t="n"/>
      <c r="I773" s="27" t="n"/>
      <c r="J773" s="28">
        <f>IF($A773="","",IF('設定'!$B$10="四捨五入",ROUND(IF('設定'!$B$9="税込",N($G773)*10/110,N($G773)*10/100),0),IF('設定'!$B$10="切り上げ",ROUNDUP(IF('設定'!$B$9="税込",N($G773)*10/110,N($G773)*10/100),0),ROUNDDOWN(IF('設定'!$B$9="税込",N($G773)*10/110,N($G773)*10/100),0))))</f>
        <v/>
      </c>
      <c r="K773" s="28">
        <f>IF($A773="","",IF('設定'!$B$10="四捨五入",ROUND(IF('設定'!$B$9="税込",N($H773)*8/108,N($H773)*8/100),0),IF('設定'!$B$10="切り上げ",ROUNDUP(IF('設定'!$B$9="税込",N($H773)*8/108,N($H773)*8/100),0),ROUNDDOWN(IF('設定'!$B$9="税込",N($H773)*8/108,N($H773)*8/100),0))))</f>
        <v/>
      </c>
      <c r="L773" s="28">
        <f>IF($A773="","",N($G773)+N($H773)+N($I773)+IF('設定'!$B$9="税込",0,$J773+$K773))</f>
        <v/>
      </c>
      <c r="M773" s="29">
        <f>IF(OR($A773="",NOT(ISNUMBER($W773)),NOT(ISNUMBER($X773))),"",IF(OR(INDEX('得意先'!$D$5:$D$104,$W773)="",INDEX('得意先'!$E$5:$E$104,$W773)="",INDEX('得意先'!$F$5:$F$104,$W773)=""),"",IF(INDEX('得意先'!$F$5:$F$104,$W773)="末",DATE(YEAR($X773),(MONTH($X773)+IF(INDEX('得意先'!$D$5:$D$104,$W773)="末",0,IF(DAY($X773)&lt;=INDEX('得意先'!$D$5:$D$104,$W773),0,1))+N(INDEX('得意先'!$E$5:$E$104,$W773)))+1,0),DATE(YEAR($X773),(MONTH($X773)+IF(INDEX('得意先'!$D$5:$D$104,$W773)="末",0,IF(DAY($X773)&lt;=INDEX('得意先'!$D$5:$D$104,$W773),0,1))+N(INDEX('得意先'!$E$5:$E$104,$W773))),MIN(INDEX('得意先'!$F$5:$F$104,$W773),DAY(DATE(YEAR($X773),(MONTH($X773)+IF(INDEX('得意先'!$D$5:$D$104,$W773)="末",0,IF(DAY($X773)&lt;=INDEX('得意先'!$D$5:$D$104,$W773),0,1))+N(INDEX('得意先'!$E$5:$E$104,$W773)))+1,0)))))))</f>
        <v/>
      </c>
      <c r="N773" s="26" t="n"/>
      <c r="O773" s="29">
        <f>IF($A773="","",IF(ISNUMBER($N773),$N773,$M773))</f>
        <v/>
      </c>
      <c r="P773" s="28">
        <f>IF($A773="","",SUMIF('入金消込'!$F$5:$F$1004,$A773,'入金消込'!$G$5:$G$1004))</f>
        <v/>
      </c>
      <c r="Q773" s="28">
        <f>IF($A773="","",SUMIF('入金消込'!$F$5:$F$1004,$A773,'入金消込'!$H$5:$H$1004)+SUMIF('入金消込'!$F$5:$F$1004,$A773,'入金消込'!$I$5:$I$1004))</f>
        <v/>
      </c>
      <c r="R773" s="28">
        <f>IF($A773="","",$L773-$P773-$Q773)</f>
        <v/>
      </c>
      <c r="S773" s="30">
        <f>IF($A773="","",IF($R773=0,IF($L773=0,"請求額0","回収済"),IF($L773&lt;0,IF($R773&lt;0,"差し引き待ち","差し引きすぎ"),IF($R773&lt;0,"入金が多い",IF($P773+$Q773=0,"未入金","一部入金")))))</f>
        <v/>
      </c>
      <c r="T773" s="31">
        <f>IF(OR($A773="",N($R773)&lt;=0,NOT(ISNUMBER($O773))),"",IF($O773&lt;'設定'!$B$7,'設定'!$B$7-$O773,""))</f>
        <v/>
      </c>
      <c r="U773" s="30">
        <f>IF(OR($A773="",N($R773)&lt;=0),"",IF(NOT(ISNUMBER($O773)),'設定'!$B$22,IF($O773&gt;='設定'!$B$7,'設定'!$B$17,IF('設定'!$B$7-$O773&lt;='設定'!$B$12,'設定'!$B$18,IF('設定'!$B$7-$O773&lt;='設定'!$B$13,'設定'!$B$19,IF('設定'!$B$7-$O773&lt;='設定'!$B$14,'設定'!$B$20,'設定'!$B$21))))))</f>
        <v/>
      </c>
      <c r="V773" s="56" t="n"/>
      <c r="W773" s="32">
        <f>IF($C773="","",IFERROR(MATCH($C773,'得意先'!$B$5:$B$104,0),"なし"))</f>
        <v/>
      </c>
      <c r="X773" s="33">
        <f>IF($A773="","",IF(ISNUMBER($E773),$E773,IF(ISNUMBER($B773),$B773,"")))</f>
        <v/>
      </c>
      <c r="Y773" s="34">
        <f>IF($T773="","",$O773+ROW()/1000000)</f>
        <v/>
      </c>
      <c r="Z773" s="35">
        <f>IF(OR($A773="",$C773="",$C773&lt;&gt;'売掛帳'!$B$3,NOT(ISNUMBER($X773))),"",IF(AND($X773&gt;='売掛帳'!$Q$3,$X773&lt;='売掛帳'!$Q$4),$X773+ROW()/10000000,""))</f>
        <v/>
      </c>
    </row>
    <row r="774" ht="18" customHeight="1">
      <c r="A774" s="18" t="n"/>
      <c r="B774" s="26" t="n"/>
      <c r="C774" s="18" t="n"/>
      <c r="D774" s="20">
        <f>IF($W774="","",IF($W774="なし","※得意先にないコード",INDEX('得意先'!$C$5:$C$104,$W774)&amp;""))</f>
        <v/>
      </c>
      <c r="E774" s="26" t="n"/>
      <c r="F774" s="19" t="n"/>
      <c r="G774" s="27" t="n"/>
      <c r="H774" s="27" t="n"/>
      <c r="I774" s="27" t="n"/>
      <c r="J774" s="28">
        <f>IF($A774="","",IF('設定'!$B$10="四捨五入",ROUND(IF('設定'!$B$9="税込",N($G774)*10/110,N($G774)*10/100),0),IF('設定'!$B$10="切り上げ",ROUNDUP(IF('設定'!$B$9="税込",N($G774)*10/110,N($G774)*10/100),0),ROUNDDOWN(IF('設定'!$B$9="税込",N($G774)*10/110,N($G774)*10/100),0))))</f>
        <v/>
      </c>
      <c r="K774" s="28">
        <f>IF($A774="","",IF('設定'!$B$10="四捨五入",ROUND(IF('設定'!$B$9="税込",N($H774)*8/108,N($H774)*8/100),0),IF('設定'!$B$10="切り上げ",ROUNDUP(IF('設定'!$B$9="税込",N($H774)*8/108,N($H774)*8/100),0),ROUNDDOWN(IF('設定'!$B$9="税込",N($H774)*8/108,N($H774)*8/100),0))))</f>
        <v/>
      </c>
      <c r="L774" s="28">
        <f>IF($A774="","",N($G774)+N($H774)+N($I774)+IF('設定'!$B$9="税込",0,$J774+$K774))</f>
        <v/>
      </c>
      <c r="M774" s="29">
        <f>IF(OR($A774="",NOT(ISNUMBER($W774)),NOT(ISNUMBER($X774))),"",IF(OR(INDEX('得意先'!$D$5:$D$104,$W774)="",INDEX('得意先'!$E$5:$E$104,$W774)="",INDEX('得意先'!$F$5:$F$104,$W774)=""),"",IF(INDEX('得意先'!$F$5:$F$104,$W774)="末",DATE(YEAR($X774),(MONTH($X774)+IF(INDEX('得意先'!$D$5:$D$104,$W774)="末",0,IF(DAY($X774)&lt;=INDEX('得意先'!$D$5:$D$104,$W774),0,1))+N(INDEX('得意先'!$E$5:$E$104,$W774)))+1,0),DATE(YEAR($X774),(MONTH($X774)+IF(INDEX('得意先'!$D$5:$D$104,$W774)="末",0,IF(DAY($X774)&lt;=INDEX('得意先'!$D$5:$D$104,$W774),0,1))+N(INDEX('得意先'!$E$5:$E$104,$W774))),MIN(INDEX('得意先'!$F$5:$F$104,$W774),DAY(DATE(YEAR($X774),(MONTH($X774)+IF(INDEX('得意先'!$D$5:$D$104,$W774)="末",0,IF(DAY($X774)&lt;=INDEX('得意先'!$D$5:$D$104,$W774),0,1))+N(INDEX('得意先'!$E$5:$E$104,$W774)))+1,0)))))))</f>
        <v/>
      </c>
      <c r="N774" s="26" t="n"/>
      <c r="O774" s="29">
        <f>IF($A774="","",IF(ISNUMBER($N774),$N774,$M774))</f>
        <v/>
      </c>
      <c r="P774" s="28">
        <f>IF($A774="","",SUMIF('入金消込'!$F$5:$F$1004,$A774,'入金消込'!$G$5:$G$1004))</f>
        <v/>
      </c>
      <c r="Q774" s="28">
        <f>IF($A774="","",SUMIF('入金消込'!$F$5:$F$1004,$A774,'入金消込'!$H$5:$H$1004)+SUMIF('入金消込'!$F$5:$F$1004,$A774,'入金消込'!$I$5:$I$1004))</f>
        <v/>
      </c>
      <c r="R774" s="28">
        <f>IF($A774="","",$L774-$P774-$Q774)</f>
        <v/>
      </c>
      <c r="S774" s="30">
        <f>IF($A774="","",IF($R774=0,IF($L774=0,"請求額0","回収済"),IF($L774&lt;0,IF($R774&lt;0,"差し引き待ち","差し引きすぎ"),IF($R774&lt;0,"入金が多い",IF($P774+$Q774=0,"未入金","一部入金")))))</f>
        <v/>
      </c>
      <c r="T774" s="31">
        <f>IF(OR($A774="",N($R774)&lt;=0,NOT(ISNUMBER($O774))),"",IF($O774&lt;'設定'!$B$7,'設定'!$B$7-$O774,""))</f>
        <v/>
      </c>
      <c r="U774" s="30">
        <f>IF(OR($A774="",N($R774)&lt;=0),"",IF(NOT(ISNUMBER($O774)),'設定'!$B$22,IF($O774&gt;='設定'!$B$7,'設定'!$B$17,IF('設定'!$B$7-$O774&lt;='設定'!$B$12,'設定'!$B$18,IF('設定'!$B$7-$O774&lt;='設定'!$B$13,'設定'!$B$19,IF('設定'!$B$7-$O774&lt;='設定'!$B$14,'設定'!$B$20,'設定'!$B$21))))))</f>
        <v/>
      </c>
      <c r="V774" s="56" t="n"/>
      <c r="W774" s="32">
        <f>IF($C774="","",IFERROR(MATCH($C774,'得意先'!$B$5:$B$104,0),"なし"))</f>
        <v/>
      </c>
      <c r="X774" s="33">
        <f>IF($A774="","",IF(ISNUMBER($E774),$E774,IF(ISNUMBER($B774),$B774,"")))</f>
        <v/>
      </c>
      <c r="Y774" s="34">
        <f>IF($T774="","",$O774+ROW()/1000000)</f>
        <v/>
      </c>
      <c r="Z774" s="35">
        <f>IF(OR($A774="",$C774="",$C774&lt;&gt;'売掛帳'!$B$3,NOT(ISNUMBER($X774))),"",IF(AND($X774&gt;='売掛帳'!$Q$3,$X774&lt;='売掛帳'!$Q$4),$X774+ROW()/10000000,""))</f>
        <v/>
      </c>
    </row>
    <row r="775" ht="18" customHeight="1">
      <c r="A775" s="18" t="n"/>
      <c r="B775" s="26" t="n"/>
      <c r="C775" s="18" t="n"/>
      <c r="D775" s="20">
        <f>IF($W775="","",IF($W775="なし","※得意先にないコード",INDEX('得意先'!$C$5:$C$104,$W775)&amp;""))</f>
        <v/>
      </c>
      <c r="E775" s="26" t="n"/>
      <c r="F775" s="19" t="n"/>
      <c r="G775" s="27" t="n"/>
      <c r="H775" s="27" t="n"/>
      <c r="I775" s="27" t="n"/>
      <c r="J775" s="28">
        <f>IF($A775="","",IF('設定'!$B$10="四捨五入",ROUND(IF('設定'!$B$9="税込",N($G775)*10/110,N($G775)*10/100),0),IF('設定'!$B$10="切り上げ",ROUNDUP(IF('設定'!$B$9="税込",N($G775)*10/110,N($G775)*10/100),0),ROUNDDOWN(IF('設定'!$B$9="税込",N($G775)*10/110,N($G775)*10/100),0))))</f>
        <v/>
      </c>
      <c r="K775" s="28">
        <f>IF($A775="","",IF('設定'!$B$10="四捨五入",ROUND(IF('設定'!$B$9="税込",N($H775)*8/108,N($H775)*8/100),0),IF('設定'!$B$10="切り上げ",ROUNDUP(IF('設定'!$B$9="税込",N($H775)*8/108,N($H775)*8/100),0),ROUNDDOWN(IF('設定'!$B$9="税込",N($H775)*8/108,N($H775)*8/100),0))))</f>
        <v/>
      </c>
      <c r="L775" s="28">
        <f>IF($A775="","",N($G775)+N($H775)+N($I775)+IF('設定'!$B$9="税込",0,$J775+$K775))</f>
        <v/>
      </c>
      <c r="M775" s="29">
        <f>IF(OR($A775="",NOT(ISNUMBER($W775)),NOT(ISNUMBER($X775))),"",IF(OR(INDEX('得意先'!$D$5:$D$104,$W775)="",INDEX('得意先'!$E$5:$E$104,$W775)="",INDEX('得意先'!$F$5:$F$104,$W775)=""),"",IF(INDEX('得意先'!$F$5:$F$104,$W775)="末",DATE(YEAR($X775),(MONTH($X775)+IF(INDEX('得意先'!$D$5:$D$104,$W775)="末",0,IF(DAY($X775)&lt;=INDEX('得意先'!$D$5:$D$104,$W775),0,1))+N(INDEX('得意先'!$E$5:$E$104,$W775)))+1,0),DATE(YEAR($X775),(MONTH($X775)+IF(INDEX('得意先'!$D$5:$D$104,$W775)="末",0,IF(DAY($X775)&lt;=INDEX('得意先'!$D$5:$D$104,$W775),0,1))+N(INDEX('得意先'!$E$5:$E$104,$W775))),MIN(INDEX('得意先'!$F$5:$F$104,$W775),DAY(DATE(YEAR($X775),(MONTH($X775)+IF(INDEX('得意先'!$D$5:$D$104,$W775)="末",0,IF(DAY($X775)&lt;=INDEX('得意先'!$D$5:$D$104,$W775),0,1))+N(INDEX('得意先'!$E$5:$E$104,$W775)))+1,0)))))))</f>
        <v/>
      </c>
      <c r="N775" s="26" t="n"/>
      <c r="O775" s="29">
        <f>IF($A775="","",IF(ISNUMBER($N775),$N775,$M775))</f>
        <v/>
      </c>
      <c r="P775" s="28">
        <f>IF($A775="","",SUMIF('入金消込'!$F$5:$F$1004,$A775,'入金消込'!$G$5:$G$1004))</f>
        <v/>
      </c>
      <c r="Q775" s="28">
        <f>IF($A775="","",SUMIF('入金消込'!$F$5:$F$1004,$A775,'入金消込'!$H$5:$H$1004)+SUMIF('入金消込'!$F$5:$F$1004,$A775,'入金消込'!$I$5:$I$1004))</f>
        <v/>
      </c>
      <c r="R775" s="28">
        <f>IF($A775="","",$L775-$P775-$Q775)</f>
        <v/>
      </c>
      <c r="S775" s="30">
        <f>IF($A775="","",IF($R775=0,IF($L775=0,"請求額0","回収済"),IF($L775&lt;0,IF($R775&lt;0,"差し引き待ち","差し引きすぎ"),IF($R775&lt;0,"入金が多い",IF($P775+$Q775=0,"未入金","一部入金")))))</f>
        <v/>
      </c>
      <c r="T775" s="31">
        <f>IF(OR($A775="",N($R775)&lt;=0,NOT(ISNUMBER($O775))),"",IF($O775&lt;'設定'!$B$7,'設定'!$B$7-$O775,""))</f>
        <v/>
      </c>
      <c r="U775" s="30">
        <f>IF(OR($A775="",N($R775)&lt;=0),"",IF(NOT(ISNUMBER($O775)),'設定'!$B$22,IF($O775&gt;='設定'!$B$7,'設定'!$B$17,IF('設定'!$B$7-$O775&lt;='設定'!$B$12,'設定'!$B$18,IF('設定'!$B$7-$O775&lt;='設定'!$B$13,'設定'!$B$19,IF('設定'!$B$7-$O775&lt;='設定'!$B$14,'設定'!$B$20,'設定'!$B$21))))))</f>
        <v/>
      </c>
      <c r="V775" s="56" t="n"/>
      <c r="W775" s="32">
        <f>IF($C775="","",IFERROR(MATCH($C775,'得意先'!$B$5:$B$104,0),"なし"))</f>
        <v/>
      </c>
      <c r="X775" s="33">
        <f>IF($A775="","",IF(ISNUMBER($E775),$E775,IF(ISNUMBER($B775),$B775,"")))</f>
        <v/>
      </c>
      <c r="Y775" s="34">
        <f>IF($T775="","",$O775+ROW()/1000000)</f>
        <v/>
      </c>
      <c r="Z775" s="35">
        <f>IF(OR($A775="",$C775="",$C775&lt;&gt;'売掛帳'!$B$3,NOT(ISNUMBER($X775))),"",IF(AND($X775&gt;='売掛帳'!$Q$3,$X775&lt;='売掛帳'!$Q$4),$X775+ROW()/10000000,""))</f>
        <v/>
      </c>
    </row>
    <row r="776" ht="18" customHeight="1">
      <c r="A776" s="18" t="n"/>
      <c r="B776" s="26" t="n"/>
      <c r="C776" s="18" t="n"/>
      <c r="D776" s="20">
        <f>IF($W776="","",IF($W776="なし","※得意先にないコード",INDEX('得意先'!$C$5:$C$104,$W776)&amp;""))</f>
        <v/>
      </c>
      <c r="E776" s="26" t="n"/>
      <c r="F776" s="19" t="n"/>
      <c r="G776" s="27" t="n"/>
      <c r="H776" s="27" t="n"/>
      <c r="I776" s="27" t="n"/>
      <c r="J776" s="28">
        <f>IF($A776="","",IF('設定'!$B$10="四捨五入",ROUND(IF('設定'!$B$9="税込",N($G776)*10/110,N($G776)*10/100),0),IF('設定'!$B$10="切り上げ",ROUNDUP(IF('設定'!$B$9="税込",N($G776)*10/110,N($G776)*10/100),0),ROUNDDOWN(IF('設定'!$B$9="税込",N($G776)*10/110,N($G776)*10/100),0))))</f>
        <v/>
      </c>
      <c r="K776" s="28">
        <f>IF($A776="","",IF('設定'!$B$10="四捨五入",ROUND(IF('設定'!$B$9="税込",N($H776)*8/108,N($H776)*8/100),0),IF('設定'!$B$10="切り上げ",ROUNDUP(IF('設定'!$B$9="税込",N($H776)*8/108,N($H776)*8/100),0),ROUNDDOWN(IF('設定'!$B$9="税込",N($H776)*8/108,N($H776)*8/100),0))))</f>
        <v/>
      </c>
      <c r="L776" s="28">
        <f>IF($A776="","",N($G776)+N($H776)+N($I776)+IF('設定'!$B$9="税込",0,$J776+$K776))</f>
        <v/>
      </c>
      <c r="M776" s="29">
        <f>IF(OR($A776="",NOT(ISNUMBER($W776)),NOT(ISNUMBER($X776))),"",IF(OR(INDEX('得意先'!$D$5:$D$104,$W776)="",INDEX('得意先'!$E$5:$E$104,$W776)="",INDEX('得意先'!$F$5:$F$104,$W776)=""),"",IF(INDEX('得意先'!$F$5:$F$104,$W776)="末",DATE(YEAR($X776),(MONTH($X776)+IF(INDEX('得意先'!$D$5:$D$104,$W776)="末",0,IF(DAY($X776)&lt;=INDEX('得意先'!$D$5:$D$104,$W776),0,1))+N(INDEX('得意先'!$E$5:$E$104,$W776)))+1,0),DATE(YEAR($X776),(MONTH($X776)+IF(INDEX('得意先'!$D$5:$D$104,$W776)="末",0,IF(DAY($X776)&lt;=INDEX('得意先'!$D$5:$D$104,$W776),0,1))+N(INDEX('得意先'!$E$5:$E$104,$W776))),MIN(INDEX('得意先'!$F$5:$F$104,$W776),DAY(DATE(YEAR($X776),(MONTH($X776)+IF(INDEX('得意先'!$D$5:$D$104,$W776)="末",0,IF(DAY($X776)&lt;=INDEX('得意先'!$D$5:$D$104,$W776),0,1))+N(INDEX('得意先'!$E$5:$E$104,$W776)))+1,0)))))))</f>
        <v/>
      </c>
      <c r="N776" s="26" t="n"/>
      <c r="O776" s="29">
        <f>IF($A776="","",IF(ISNUMBER($N776),$N776,$M776))</f>
        <v/>
      </c>
      <c r="P776" s="28">
        <f>IF($A776="","",SUMIF('入金消込'!$F$5:$F$1004,$A776,'入金消込'!$G$5:$G$1004))</f>
        <v/>
      </c>
      <c r="Q776" s="28">
        <f>IF($A776="","",SUMIF('入金消込'!$F$5:$F$1004,$A776,'入金消込'!$H$5:$H$1004)+SUMIF('入金消込'!$F$5:$F$1004,$A776,'入金消込'!$I$5:$I$1004))</f>
        <v/>
      </c>
      <c r="R776" s="28">
        <f>IF($A776="","",$L776-$P776-$Q776)</f>
        <v/>
      </c>
      <c r="S776" s="30">
        <f>IF($A776="","",IF($R776=0,IF($L776=0,"請求額0","回収済"),IF($L776&lt;0,IF($R776&lt;0,"差し引き待ち","差し引きすぎ"),IF($R776&lt;0,"入金が多い",IF($P776+$Q776=0,"未入金","一部入金")))))</f>
        <v/>
      </c>
      <c r="T776" s="31">
        <f>IF(OR($A776="",N($R776)&lt;=0,NOT(ISNUMBER($O776))),"",IF($O776&lt;'設定'!$B$7,'設定'!$B$7-$O776,""))</f>
        <v/>
      </c>
      <c r="U776" s="30">
        <f>IF(OR($A776="",N($R776)&lt;=0),"",IF(NOT(ISNUMBER($O776)),'設定'!$B$22,IF($O776&gt;='設定'!$B$7,'設定'!$B$17,IF('設定'!$B$7-$O776&lt;='設定'!$B$12,'設定'!$B$18,IF('設定'!$B$7-$O776&lt;='設定'!$B$13,'設定'!$B$19,IF('設定'!$B$7-$O776&lt;='設定'!$B$14,'設定'!$B$20,'設定'!$B$21))))))</f>
        <v/>
      </c>
      <c r="V776" s="56" t="n"/>
      <c r="W776" s="32">
        <f>IF($C776="","",IFERROR(MATCH($C776,'得意先'!$B$5:$B$104,0),"なし"))</f>
        <v/>
      </c>
      <c r="X776" s="33">
        <f>IF($A776="","",IF(ISNUMBER($E776),$E776,IF(ISNUMBER($B776),$B776,"")))</f>
        <v/>
      </c>
      <c r="Y776" s="34">
        <f>IF($T776="","",$O776+ROW()/1000000)</f>
        <v/>
      </c>
      <c r="Z776" s="35">
        <f>IF(OR($A776="",$C776="",$C776&lt;&gt;'売掛帳'!$B$3,NOT(ISNUMBER($X776))),"",IF(AND($X776&gt;='売掛帳'!$Q$3,$X776&lt;='売掛帳'!$Q$4),$X776+ROW()/10000000,""))</f>
        <v/>
      </c>
    </row>
    <row r="777" ht="18" customHeight="1">
      <c r="A777" s="18" t="n"/>
      <c r="B777" s="26" t="n"/>
      <c r="C777" s="18" t="n"/>
      <c r="D777" s="20">
        <f>IF($W777="","",IF($W777="なし","※得意先にないコード",INDEX('得意先'!$C$5:$C$104,$W777)&amp;""))</f>
        <v/>
      </c>
      <c r="E777" s="26" t="n"/>
      <c r="F777" s="19" t="n"/>
      <c r="G777" s="27" t="n"/>
      <c r="H777" s="27" t="n"/>
      <c r="I777" s="27" t="n"/>
      <c r="J777" s="28">
        <f>IF($A777="","",IF('設定'!$B$10="四捨五入",ROUND(IF('設定'!$B$9="税込",N($G777)*10/110,N($G777)*10/100),0),IF('設定'!$B$10="切り上げ",ROUNDUP(IF('設定'!$B$9="税込",N($G777)*10/110,N($G777)*10/100),0),ROUNDDOWN(IF('設定'!$B$9="税込",N($G777)*10/110,N($G777)*10/100),0))))</f>
        <v/>
      </c>
      <c r="K777" s="28">
        <f>IF($A777="","",IF('設定'!$B$10="四捨五入",ROUND(IF('設定'!$B$9="税込",N($H777)*8/108,N($H777)*8/100),0),IF('設定'!$B$10="切り上げ",ROUNDUP(IF('設定'!$B$9="税込",N($H777)*8/108,N($H777)*8/100),0),ROUNDDOWN(IF('設定'!$B$9="税込",N($H777)*8/108,N($H777)*8/100),0))))</f>
        <v/>
      </c>
      <c r="L777" s="28">
        <f>IF($A777="","",N($G777)+N($H777)+N($I777)+IF('設定'!$B$9="税込",0,$J777+$K777))</f>
        <v/>
      </c>
      <c r="M777" s="29">
        <f>IF(OR($A777="",NOT(ISNUMBER($W777)),NOT(ISNUMBER($X777))),"",IF(OR(INDEX('得意先'!$D$5:$D$104,$W777)="",INDEX('得意先'!$E$5:$E$104,$W777)="",INDEX('得意先'!$F$5:$F$104,$W777)=""),"",IF(INDEX('得意先'!$F$5:$F$104,$W777)="末",DATE(YEAR($X777),(MONTH($X777)+IF(INDEX('得意先'!$D$5:$D$104,$W777)="末",0,IF(DAY($X777)&lt;=INDEX('得意先'!$D$5:$D$104,$W777),0,1))+N(INDEX('得意先'!$E$5:$E$104,$W777)))+1,0),DATE(YEAR($X777),(MONTH($X777)+IF(INDEX('得意先'!$D$5:$D$104,$W777)="末",0,IF(DAY($X777)&lt;=INDEX('得意先'!$D$5:$D$104,$W777),0,1))+N(INDEX('得意先'!$E$5:$E$104,$W777))),MIN(INDEX('得意先'!$F$5:$F$104,$W777),DAY(DATE(YEAR($X777),(MONTH($X777)+IF(INDEX('得意先'!$D$5:$D$104,$W777)="末",0,IF(DAY($X777)&lt;=INDEX('得意先'!$D$5:$D$104,$W777),0,1))+N(INDEX('得意先'!$E$5:$E$104,$W777)))+1,0)))))))</f>
        <v/>
      </c>
      <c r="N777" s="26" t="n"/>
      <c r="O777" s="29">
        <f>IF($A777="","",IF(ISNUMBER($N777),$N777,$M777))</f>
        <v/>
      </c>
      <c r="P777" s="28">
        <f>IF($A777="","",SUMIF('入金消込'!$F$5:$F$1004,$A777,'入金消込'!$G$5:$G$1004))</f>
        <v/>
      </c>
      <c r="Q777" s="28">
        <f>IF($A777="","",SUMIF('入金消込'!$F$5:$F$1004,$A777,'入金消込'!$H$5:$H$1004)+SUMIF('入金消込'!$F$5:$F$1004,$A777,'入金消込'!$I$5:$I$1004))</f>
        <v/>
      </c>
      <c r="R777" s="28">
        <f>IF($A777="","",$L777-$P777-$Q777)</f>
        <v/>
      </c>
      <c r="S777" s="30">
        <f>IF($A777="","",IF($R777=0,IF($L777=0,"請求額0","回収済"),IF($L777&lt;0,IF($R777&lt;0,"差し引き待ち","差し引きすぎ"),IF($R777&lt;0,"入金が多い",IF($P777+$Q777=0,"未入金","一部入金")))))</f>
        <v/>
      </c>
      <c r="T777" s="31">
        <f>IF(OR($A777="",N($R777)&lt;=0,NOT(ISNUMBER($O777))),"",IF($O777&lt;'設定'!$B$7,'設定'!$B$7-$O777,""))</f>
        <v/>
      </c>
      <c r="U777" s="30">
        <f>IF(OR($A777="",N($R777)&lt;=0),"",IF(NOT(ISNUMBER($O777)),'設定'!$B$22,IF($O777&gt;='設定'!$B$7,'設定'!$B$17,IF('設定'!$B$7-$O777&lt;='設定'!$B$12,'設定'!$B$18,IF('設定'!$B$7-$O777&lt;='設定'!$B$13,'設定'!$B$19,IF('設定'!$B$7-$O777&lt;='設定'!$B$14,'設定'!$B$20,'設定'!$B$21))))))</f>
        <v/>
      </c>
      <c r="V777" s="56" t="n"/>
      <c r="W777" s="32">
        <f>IF($C777="","",IFERROR(MATCH($C777,'得意先'!$B$5:$B$104,0),"なし"))</f>
        <v/>
      </c>
      <c r="X777" s="33">
        <f>IF($A777="","",IF(ISNUMBER($E777),$E777,IF(ISNUMBER($B777),$B777,"")))</f>
        <v/>
      </c>
      <c r="Y777" s="34">
        <f>IF($T777="","",$O777+ROW()/1000000)</f>
        <v/>
      </c>
      <c r="Z777" s="35">
        <f>IF(OR($A777="",$C777="",$C777&lt;&gt;'売掛帳'!$B$3,NOT(ISNUMBER($X777))),"",IF(AND($X777&gt;='売掛帳'!$Q$3,$X777&lt;='売掛帳'!$Q$4),$X777+ROW()/10000000,""))</f>
        <v/>
      </c>
    </row>
    <row r="778" ht="18" customHeight="1">
      <c r="A778" s="18" t="n"/>
      <c r="B778" s="26" t="n"/>
      <c r="C778" s="18" t="n"/>
      <c r="D778" s="20">
        <f>IF($W778="","",IF($W778="なし","※得意先にないコード",INDEX('得意先'!$C$5:$C$104,$W778)&amp;""))</f>
        <v/>
      </c>
      <c r="E778" s="26" t="n"/>
      <c r="F778" s="19" t="n"/>
      <c r="G778" s="27" t="n"/>
      <c r="H778" s="27" t="n"/>
      <c r="I778" s="27" t="n"/>
      <c r="J778" s="28">
        <f>IF($A778="","",IF('設定'!$B$10="四捨五入",ROUND(IF('設定'!$B$9="税込",N($G778)*10/110,N($G778)*10/100),0),IF('設定'!$B$10="切り上げ",ROUNDUP(IF('設定'!$B$9="税込",N($G778)*10/110,N($G778)*10/100),0),ROUNDDOWN(IF('設定'!$B$9="税込",N($G778)*10/110,N($G778)*10/100),0))))</f>
        <v/>
      </c>
      <c r="K778" s="28">
        <f>IF($A778="","",IF('設定'!$B$10="四捨五入",ROUND(IF('設定'!$B$9="税込",N($H778)*8/108,N($H778)*8/100),0),IF('設定'!$B$10="切り上げ",ROUNDUP(IF('設定'!$B$9="税込",N($H778)*8/108,N($H778)*8/100),0),ROUNDDOWN(IF('設定'!$B$9="税込",N($H778)*8/108,N($H778)*8/100),0))))</f>
        <v/>
      </c>
      <c r="L778" s="28">
        <f>IF($A778="","",N($G778)+N($H778)+N($I778)+IF('設定'!$B$9="税込",0,$J778+$K778))</f>
        <v/>
      </c>
      <c r="M778" s="29">
        <f>IF(OR($A778="",NOT(ISNUMBER($W778)),NOT(ISNUMBER($X778))),"",IF(OR(INDEX('得意先'!$D$5:$D$104,$W778)="",INDEX('得意先'!$E$5:$E$104,$W778)="",INDEX('得意先'!$F$5:$F$104,$W778)=""),"",IF(INDEX('得意先'!$F$5:$F$104,$W778)="末",DATE(YEAR($X778),(MONTH($X778)+IF(INDEX('得意先'!$D$5:$D$104,$W778)="末",0,IF(DAY($X778)&lt;=INDEX('得意先'!$D$5:$D$104,$W778),0,1))+N(INDEX('得意先'!$E$5:$E$104,$W778)))+1,0),DATE(YEAR($X778),(MONTH($X778)+IF(INDEX('得意先'!$D$5:$D$104,$W778)="末",0,IF(DAY($X778)&lt;=INDEX('得意先'!$D$5:$D$104,$W778),0,1))+N(INDEX('得意先'!$E$5:$E$104,$W778))),MIN(INDEX('得意先'!$F$5:$F$104,$W778),DAY(DATE(YEAR($X778),(MONTH($X778)+IF(INDEX('得意先'!$D$5:$D$104,$W778)="末",0,IF(DAY($X778)&lt;=INDEX('得意先'!$D$5:$D$104,$W778),0,1))+N(INDEX('得意先'!$E$5:$E$104,$W778)))+1,0)))))))</f>
        <v/>
      </c>
      <c r="N778" s="26" t="n"/>
      <c r="O778" s="29">
        <f>IF($A778="","",IF(ISNUMBER($N778),$N778,$M778))</f>
        <v/>
      </c>
      <c r="P778" s="28">
        <f>IF($A778="","",SUMIF('入金消込'!$F$5:$F$1004,$A778,'入金消込'!$G$5:$G$1004))</f>
        <v/>
      </c>
      <c r="Q778" s="28">
        <f>IF($A778="","",SUMIF('入金消込'!$F$5:$F$1004,$A778,'入金消込'!$H$5:$H$1004)+SUMIF('入金消込'!$F$5:$F$1004,$A778,'入金消込'!$I$5:$I$1004))</f>
        <v/>
      </c>
      <c r="R778" s="28">
        <f>IF($A778="","",$L778-$P778-$Q778)</f>
        <v/>
      </c>
      <c r="S778" s="30">
        <f>IF($A778="","",IF($R778=0,IF($L778=0,"請求額0","回収済"),IF($L778&lt;0,IF($R778&lt;0,"差し引き待ち","差し引きすぎ"),IF($R778&lt;0,"入金が多い",IF($P778+$Q778=0,"未入金","一部入金")))))</f>
        <v/>
      </c>
      <c r="T778" s="31">
        <f>IF(OR($A778="",N($R778)&lt;=0,NOT(ISNUMBER($O778))),"",IF($O778&lt;'設定'!$B$7,'設定'!$B$7-$O778,""))</f>
        <v/>
      </c>
      <c r="U778" s="30">
        <f>IF(OR($A778="",N($R778)&lt;=0),"",IF(NOT(ISNUMBER($O778)),'設定'!$B$22,IF($O778&gt;='設定'!$B$7,'設定'!$B$17,IF('設定'!$B$7-$O778&lt;='設定'!$B$12,'設定'!$B$18,IF('設定'!$B$7-$O778&lt;='設定'!$B$13,'設定'!$B$19,IF('設定'!$B$7-$O778&lt;='設定'!$B$14,'設定'!$B$20,'設定'!$B$21))))))</f>
        <v/>
      </c>
      <c r="V778" s="56" t="n"/>
      <c r="W778" s="32">
        <f>IF($C778="","",IFERROR(MATCH($C778,'得意先'!$B$5:$B$104,0),"なし"))</f>
        <v/>
      </c>
      <c r="X778" s="33">
        <f>IF($A778="","",IF(ISNUMBER($E778),$E778,IF(ISNUMBER($B778),$B778,"")))</f>
        <v/>
      </c>
      <c r="Y778" s="34">
        <f>IF($T778="","",$O778+ROW()/1000000)</f>
        <v/>
      </c>
      <c r="Z778" s="35">
        <f>IF(OR($A778="",$C778="",$C778&lt;&gt;'売掛帳'!$B$3,NOT(ISNUMBER($X778))),"",IF(AND($X778&gt;='売掛帳'!$Q$3,$X778&lt;='売掛帳'!$Q$4),$X778+ROW()/10000000,""))</f>
        <v/>
      </c>
    </row>
    <row r="779" ht="18" customHeight="1">
      <c r="A779" s="18" t="n"/>
      <c r="B779" s="26" t="n"/>
      <c r="C779" s="18" t="n"/>
      <c r="D779" s="20">
        <f>IF($W779="","",IF($W779="なし","※得意先にないコード",INDEX('得意先'!$C$5:$C$104,$W779)&amp;""))</f>
        <v/>
      </c>
      <c r="E779" s="26" t="n"/>
      <c r="F779" s="19" t="n"/>
      <c r="G779" s="27" t="n"/>
      <c r="H779" s="27" t="n"/>
      <c r="I779" s="27" t="n"/>
      <c r="J779" s="28">
        <f>IF($A779="","",IF('設定'!$B$10="四捨五入",ROUND(IF('設定'!$B$9="税込",N($G779)*10/110,N($G779)*10/100),0),IF('設定'!$B$10="切り上げ",ROUNDUP(IF('設定'!$B$9="税込",N($G779)*10/110,N($G779)*10/100),0),ROUNDDOWN(IF('設定'!$B$9="税込",N($G779)*10/110,N($G779)*10/100),0))))</f>
        <v/>
      </c>
      <c r="K779" s="28">
        <f>IF($A779="","",IF('設定'!$B$10="四捨五入",ROUND(IF('設定'!$B$9="税込",N($H779)*8/108,N($H779)*8/100),0),IF('設定'!$B$10="切り上げ",ROUNDUP(IF('設定'!$B$9="税込",N($H779)*8/108,N($H779)*8/100),0),ROUNDDOWN(IF('設定'!$B$9="税込",N($H779)*8/108,N($H779)*8/100),0))))</f>
        <v/>
      </c>
      <c r="L779" s="28">
        <f>IF($A779="","",N($G779)+N($H779)+N($I779)+IF('設定'!$B$9="税込",0,$J779+$K779))</f>
        <v/>
      </c>
      <c r="M779" s="29">
        <f>IF(OR($A779="",NOT(ISNUMBER($W779)),NOT(ISNUMBER($X779))),"",IF(OR(INDEX('得意先'!$D$5:$D$104,$W779)="",INDEX('得意先'!$E$5:$E$104,$W779)="",INDEX('得意先'!$F$5:$F$104,$W779)=""),"",IF(INDEX('得意先'!$F$5:$F$104,$W779)="末",DATE(YEAR($X779),(MONTH($X779)+IF(INDEX('得意先'!$D$5:$D$104,$W779)="末",0,IF(DAY($X779)&lt;=INDEX('得意先'!$D$5:$D$104,$W779),0,1))+N(INDEX('得意先'!$E$5:$E$104,$W779)))+1,0),DATE(YEAR($X779),(MONTH($X779)+IF(INDEX('得意先'!$D$5:$D$104,$W779)="末",0,IF(DAY($X779)&lt;=INDEX('得意先'!$D$5:$D$104,$W779),0,1))+N(INDEX('得意先'!$E$5:$E$104,$W779))),MIN(INDEX('得意先'!$F$5:$F$104,$W779),DAY(DATE(YEAR($X779),(MONTH($X779)+IF(INDEX('得意先'!$D$5:$D$104,$W779)="末",0,IF(DAY($X779)&lt;=INDEX('得意先'!$D$5:$D$104,$W779),0,1))+N(INDEX('得意先'!$E$5:$E$104,$W779)))+1,0)))))))</f>
        <v/>
      </c>
      <c r="N779" s="26" t="n"/>
      <c r="O779" s="29">
        <f>IF($A779="","",IF(ISNUMBER($N779),$N779,$M779))</f>
        <v/>
      </c>
      <c r="P779" s="28">
        <f>IF($A779="","",SUMIF('入金消込'!$F$5:$F$1004,$A779,'入金消込'!$G$5:$G$1004))</f>
        <v/>
      </c>
      <c r="Q779" s="28">
        <f>IF($A779="","",SUMIF('入金消込'!$F$5:$F$1004,$A779,'入金消込'!$H$5:$H$1004)+SUMIF('入金消込'!$F$5:$F$1004,$A779,'入金消込'!$I$5:$I$1004))</f>
        <v/>
      </c>
      <c r="R779" s="28">
        <f>IF($A779="","",$L779-$P779-$Q779)</f>
        <v/>
      </c>
      <c r="S779" s="30">
        <f>IF($A779="","",IF($R779=0,IF($L779=0,"請求額0","回収済"),IF($L779&lt;0,IF($R779&lt;0,"差し引き待ち","差し引きすぎ"),IF($R779&lt;0,"入金が多い",IF($P779+$Q779=0,"未入金","一部入金")))))</f>
        <v/>
      </c>
      <c r="T779" s="31">
        <f>IF(OR($A779="",N($R779)&lt;=0,NOT(ISNUMBER($O779))),"",IF($O779&lt;'設定'!$B$7,'設定'!$B$7-$O779,""))</f>
        <v/>
      </c>
      <c r="U779" s="30">
        <f>IF(OR($A779="",N($R779)&lt;=0),"",IF(NOT(ISNUMBER($O779)),'設定'!$B$22,IF($O779&gt;='設定'!$B$7,'設定'!$B$17,IF('設定'!$B$7-$O779&lt;='設定'!$B$12,'設定'!$B$18,IF('設定'!$B$7-$O779&lt;='設定'!$B$13,'設定'!$B$19,IF('設定'!$B$7-$O779&lt;='設定'!$B$14,'設定'!$B$20,'設定'!$B$21))))))</f>
        <v/>
      </c>
      <c r="V779" s="56" t="n"/>
      <c r="W779" s="32">
        <f>IF($C779="","",IFERROR(MATCH($C779,'得意先'!$B$5:$B$104,0),"なし"))</f>
        <v/>
      </c>
      <c r="X779" s="33">
        <f>IF($A779="","",IF(ISNUMBER($E779),$E779,IF(ISNUMBER($B779),$B779,"")))</f>
        <v/>
      </c>
      <c r="Y779" s="34">
        <f>IF($T779="","",$O779+ROW()/1000000)</f>
        <v/>
      </c>
      <c r="Z779" s="35">
        <f>IF(OR($A779="",$C779="",$C779&lt;&gt;'売掛帳'!$B$3,NOT(ISNUMBER($X779))),"",IF(AND($X779&gt;='売掛帳'!$Q$3,$X779&lt;='売掛帳'!$Q$4),$X779+ROW()/10000000,""))</f>
        <v/>
      </c>
    </row>
    <row r="780" ht="18" customHeight="1">
      <c r="A780" s="18" t="n"/>
      <c r="B780" s="26" t="n"/>
      <c r="C780" s="18" t="n"/>
      <c r="D780" s="20">
        <f>IF($W780="","",IF($W780="なし","※得意先にないコード",INDEX('得意先'!$C$5:$C$104,$W780)&amp;""))</f>
        <v/>
      </c>
      <c r="E780" s="26" t="n"/>
      <c r="F780" s="19" t="n"/>
      <c r="G780" s="27" t="n"/>
      <c r="H780" s="27" t="n"/>
      <c r="I780" s="27" t="n"/>
      <c r="J780" s="28">
        <f>IF($A780="","",IF('設定'!$B$10="四捨五入",ROUND(IF('設定'!$B$9="税込",N($G780)*10/110,N($G780)*10/100),0),IF('設定'!$B$10="切り上げ",ROUNDUP(IF('設定'!$B$9="税込",N($G780)*10/110,N($G780)*10/100),0),ROUNDDOWN(IF('設定'!$B$9="税込",N($G780)*10/110,N($G780)*10/100),0))))</f>
        <v/>
      </c>
      <c r="K780" s="28">
        <f>IF($A780="","",IF('設定'!$B$10="四捨五入",ROUND(IF('設定'!$B$9="税込",N($H780)*8/108,N($H780)*8/100),0),IF('設定'!$B$10="切り上げ",ROUNDUP(IF('設定'!$B$9="税込",N($H780)*8/108,N($H780)*8/100),0),ROUNDDOWN(IF('設定'!$B$9="税込",N($H780)*8/108,N($H780)*8/100),0))))</f>
        <v/>
      </c>
      <c r="L780" s="28">
        <f>IF($A780="","",N($G780)+N($H780)+N($I780)+IF('設定'!$B$9="税込",0,$J780+$K780))</f>
        <v/>
      </c>
      <c r="M780" s="29">
        <f>IF(OR($A780="",NOT(ISNUMBER($W780)),NOT(ISNUMBER($X780))),"",IF(OR(INDEX('得意先'!$D$5:$D$104,$W780)="",INDEX('得意先'!$E$5:$E$104,$W780)="",INDEX('得意先'!$F$5:$F$104,$W780)=""),"",IF(INDEX('得意先'!$F$5:$F$104,$W780)="末",DATE(YEAR($X780),(MONTH($X780)+IF(INDEX('得意先'!$D$5:$D$104,$W780)="末",0,IF(DAY($X780)&lt;=INDEX('得意先'!$D$5:$D$104,$W780),0,1))+N(INDEX('得意先'!$E$5:$E$104,$W780)))+1,0),DATE(YEAR($X780),(MONTH($X780)+IF(INDEX('得意先'!$D$5:$D$104,$W780)="末",0,IF(DAY($X780)&lt;=INDEX('得意先'!$D$5:$D$104,$W780),0,1))+N(INDEX('得意先'!$E$5:$E$104,$W780))),MIN(INDEX('得意先'!$F$5:$F$104,$W780),DAY(DATE(YEAR($X780),(MONTH($X780)+IF(INDEX('得意先'!$D$5:$D$104,$W780)="末",0,IF(DAY($X780)&lt;=INDEX('得意先'!$D$5:$D$104,$W780),0,1))+N(INDEX('得意先'!$E$5:$E$104,$W780)))+1,0)))))))</f>
        <v/>
      </c>
      <c r="N780" s="26" t="n"/>
      <c r="O780" s="29">
        <f>IF($A780="","",IF(ISNUMBER($N780),$N780,$M780))</f>
        <v/>
      </c>
      <c r="P780" s="28">
        <f>IF($A780="","",SUMIF('入金消込'!$F$5:$F$1004,$A780,'入金消込'!$G$5:$G$1004))</f>
        <v/>
      </c>
      <c r="Q780" s="28">
        <f>IF($A780="","",SUMIF('入金消込'!$F$5:$F$1004,$A780,'入金消込'!$H$5:$H$1004)+SUMIF('入金消込'!$F$5:$F$1004,$A780,'入金消込'!$I$5:$I$1004))</f>
        <v/>
      </c>
      <c r="R780" s="28">
        <f>IF($A780="","",$L780-$P780-$Q780)</f>
        <v/>
      </c>
      <c r="S780" s="30">
        <f>IF($A780="","",IF($R780=0,IF($L780=0,"請求額0","回収済"),IF($L780&lt;0,IF($R780&lt;0,"差し引き待ち","差し引きすぎ"),IF($R780&lt;0,"入金が多い",IF($P780+$Q780=0,"未入金","一部入金")))))</f>
        <v/>
      </c>
      <c r="T780" s="31">
        <f>IF(OR($A780="",N($R780)&lt;=0,NOT(ISNUMBER($O780))),"",IF($O780&lt;'設定'!$B$7,'設定'!$B$7-$O780,""))</f>
        <v/>
      </c>
      <c r="U780" s="30">
        <f>IF(OR($A780="",N($R780)&lt;=0),"",IF(NOT(ISNUMBER($O780)),'設定'!$B$22,IF($O780&gt;='設定'!$B$7,'設定'!$B$17,IF('設定'!$B$7-$O780&lt;='設定'!$B$12,'設定'!$B$18,IF('設定'!$B$7-$O780&lt;='設定'!$B$13,'設定'!$B$19,IF('設定'!$B$7-$O780&lt;='設定'!$B$14,'設定'!$B$20,'設定'!$B$21))))))</f>
        <v/>
      </c>
      <c r="V780" s="56" t="n"/>
      <c r="W780" s="32">
        <f>IF($C780="","",IFERROR(MATCH($C780,'得意先'!$B$5:$B$104,0),"なし"))</f>
        <v/>
      </c>
      <c r="X780" s="33">
        <f>IF($A780="","",IF(ISNUMBER($E780),$E780,IF(ISNUMBER($B780),$B780,"")))</f>
        <v/>
      </c>
      <c r="Y780" s="34">
        <f>IF($T780="","",$O780+ROW()/1000000)</f>
        <v/>
      </c>
      <c r="Z780" s="35">
        <f>IF(OR($A780="",$C780="",$C780&lt;&gt;'売掛帳'!$B$3,NOT(ISNUMBER($X780))),"",IF(AND($X780&gt;='売掛帳'!$Q$3,$X780&lt;='売掛帳'!$Q$4),$X780+ROW()/10000000,""))</f>
        <v/>
      </c>
    </row>
    <row r="781" ht="18" customHeight="1">
      <c r="A781" s="18" t="n"/>
      <c r="B781" s="26" t="n"/>
      <c r="C781" s="18" t="n"/>
      <c r="D781" s="20">
        <f>IF($W781="","",IF($W781="なし","※得意先にないコード",INDEX('得意先'!$C$5:$C$104,$W781)&amp;""))</f>
        <v/>
      </c>
      <c r="E781" s="26" t="n"/>
      <c r="F781" s="19" t="n"/>
      <c r="G781" s="27" t="n"/>
      <c r="H781" s="27" t="n"/>
      <c r="I781" s="27" t="n"/>
      <c r="J781" s="28">
        <f>IF($A781="","",IF('設定'!$B$10="四捨五入",ROUND(IF('設定'!$B$9="税込",N($G781)*10/110,N($G781)*10/100),0),IF('設定'!$B$10="切り上げ",ROUNDUP(IF('設定'!$B$9="税込",N($G781)*10/110,N($G781)*10/100),0),ROUNDDOWN(IF('設定'!$B$9="税込",N($G781)*10/110,N($G781)*10/100),0))))</f>
        <v/>
      </c>
      <c r="K781" s="28">
        <f>IF($A781="","",IF('設定'!$B$10="四捨五入",ROUND(IF('設定'!$B$9="税込",N($H781)*8/108,N($H781)*8/100),0),IF('設定'!$B$10="切り上げ",ROUNDUP(IF('設定'!$B$9="税込",N($H781)*8/108,N($H781)*8/100),0),ROUNDDOWN(IF('設定'!$B$9="税込",N($H781)*8/108,N($H781)*8/100),0))))</f>
        <v/>
      </c>
      <c r="L781" s="28">
        <f>IF($A781="","",N($G781)+N($H781)+N($I781)+IF('設定'!$B$9="税込",0,$J781+$K781))</f>
        <v/>
      </c>
      <c r="M781" s="29">
        <f>IF(OR($A781="",NOT(ISNUMBER($W781)),NOT(ISNUMBER($X781))),"",IF(OR(INDEX('得意先'!$D$5:$D$104,$W781)="",INDEX('得意先'!$E$5:$E$104,$W781)="",INDEX('得意先'!$F$5:$F$104,$W781)=""),"",IF(INDEX('得意先'!$F$5:$F$104,$W781)="末",DATE(YEAR($X781),(MONTH($X781)+IF(INDEX('得意先'!$D$5:$D$104,$W781)="末",0,IF(DAY($X781)&lt;=INDEX('得意先'!$D$5:$D$104,$W781),0,1))+N(INDEX('得意先'!$E$5:$E$104,$W781)))+1,0),DATE(YEAR($X781),(MONTH($X781)+IF(INDEX('得意先'!$D$5:$D$104,$W781)="末",0,IF(DAY($X781)&lt;=INDEX('得意先'!$D$5:$D$104,$W781),0,1))+N(INDEX('得意先'!$E$5:$E$104,$W781))),MIN(INDEX('得意先'!$F$5:$F$104,$W781),DAY(DATE(YEAR($X781),(MONTH($X781)+IF(INDEX('得意先'!$D$5:$D$104,$W781)="末",0,IF(DAY($X781)&lt;=INDEX('得意先'!$D$5:$D$104,$W781),0,1))+N(INDEX('得意先'!$E$5:$E$104,$W781)))+1,0)))))))</f>
        <v/>
      </c>
      <c r="N781" s="26" t="n"/>
      <c r="O781" s="29">
        <f>IF($A781="","",IF(ISNUMBER($N781),$N781,$M781))</f>
        <v/>
      </c>
      <c r="P781" s="28">
        <f>IF($A781="","",SUMIF('入金消込'!$F$5:$F$1004,$A781,'入金消込'!$G$5:$G$1004))</f>
        <v/>
      </c>
      <c r="Q781" s="28">
        <f>IF($A781="","",SUMIF('入金消込'!$F$5:$F$1004,$A781,'入金消込'!$H$5:$H$1004)+SUMIF('入金消込'!$F$5:$F$1004,$A781,'入金消込'!$I$5:$I$1004))</f>
        <v/>
      </c>
      <c r="R781" s="28">
        <f>IF($A781="","",$L781-$P781-$Q781)</f>
        <v/>
      </c>
      <c r="S781" s="30">
        <f>IF($A781="","",IF($R781=0,IF($L781=0,"請求額0","回収済"),IF($L781&lt;0,IF($R781&lt;0,"差し引き待ち","差し引きすぎ"),IF($R781&lt;0,"入金が多い",IF($P781+$Q781=0,"未入金","一部入金")))))</f>
        <v/>
      </c>
      <c r="T781" s="31">
        <f>IF(OR($A781="",N($R781)&lt;=0,NOT(ISNUMBER($O781))),"",IF($O781&lt;'設定'!$B$7,'設定'!$B$7-$O781,""))</f>
        <v/>
      </c>
      <c r="U781" s="30">
        <f>IF(OR($A781="",N($R781)&lt;=0),"",IF(NOT(ISNUMBER($O781)),'設定'!$B$22,IF($O781&gt;='設定'!$B$7,'設定'!$B$17,IF('設定'!$B$7-$O781&lt;='設定'!$B$12,'設定'!$B$18,IF('設定'!$B$7-$O781&lt;='設定'!$B$13,'設定'!$B$19,IF('設定'!$B$7-$O781&lt;='設定'!$B$14,'設定'!$B$20,'設定'!$B$21))))))</f>
        <v/>
      </c>
      <c r="V781" s="56" t="n"/>
      <c r="W781" s="32">
        <f>IF($C781="","",IFERROR(MATCH($C781,'得意先'!$B$5:$B$104,0),"なし"))</f>
        <v/>
      </c>
      <c r="X781" s="33">
        <f>IF($A781="","",IF(ISNUMBER($E781),$E781,IF(ISNUMBER($B781),$B781,"")))</f>
        <v/>
      </c>
      <c r="Y781" s="34">
        <f>IF($T781="","",$O781+ROW()/1000000)</f>
        <v/>
      </c>
      <c r="Z781" s="35">
        <f>IF(OR($A781="",$C781="",$C781&lt;&gt;'売掛帳'!$B$3,NOT(ISNUMBER($X781))),"",IF(AND($X781&gt;='売掛帳'!$Q$3,$X781&lt;='売掛帳'!$Q$4),$X781+ROW()/10000000,""))</f>
        <v/>
      </c>
    </row>
    <row r="782" ht="18" customHeight="1">
      <c r="A782" s="18" t="n"/>
      <c r="B782" s="26" t="n"/>
      <c r="C782" s="18" t="n"/>
      <c r="D782" s="20">
        <f>IF($W782="","",IF($W782="なし","※得意先にないコード",INDEX('得意先'!$C$5:$C$104,$W782)&amp;""))</f>
        <v/>
      </c>
      <c r="E782" s="26" t="n"/>
      <c r="F782" s="19" t="n"/>
      <c r="G782" s="27" t="n"/>
      <c r="H782" s="27" t="n"/>
      <c r="I782" s="27" t="n"/>
      <c r="J782" s="28">
        <f>IF($A782="","",IF('設定'!$B$10="四捨五入",ROUND(IF('設定'!$B$9="税込",N($G782)*10/110,N($G782)*10/100),0),IF('設定'!$B$10="切り上げ",ROUNDUP(IF('設定'!$B$9="税込",N($G782)*10/110,N($G782)*10/100),0),ROUNDDOWN(IF('設定'!$B$9="税込",N($G782)*10/110,N($G782)*10/100),0))))</f>
        <v/>
      </c>
      <c r="K782" s="28">
        <f>IF($A782="","",IF('設定'!$B$10="四捨五入",ROUND(IF('設定'!$B$9="税込",N($H782)*8/108,N($H782)*8/100),0),IF('設定'!$B$10="切り上げ",ROUNDUP(IF('設定'!$B$9="税込",N($H782)*8/108,N($H782)*8/100),0),ROUNDDOWN(IF('設定'!$B$9="税込",N($H782)*8/108,N($H782)*8/100),0))))</f>
        <v/>
      </c>
      <c r="L782" s="28">
        <f>IF($A782="","",N($G782)+N($H782)+N($I782)+IF('設定'!$B$9="税込",0,$J782+$K782))</f>
        <v/>
      </c>
      <c r="M782" s="29">
        <f>IF(OR($A782="",NOT(ISNUMBER($W782)),NOT(ISNUMBER($X782))),"",IF(OR(INDEX('得意先'!$D$5:$D$104,$W782)="",INDEX('得意先'!$E$5:$E$104,$W782)="",INDEX('得意先'!$F$5:$F$104,$W782)=""),"",IF(INDEX('得意先'!$F$5:$F$104,$W782)="末",DATE(YEAR($X782),(MONTH($X782)+IF(INDEX('得意先'!$D$5:$D$104,$W782)="末",0,IF(DAY($X782)&lt;=INDEX('得意先'!$D$5:$D$104,$W782),0,1))+N(INDEX('得意先'!$E$5:$E$104,$W782)))+1,0),DATE(YEAR($X782),(MONTH($X782)+IF(INDEX('得意先'!$D$5:$D$104,$W782)="末",0,IF(DAY($X782)&lt;=INDEX('得意先'!$D$5:$D$104,$W782),0,1))+N(INDEX('得意先'!$E$5:$E$104,$W782))),MIN(INDEX('得意先'!$F$5:$F$104,$W782),DAY(DATE(YEAR($X782),(MONTH($X782)+IF(INDEX('得意先'!$D$5:$D$104,$W782)="末",0,IF(DAY($X782)&lt;=INDEX('得意先'!$D$5:$D$104,$W782),0,1))+N(INDEX('得意先'!$E$5:$E$104,$W782)))+1,0)))))))</f>
        <v/>
      </c>
      <c r="N782" s="26" t="n"/>
      <c r="O782" s="29">
        <f>IF($A782="","",IF(ISNUMBER($N782),$N782,$M782))</f>
        <v/>
      </c>
      <c r="P782" s="28">
        <f>IF($A782="","",SUMIF('入金消込'!$F$5:$F$1004,$A782,'入金消込'!$G$5:$G$1004))</f>
        <v/>
      </c>
      <c r="Q782" s="28">
        <f>IF($A782="","",SUMIF('入金消込'!$F$5:$F$1004,$A782,'入金消込'!$H$5:$H$1004)+SUMIF('入金消込'!$F$5:$F$1004,$A782,'入金消込'!$I$5:$I$1004))</f>
        <v/>
      </c>
      <c r="R782" s="28">
        <f>IF($A782="","",$L782-$P782-$Q782)</f>
        <v/>
      </c>
      <c r="S782" s="30">
        <f>IF($A782="","",IF($R782=0,IF($L782=0,"請求額0","回収済"),IF($L782&lt;0,IF($R782&lt;0,"差し引き待ち","差し引きすぎ"),IF($R782&lt;0,"入金が多い",IF($P782+$Q782=0,"未入金","一部入金")))))</f>
        <v/>
      </c>
      <c r="T782" s="31">
        <f>IF(OR($A782="",N($R782)&lt;=0,NOT(ISNUMBER($O782))),"",IF($O782&lt;'設定'!$B$7,'設定'!$B$7-$O782,""))</f>
        <v/>
      </c>
      <c r="U782" s="30">
        <f>IF(OR($A782="",N($R782)&lt;=0),"",IF(NOT(ISNUMBER($O782)),'設定'!$B$22,IF($O782&gt;='設定'!$B$7,'設定'!$B$17,IF('設定'!$B$7-$O782&lt;='設定'!$B$12,'設定'!$B$18,IF('設定'!$B$7-$O782&lt;='設定'!$B$13,'設定'!$B$19,IF('設定'!$B$7-$O782&lt;='設定'!$B$14,'設定'!$B$20,'設定'!$B$21))))))</f>
        <v/>
      </c>
      <c r="V782" s="56" t="n"/>
      <c r="W782" s="32">
        <f>IF($C782="","",IFERROR(MATCH($C782,'得意先'!$B$5:$B$104,0),"なし"))</f>
        <v/>
      </c>
      <c r="X782" s="33">
        <f>IF($A782="","",IF(ISNUMBER($E782),$E782,IF(ISNUMBER($B782),$B782,"")))</f>
        <v/>
      </c>
      <c r="Y782" s="34">
        <f>IF($T782="","",$O782+ROW()/1000000)</f>
        <v/>
      </c>
      <c r="Z782" s="35">
        <f>IF(OR($A782="",$C782="",$C782&lt;&gt;'売掛帳'!$B$3,NOT(ISNUMBER($X782))),"",IF(AND($X782&gt;='売掛帳'!$Q$3,$X782&lt;='売掛帳'!$Q$4),$X782+ROW()/10000000,""))</f>
        <v/>
      </c>
    </row>
    <row r="783" ht="18" customHeight="1">
      <c r="A783" s="18" t="n"/>
      <c r="B783" s="26" t="n"/>
      <c r="C783" s="18" t="n"/>
      <c r="D783" s="20">
        <f>IF($W783="","",IF($W783="なし","※得意先にないコード",INDEX('得意先'!$C$5:$C$104,$W783)&amp;""))</f>
        <v/>
      </c>
      <c r="E783" s="26" t="n"/>
      <c r="F783" s="19" t="n"/>
      <c r="G783" s="27" t="n"/>
      <c r="H783" s="27" t="n"/>
      <c r="I783" s="27" t="n"/>
      <c r="J783" s="28">
        <f>IF($A783="","",IF('設定'!$B$10="四捨五入",ROUND(IF('設定'!$B$9="税込",N($G783)*10/110,N($G783)*10/100),0),IF('設定'!$B$10="切り上げ",ROUNDUP(IF('設定'!$B$9="税込",N($G783)*10/110,N($G783)*10/100),0),ROUNDDOWN(IF('設定'!$B$9="税込",N($G783)*10/110,N($G783)*10/100),0))))</f>
        <v/>
      </c>
      <c r="K783" s="28">
        <f>IF($A783="","",IF('設定'!$B$10="四捨五入",ROUND(IF('設定'!$B$9="税込",N($H783)*8/108,N($H783)*8/100),0),IF('設定'!$B$10="切り上げ",ROUNDUP(IF('設定'!$B$9="税込",N($H783)*8/108,N($H783)*8/100),0),ROUNDDOWN(IF('設定'!$B$9="税込",N($H783)*8/108,N($H783)*8/100),0))))</f>
        <v/>
      </c>
      <c r="L783" s="28">
        <f>IF($A783="","",N($G783)+N($H783)+N($I783)+IF('設定'!$B$9="税込",0,$J783+$K783))</f>
        <v/>
      </c>
      <c r="M783" s="29">
        <f>IF(OR($A783="",NOT(ISNUMBER($W783)),NOT(ISNUMBER($X783))),"",IF(OR(INDEX('得意先'!$D$5:$D$104,$W783)="",INDEX('得意先'!$E$5:$E$104,$W783)="",INDEX('得意先'!$F$5:$F$104,$W783)=""),"",IF(INDEX('得意先'!$F$5:$F$104,$W783)="末",DATE(YEAR($X783),(MONTH($X783)+IF(INDEX('得意先'!$D$5:$D$104,$W783)="末",0,IF(DAY($X783)&lt;=INDEX('得意先'!$D$5:$D$104,$W783),0,1))+N(INDEX('得意先'!$E$5:$E$104,$W783)))+1,0),DATE(YEAR($X783),(MONTH($X783)+IF(INDEX('得意先'!$D$5:$D$104,$W783)="末",0,IF(DAY($X783)&lt;=INDEX('得意先'!$D$5:$D$104,$W783),0,1))+N(INDEX('得意先'!$E$5:$E$104,$W783))),MIN(INDEX('得意先'!$F$5:$F$104,$W783),DAY(DATE(YEAR($X783),(MONTH($X783)+IF(INDEX('得意先'!$D$5:$D$104,$W783)="末",0,IF(DAY($X783)&lt;=INDEX('得意先'!$D$5:$D$104,$W783),0,1))+N(INDEX('得意先'!$E$5:$E$104,$W783)))+1,0)))))))</f>
        <v/>
      </c>
      <c r="N783" s="26" t="n"/>
      <c r="O783" s="29">
        <f>IF($A783="","",IF(ISNUMBER($N783),$N783,$M783))</f>
        <v/>
      </c>
      <c r="P783" s="28">
        <f>IF($A783="","",SUMIF('入金消込'!$F$5:$F$1004,$A783,'入金消込'!$G$5:$G$1004))</f>
        <v/>
      </c>
      <c r="Q783" s="28">
        <f>IF($A783="","",SUMIF('入金消込'!$F$5:$F$1004,$A783,'入金消込'!$H$5:$H$1004)+SUMIF('入金消込'!$F$5:$F$1004,$A783,'入金消込'!$I$5:$I$1004))</f>
        <v/>
      </c>
      <c r="R783" s="28">
        <f>IF($A783="","",$L783-$P783-$Q783)</f>
        <v/>
      </c>
      <c r="S783" s="30">
        <f>IF($A783="","",IF($R783=0,IF($L783=0,"請求額0","回収済"),IF($L783&lt;0,IF($R783&lt;0,"差し引き待ち","差し引きすぎ"),IF($R783&lt;0,"入金が多い",IF($P783+$Q783=0,"未入金","一部入金")))))</f>
        <v/>
      </c>
      <c r="T783" s="31">
        <f>IF(OR($A783="",N($R783)&lt;=0,NOT(ISNUMBER($O783))),"",IF($O783&lt;'設定'!$B$7,'設定'!$B$7-$O783,""))</f>
        <v/>
      </c>
      <c r="U783" s="30">
        <f>IF(OR($A783="",N($R783)&lt;=0),"",IF(NOT(ISNUMBER($O783)),'設定'!$B$22,IF($O783&gt;='設定'!$B$7,'設定'!$B$17,IF('設定'!$B$7-$O783&lt;='設定'!$B$12,'設定'!$B$18,IF('設定'!$B$7-$O783&lt;='設定'!$B$13,'設定'!$B$19,IF('設定'!$B$7-$O783&lt;='設定'!$B$14,'設定'!$B$20,'設定'!$B$21))))))</f>
        <v/>
      </c>
      <c r="V783" s="56" t="n"/>
      <c r="W783" s="32">
        <f>IF($C783="","",IFERROR(MATCH($C783,'得意先'!$B$5:$B$104,0),"なし"))</f>
        <v/>
      </c>
      <c r="X783" s="33">
        <f>IF($A783="","",IF(ISNUMBER($E783),$E783,IF(ISNUMBER($B783),$B783,"")))</f>
        <v/>
      </c>
      <c r="Y783" s="34">
        <f>IF($T783="","",$O783+ROW()/1000000)</f>
        <v/>
      </c>
      <c r="Z783" s="35">
        <f>IF(OR($A783="",$C783="",$C783&lt;&gt;'売掛帳'!$B$3,NOT(ISNUMBER($X783))),"",IF(AND($X783&gt;='売掛帳'!$Q$3,$X783&lt;='売掛帳'!$Q$4),$X783+ROW()/10000000,""))</f>
        <v/>
      </c>
    </row>
    <row r="784" ht="18" customHeight="1">
      <c r="A784" s="18" t="n"/>
      <c r="B784" s="26" t="n"/>
      <c r="C784" s="18" t="n"/>
      <c r="D784" s="20">
        <f>IF($W784="","",IF($W784="なし","※得意先にないコード",INDEX('得意先'!$C$5:$C$104,$W784)&amp;""))</f>
        <v/>
      </c>
      <c r="E784" s="26" t="n"/>
      <c r="F784" s="19" t="n"/>
      <c r="G784" s="27" t="n"/>
      <c r="H784" s="27" t="n"/>
      <c r="I784" s="27" t="n"/>
      <c r="J784" s="28">
        <f>IF($A784="","",IF('設定'!$B$10="四捨五入",ROUND(IF('設定'!$B$9="税込",N($G784)*10/110,N($G784)*10/100),0),IF('設定'!$B$10="切り上げ",ROUNDUP(IF('設定'!$B$9="税込",N($G784)*10/110,N($G784)*10/100),0),ROUNDDOWN(IF('設定'!$B$9="税込",N($G784)*10/110,N($G784)*10/100),0))))</f>
        <v/>
      </c>
      <c r="K784" s="28">
        <f>IF($A784="","",IF('設定'!$B$10="四捨五入",ROUND(IF('設定'!$B$9="税込",N($H784)*8/108,N($H784)*8/100),0),IF('設定'!$B$10="切り上げ",ROUNDUP(IF('設定'!$B$9="税込",N($H784)*8/108,N($H784)*8/100),0),ROUNDDOWN(IF('設定'!$B$9="税込",N($H784)*8/108,N($H784)*8/100),0))))</f>
        <v/>
      </c>
      <c r="L784" s="28">
        <f>IF($A784="","",N($G784)+N($H784)+N($I784)+IF('設定'!$B$9="税込",0,$J784+$K784))</f>
        <v/>
      </c>
      <c r="M784" s="29">
        <f>IF(OR($A784="",NOT(ISNUMBER($W784)),NOT(ISNUMBER($X784))),"",IF(OR(INDEX('得意先'!$D$5:$D$104,$W784)="",INDEX('得意先'!$E$5:$E$104,$W784)="",INDEX('得意先'!$F$5:$F$104,$W784)=""),"",IF(INDEX('得意先'!$F$5:$F$104,$W784)="末",DATE(YEAR($X784),(MONTH($X784)+IF(INDEX('得意先'!$D$5:$D$104,$W784)="末",0,IF(DAY($X784)&lt;=INDEX('得意先'!$D$5:$D$104,$W784),0,1))+N(INDEX('得意先'!$E$5:$E$104,$W784)))+1,0),DATE(YEAR($X784),(MONTH($X784)+IF(INDEX('得意先'!$D$5:$D$104,$W784)="末",0,IF(DAY($X784)&lt;=INDEX('得意先'!$D$5:$D$104,$W784),0,1))+N(INDEX('得意先'!$E$5:$E$104,$W784))),MIN(INDEX('得意先'!$F$5:$F$104,$W784),DAY(DATE(YEAR($X784),(MONTH($X784)+IF(INDEX('得意先'!$D$5:$D$104,$W784)="末",0,IF(DAY($X784)&lt;=INDEX('得意先'!$D$5:$D$104,$W784),0,1))+N(INDEX('得意先'!$E$5:$E$104,$W784)))+1,0)))))))</f>
        <v/>
      </c>
      <c r="N784" s="26" t="n"/>
      <c r="O784" s="29">
        <f>IF($A784="","",IF(ISNUMBER($N784),$N784,$M784))</f>
        <v/>
      </c>
      <c r="P784" s="28">
        <f>IF($A784="","",SUMIF('入金消込'!$F$5:$F$1004,$A784,'入金消込'!$G$5:$G$1004))</f>
        <v/>
      </c>
      <c r="Q784" s="28">
        <f>IF($A784="","",SUMIF('入金消込'!$F$5:$F$1004,$A784,'入金消込'!$H$5:$H$1004)+SUMIF('入金消込'!$F$5:$F$1004,$A784,'入金消込'!$I$5:$I$1004))</f>
        <v/>
      </c>
      <c r="R784" s="28">
        <f>IF($A784="","",$L784-$P784-$Q784)</f>
        <v/>
      </c>
      <c r="S784" s="30">
        <f>IF($A784="","",IF($R784=0,IF($L784=0,"請求額0","回収済"),IF($L784&lt;0,IF($R784&lt;0,"差し引き待ち","差し引きすぎ"),IF($R784&lt;0,"入金が多い",IF($P784+$Q784=0,"未入金","一部入金")))))</f>
        <v/>
      </c>
      <c r="T784" s="31">
        <f>IF(OR($A784="",N($R784)&lt;=0,NOT(ISNUMBER($O784))),"",IF($O784&lt;'設定'!$B$7,'設定'!$B$7-$O784,""))</f>
        <v/>
      </c>
      <c r="U784" s="30">
        <f>IF(OR($A784="",N($R784)&lt;=0),"",IF(NOT(ISNUMBER($O784)),'設定'!$B$22,IF($O784&gt;='設定'!$B$7,'設定'!$B$17,IF('設定'!$B$7-$O784&lt;='設定'!$B$12,'設定'!$B$18,IF('設定'!$B$7-$O784&lt;='設定'!$B$13,'設定'!$B$19,IF('設定'!$B$7-$O784&lt;='設定'!$B$14,'設定'!$B$20,'設定'!$B$21))))))</f>
        <v/>
      </c>
      <c r="V784" s="56" t="n"/>
      <c r="W784" s="32">
        <f>IF($C784="","",IFERROR(MATCH($C784,'得意先'!$B$5:$B$104,0),"なし"))</f>
        <v/>
      </c>
      <c r="X784" s="33">
        <f>IF($A784="","",IF(ISNUMBER($E784),$E784,IF(ISNUMBER($B784),$B784,"")))</f>
        <v/>
      </c>
      <c r="Y784" s="34">
        <f>IF($T784="","",$O784+ROW()/1000000)</f>
        <v/>
      </c>
      <c r="Z784" s="35">
        <f>IF(OR($A784="",$C784="",$C784&lt;&gt;'売掛帳'!$B$3,NOT(ISNUMBER($X784))),"",IF(AND($X784&gt;='売掛帳'!$Q$3,$X784&lt;='売掛帳'!$Q$4),$X784+ROW()/10000000,""))</f>
        <v/>
      </c>
    </row>
    <row r="785" ht="18" customHeight="1">
      <c r="A785" s="18" t="n"/>
      <c r="B785" s="26" t="n"/>
      <c r="C785" s="18" t="n"/>
      <c r="D785" s="20">
        <f>IF($W785="","",IF($W785="なし","※得意先にないコード",INDEX('得意先'!$C$5:$C$104,$W785)&amp;""))</f>
        <v/>
      </c>
      <c r="E785" s="26" t="n"/>
      <c r="F785" s="19" t="n"/>
      <c r="G785" s="27" t="n"/>
      <c r="H785" s="27" t="n"/>
      <c r="I785" s="27" t="n"/>
      <c r="J785" s="28">
        <f>IF($A785="","",IF('設定'!$B$10="四捨五入",ROUND(IF('設定'!$B$9="税込",N($G785)*10/110,N($G785)*10/100),0),IF('設定'!$B$10="切り上げ",ROUNDUP(IF('設定'!$B$9="税込",N($G785)*10/110,N($G785)*10/100),0),ROUNDDOWN(IF('設定'!$B$9="税込",N($G785)*10/110,N($G785)*10/100),0))))</f>
        <v/>
      </c>
      <c r="K785" s="28">
        <f>IF($A785="","",IF('設定'!$B$10="四捨五入",ROUND(IF('設定'!$B$9="税込",N($H785)*8/108,N($H785)*8/100),0),IF('設定'!$B$10="切り上げ",ROUNDUP(IF('設定'!$B$9="税込",N($H785)*8/108,N($H785)*8/100),0),ROUNDDOWN(IF('設定'!$B$9="税込",N($H785)*8/108,N($H785)*8/100),0))))</f>
        <v/>
      </c>
      <c r="L785" s="28">
        <f>IF($A785="","",N($G785)+N($H785)+N($I785)+IF('設定'!$B$9="税込",0,$J785+$K785))</f>
        <v/>
      </c>
      <c r="M785" s="29">
        <f>IF(OR($A785="",NOT(ISNUMBER($W785)),NOT(ISNUMBER($X785))),"",IF(OR(INDEX('得意先'!$D$5:$D$104,$W785)="",INDEX('得意先'!$E$5:$E$104,$W785)="",INDEX('得意先'!$F$5:$F$104,$W785)=""),"",IF(INDEX('得意先'!$F$5:$F$104,$W785)="末",DATE(YEAR($X785),(MONTH($X785)+IF(INDEX('得意先'!$D$5:$D$104,$W785)="末",0,IF(DAY($X785)&lt;=INDEX('得意先'!$D$5:$D$104,$W785),0,1))+N(INDEX('得意先'!$E$5:$E$104,$W785)))+1,0),DATE(YEAR($X785),(MONTH($X785)+IF(INDEX('得意先'!$D$5:$D$104,$W785)="末",0,IF(DAY($X785)&lt;=INDEX('得意先'!$D$5:$D$104,$W785),0,1))+N(INDEX('得意先'!$E$5:$E$104,$W785))),MIN(INDEX('得意先'!$F$5:$F$104,$W785),DAY(DATE(YEAR($X785),(MONTH($X785)+IF(INDEX('得意先'!$D$5:$D$104,$W785)="末",0,IF(DAY($X785)&lt;=INDEX('得意先'!$D$5:$D$104,$W785),0,1))+N(INDEX('得意先'!$E$5:$E$104,$W785)))+1,0)))))))</f>
        <v/>
      </c>
      <c r="N785" s="26" t="n"/>
      <c r="O785" s="29">
        <f>IF($A785="","",IF(ISNUMBER($N785),$N785,$M785))</f>
        <v/>
      </c>
      <c r="P785" s="28">
        <f>IF($A785="","",SUMIF('入金消込'!$F$5:$F$1004,$A785,'入金消込'!$G$5:$G$1004))</f>
        <v/>
      </c>
      <c r="Q785" s="28">
        <f>IF($A785="","",SUMIF('入金消込'!$F$5:$F$1004,$A785,'入金消込'!$H$5:$H$1004)+SUMIF('入金消込'!$F$5:$F$1004,$A785,'入金消込'!$I$5:$I$1004))</f>
        <v/>
      </c>
      <c r="R785" s="28">
        <f>IF($A785="","",$L785-$P785-$Q785)</f>
        <v/>
      </c>
      <c r="S785" s="30">
        <f>IF($A785="","",IF($R785=0,IF($L785=0,"請求額0","回収済"),IF($L785&lt;0,IF($R785&lt;0,"差し引き待ち","差し引きすぎ"),IF($R785&lt;0,"入金が多い",IF($P785+$Q785=0,"未入金","一部入金")))))</f>
        <v/>
      </c>
      <c r="T785" s="31">
        <f>IF(OR($A785="",N($R785)&lt;=0,NOT(ISNUMBER($O785))),"",IF($O785&lt;'設定'!$B$7,'設定'!$B$7-$O785,""))</f>
        <v/>
      </c>
      <c r="U785" s="30">
        <f>IF(OR($A785="",N($R785)&lt;=0),"",IF(NOT(ISNUMBER($O785)),'設定'!$B$22,IF($O785&gt;='設定'!$B$7,'設定'!$B$17,IF('設定'!$B$7-$O785&lt;='設定'!$B$12,'設定'!$B$18,IF('設定'!$B$7-$O785&lt;='設定'!$B$13,'設定'!$B$19,IF('設定'!$B$7-$O785&lt;='設定'!$B$14,'設定'!$B$20,'設定'!$B$21))))))</f>
        <v/>
      </c>
      <c r="V785" s="56" t="n"/>
      <c r="W785" s="32">
        <f>IF($C785="","",IFERROR(MATCH($C785,'得意先'!$B$5:$B$104,0),"なし"))</f>
        <v/>
      </c>
      <c r="X785" s="33">
        <f>IF($A785="","",IF(ISNUMBER($E785),$E785,IF(ISNUMBER($B785),$B785,"")))</f>
        <v/>
      </c>
      <c r="Y785" s="34">
        <f>IF($T785="","",$O785+ROW()/1000000)</f>
        <v/>
      </c>
      <c r="Z785" s="35">
        <f>IF(OR($A785="",$C785="",$C785&lt;&gt;'売掛帳'!$B$3,NOT(ISNUMBER($X785))),"",IF(AND($X785&gt;='売掛帳'!$Q$3,$X785&lt;='売掛帳'!$Q$4),$X785+ROW()/10000000,""))</f>
        <v/>
      </c>
    </row>
    <row r="786" ht="18" customHeight="1">
      <c r="A786" s="18" t="n"/>
      <c r="B786" s="26" t="n"/>
      <c r="C786" s="18" t="n"/>
      <c r="D786" s="20">
        <f>IF($W786="","",IF($W786="なし","※得意先にないコード",INDEX('得意先'!$C$5:$C$104,$W786)&amp;""))</f>
        <v/>
      </c>
      <c r="E786" s="26" t="n"/>
      <c r="F786" s="19" t="n"/>
      <c r="G786" s="27" t="n"/>
      <c r="H786" s="27" t="n"/>
      <c r="I786" s="27" t="n"/>
      <c r="J786" s="28">
        <f>IF($A786="","",IF('設定'!$B$10="四捨五入",ROUND(IF('設定'!$B$9="税込",N($G786)*10/110,N($G786)*10/100),0),IF('設定'!$B$10="切り上げ",ROUNDUP(IF('設定'!$B$9="税込",N($G786)*10/110,N($G786)*10/100),0),ROUNDDOWN(IF('設定'!$B$9="税込",N($G786)*10/110,N($G786)*10/100),0))))</f>
        <v/>
      </c>
      <c r="K786" s="28">
        <f>IF($A786="","",IF('設定'!$B$10="四捨五入",ROUND(IF('設定'!$B$9="税込",N($H786)*8/108,N($H786)*8/100),0),IF('設定'!$B$10="切り上げ",ROUNDUP(IF('設定'!$B$9="税込",N($H786)*8/108,N($H786)*8/100),0),ROUNDDOWN(IF('設定'!$B$9="税込",N($H786)*8/108,N($H786)*8/100),0))))</f>
        <v/>
      </c>
      <c r="L786" s="28">
        <f>IF($A786="","",N($G786)+N($H786)+N($I786)+IF('設定'!$B$9="税込",0,$J786+$K786))</f>
        <v/>
      </c>
      <c r="M786" s="29">
        <f>IF(OR($A786="",NOT(ISNUMBER($W786)),NOT(ISNUMBER($X786))),"",IF(OR(INDEX('得意先'!$D$5:$D$104,$W786)="",INDEX('得意先'!$E$5:$E$104,$W786)="",INDEX('得意先'!$F$5:$F$104,$W786)=""),"",IF(INDEX('得意先'!$F$5:$F$104,$W786)="末",DATE(YEAR($X786),(MONTH($X786)+IF(INDEX('得意先'!$D$5:$D$104,$W786)="末",0,IF(DAY($X786)&lt;=INDEX('得意先'!$D$5:$D$104,$W786),0,1))+N(INDEX('得意先'!$E$5:$E$104,$W786)))+1,0),DATE(YEAR($X786),(MONTH($X786)+IF(INDEX('得意先'!$D$5:$D$104,$W786)="末",0,IF(DAY($X786)&lt;=INDEX('得意先'!$D$5:$D$104,$W786),0,1))+N(INDEX('得意先'!$E$5:$E$104,$W786))),MIN(INDEX('得意先'!$F$5:$F$104,$W786),DAY(DATE(YEAR($X786),(MONTH($X786)+IF(INDEX('得意先'!$D$5:$D$104,$W786)="末",0,IF(DAY($X786)&lt;=INDEX('得意先'!$D$5:$D$104,$W786),0,1))+N(INDEX('得意先'!$E$5:$E$104,$W786)))+1,0)))))))</f>
        <v/>
      </c>
      <c r="N786" s="26" t="n"/>
      <c r="O786" s="29">
        <f>IF($A786="","",IF(ISNUMBER($N786),$N786,$M786))</f>
        <v/>
      </c>
      <c r="P786" s="28">
        <f>IF($A786="","",SUMIF('入金消込'!$F$5:$F$1004,$A786,'入金消込'!$G$5:$G$1004))</f>
        <v/>
      </c>
      <c r="Q786" s="28">
        <f>IF($A786="","",SUMIF('入金消込'!$F$5:$F$1004,$A786,'入金消込'!$H$5:$H$1004)+SUMIF('入金消込'!$F$5:$F$1004,$A786,'入金消込'!$I$5:$I$1004))</f>
        <v/>
      </c>
      <c r="R786" s="28">
        <f>IF($A786="","",$L786-$P786-$Q786)</f>
        <v/>
      </c>
      <c r="S786" s="30">
        <f>IF($A786="","",IF($R786=0,IF($L786=0,"請求額0","回収済"),IF($L786&lt;0,IF($R786&lt;0,"差し引き待ち","差し引きすぎ"),IF($R786&lt;0,"入金が多い",IF($P786+$Q786=0,"未入金","一部入金")))))</f>
        <v/>
      </c>
      <c r="T786" s="31">
        <f>IF(OR($A786="",N($R786)&lt;=0,NOT(ISNUMBER($O786))),"",IF($O786&lt;'設定'!$B$7,'設定'!$B$7-$O786,""))</f>
        <v/>
      </c>
      <c r="U786" s="30">
        <f>IF(OR($A786="",N($R786)&lt;=0),"",IF(NOT(ISNUMBER($O786)),'設定'!$B$22,IF($O786&gt;='設定'!$B$7,'設定'!$B$17,IF('設定'!$B$7-$O786&lt;='設定'!$B$12,'設定'!$B$18,IF('設定'!$B$7-$O786&lt;='設定'!$B$13,'設定'!$B$19,IF('設定'!$B$7-$O786&lt;='設定'!$B$14,'設定'!$B$20,'設定'!$B$21))))))</f>
        <v/>
      </c>
      <c r="V786" s="56" t="n"/>
      <c r="W786" s="32">
        <f>IF($C786="","",IFERROR(MATCH($C786,'得意先'!$B$5:$B$104,0),"なし"))</f>
        <v/>
      </c>
      <c r="X786" s="33">
        <f>IF($A786="","",IF(ISNUMBER($E786),$E786,IF(ISNUMBER($B786),$B786,"")))</f>
        <v/>
      </c>
      <c r="Y786" s="34">
        <f>IF($T786="","",$O786+ROW()/1000000)</f>
        <v/>
      </c>
      <c r="Z786" s="35">
        <f>IF(OR($A786="",$C786="",$C786&lt;&gt;'売掛帳'!$B$3,NOT(ISNUMBER($X786))),"",IF(AND($X786&gt;='売掛帳'!$Q$3,$X786&lt;='売掛帳'!$Q$4),$X786+ROW()/10000000,""))</f>
        <v/>
      </c>
    </row>
    <row r="787" ht="18" customHeight="1">
      <c r="A787" s="18" t="n"/>
      <c r="B787" s="26" t="n"/>
      <c r="C787" s="18" t="n"/>
      <c r="D787" s="20">
        <f>IF($W787="","",IF($W787="なし","※得意先にないコード",INDEX('得意先'!$C$5:$C$104,$W787)&amp;""))</f>
        <v/>
      </c>
      <c r="E787" s="26" t="n"/>
      <c r="F787" s="19" t="n"/>
      <c r="G787" s="27" t="n"/>
      <c r="H787" s="27" t="n"/>
      <c r="I787" s="27" t="n"/>
      <c r="J787" s="28">
        <f>IF($A787="","",IF('設定'!$B$10="四捨五入",ROUND(IF('設定'!$B$9="税込",N($G787)*10/110,N($G787)*10/100),0),IF('設定'!$B$10="切り上げ",ROUNDUP(IF('設定'!$B$9="税込",N($G787)*10/110,N($G787)*10/100),0),ROUNDDOWN(IF('設定'!$B$9="税込",N($G787)*10/110,N($G787)*10/100),0))))</f>
        <v/>
      </c>
      <c r="K787" s="28">
        <f>IF($A787="","",IF('設定'!$B$10="四捨五入",ROUND(IF('設定'!$B$9="税込",N($H787)*8/108,N($H787)*8/100),0),IF('設定'!$B$10="切り上げ",ROUNDUP(IF('設定'!$B$9="税込",N($H787)*8/108,N($H787)*8/100),0),ROUNDDOWN(IF('設定'!$B$9="税込",N($H787)*8/108,N($H787)*8/100),0))))</f>
        <v/>
      </c>
      <c r="L787" s="28">
        <f>IF($A787="","",N($G787)+N($H787)+N($I787)+IF('設定'!$B$9="税込",0,$J787+$K787))</f>
        <v/>
      </c>
      <c r="M787" s="29">
        <f>IF(OR($A787="",NOT(ISNUMBER($W787)),NOT(ISNUMBER($X787))),"",IF(OR(INDEX('得意先'!$D$5:$D$104,$W787)="",INDEX('得意先'!$E$5:$E$104,$W787)="",INDEX('得意先'!$F$5:$F$104,$W787)=""),"",IF(INDEX('得意先'!$F$5:$F$104,$W787)="末",DATE(YEAR($X787),(MONTH($X787)+IF(INDEX('得意先'!$D$5:$D$104,$W787)="末",0,IF(DAY($X787)&lt;=INDEX('得意先'!$D$5:$D$104,$W787),0,1))+N(INDEX('得意先'!$E$5:$E$104,$W787)))+1,0),DATE(YEAR($X787),(MONTH($X787)+IF(INDEX('得意先'!$D$5:$D$104,$W787)="末",0,IF(DAY($X787)&lt;=INDEX('得意先'!$D$5:$D$104,$W787),0,1))+N(INDEX('得意先'!$E$5:$E$104,$W787))),MIN(INDEX('得意先'!$F$5:$F$104,$W787),DAY(DATE(YEAR($X787),(MONTH($X787)+IF(INDEX('得意先'!$D$5:$D$104,$W787)="末",0,IF(DAY($X787)&lt;=INDEX('得意先'!$D$5:$D$104,$W787),0,1))+N(INDEX('得意先'!$E$5:$E$104,$W787)))+1,0)))))))</f>
        <v/>
      </c>
      <c r="N787" s="26" t="n"/>
      <c r="O787" s="29">
        <f>IF($A787="","",IF(ISNUMBER($N787),$N787,$M787))</f>
        <v/>
      </c>
      <c r="P787" s="28">
        <f>IF($A787="","",SUMIF('入金消込'!$F$5:$F$1004,$A787,'入金消込'!$G$5:$G$1004))</f>
        <v/>
      </c>
      <c r="Q787" s="28">
        <f>IF($A787="","",SUMIF('入金消込'!$F$5:$F$1004,$A787,'入金消込'!$H$5:$H$1004)+SUMIF('入金消込'!$F$5:$F$1004,$A787,'入金消込'!$I$5:$I$1004))</f>
        <v/>
      </c>
      <c r="R787" s="28">
        <f>IF($A787="","",$L787-$P787-$Q787)</f>
        <v/>
      </c>
      <c r="S787" s="30">
        <f>IF($A787="","",IF($R787=0,IF($L787=0,"請求額0","回収済"),IF($L787&lt;0,IF($R787&lt;0,"差し引き待ち","差し引きすぎ"),IF($R787&lt;0,"入金が多い",IF($P787+$Q787=0,"未入金","一部入金")))))</f>
        <v/>
      </c>
      <c r="T787" s="31">
        <f>IF(OR($A787="",N($R787)&lt;=0,NOT(ISNUMBER($O787))),"",IF($O787&lt;'設定'!$B$7,'設定'!$B$7-$O787,""))</f>
        <v/>
      </c>
      <c r="U787" s="30">
        <f>IF(OR($A787="",N($R787)&lt;=0),"",IF(NOT(ISNUMBER($O787)),'設定'!$B$22,IF($O787&gt;='設定'!$B$7,'設定'!$B$17,IF('設定'!$B$7-$O787&lt;='設定'!$B$12,'設定'!$B$18,IF('設定'!$B$7-$O787&lt;='設定'!$B$13,'設定'!$B$19,IF('設定'!$B$7-$O787&lt;='設定'!$B$14,'設定'!$B$20,'設定'!$B$21))))))</f>
        <v/>
      </c>
      <c r="V787" s="56" t="n"/>
      <c r="W787" s="32">
        <f>IF($C787="","",IFERROR(MATCH($C787,'得意先'!$B$5:$B$104,0),"なし"))</f>
        <v/>
      </c>
      <c r="X787" s="33">
        <f>IF($A787="","",IF(ISNUMBER($E787),$E787,IF(ISNUMBER($B787),$B787,"")))</f>
        <v/>
      </c>
      <c r="Y787" s="34">
        <f>IF($T787="","",$O787+ROW()/1000000)</f>
        <v/>
      </c>
      <c r="Z787" s="35">
        <f>IF(OR($A787="",$C787="",$C787&lt;&gt;'売掛帳'!$B$3,NOT(ISNUMBER($X787))),"",IF(AND($X787&gt;='売掛帳'!$Q$3,$X787&lt;='売掛帳'!$Q$4),$X787+ROW()/10000000,""))</f>
        <v/>
      </c>
    </row>
    <row r="788" ht="18" customHeight="1">
      <c r="A788" s="18" t="n"/>
      <c r="B788" s="26" t="n"/>
      <c r="C788" s="18" t="n"/>
      <c r="D788" s="20">
        <f>IF($W788="","",IF($W788="なし","※得意先にないコード",INDEX('得意先'!$C$5:$C$104,$W788)&amp;""))</f>
        <v/>
      </c>
      <c r="E788" s="26" t="n"/>
      <c r="F788" s="19" t="n"/>
      <c r="G788" s="27" t="n"/>
      <c r="H788" s="27" t="n"/>
      <c r="I788" s="27" t="n"/>
      <c r="J788" s="28">
        <f>IF($A788="","",IF('設定'!$B$10="四捨五入",ROUND(IF('設定'!$B$9="税込",N($G788)*10/110,N($G788)*10/100),0),IF('設定'!$B$10="切り上げ",ROUNDUP(IF('設定'!$B$9="税込",N($G788)*10/110,N($G788)*10/100),0),ROUNDDOWN(IF('設定'!$B$9="税込",N($G788)*10/110,N($G788)*10/100),0))))</f>
        <v/>
      </c>
      <c r="K788" s="28">
        <f>IF($A788="","",IF('設定'!$B$10="四捨五入",ROUND(IF('設定'!$B$9="税込",N($H788)*8/108,N($H788)*8/100),0),IF('設定'!$B$10="切り上げ",ROUNDUP(IF('設定'!$B$9="税込",N($H788)*8/108,N($H788)*8/100),0),ROUNDDOWN(IF('設定'!$B$9="税込",N($H788)*8/108,N($H788)*8/100),0))))</f>
        <v/>
      </c>
      <c r="L788" s="28">
        <f>IF($A788="","",N($G788)+N($H788)+N($I788)+IF('設定'!$B$9="税込",0,$J788+$K788))</f>
        <v/>
      </c>
      <c r="M788" s="29">
        <f>IF(OR($A788="",NOT(ISNUMBER($W788)),NOT(ISNUMBER($X788))),"",IF(OR(INDEX('得意先'!$D$5:$D$104,$W788)="",INDEX('得意先'!$E$5:$E$104,$W788)="",INDEX('得意先'!$F$5:$F$104,$W788)=""),"",IF(INDEX('得意先'!$F$5:$F$104,$W788)="末",DATE(YEAR($X788),(MONTH($X788)+IF(INDEX('得意先'!$D$5:$D$104,$W788)="末",0,IF(DAY($X788)&lt;=INDEX('得意先'!$D$5:$D$104,$W788),0,1))+N(INDEX('得意先'!$E$5:$E$104,$W788)))+1,0),DATE(YEAR($X788),(MONTH($X788)+IF(INDEX('得意先'!$D$5:$D$104,$W788)="末",0,IF(DAY($X788)&lt;=INDEX('得意先'!$D$5:$D$104,$W788),0,1))+N(INDEX('得意先'!$E$5:$E$104,$W788))),MIN(INDEX('得意先'!$F$5:$F$104,$W788),DAY(DATE(YEAR($X788),(MONTH($X788)+IF(INDEX('得意先'!$D$5:$D$104,$W788)="末",0,IF(DAY($X788)&lt;=INDEX('得意先'!$D$5:$D$104,$W788),0,1))+N(INDEX('得意先'!$E$5:$E$104,$W788)))+1,0)))))))</f>
        <v/>
      </c>
      <c r="N788" s="26" t="n"/>
      <c r="O788" s="29">
        <f>IF($A788="","",IF(ISNUMBER($N788),$N788,$M788))</f>
        <v/>
      </c>
      <c r="P788" s="28">
        <f>IF($A788="","",SUMIF('入金消込'!$F$5:$F$1004,$A788,'入金消込'!$G$5:$G$1004))</f>
        <v/>
      </c>
      <c r="Q788" s="28">
        <f>IF($A788="","",SUMIF('入金消込'!$F$5:$F$1004,$A788,'入金消込'!$H$5:$H$1004)+SUMIF('入金消込'!$F$5:$F$1004,$A788,'入金消込'!$I$5:$I$1004))</f>
        <v/>
      </c>
      <c r="R788" s="28">
        <f>IF($A788="","",$L788-$P788-$Q788)</f>
        <v/>
      </c>
      <c r="S788" s="30">
        <f>IF($A788="","",IF($R788=0,IF($L788=0,"請求額0","回収済"),IF($L788&lt;0,IF($R788&lt;0,"差し引き待ち","差し引きすぎ"),IF($R788&lt;0,"入金が多い",IF($P788+$Q788=0,"未入金","一部入金")))))</f>
        <v/>
      </c>
      <c r="T788" s="31">
        <f>IF(OR($A788="",N($R788)&lt;=0,NOT(ISNUMBER($O788))),"",IF($O788&lt;'設定'!$B$7,'設定'!$B$7-$O788,""))</f>
        <v/>
      </c>
      <c r="U788" s="30">
        <f>IF(OR($A788="",N($R788)&lt;=0),"",IF(NOT(ISNUMBER($O788)),'設定'!$B$22,IF($O788&gt;='設定'!$B$7,'設定'!$B$17,IF('設定'!$B$7-$O788&lt;='設定'!$B$12,'設定'!$B$18,IF('設定'!$B$7-$O788&lt;='設定'!$B$13,'設定'!$B$19,IF('設定'!$B$7-$O788&lt;='設定'!$B$14,'設定'!$B$20,'設定'!$B$21))))))</f>
        <v/>
      </c>
      <c r="V788" s="56" t="n"/>
      <c r="W788" s="32">
        <f>IF($C788="","",IFERROR(MATCH($C788,'得意先'!$B$5:$B$104,0),"なし"))</f>
        <v/>
      </c>
      <c r="X788" s="33">
        <f>IF($A788="","",IF(ISNUMBER($E788),$E788,IF(ISNUMBER($B788),$B788,"")))</f>
        <v/>
      </c>
      <c r="Y788" s="34">
        <f>IF($T788="","",$O788+ROW()/1000000)</f>
        <v/>
      </c>
      <c r="Z788" s="35">
        <f>IF(OR($A788="",$C788="",$C788&lt;&gt;'売掛帳'!$B$3,NOT(ISNUMBER($X788))),"",IF(AND($X788&gt;='売掛帳'!$Q$3,$X788&lt;='売掛帳'!$Q$4),$X788+ROW()/10000000,""))</f>
        <v/>
      </c>
    </row>
    <row r="789" ht="18" customHeight="1">
      <c r="A789" s="18" t="n"/>
      <c r="B789" s="26" t="n"/>
      <c r="C789" s="18" t="n"/>
      <c r="D789" s="20">
        <f>IF($W789="","",IF($W789="なし","※得意先にないコード",INDEX('得意先'!$C$5:$C$104,$W789)&amp;""))</f>
        <v/>
      </c>
      <c r="E789" s="26" t="n"/>
      <c r="F789" s="19" t="n"/>
      <c r="G789" s="27" t="n"/>
      <c r="H789" s="27" t="n"/>
      <c r="I789" s="27" t="n"/>
      <c r="J789" s="28">
        <f>IF($A789="","",IF('設定'!$B$10="四捨五入",ROUND(IF('設定'!$B$9="税込",N($G789)*10/110,N($G789)*10/100),0),IF('設定'!$B$10="切り上げ",ROUNDUP(IF('設定'!$B$9="税込",N($G789)*10/110,N($G789)*10/100),0),ROUNDDOWN(IF('設定'!$B$9="税込",N($G789)*10/110,N($G789)*10/100),0))))</f>
        <v/>
      </c>
      <c r="K789" s="28">
        <f>IF($A789="","",IF('設定'!$B$10="四捨五入",ROUND(IF('設定'!$B$9="税込",N($H789)*8/108,N($H789)*8/100),0),IF('設定'!$B$10="切り上げ",ROUNDUP(IF('設定'!$B$9="税込",N($H789)*8/108,N($H789)*8/100),0),ROUNDDOWN(IF('設定'!$B$9="税込",N($H789)*8/108,N($H789)*8/100),0))))</f>
        <v/>
      </c>
      <c r="L789" s="28">
        <f>IF($A789="","",N($G789)+N($H789)+N($I789)+IF('設定'!$B$9="税込",0,$J789+$K789))</f>
        <v/>
      </c>
      <c r="M789" s="29">
        <f>IF(OR($A789="",NOT(ISNUMBER($W789)),NOT(ISNUMBER($X789))),"",IF(OR(INDEX('得意先'!$D$5:$D$104,$W789)="",INDEX('得意先'!$E$5:$E$104,$W789)="",INDEX('得意先'!$F$5:$F$104,$W789)=""),"",IF(INDEX('得意先'!$F$5:$F$104,$W789)="末",DATE(YEAR($X789),(MONTH($X789)+IF(INDEX('得意先'!$D$5:$D$104,$W789)="末",0,IF(DAY($X789)&lt;=INDEX('得意先'!$D$5:$D$104,$W789),0,1))+N(INDEX('得意先'!$E$5:$E$104,$W789)))+1,0),DATE(YEAR($X789),(MONTH($X789)+IF(INDEX('得意先'!$D$5:$D$104,$W789)="末",0,IF(DAY($X789)&lt;=INDEX('得意先'!$D$5:$D$104,$W789),0,1))+N(INDEX('得意先'!$E$5:$E$104,$W789))),MIN(INDEX('得意先'!$F$5:$F$104,$W789),DAY(DATE(YEAR($X789),(MONTH($X789)+IF(INDEX('得意先'!$D$5:$D$104,$W789)="末",0,IF(DAY($X789)&lt;=INDEX('得意先'!$D$5:$D$104,$W789),0,1))+N(INDEX('得意先'!$E$5:$E$104,$W789)))+1,0)))))))</f>
        <v/>
      </c>
      <c r="N789" s="26" t="n"/>
      <c r="O789" s="29">
        <f>IF($A789="","",IF(ISNUMBER($N789),$N789,$M789))</f>
        <v/>
      </c>
      <c r="P789" s="28">
        <f>IF($A789="","",SUMIF('入金消込'!$F$5:$F$1004,$A789,'入金消込'!$G$5:$G$1004))</f>
        <v/>
      </c>
      <c r="Q789" s="28">
        <f>IF($A789="","",SUMIF('入金消込'!$F$5:$F$1004,$A789,'入金消込'!$H$5:$H$1004)+SUMIF('入金消込'!$F$5:$F$1004,$A789,'入金消込'!$I$5:$I$1004))</f>
        <v/>
      </c>
      <c r="R789" s="28">
        <f>IF($A789="","",$L789-$P789-$Q789)</f>
        <v/>
      </c>
      <c r="S789" s="30">
        <f>IF($A789="","",IF($R789=0,IF($L789=0,"請求額0","回収済"),IF($L789&lt;0,IF($R789&lt;0,"差し引き待ち","差し引きすぎ"),IF($R789&lt;0,"入金が多い",IF($P789+$Q789=0,"未入金","一部入金")))))</f>
        <v/>
      </c>
      <c r="T789" s="31">
        <f>IF(OR($A789="",N($R789)&lt;=0,NOT(ISNUMBER($O789))),"",IF($O789&lt;'設定'!$B$7,'設定'!$B$7-$O789,""))</f>
        <v/>
      </c>
      <c r="U789" s="30">
        <f>IF(OR($A789="",N($R789)&lt;=0),"",IF(NOT(ISNUMBER($O789)),'設定'!$B$22,IF($O789&gt;='設定'!$B$7,'設定'!$B$17,IF('設定'!$B$7-$O789&lt;='設定'!$B$12,'設定'!$B$18,IF('設定'!$B$7-$O789&lt;='設定'!$B$13,'設定'!$B$19,IF('設定'!$B$7-$O789&lt;='設定'!$B$14,'設定'!$B$20,'設定'!$B$21))))))</f>
        <v/>
      </c>
      <c r="V789" s="56" t="n"/>
      <c r="W789" s="32">
        <f>IF($C789="","",IFERROR(MATCH($C789,'得意先'!$B$5:$B$104,0),"なし"))</f>
        <v/>
      </c>
      <c r="X789" s="33">
        <f>IF($A789="","",IF(ISNUMBER($E789),$E789,IF(ISNUMBER($B789),$B789,"")))</f>
        <v/>
      </c>
      <c r="Y789" s="34">
        <f>IF($T789="","",$O789+ROW()/1000000)</f>
        <v/>
      </c>
      <c r="Z789" s="35">
        <f>IF(OR($A789="",$C789="",$C789&lt;&gt;'売掛帳'!$B$3,NOT(ISNUMBER($X789))),"",IF(AND($X789&gt;='売掛帳'!$Q$3,$X789&lt;='売掛帳'!$Q$4),$X789+ROW()/10000000,""))</f>
        <v/>
      </c>
    </row>
    <row r="790" ht="18" customHeight="1">
      <c r="A790" s="18" t="n"/>
      <c r="B790" s="26" t="n"/>
      <c r="C790" s="18" t="n"/>
      <c r="D790" s="20">
        <f>IF($W790="","",IF($W790="なし","※得意先にないコード",INDEX('得意先'!$C$5:$C$104,$W790)&amp;""))</f>
        <v/>
      </c>
      <c r="E790" s="26" t="n"/>
      <c r="F790" s="19" t="n"/>
      <c r="G790" s="27" t="n"/>
      <c r="H790" s="27" t="n"/>
      <c r="I790" s="27" t="n"/>
      <c r="J790" s="28">
        <f>IF($A790="","",IF('設定'!$B$10="四捨五入",ROUND(IF('設定'!$B$9="税込",N($G790)*10/110,N($G790)*10/100),0),IF('設定'!$B$10="切り上げ",ROUNDUP(IF('設定'!$B$9="税込",N($G790)*10/110,N($G790)*10/100),0),ROUNDDOWN(IF('設定'!$B$9="税込",N($G790)*10/110,N($G790)*10/100),0))))</f>
        <v/>
      </c>
      <c r="K790" s="28">
        <f>IF($A790="","",IF('設定'!$B$10="四捨五入",ROUND(IF('設定'!$B$9="税込",N($H790)*8/108,N($H790)*8/100),0),IF('設定'!$B$10="切り上げ",ROUNDUP(IF('設定'!$B$9="税込",N($H790)*8/108,N($H790)*8/100),0),ROUNDDOWN(IF('設定'!$B$9="税込",N($H790)*8/108,N($H790)*8/100),0))))</f>
        <v/>
      </c>
      <c r="L790" s="28">
        <f>IF($A790="","",N($G790)+N($H790)+N($I790)+IF('設定'!$B$9="税込",0,$J790+$K790))</f>
        <v/>
      </c>
      <c r="M790" s="29">
        <f>IF(OR($A790="",NOT(ISNUMBER($W790)),NOT(ISNUMBER($X790))),"",IF(OR(INDEX('得意先'!$D$5:$D$104,$W790)="",INDEX('得意先'!$E$5:$E$104,$W790)="",INDEX('得意先'!$F$5:$F$104,$W790)=""),"",IF(INDEX('得意先'!$F$5:$F$104,$W790)="末",DATE(YEAR($X790),(MONTH($X790)+IF(INDEX('得意先'!$D$5:$D$104,$W790)="末",0,IF(DAY($X790)&lt;=INDEX('得意先'!$D$5:$D$104,$W790),0,1))+N(INDEX('得意先'!$E$5:$E$104,$W790)))+1,0),DATE(YEAR($X790),(MONTH($X790)+IF(INDEX('得意先'!$D$5:$D$104,$W790)="末",0,IF(DAY($X790)&lt;=INDEX('得意先'!$D$5:$D$104,$W790),0,1))+N(INDEX('得意先'!$E$5:$E$104,$W790))),MIN(INDEX('得意先'!$F$5:$F$104,$W790),DAY(DATE(YEAR($X790),(MONTH($X790)+IF(INDEX('得意先'!$D$5:$D$104,$W790)="末",0,IF(DAY($X790)&lt;=INDEX('得意先'!$D$5:$D$104,$W790),0,1))+N(INDEX('得意先'!$E$5:$E$104,$W790)))+1,0)))))))</f>
        <v/>
      </c>
      <c r="N790" s="26" t="n"/>
      <c r="O790" s="29">
        <f>IF($A790="","",IF(ISNUMBER($N790),$N790,$M790))</f>
        <v/>
      </c>
      <c r="P790" s="28">
        <f>IF($A790="","",SUMIF('入金消込'!$F$5:$F$1004,$A790,'入金消込'!$G$5:$G$1004))</f>
        <v/>
      </c>
      <c r="Q790" s="28">
        <f>IF($A790="","",SUMIF('入金消込'!$F$5:$F$1004,$A790,'入金消込'!$H$5:$H$1004)+SUMIF('入金消込'!$F$5:$F$1004,$A790,'入金消込'!$I$5:$I$1004))</f>
        <v/>
      </c>
      <c r="R790" s="28">
        <f>IF($A790="","",$L790-$P790-$Q790)</f>
        <v/>
      </c>
      <c r="S790" s="30">
        <f>IF($A790="","",IF($R790=0,IF($L790=0,"請求額0","回収済"),IF($L790&lt;0,IF($R790&lt;0,"差し引き待ち","差し引きすぎ"),IF($R790&lt;0,"入金が多い",IF($P790+$Q790=0,"未入金","一部入金")))))</f>
        <v/>
      </c>
      <c r="T790" s="31">
        <f>IF(OR($A790="",N($R790)&lt;=0,NOT(ISNUMBER($O790))),"",IF($O790&lt;'設定'!$B$7,'設定'!$B$7-$O790,""))</f>
        <v/>
      </c>
      <c r="U790" s="30">
        <f>IF(OR($A790="",N($R790)&lt;=0),"",IF(NOT(ISNUMBER($O790)),'設定'!$B$22,IF($O790&gt;='設定'!$B$7,'設定'!$B$17,IF('設定'!$B$7-$O790&lt;='設定'!$B$12,'設定'!$B$18,IF('設定'!$B$7-$O790&lt;='設定'!$B$13,'設定'!$B$19,IF('設定'!$B$7-$O790&lt;='設定'!$B$14,'設定'!$B$20,'設定'!$B$21))))))</f>
        <v/>
      </c>
      <c r="V790" s="56" t="n"/>
      <c r="W790" s="32">
        <f>IF($C790="","",IFERROR(MATCH($C790,'得意先'!$B$5:$B$104,0),"なし"))</f>
        <v/>
      </c>
      <c r="X790" s="33">
        <f>IF($A790="","",IF(ISNUMBER($E790),$E790,IF(ISNUMBER($B790),$B790,"")))</f>
        <v/>
      </c>
      <c r="Y790" s="34">
        <f>IF($T790="","",$O790+ROW()/1000000)</f>
        <v/>
      </c>
      <c r="Z790" s="35">
        <f>IF(OR($A790="",$C790="",$C790&lt;&gt;'売掛帳'!$B$3,NOT(ISNUMBER($X790))),"",IF(AND($X790&gt;='売掛帳'!$Q$3,$X790&lt;='売掛帳'!$Q$4),$X790+ROW()/10000000,""))</f>
        <v/>
      </c>
    </row>
    <row r="791" ht="18" customHeight="1">
      <c r="A791" s="18" t="n"/>
      <c r="B791" s="26" t="n"/>
      <c r="C791" s="18" t="n"/>
      <c r="D791" s="20">
        <f>IF($W791="","",IF($W791="なし","※得意先にないコード",INDEX('得意先'!$C$5:$C$104,$W791)&amp;""))</f>
        <v/>
      </c>
      <c r="E791" s="26" t="n"/>
      <c r="F791" s="19" t="n"/>
      <c r="G791" s="27" t="n"/>
      <c r="H791" s="27" t="n"/>
      <c r="I791" s="27" t="n"/>
      <c r="J791" s="28">
        <f>IF($A791="","",IF('設定'!$B$10="四捨五入",ROUND(IF('設定'!$B$9="税込",N($G791)*10/110,N($G791)*10/100),0),IF('設定'!$B$10="切り上げ",ROUNDUP(IF('設定'!$B$9="税込",N($G791)*10/110,N($G791)*10/100),0),ROUNDDOWN(IF('設定'!$B$9="税込",N($G791)*10/110,N($G791)*10/100),0))))</f>
        <v/>
      </c>
      <c r="K791" s="28">
        <f>IF($A791="","",IF('設定'!$B$10="四捨五入",ROUND(IF('設定'!$B$9="税込",N($H791)*8/108,N($H791)*8/100),0),IF('設定'!$B$10="切り上げ",ROUNDUP(IF('設定'!$B$9="税込",N($H791)*8/108,N($H791)*8/100),0),ROUNDDOWN(IF('設定'!$B$9="税込",N($H791)*8/108,N($H791)*8/100),0))))</f>
        <v/>
      </c>
      <c r="L791" s="28">
        <f>IF($A791="","",N($G791)+N($H791)+N($I791)+IF('設定'!$B$9="税込",0,$J791+$K791))</f>
        <v/>
      </c>
      <c r="M791" s="29">
        <f>IF(OR($A791="",NOT(ISNUMBER($W791)),NOT(ISNUMBER($X791))),"",IF(OR(INDEX('得意先'!$D$5:$D$104,$W791)="",INDEX('得意先'!$E$5:$E$104,$W791)="",INDEX('得意先'!$F$5:$F$104,$W791)=""),"",IF(INDEX('得意先'!$F$5:$F$104,$W791)="末",DATE(YEAR($X791),(MONTH($X791)+IF(INDEX('得意先'!$D$5:$D$104,$W791)="末",0,IF(DAY($X791)&lt;=INDEX('得意先'!$D$5:$D$104,$W791),0,1))+N(INDEX('得意先'!$E$5:$E$104,$W791)))+1,0),DATE(YEAR($X791),(MONTH($X791)+IF(INDEX('得意先'!$D$5:$D$104,$W791)="末",0,IF(DAY($X791)&lt;=INDEX('得意先'!$D$5:$D$104,$W791),0,1))+N(INDEX('得意先'!$E$5:$E$104,$W791))),MIN(INDEX('得意先'!$F$5:$F$104,$W791),DAY(DATE(YEAR($X791),(MONTH($X791)+IF(INDEX('得意先'!$D$5:$D$104,$W791)="末",0,IF(DAY($X791)&lt;=INDEX('得意先'!$D$5:$D$104,$W791),0,1))+N(INDEX('得意先'!$E$5:$E$104,$W791)))+1,0)))))))</f>
        <v/>
      </c>
      <c r="N791" s="26" t="n"/>
      <c r="O791" s="29">
        <f>IF($A791="","",IF(ISNUMBER($N791),$N791,$M791))</f>
        <v/>
      </c>
      <c r="P791" s="28">
        <f>IF($A791="","",SUMIF('入金消込'!$F$5:$F$1004,$A791,'入金消込'!$G$5:$G$1004))</f>
        <v/>
      </c>
      <c r="Q791" s="28">
        <f>IF($A791="","",SUMIF('入金消込'!$F$5:$F$1004,$A791,'入金消込'!$H$5:$H$1004)+SUMIF('入金消込'!$F$5:$F$1004,$A791,'入金消込'!$I$5:$I$1004))</f>
        <v/>
      </c>
      <c r="R791" s="28">
        <f>IF($A791="","",$L791-$P791-$Q791)</f>
        <v/>
      </c>
      <c r="S791" s="30">
        <f>IF($A791="","",IF($R791=0,IF($L791=0,"請求額0","回収済"),IF($L791&lt;0,IF($R791&lt;0,"差し引き待ち","差し引きすぎ"),IF($R791&lt;0,"入金が多い",IF($P791+$Q791=0,"未入金","一部入金")))))</f>
        <v/>
      </c>
      <c r="T791" s="31">
        <f>IF(OR($A791="",N($R791)&lt;=0,NOT(ISNUMBER($O791))),"",IF($O791&lt;'設定'!$B$7,'設定'!$B$7-$O791,""))</f>
        <v/>
      </c>
      <c r="U791" s="30">
        <f>IF(OR($A791="",N($R791)&lt;=0),"",IF(NOT(ISNUMBER($O791)),'設定'!$B$22,IF($O791&gt;='設定'!$B$7,'設定'!$B$17,IF('設定'!$B$7-$O791&lt;='設定'!$B$12,'設定'!$B$18,IF('設定'!$B$7-$O791&lt;='設定'!$B$13,'設定'!$B$19,IF('設定'!$B$7-$O791&lt;='設定'!$B$14,'設定'!$B$20,'設定'!$B$21))))))</f>
        <v/>
      </c>
      <c r="V791" s="56" t="n"/>
      <c r="W791" s="32">
        <f>IF($C791="","",IFERROR(MATCH($C791,'得意先'!$B$5:$B$104,0),"なし"))</f>
        <v/>
      </c>
      <c r="X791" s="33">
        <f>IF($A791="","",IF(ISNUMBER($E791),$E791,IF(ISNUMBER($B791),$B791,"")))</f>
        <v/>
      </c>
      <c r="Y791" s="34">
        <f>IF($T791="","",$O791+ROW()/1000000)</f>
        <v/>
      </c>
      <c r="Z791" s="35">
        <f>IF(OR($A791="",$C791="",$C791&lt;&gt;'売掛帳'!$B$3,NOT(ISNUMBER($X791))),"",IF(AND($X791&gt;='売掛帳'!$Q$3,$X791&lt;='売掛帳'!$Q$4),$X791+ROW()/10000000,""))</f>
        <v/>
      </c>
    </row>
    <row r="792" ht="18" customHeight="1">
      <c r="A792" s="18" t="n"/>
      <c r="B792" s="26" t="n"/>
      <c r="C792" s="18" t="n"/>
      <c r="D792" s="20">
        <f>IF($W792="","",IF($W792="なし","※得意先にないコード",INDEX('得意先'!$C$5:$C$104,$W792)&amp;""))</f>
        <v/>
      </c>
      <c r="E792" s="26" t="n"/>
      <c r="F792" s="19" t="n"/>
      <c r="G792" s="27" t="n"/>
      <c r="H792" s="27" t="n"/>
      <c r="I792" s="27" t="n"/>
      <c r="J792" s="28">
        <f>IF($A792="","",IF('設定'!$B$10="四捨五入",ROUND(IF('設定'!$B$9="税込",N($G792)*10/110,N($G792)*10/100),0),IF('設定'!$B$10="切り上げ",ROUNDUP(IF('設定'!$B$9="税込",N($G792)*10/110,N($G792)*10/100),0),ROUNDDOWN(IF('設定'!$B$9="税込",N($G792)*10/110,N($G792)*10/100),0))))</f>
        <v/>
      </c>
      <c r="K792" s="28">
        <f>IF($A792="","",IF('設定'!$B$10="四捨五入",ROUND(IF('設定'!$B$9="税込",N($H792)*8/108,N($H792)*8/100),0),IF('設定'!$B$10="切り上げ",ROUNDUP(IF('設定'!$B$9="税込",N($H792)*8/108,N($H792)*8/100),0),ROUNDDOWN(IF('設定'!$B$9="税込",N($H792)*8/108,N($H792)*8/100),0))))</f>
        <v/>
      </c>
      <c r="L792" s="28">
        <f>IF($A792="","",N($G792)+N($H792)+N($I792)+IF('設定'!$B$9="税込",0,$J792+$K792))</f>
        <v/>
      </c>
      <c r="M792" s="29">
        <f>IF(OR($A792="",NOT(ISNUMBER($W792)),NOT(ISNUMBER($X792))),"",IF(OR(INDEX('得意先'!$D$5:$D$104,$W792)="",INDEX('得意先'!$E$5:$E$104,$W792)="",INDEX('得意先'!$F$5:$F$104,$W792)=""),"",IF(INDEX('得意先'!$F$5:$F$104,$W792)="末",DATE(YEAR($X792),(MONTH($X792)+IF(INDEX('得意先'!$D$5:$D$104,$W792)="末",0,IF(DAY($X792)&lt;=INDEX('得意先'!$D$5:$D$104,$W792),0,1))+N(INDEX('得意先'!$E$5:$E$104,$W792)))+1,0),DATE(YEAR($X792),(MONTH($X792)+IF(INDEX('得意先'!$D$5:$D$104,$W792)="末",0,IF(DAY($X792)&lt;=INDEX('得意先'!$D$5:$D$104,$W792),0,1))+N(INDEX('得意先'!$E$5:$E$104,$W792))),MIN(INDEX('得意先'!$F$5:$F$104,$W792),DAY(DATE(YEAR($X792),(MONTH($X792)+IF(INDEX('得意先'!$D$5:$D$104,$W792)="末",0,IF(DAY($X792)&lt;=INDEX('得意先'!$D$5:$D$104,$W792),0,1))+N(INDEX('得意先'!$E$5:$E$104,$W792)))+1,0)))))))</f>
        <v/>
      </c>
      <c r="N792" s="26" t="n"/>
      <c r="O792" s="29">
        <f>IF($A792="","",IF(ISNUMBER($N792),$N792,$M792))</f>
        <v/>
      </c>
      <c r="P792" s="28">
        <f>IF($A792="","",SUMIF('入金消込'!$F$5:$F$1004,$A792,'入金消込'!$G$5:$G$1004))</f>
        <v/>
      </c>
      <c r="Q792" s="28">
        <f>IF($A792="","",SUMIF('入金消込'!$F$5:$F$1004,$A792,'入金消込'!$H$5:$H$1004)+SUMIF('入金消込'!$F$5:$F$1004,$A792,'入金消込'!$I$5:$I$1004))</f>
        <v/>
      </c>
      <c r="R792" s="28">
        <f>IF($A792="","",$L792-$P792-$Q792)</f>
        <v/>
      </c>
      <c r="S792" s="30">
        <f>IF($A792="","",IF($R792=0,IF($L792=0,"請求額0","回収済"),IF($L792&lt;0,IF($R792&lt;0,"差し引き待ち","差し引きすぎ"),IF($R792&lt;0,"入金が多い",IF($P792+$Q792=0,"未入金","一部入金")))))</f>
        <v/>
      </c>
      <c r="T792" s="31">
        <f>IF(OR($A792="",N($R792)&lt;=0,NOT(ISNUMBER($O792))),"",IF($O792&lt;'設定'!$B$7,'設定'!$B$7-$O792,""))</f>
        <v/>
      </c>
      <c r="U792" s="30">
        <f>IF(OR($A792="",N($R792)&lt;=0),"",IF(NOT(ISNUMBER($O792)),'設定'!$B$22,IF($O792&gt;='設定'!$B$7,'設定'!$B$17,IF('設定'!$B$7-$O792&lt;='設定'!$B$12,'設定'!$B$18,IF('設定'!$B$7-$O792&lt;='設定'!$B$13,'設定'!$B$19,IF('設定'!$B$7-$O792&lt;='設定'!$B$14,'設定'!$B$20,'設定'!$B$21))))))</f>
        <v/>
      </c>
      <c r="V792" s="56" t="n"/>
      <c r="W792" s="32">
        <f>IF($C792="","",IFERROR(MATCH($C792,'得意先'!$B$5:$B$104,0),"なし"))</f>
        <v/>
      </c>
      <c r="X792" s="33">
        <f>IF($A792="","",IF(ISNUMBER($E792),$E792,IF(ISNUMBER($B792),$B792,"")))</f>
        <v/>
      </c>
      <c r="Y792" s="34">
        <f>IF($T792="","",$O792+ROW()/1000000)</f>
        <v/>
      </c>
      <c r="Z792" s="35">
        <f>IF(OR($A792="",$C792="",$C792&lt;&gt;'売掛帳'!$B$3,NOT(ISNUMBER($X792))),"",IF(AND($X792&gt;='売掛帳'!$Q$3,$X792&lt;='売掛帳'!$Q$4),$X792+ROW()/10000000,""))</f>
        <v/>
      </c>
    </row>
    <row r="793" ht="18" customHeight="1">
      <c r="A793" s="18" t="n"/>
      <c r="B793" s="26" t="n"/>
      <c r="C793" s="18" t="n"/>
      <c r="D793" s="20">
        <f>IF($W793="","",IF($W793="なし","※得意先にないコード",INDEX('得意先'!$C$5:$C$104,$W793)&amp;""))</f>
        <v/>
      </c>
      <c r="E793" s="26" t="n"/>
      <c r="F793" s="19" t="n"/>
      <c r="G793" s="27" t="n"/>
      <c r="H793" s="27" t="n"/>
      <c r="I793" s="27" t="n"/>
      <c r="J793" s="28">
        <f>IF($A793="","",IF('設定'!$B$10="四捨五入",ROUND(IF('設定'!$B$9="税込",N($G793)*10/110,N($G793)*10/100),0),IF('設定'!$B$10="切り上げ",ROUNDUP(IF('設定'!$B$9="税込",N($G793)*10/110,N($G793)*10/100),0),ROUNDDOWN(IF('設定'!$B$9="税込",N($G793)*10/110,N($G793)*10/100),0))))</f>
        <v/>
      </c>
      <c r="K793" s="28">
        <f>IF($A793="","",IF('設定'!$B$10="四捨五入",ROUND(IF('設定'!$B$9="税込",N($H793)*8/108,N($H793)*8/100),0),IF('設定'!$B$10="切り上げ",ROUNDUP(IF('設定'!$B$9="税込",N($H793)*8/108,N($H793)*8/100),0),ROUNDDOWN(IF('設定'!$B$9="税込",N($H793)*8/108,N($H793)*8/100),0))))</f>
        <v/>
      </c>
      <c r="L793" s="28">
        <f>IF($A793="","",N($G793)+N($H793)+N($I793)+IF('設定'!$B$9="税込",0,$J793+$K793))</f>
        <v/>
      </c>
      <c r="M793" s="29">
        <f>IF(OR($A793="",NOT(ISNUMBER($W793)),NOT(ISNUMBER($X793))),"",IF(OR(INDEX('得意先'!$D$5:$D$104,$W793)="",INDEX('得意先'!$E$5:$E$104,$W793)="",INDEX('得意先'!$F$5:$F$104,$W793)=""),"",IF(INDEX('得意先'!$F$5:$F$104,$W793)="末",DATE(YEAR($X793),(MONTH($X793)+IF(INDEX('得意先'!$D$5:$D$104,$W793)="末",0,IF(DAY($X793)&lt;=INDEX('得意先'!$D$5:$D$104,$W793),0,1))+N(INDEX('得意先'!$E$5:$E$104,$W793)))+1,0),DATE(YEAR($X793),(MONTH($X793)+IF(INDEX('得意先'!$D$5:$D$104,$W793)="末",0,IF(DAY($X793)&lt;=INDEX('得意先'!$D$5:$D$104,$W793),0,1))+N(INDEX('得意先'!$E$5:$E$104,$W793))),MIN(INDEX('得意先'!$F$5:$F$104,$W793),DAY(DATE(YEAR($X793),(MONTH($X793)+IF(INDEX('得意先'!$D$5:$D$104,$W793)="末",0,IF(DAY($X793)&lt;=INDEX('得意先'!$D$5:$D$104,$W793),0,1))+N(INDEX('得意先'!$E$5:$E$104,$W793)))+1,0)))))))</f>
        <v/>
      </c>
      <c r="N793" s="26" t="n"/>
      <c r="O793" s="29">
        <f>IF($A793="","",IF(ISNUMBER($N793),$N793,$M793))</f>
        <v/>
      </c>
      <c r="P793" s="28">
        <f>IF($A793="","",SUMIF('入金消込'!$F$5:$F$1004,$A793,'入金消込'!$G$5:$G$1004))</f>
        <v/>
      </c>
      <c r="Q793" s="28">
        <f>IF($A793="","",SUMIF('入金消込'!$F$5:$F$1004,$A793,'入金消込'!$H$5:$H$1004)+SUMIF('入金消込'!$F$5:$F$1004,$A793,'入金消込'!$I$5:$I$1004))</f>
        <v/>
      </c>
      <c r="R793" s="28">
        <f>IF($A793="","",$L793-$P793-$Q793)</f>
        <v/>
      </c>
      <c r="S793" s="30">
        <f>IF($A793="","",IF($R793=0,IF($L793=0,"請求額0","回収済"),IF($L793&lt;0,IF($R793&lt;0,"差し引き待ち","差し引きすぎ"),IF($R793&lt;0,"入金が多い",IF($P793+$Q793=0,"未入金","一部入金")))))</f>
        <v/>
      </c>
      <c r="T793" s="31">
        <f>IF(OR($A793="",N($R793)&lt;=0,NOT(ISNUMBER($O793))),"",IF($O793&lt;'設定'!$B$7,'設定'!$B$7-$O793,""))</f>
        <v/>
      </c>
      <c r="U793" s="30">
        <f>IF(OR($A793="",N($R793)&lt;=0),"",IF(NOT(ISNUMBER($O793)),'設定'!$B$22,IF($O793&gt;='設定'!$B$7,'設定'!$B$17,IF('設定'!$B$7-$O793&lt;='設定'!$B$12,'設定'!$B$18,IF('設定'!$B$7-$O793&lt;='設定'!$B$13,'設定'!$B$19,IF('設定'!$B$7-$O793&lt;='設定'!$B$14,'設定'!$B$20,'設定'!$B$21))))))</f>
        <v/>
      </c>
      <c r="V793" s="56" t="n"/>
      <c r="W793" s="32">
        <f>IF($C793="","",IFERROR(MATCH($C793,'得意先'!$B$5:$B$104,0),"なし"))</f>
        <v/>
      </c>
      <c r="X793" s="33">
        <f>IF($A793="","",IF(ISNUMBER($E793),$E793,IF(ISNUMBER($B793),$B793,"")))</f>
        <v/>
      </c>
      <c r="Y793" s="34">
        <f>IF($T793="","",$O793+ROW()/1000000)</f>
        <v/>
      </c>
      <c r="Z793" s="35">
        <f>IF(OR($A793="",$C793="",$C793&lt;&gt;'売掛帳'!$B$3,NOT(ISNUMBER($X793))),"",IF(AND($X793&gt;='売掛帳'!$Q$3,$X793&lt;='売掛帳'!$Q$4),$X793+ROW()/10000000,""))</f>
        <v/>
      </c>
    </row>
    <row r="794" ht="18" customHeight="1">
      <c r="A794" s="18" t="n"/>
      <c r="B794" s="26" t="n"/>
      <c r="C794" s="18" t="n"/>
      <c r="D794" s="20">
        <f>IF($W794="","",IF($W794="なし","※得意先にないコード",INDEX('得意先'!$C$5:$C$104,$W794)&amp;""))</f>
        <v/>
      </c>
      <c r="E794" s="26" t="n"/>
      <c r="F794" s="19" t="n"/>
      <c r="G794" s="27" t="n"/>
      <c r="H794" s="27" t="n"/>
      <c r="I794" s="27" t="n"/>
      <c r="J794" s="28">
        <f>IF($A794="","",IF('設定'!$B$10="四捨五入",ROUND(IF('設定'!$B$9="税込",N($G794)*10/110,N($G794)*10/100),0),IF('設定'!$B$10="切り上げ",ROUNDUP(IF('設定'!$B$9="税込",N($G794)*10/110,N($G794)*10/100),0),ROUNDDOWN(IF('設定'!$B$9="税込",N($G794)*10/110,N($G794)*10/100),0))))</f>
        <v/>
      </c>
      <c r="K794" s="28">
        <f>IF($A794="","",IF('設定'!$B$10="四捨五入",ROUND(IF('設定'!$B$9="税込",N($H794)*8/108,N($H794)*8/100),0),IF('設定'!$B$10="切り上げ",ROUNDUP(IF('設定'!$B$9="税込",N($H794)*8/108,N($H794)*8/100),0),ROUNDDOWN(IF('設定'!$B$9="税込",N($H794)*8/108,N($H794)*8/100),0))))</f>
        <v/>
      </c>
      <c r="L794" s="28">
        <f>IF($A794="","",N($G794)+N($H794)+N($I794)+IF('設定'!$B$9="税込",0,$J794+$K794))</f>
        <v/>
      </c>
      <c r="M794" s="29">
        <f>IF(OR($A794="",NOT(ISNUMBER($W794)),NOT(ISNUMBER($X794))),"",IF(OR(INDEX('得意先'!$D$5:$D$104,$W794)="",INDEX('得意先'!$E$5:$E$104,$W794)="",INDEX('得意先'!$F$5:$F$104,$W794)=""),"",IF(INDEX('得意先'!$F$5:$F$104,$W794)="末",DATE(YEAR($X794),(MONTH($X794)+IF(INDEX('得意先'!$D$5:$D$104,$W794)="末",0,IF(DAY($X794)&lt;=INDEX('得意先'!$D$5:$D$104,$W794),0,1))+N(INDEX('得意先'!$E$5:$E$104,$W794)))+1,0),DATE(YEAR($X794),(MONTH($X794)+IF(INDEX('得意先'!$D$5:$D$104,$W794)="末",0,IF(DAY($X794)&lt;=INDEX('得意先'!$D$5:$D$104,$W794),0,1))+N(INDEX('得意先'!$E$5:$E$104,$W794))),MIN(INDEX('得意先'!$F$5:$F$104,$W794),DAY(DATE(YEAR($X794),(MONTH($X794)+IF(INDEX('得意先'!$D$5:$D$104,$W794)="末",0,IF(DAY($X794)&lt;=INDEX('得意先'!$D$5:$D$104,$W794),0,1))+N(INDEX('得意先'!$E$5:$E$104,$W794)))+1,0)))))))</f>
        <v/>
      </c>
      <c r="N794" s="26" t="n"/>
      <c r="O794" s="29">
        <f>IF($A794="","",IF(ISNUMBER($N794),$N794,$M794))</f>
        <v/>
      </c>
      <c r="P794" s="28">
        <f>IF($A794="","",SUMIF('入金消込'!$F$5:$F$1004,$A794,'入金消込'!$G$5:$G$1004))</f>
        <v/>
      </c>
      <c r="Q794" s="28">
        <f>IF($A794="","",SUMIF('入金消込'!$F$5:$F$1004,$A794,'入金消込'!$H$5:$H$1004)+SUMIF('入金消込'!$F$5:$F$1004,$A794,'入金消込'!$I$5:$I$1004))</f>
        <v/>
      </c>
      <c r="R794" s="28">
        <f>IF($A794="","",$L794-$P794-$Q794)</f>
        <v/>
      </c>
      <c r="S794" s="30">
        <f>IF($A794="","",IF($R794=0,IF($L794=0,"請求額0","回収済"),IF($L794&lt;0,IF($R794&lt;0,"差し引き待ち","差し引きすぎ"),IF($R794&lt;0,"入金が多い",IF($P794+$Q794=0,"未入金","一部入金")))))</f>
        <v/>
      </c>
      <c r="T794" s="31">
        <f>IF(OR($A794="",N($R794)&lt;=0,NOT(ISNUMBER($O794))),"",IF($O794&lt;'設定'!$B$7,'設定'!$B$7-$O794,""))</f>
        <v/>
      </c>
      <c r="U794" s="30">
        <f>IF(OR($A794="",N($R794)&lt;=0),"",IF(NOT(ISNUMBER($O794)),'設定'!$B$22,IF($O794&gt;='設定'!$B$7,'設定'!$B$17,IF('設定'!$B$7-$O794&lt;='設定'!$B$12,'設定'!$B$18,IF('設定'!$B$7-$O794&lt;='設定'!$B$13,'設定'!$B$19,IF('設定'!$B$7-$O794&lt;='設定'!$B$14,'設定'!$B$20,'設定'!$B$21))))))</f>
        <v/>
      </c>
      <c r="V794" s="56" t="n"/>
      <c r="W794" s="32">
        <f>IF($C794="","",IFERROR(MATCH($C794,'得意先'!$B$5:$B$104,0),"なし"))</f>
        <v/>
      </c>
      <c r="X794" s="33">
        <f>IF($A794="","",IF(ISNUMBER($E794),$E794,IF(ISNUMBER($B794),$B794,"")))</f>
        <v/>
      </c>
      <c r="Y794" s="34">
        <f>IF($T794="","",$O794+ROW()/1000000)</f>
        <v/>
      </c>
      <c r="Z794" s="35">
        <f>IF(OR($A794="",$C794="",$C794&lt;&gt;'売掛帳'!$B$3,NOT(ISNUMBER($X794))),"",IF(AND($X794&gt;='売掛帳'!$Q$3,$X794&lt;='売掛帳'!$Q$4),$X794+ROW()/10000000,""))</f>
        <v/>
      </c>
    </row>
    <row r="795" ht="18" customHeight="1">
      <c r="A795" s="18" t="n"/>
      <c r="B795" s="26" t="n"/>
      <c r="C795" s="18" t="n"/>
      <c r="D795" s="20">
        <f>IF($W795="","",IF($W795="なし","※得意先にないコード",INDEX('得意先'!$C$5:$C$104,$W795)&amp;""))</f>
        <v/>
      </c>
      <c r="E795" s="26" t="n"/>
      <c r="F795" s="19" t="n"/>
      <c r="G795" s="27" t="n"/>
      <c r="H795" s="27" t="n"/>
      <c r="I795" s="27" t="n"/>
      <c r="J795" s="28">
        <f>IF($A795="","",IF('設定'!$B$10="四捨五入",ROUND(IF('設定'!$B$9="税込",N($G795)*10/110,N($G795)*10/100),0),IF('設定'!$B$10="切り上げ",ROUNDUP(IF('設定'!$B$9="税込",N($G795)*10/110,N($G795)*10/100),0),ROUNDDOWN(IF('設定'!$B$9="税込",N($G795)*10/110,N($G795)*10/100),0))))</f>
        <v/>
      </c>
      <c r="K795" s="28">
        <f>IF($A795="","",IF('設定'!$B$10="四捨五入",ROUND(IF('設定'!$B$9="税込",N($H795)*8/108,N($H795)*8/100),0),IF('設定'!$B$10="切り上げ",ROUNDUP(IF('設定'!$B$9="税込",N($H795)*8/108,N($H795)*8/100),0),ROUNDDOWN(IF('設定'!$B$9="税込",N($H795)*8/108,N($H795)*8/100),0))))</f>
        <v/>
      </c>
      <c r="L795" s="28">
        <f>IF($A795="","",N($G795)+N($H795)+N($I795)+IF('設定'!$B$9="税込",0,$J795+$K795))</f>
        <v/>
      </c>
      <c r="M795" s="29">
        <f>IF(OR($A795="",NOT(ISNUMBER($W795)),NOT(ISNUMBER($X795))),"",IF(OR(INDEX('得意先'!$D$5:$D$104,$W795)="",INDEX('得意先'!$E$5:$E$104,$W795)="",INDEX('得意先'!$F$5:$F$104,$W795)=""),"",IF(INDEX('得意先'!$F$5:$F$104,$W795)="末",DATE(YEAR($X795),(MONTH($X795)+IF(INDEX('得意先'!$D$5:$D$104,$W795)="末",0,IF(DAY($X795)&lt;=INDEX('得意先'!$D$5:$D$104,$W795),0,1))+N(INDEX('得意先'!$E$5:$E$104,$W795)))+1,0),DATE(YEAR($X795),(MONTH($X795)+IF(INDEX('得意先'!$D$5:$D$104,$W795)="末",0,IF(DAY($X795)&lt;=INDEX('得意先'!$D$5:$D$104,$W795),0,1))+N(INDEX('得意先'!$E$5:$E$104,$W795))),MIN(INDEX('得意先'!$F$5:$F$104,$W795),DAY(DATE(YEAR($X795),(MONTH($X795)+IF(INDEX('得意先'!$D$5:$D$104,$W795)="末",0,IF(DAY($X795)&lt;=INDEX('得意先'!$D$5:$D$104,$W795),0,1))+N(INDEX('得意先'!$E$5:$E$104,$W795)))+1,0)))))))</f>
        <v/>
      </c>
      <c r="N795" s="26" t="n"/>
      <c r="O795" s="29">
        <f>IF($A795="","",IF(ISNUMBER($N795),$N795,$M795))</f>
        <v/>
      </c>
      <c r="P795" s="28">
        <f>IF($A795="","",SUMIF('入金消込'!$F$5:$F$1004,$A795,'入金消込'!$G$5:$G$1004))</f>
        <v/>
      </c>
      <c r="Q795" s="28">
        <f>IF($A795="","",SUMIF('入金消込'!$F$5:$F$1004,$A795,'入金消込'!$H$5:$H$1004)+SUMIF('入金消込'!$F$5:$F$1004,$A795,'入金消込'!$I$5:$I$1004))</f>
        <v/>
      </c>
      <c r="R795" s="28">
        <f>IF($A795="","",$L795-$P795-$Q795)</f>
        <v/>
      </c>
      <c r="S795" s="30">
        <f>IF($A795="","",IF($R795=0,IF($L795=0,"請求額0","回収済"),IF($L795&lt;0,IF($R795&lt;0,"差し引き待ち","差し引きすぎ"),IF($R795&lt;0,"入金が多い",IF($P795+$Q795=0,"未入金","一部入金")))))</f>
        <v/>
      </c>
      <c r="T795" s="31">
        <f>IF(OR($A795="",N($R795)&lt;=0,NOT(ISNUMBER($O795))),"",IF($O795&lt;'設定'!$B$7,'設定'!$B$7-$O795,""))</f>
        <v/>
      </c>
      <c r="U795" s="30">
        <f>IF(OR($A795="",N($R795)&lt;=0),"",IF(NOT(ISNUMBER($O795)),'設定'!$B$22,IF($O795&gt;='設定'!$B$7,'設定'!$B$17,IF('設定'!$B$7-$O795&lt;='設定'!$B$12,'設定'!$B$18,IF('設定'!$B$7-$O795&lt;='設定'!$B$13,'設定'!$B$19,IF('設定'!$B$7-$O795&lt;='設定'!$B$14,'設定'!$B$20,'設定'!$B$21))))))</f>
        <v/>
      </c>
      <c r="V795" s="56" t="n"/>
      <c r="W795" s="32">
        <f>IF($C795="","",IFERROR(MATCH($C795,'得意先'!$B$5:$B$104,0),"なし"))</f>
        <v/>
      </c>
      <c r="X795" s="33">
        <f>IF($A795="","",IF(ISNUMBER($E795),$E795,IF(ISNUMBER($B795),$B795,"")))</f>
        <v/>
      </c>
      <c r="Y795" s="34">
        <f>IF($T795="","",$O795+ROW()/1000000)</f>
        <v/>
      </c>
      <c r="Z795" s="35">
        <f>IF(OR($A795="",$C795="",$C795&lt;&gt;'売掛帳'!$B$3,NOT(ISNUMBER($X795))),"",IF(AND($X795&gt;='売掛帳'!$Q$3,$X795&lt;='売掛帳'!$Q$4),$X795+ROW()/10000000,""))</f>
        <v/>
      </c>
    </row>
    <row r="796" ht="18" customHeight="1">
      <c r="A796" s="18" t="n"/>
      <c r="B796" s="26" t="n"/>
      <c r="C796" s="18" t="n"/>
      <c r="D796" s="20">
        <f>IF($W796="","",IF($W796="なし","※得意先にないコード",INDEX('得意先'!$C$5:$C$104,$W796)&amp;""))</f>
        <v/>
      </c>
      <c r="E796" s="26" t="n"/>
      <c r="F796" s="19" t="n"/>
      <c r="G796" s="27" t="n"/>
      <c r="H796" s="27" t="n"/>
      <c r="I796" s="27" t="n"/>
      <c r="J796" s="28">
        <f>IF($A796="","",IF('設定'!$B$10="四捨五入",ROUND(IF('設定'!$B$9="税込",N($G796)*10/110,N($G796)*10/100),0),IF('設定'!$B$10="切り上げ",ROUNDUP(IF('設定'!$B$9="税込",N($G796)*10/110,N($G796)*10/100),0),ROUNDDOWN(IF('設定'!$B$9="税込",N($G796)*10/110,N($G796)*10/100),0))))</f>
        <v/>
      </c>
      <c r="K796" s="28">
        <f>IF($A796="","",IF('設定'!$B$10="四捨五入",ROUND(IF('設定'!$B$9="税込",N($H796)*8/108,N($H796)*8/100),0),IF('設定'!$B$10="切り上げ",ROUNDUP(IF('設定'!$B$9="税込",N($H796)*8/108,N($H796)*8/100),0),ROUNDDOWN(IF('設定'!$B$9="税込",N($H796)*8/108,N($H796)*8/100),0))))</f>
        <v/>
      </c>
      <c r="L796" s="28">
        <f>IF($A796="","",N($G796)+N($H796)+N($I796)+IF('設定'!$B$9="税込",0,$J796+$K796))</f>
        <v/>
      </c>
      <c r="M796" s="29">
        <f>IF(OR($A796="",NOT(ISNUMBER($W796)),NOT(ISNUMBER($X796))),"",IF(OR(INDEX('得意先'!$D$5:$D$104,$W796)="",INDEX('得意先'!$E$5:$E$104,$W796)="",INDEX('得意先'!$F$5:$F$104,$W796)=""),"",IF(INDEX('得意先'!$F$5:$F$104,$W796)="末",DATE(YEAR($X796),(MONTH($X796)+IF(INDEX('得意先'!$D$5:$D$104,$W796)="末",0,IF(DAY($X796)&lt;=INDEX('得意先'!$D$5:$D$104,$W796),0,1))+N(INDEX('得意先'!$E$5:$E$104,$W796)))+1,0),DATE(YEAR($X796),(MONTH($X796)+IF(INDEX('得意先'!$D$5:$D$104,$W796)="末",0,IF(DAY($X796)&lt;=INDEX('得意先'!$D$5:$D$104,$W796),0,1))+N(INDEX('得意先'!$E$5:$E$104,$W796))),MIN(INDEX('得意先'!$F$5:$F$104,$W796),DAY(DATE(YEAR($X796),(MONTH($X796)+IF(INDEX('得意先'!$D$5:$D$104,$W796)="末",0,IF(DAY($X796)&lt;=INDEX('得意先'!$D$5:$D$104,$W796),0,1))+N(INDEX('得意先'!$E$5:$E$104,$W796)))+1,0)))))))</f>
        <v/>
      </c>
      <c r="N796" s="26" t="n"/>
      <c r="O796" s="29">
        <f>IF($A796="","",IF(ISNUMBER($N796),$N796,$M796))</f>
        <v/>
      </c>
      <c r="P796" s="28">
        <f>IF($A796="","",SUMIF('入金消込'!$F$5:$F$1004,$A796,'入金消込'!$G$5:$G$1004))</f>
        <v/>
      </c>
      <c r="Q796" s="28">
        <f>IF($A796="","",SUMIF('入金消込'!$F$5:$F$1004,$A796,'入金消込'!$H$5:$H$1004)+SUMIF('入金消込'!$F$5:$F$1004,$A796,'入金消込'!$I$5:$I$1004))</f>
        <v/>
      </c>
      <c r="R796" s="28">
        <f>IF($A796="","",$L796-$P796-$Q796)</f>
        <v/>
      </c>
      <c r="S796" s="30">
        <f>IF($A796="","",IF($R796=0,IF($L796=0,"請求額0","回収済"),IF($L796&lt;0,IF($R796&lt;0,"差し引き待ち","差し引きすぎ"),IF($R796&lt;0,"入金が多い",IF($P796+$Q796=0,"未入金","一部入金")))))</f>
        <v/>
      </c>
      <c r="T796" s="31">
        <f>IF(OR($A796="",N($R796)&lt;=0,NOT(ISNUMBER($O796))),"",IF($O796&lt;'設定'!$B$7,'設定'!$B$7-$O796,""))</f>
        <v/>
      </c>
      <c r="U796" s="30">
        <f>IF(OR($A796="",N($R796)&lt;=0),"",IF(NOT(ISNUMBER($O796)),'設定'!$B$22,IF($O796&gt;='設定'!$B$7,'設定'!$B$17,IF('設定'!$B$7-$O796&lt;='設定'!$B$12,'設定'!$B$18,IF('設定'!$B$7-$O796&lt;='設定'!$B$13,'設定'!$B$19,IF('設定'!$B$7-$O796&lt;='設定'!$B$14,'設定'!$B$20,'設定'!$B$21))))))</f>
        <v/>
      </c>
      <c r="V796" s="56" t="n"/>
      <c r="W796" s="32">
        <f>IF($C796="","",IFERROR(MATCH($C796,'得意先'!$B$5:$B$104,0),"なし"))</f>
        <v/>
      </c>
      <c r="X796" s="33">
        <f>IF($A796="","",IF(ISNUMBER($E796),$E796,IF(ISNUMBER($B796),$B796,"")))</f>
        <v/>
      </c>
      <c r="Y796" s="34">
        <f>IF($T796="","",$O796+ROW()/1000000)</f>
        <v/>
      </c>
      <c r="Z796" s="35">
        <f>IF(OR($A796="",$C796="",$C796&lt;&gt;'売掛帳'!$B$3,NOT(ISNUMBER($X796))),"",IF(AND($X796&gt;='売掛帳'!$Q$3,$X796&lt;='売掛帳'!$Q$4),$X796+ROW()/10000000,""))</f>
        <v/>
      </c>
    </row>
    <row r="797" ht="18" customHeight="1">
      <c r="A797" s="18" t="n"/>
      <c r="B797" s="26" t="n"/>
      <c r="C797" s="18" t="n"/>
      <c r="D797" s="20">
        <f>IF($W797="","",IF($W797="なし","※得意先にないコード",INDEX('得意先'!$C$5:$C$104,$W797)&amp;""))</f>
        <v/>
      </c>
      <c r="E797" s="26" t="n"/>
      <c r="F797" s="19" t="n"/>
      <c r="G797" s="27" t="n"/>
      <c r="H797" s="27" t="n"/>
      <c r="I797" s="27" t="n"/>
      <c r="J797" s="28">
        <f>IF($A797="","",IF('設定'!$B$10="四捨五入",ROUND(IF('設定'!$B$9="税込",N($G797)*10/110,N($G797)*10/100),0),IF('設定'!$B$10="切り上げ",ROUNDUP(IF('設定'!$B$9="税込",N($G797)*10/110,N($G797)*10/100),0),ROUNDDOWN(IF('設定'!$B$9="税込",N($G797)*10/110,N($G797)*10/100),0))))</f>
        <v/>
      </c>
      <c r="K797" s="28">
        <f>IF($A797="","",IF('設定'!$B$10="四捨五入",ROUND(IF('設定'!$B$9="税込",N($H797)*8/108,N($H797)*8/100),0),IF('設定'!$B$10="切り上げ",ROUNDUP(IF('設定'!$B$9="税込",N($H797)*8/108,N($H797)*8/100),0),ROUNDDOWN(IF('設定'!$B$9="税込",N($H797)*8/108,N($H797)*8/100),0))))</f>
        <v/>
      </c>
      <c r="L797" s="28">
        <f>IF($A797="","",N($G797)+N($H797)+N($I797)+IF('設定'!$B$9="税込",0,$J797+$K797))</f>
        <v/>
      </c>
      <c r="M797" s="29">
        <f>IF(OR($A797="",NOT(ISNUMBER($W797)),NOT(ISNUMBER($X797))),"",IF(OR(INDEX('得意先'!$D$5:$D$104,$W797)="",INDEX('得意先'!$E$5:$E$104,$W797)="",INDEX('得意先'!$F$5:$F$104,$W797)=""),"",IF(INDEX('得意先'!$F$5:$F$104,$W797)="末",DATE(YEAR($X797),(MONTH($X797)+IF(INDEX('得意先'!$D$5:$D$104,$W797)="末",0,IF(DAY($X797)&lt;=INDEX('得意先'!$D$5:$D$104,$W797),0,1))+N(INDEX('得意先'!$E$5:$E$104,$W797)))+1,0),DATE(YEAR($X797),(MONTH($X797)+IF(INDEX('得意先'!$D$5:$D$104,$W797)="末",0,IF(DAY($X797)&lt;=INDEX('得意先'!$D$5:$D$104,$W797),0,1))+N(INDEX('得意先'!$E$5:$E$104,$W797))),MIN(INDEX('得意先'!$F$5:$F$104,$W797),DAY(DATE(YEAR($X797),(MONTH($X797)+IF(INDEX('得意先'!$D$5:$D$104,$W797)="末",0,IF(DAY($X797)&lt;=INDEX('得意先'!$D$5:$D$104,$W797),0,1))+N(INDEX('得意先'!$E$5:$E$104,$W797)))+1,0)))))))</f>
        <v/>
      </c>
      <c r="N797" s="26" t="n"/>
      <c r="O797" s="29">
        <f>IF($A797="","",IF(ISNUMBER($N797),$N797,$M797))</f>
        <v/>
      </c>
      <c r="P797" s="28">
        <f>IF($A797="","",SUMIF('入金消込'!$F$5:$F$1004,$A797,'入金消込'!$G$5:$G$1004))</f>
        <v/>
      </c>
      <c r="Q797" s="28">
        <f>IF($A797="","",SUMIF('入金消込'!$F$5:$F$1004,$A797,'入金消込'!$H$5:$H$1004)+SUMIF('入金消込'!$F$5:$F$1004,$A797,'入金消込'!$I$5:$I$1004))</f>
        <v/>
      </c>
      <c r="R797" s="28">
        <f>IF($A797="","",$L797-$P797-$Q797)</f>
        <v/>
      </c>
      <c r="S797" s="30">
        <f>IF($A797="","",IF($R797=0,IF($L797=0,"請求額0","回収済"),IF($L797&lt;0,IF($R797&lt;0,"差し引き待ち","差し引きすぎ"),IF($R797&lt;0,"入金が多い",IF($P797+$Q797=0,"未入金","一部入金")))))</f>
        <v/>
      </c>
      <c r="T797" s="31">
        <f>IF(OR($A797="",N($R797)&lt;=0,NOT(ISNUMBER($O797))),"",IF($O797&lt;'設定'!$B$7,'設定'!$B$7-$O797,""))</f>
        <v/>
      </c>
      <c r="U797" s="30">
        <f>IF(OR($A797="",N($R797)&lt;=0),"",IF(NOT(ISNUMBER($O797)),'設定'!$B$22,IF($O797&gt;='設定'!$B$7,'設定'!$B$17,IF('設定'!$B$7-$O797&lt;='設定'!$B$12,'設定'!$B$18,IF('設定'!$B$7-$O797&lt;='設定'!$B$13,'設定'!$B$19,IF('設定'!$B$7-$O797&lt;='設定'!$B$14,'設定'!$B$20,'設定'!$B$21))))))</f>
        <v/>
      </c>
      <c r="V797" s="56" t="n"/>
      <c r="W797" s="32">
        <f>IF($C797="","",IFERROR(MATCH($C797,'得意先'!$B$5:$B$104,0),"なし"))</f>
        <v/>
      </c>
      <c r="X797" s="33">
        <f>IF($A797="","",IF(ISNUMBER($E797),$E797,IF(ISNUMBER($B797),$B797,"")))</f>
        <v/>
      </c>
      <c r="Y797" s="34">
        <f>IF($T797="","",$O797+ROW()/1000000)</f>
        <v/>
      </c>
      <c r="Z797" s="35">
        <f>IF(OR($A797="",$C797="",$C797&lt;&gt;'売掛帳'!$B$3,NOT(ISNUMBER($X797))),"",IF(AND($X797&gt;='売掛帳'!$Q$3,$X797&lt;='売掛帳'!$Q$4),$X797+ROW()/10000000,""))</f>
        <v/>
      </c>
    </row>
    <row r="798" ht="18" customHeight="1">
      <c r="A798" s="18" t="n"/>
      <c r="B798" s="26" t="n"/>
      <c r="C798" s="18" t="n"/>
      <c r="D798" s="20">
        <f>IF($W798="","",IF($W798="なし","※得意先にないコード",INDEX('得意先'!$C$5:$C$104,$W798)&amp;""))</f>
        <v/>
      </c>
      <c r="E798" s="26" t="n"/>
      <c r="F798" s="19" t="n"/>
      <c r="G798" s="27" t="n"/>
      <c r="H798" s="27" t="n"/>
      <c r="I798" s="27" t="n"/>
      <c r="J798" s="28">
        <f>IF($A798="","",IF('設定'!$B$10="四捨五入",ROUND(IF('設定'!$B$9="税込",N($G798)*10/110,N($G798)*10/100),0),IF('設定'!$B$10="切り上げ",ROUNDUP(IF('設定'!$B$9="税込",N($G798)*10/110,N($G798)*10/100),0),ROUNDDOWN(IF('設定'!$B$9="税込",N($G798)*10/110,N($G798)*10/100),0))))</f>
        <v/>
      </c>
      <c r="K798" s="28">
        <f>IF($A798="","",IF('設定'!$B$10="四捨五入",ROUND(IF('設定'!$B$9="税込",N($H798)*8/108,N($H798)*8/100),0),IF('設定'!$B$10="切り上げ",ROUNDUP(IF('設定'!$B$9="税込",N($H798)*8/108,N($H798)*8/100),0),ROUNDDOWN(IF('設定'!$B$9="税込",N($H798)*8/108,N($H798)*8/100),0))))</f>
        <v/>
      </c>
      <c r="L798" s="28">
        <f>IF($A798="","",N($G798)+N($H798)+N($I798)+IF('設定'!$B$9="税込",0,$J798+$K798))</f>
        <v/>
      </c>
      <c r="M798" s="29">
        <f>IF(OR($A798="",NOT(ISNUMBER($W798)),NOT(ISNUMBER($X798))),"",IF(OR(INDEX('得意先'!$D$5:$D$104,$W798)="",INDEX('得意先'!$E$5:$E$104,$W798)="",INDEX('得意先'!$F$5:$F$104,$W798)=""),"",IF(INDEX('得意先'!$F$5:$F$104,$W798)="末",DATE(YEAR($X798),(MONTH($X798)+IF(INDEX('得意先'!$D$5:$D$104,$W798)="末",0,IF(DAY($X798)&lt;=INDEX('得意先'!$D$5:$D$104,$W798),0,1))+N(INDEX('得意先'!$E$5:$E$104,$W798)))+1,0),DATE(YEAR($X798),(MONTH($X798)+IF(INDEX('得意先'!$D$5:$D$104,$W798)="末",0,IF(DAY($X798)&lt;=INDEX('得意先'!$D$5:$D$104,$W798),0,1))+N(INDEX('得意先'!$E$5:$E$104,$W798))),MIN(INDEX('得意先'!$F$5:$F$104,$W798),DAY(DATE(YEAR($X798),(MONTH($X798)+IF(INDEX('得意先'!$D$5:$D$104,$W798)="末",0,IF(DAY($X798)&lt;=INDEX('得意先'!$D$5:$D$104,$W798),0,1))+N(INDEX('得意先'!$E$5:$E$104,$W798)))+1,0)))))))</f>
        <v/>
      </c>
      <c r="N798" s="26" t="n"/>
      <c r="O798" s="29">
        <f>IF($A798="","",IF(ISNUMBER($N798),$N798,$M798))</f>
        <v/>
      </c>
      <c r="P798" s="28">
        <f>IF($A798="","",SUMIF('入金消込'!$F$5:$F$1004,$A798,'入金消込'!$G$5:$G$1004))</f>
        <v/>
      </c>
      <c r="Q798" s="28">
        <f>IF($A798="","",SUMIF('入金消込'!$F$5:$F$1004,$A798,'入金消込'!$H$5:$H$1004)+SUMIF('入金消込'!$F$5:$F$1004,$A798,'入金消込'!$I$5:$I$1004))</f>
        <v/>
      </c>
      <c r="R798" s="28">
        <f>IF($A798="","",$L798-$P798-$Q798)</f>
        <v/>
      </c>
      <c r="S798" s="30">
        <f>IF($A798="","",IF($R798=0,IF($L798=0,"請求額0","回収済"),IF($L798&lt;0,IF($R798&lt;0,"差し引き待ち","差し引きすぎ"),IF($R798&lt;0,"入金が多い",IF($P798+$Q798=0,"未入金","一部入金")))))</f>
        <v/>
      </c>
      <c r="T798" s="31">
        <f>IF(OR($A798="",N($R798)&lt;=0,NOT(ISNUMBER($O798))),"",IF($O798&lt;'設定'!$B$7,'設定'!$B$7-$O798,""))</f>
        <v/>
      </c>
      <c r="U798" s="30">
        <f>IF(OR($A798="",N($R798)&lt;=0),"",IF(NOT(ISNUMBER($O798)),'設定'!$B$22,IF($O798&gt;='設定'!$B$7,'設定'!$B$17,IF('設定'!$B$7-$O798&lt;='設定'!$B$12,'設定'!$B$18,IF('設定'!$B$7-$O798&lt;='設定'!$B$13,'設定'!$B$19,IF('設定'!$B$7-$O798&lt;='設定'!$B$14,'設定'!$B$20,'設定'!$B$21))))))</f>
        <v/>
      </c>
      <c r="V798" s="56" t="n"/>
      <c r="W798" s="32">
        <f>IF($C798="","",IFERROR(MATCH($C798,'得意先'!$B$5:$B$104,0),"なし"))</f>
        <v/>
      </c>
      <c r="X798" s="33">
        <f>IF($A798="","",IF(ISNUMBER($E798),$E798,IF(ISNUMBER($B798),$B798,"")))</f>
        <v/>
      </c>
      <c r="Y798" s="34">
        <f>IF($T798="","",$O798+ROW()/1000000)</f>
        <v/>
      </c>
      <c r="Z798" s="35">
        <f>IF(OR($A798="",$C798="",$C798&lt;&gt;'売掛帳'!$B$3,NOT(ISNUMBER($X798))),"",IF(AND($X798&gt;='売掛帳'!$Q$3,$X798&lt;='売掛帳'!$Q$4),$X798+ROW()/10000000,""))</f>
        <v/>
      </c>
    </row>
    <row r="799" ht="18" customHeight="1">
      <c r="A799" s="18" t="n"/>
      <c r="B799" s="26" t="n"/>
      <c r="C799" s="18" t="n"/>
      <c r="D799" s="20">
        <f>IF($W799="","",IF($W799="なし","※得意先にないコード",INDEX('得意先'!$C$5:$C$104,$W799)&amp;""))</f>
        <v/>
      </c>
      <c r="E799" s="26" t="n"/>
      <c r="F799" s="19" t="n"/>
      <c r="G799" s="27" t="n"/>
      <c r="H799" s="27" t="n"/>
      <c r="I799" s="27" t="n"/>
      <c r="J799" s="28">
        <f>IF($A799="","",IF('設定'!$B$10="四捨五入",ROUND(IF('設定'!$B$9="税込",N($G799)*10/110,N($G799)*10/100),0),IF('設定'!$B$10="切り上げ",ROUNDUP(IF('設定'!$B$9="税込",N($G799)*10/110,N($G799)*10/100),0),ROUNDDOWN(IF('設定'!$B$9="税込",N($G799)*10/110,N($G799)*10/100),0))))</f>
        <v/>
      </c>
      <c r="K799" s="28">
        <f>IF($A799="","",IF('設定'!$B$10="四捨五入",ROUND(IF('設定'!$B$9="税込",N($H799)*8/108,N($H799)*8/100),0),IF('設定'!$B$10="切り上げ",ROUNDUP(IF('設定'!$B$9="税込",N($H799)*8/108,N($H799)*8/100),0),ROUNDDOWN(IF('設定'!$B$9="税込",N($H799)*8/108,N($H799)*8/100),0))))</f>
        <v/>
      </c>
      <c r="L799" s="28">
        <f>IF($A799="","",N($G799)+N($H799)+N($I799)+IF('設定'!$B$9="税込",0,$J799+$K799))</f>
        <v/>
      </c>
      <c r="M799" s="29">
        <f>IF(OR($A799="",NOT(ISNUMBER($W799)),NOT(ISNUMBER($X799))),"",IF(OR(INDEX('得意先'!$D$5:$D$104,$W799)="",INDEX('得意先'!$E$5:$E$104,$W799)="",INDEX('得意先'!$F$5:$F$104,$W799)=""),"",IF(INDEX('得意先'!$F$5:$F$104,$W799)="末",DATE(YEAR($X799),(MONTH($X799)+IF(INDEX('得意先'!$D$5:$D$104,$W799)="末",0,IF(DAY($X799)&lt;=INDEX('得意先'!$D$5:$D$104,$W799),0,1))+N(INDEX('得意先'!$E$5:$E$104,$W799)))+1,0),DATE(YEAR($X799),(MONTH($X799)+IF(INDEX('得意先'!$D$5:$D$104,$W799)="末",0,IF(DAY($X799)&lt;=INDEX('得意先'!$D$5:$D$104,$W799),0,1))+N(INDEX('得意先'!$E$5:$E$104,$W799))),MIN(INDEX('得意先'!$F$5:$F$104,$W799),DAY(DATE(YEAR($X799),(MONTH($X799)+IF(INDEX('得意先'!$D$5:$D$104,$W799)="末",0,IF(DAY($X799)&lt;=INDEX('得意先'!$D$5:$D$104,$W799),0,1))+N(INDEX('得意先'!$E$5:$E$104,$W799)))+1,0)))))))</f>
        <v/>
      </c>
      <c r="N799" s="26" t="n"/>
      <c r="O799" s="29">
        <f>IF($A799="","",IF(ISNUMBER($N799),$N799,$M799))</f>
        <v/>
      </c>
      <c r="P799" s="28">
        <f>IF($A799="","",SUMIF('入金消込'!$F$5:$F$1004,$A799,'入金消込'!$G$5:$G$1004))</f>
        <v/>
      </c>
      <c r="Q799" s="28">
        <f>IF($A799="","",SUMIF('入金消込'!$F$5:$F$1004,$A799,'入金消込'!$H$5:$H$1004)+SUMIF('入金消込'!$F$5:$F$1004,$A799,'入金消込'!$I$5:$I$1004))</f>
        <v/>
      </c>
      <c r="R799" s="28">
        <f>IF($A799="","",$L799-$P799-$Q799)</f>
        <v/>
      </c>
      <c r="S799" s="30">
        <f>IF($A799="","",IF($R799=0,IF($L799=0,"請求額0","回収済"),IF($L799&lt;0,IF($R799&lt;0,"差し引き待ち","差し引きすぎ"),IF($R799&lt;0,"入金が多い",IF($P799+$Q799=0,"未入金","一部入金")))))</f>
        <v/>
      </c>
      <c r="T799" s="31">
        <f>IF(OR($A799="",N($R799)&lt;=0,NOT(ISNUMBER($O799))),"",IF($O799&lt;'設定'!$B$7,'設定'!$B$7-$O799,""))</f>
        <v/>
      </c>
      <c r="U799" s="30">
        <f>IF(OR($A799="",N($R799)&lt;=0),"",IF(NOT(ISNUMBER($O799)),'設定'!$B$22,IF($O799&gt;='設定'!$B$7,'設定'!$B$17,IF('設定'!$B$7-$O799&lt;='設定'!$B$12,'設定'!$B$18,IF('設定'!$B$7-$O799&lt;='設定'!$B$13,'設定'!$B$19,IF('設定'!$B$7-$O799&lt;='設定'!$B$14,'設定'!$B$20,'設定'!$B$21))))))</f>
        <v/>
      </c>
      <c r="V799" s="56" t="n"/>
      <c r="W799" s="32">
        <f>IF($C799="","",IFERROR(MATCH($C799,'得意先'!$B$5:$B$104,0),"なし"))</f>
        <v/>
      </c>
      <c r="X799" s="33">
        <f>IF($A799="","",IF(ISNUMBER($E799),$E799,IF(ISNUMBER($B799),$B799,"")))</f>
        <v/>
      </c>
      <c r="Y799" s="34">
        <f>IF($T799="","",$O799+ROW()/1000000)</f>
        <v/>
      </c>
      <c r="Z799" s="35">
        <f>IF(OR($A799="",$C799="",$C799&lt;&gt;'売掛帳'!$B$3,NOT(ISNUMBER($X799))),"",IF(AND($X799&gt;='売掛帳'!$Q$3,$X799&lt;='売掛帳'!$Q$4),$X799+ROW()/10000000,""))</f>
        <v/>
      </c>
    </row>
    <row r="800" ht="18" customHeight="1">
      <c r="A800" s="18" t="n"/>
      <c r="B800" s="26" t="n"/>
      <c r="C800" s="18" t="n"/>
      <c r="D800" s="20">
        <f>IF($W800="","",IF($W800="なし","※得意先にないコード",INDEX('得意先'!$C$5:$C$104,$W800)&amp;""))</f>
        <v/>
      </c>
      <c r="E800" s="26" t="n"/>
      <c r="F800" s="19" t="n"/>
      <c r="G800" s="27" t="n"/>
      <c r="H800" s="27" t="n"/>
      <c r="I800" s="27" t="n"/>
      <c r="J800" s="28">
        <f>IF($A800="","",IF('設定'!$B$10="四捨五入",ROUND(IF('設定'!$B$9="税込",N($G800)*10/110,N($G800)*10/100),0),IF('設定'!$B$10="切り上げ",ROUNDUP(IF('設定'!$B$9="税込",N($G800)*10/110,N($G800)*10/100),0),ROUNDDOWN(IF('設定'!$B$9="税込",N($G800)*10/110,N($G800)*10/100),0))))</f>
        <v/>
      </c>
      <c r="K800" s="28">
        <f>IF($A800="","",IF('設定'!$B$10="四捨五入",ROUND(IF('設定'!$B$9="税込",N($H800)*8/108,N($H800)*8/100),0),IF('設定'!$B$10="切り上げ",ROUNDUP(IF('設定'!$B$9="税込",N($H800)*8/108,N($H800)*8/100),0),ROUNDDOWN(IF('設定'!$B$9="税込",N($H800)*8/108,N($H800)*8/100),0))))</f>
        <v/>
      </c>
      <c r="L800" s="28">
        <f>IF($A800="","",N($G800)+N($H800)+N($I800)+IF('設定'!$B$9="税込",0,$J800+$K800))</f>
        <v/>
      </c>
      <c r="M800" s="29">
        <f>IF(OR($A800="",NOT(ISNUMBER($W800)),NOT(ISNUMBER($X800))),"",IF(OR(INDEX('得意先'!$D$5:$D$104,$W800)="",INDEX('得意先'!$E$5:$E$104,$W800)="",INDEX('得意先'!$F$5:$F$104,$W800)=""),"",IF(INDEX('得意先'!$F$5:$F$104,$W800)="末",DATE(YEAR($X800),(MONTH($X800)+IF(INDEX('得意先'!$D$5:$D$104,$W800)="末",0,IF(DAY($X800)&lt;=INDEX('得意先'!$D$5:$D$104,$W800),0,1))+N(INDEX('得意先'!$E$5:$E$104,$W800)))+1,0),DATE(YEAR($X800),(MONTH($X800)+IF(INDEX('得意先'!$D$5:$D$104,$W800)="末",0,IF(DAY($X800)&lt;=INDEX('得意先'!$D$5:$D$104,$W800),0,1))+N(INDEX('得意先'!$E$5:$E$104,$W800))),MIN(INDEX('得意先'!$F$5:$F$104,$W800),DAY(DATE(YEAR($X800),(MONTH($X800)+IF(INDEX('得意先'!$D$5:$D$104,$W800)="末",0,IF(DAY($X800)&lt;=INDEX('得意先'!$D$5:$D$104,$W800),0,1))+N(INDEX('得意先'!$E$5:$E$104,$W800)))+1,0)))))))</f>
        <v/>
      </c>
      <c r="N800" s="26" t="n"/>
      <c r="O800" s="29">
        <f>IF($A800="","",IF(ISNUMBER($N800),$N800,$M800))</f>
        <v/>
      </c>
      <c r="P800" s="28">
        <f>IF($A800="","",SUMIF('入金消込'!$F$5:$F$1004,$A800,'入金消込'!$G$5:$G$1004))</f>
        <v/>
      </c>
      <c r="Q800" s="28">
        <f>IF($A800="","",SUMIF('入金消込'!$F$5:$F$1004,$A800,'入金消込'!$H$5:$H$1004)+SUMIF('入金消込'!$F$5:$F$1004,$A800,'入金消込'!$I$5:$I$1004))</f>
        <v/>
      </c>
      <c r="R800" s="28">
        <f>IF($A800="","",$L800-$P800-$Q800)</f>
        <v/>
      </c>
      <c r="S800" s="30">
        <f>IF($A800="","",IF($R800=0,IF($L800=0,"請求額0","回収済"),IF($L800&lt;0,IF($R800&lt;0,"差し引き待ち","差し引きすぎ"),IF($R800&lt;0,"入金が多い",IF($P800+$Q800=0,"未入金","一部入金")))))</f>
        <v/>
      </c>
      <c r="T800" s="31">
        <f>IF(OR($A800="",N($R800)&lt;=0,NOT(ISNUMBER($O800))),"",IF($O800&lt;'設定'!$B$7,'設定'!$B$7-$O800,""))</f>
        <v/>
      </c>
      <c r="U800" s="30">
        <f>IF(OR($A800="",N($R800)&lt;=0),"",IF(NOT(ISNUMBER($O800)),'設定'!$B$22,IF($O800&gt;='設定'!$B$7,'設定'!$B$17,IF('設定'!$B$7-$O800&lt;='設定'!$B$12,'設定'!$B$18,IF('設定'!$B$7-$O800&lt;='設定'!$B$13,'設定'!$B$19,IF('設定'!$B$7-$O800&lt;='設定'!$B$14,'設定'!$B$20,'設定'!$B$21))))))</f>
        <v/>
      </c>
      <c r="V800" s="56" t="n"/>
      <c r="W800" s="32">
        <f>IF($C800="","",IFERROR(MATCH($C800,'得意先'!$B$5:$B$104,0),"なし"))</f>
        <v/>
      </c>
      <c r="X800" s="33">
        <f>IF($A800="","",IF(ISNUMBER($E800),$E800,IF(ISNUMBER($B800),$B800,"")))</f>
        <v/>
      </c>
      <c r="Y800" s="34">
        <f>IF($T800="","",$O800+ROW()/1000000)</f>
        <v/>
      </c>
      <c r="Z800" s="35">
        <f>IF(OR($A800="",$C800="",$C800&lt;&gt;'売掛帳'!$B$3,NOT(ISNUMBER($X800))),"",IF(AND($X800&gt;='売掛帳'!$Q$3,$X800&lt;='売掛帳'!$Q$4),$X800+ROW()/10000000,""))</f>
        <v/>
      </c>
    </row>
    <row r="801" ht="18" customHeight="1">
      <c r="A801" s="18" t="n"/>
      <c r="B801" s="26" t="n"/>
      <c r="C801" s="18" t="n"/>
      <c r="D801" s="20">
        <f>IF($W801="","",IF($W801="なし","※得意先にないコード",INDEX('得意先'!$C$5:$C$104,$W801)&amp;""))</f>
        <v/>
      </c>
      <c r="E801" s="26" t="n"/>
      <c r="F801" s="19" t="n"/>
      <c r="G801" s="27" t="n"/>
      <c r="H801" s="27" t="n"/>
      <c r="I801" s="27" t="n"/>
      <c r="J801" s="28">
        <f>IF($A801="","",IF('設定'!$B$10="四捨五入",ROUND(IF('設定'!$B$9="税込",N($G801)*10/110,N($G801)*10/100),0),IF('設定'!$B$10="切り上げ",ROUNDUP(IF('設定'!$B$9="税込",N($G801)*10/110,N($G801)*10/100),0),ROUNDDOWN(IF('設定'!$B$9="税込",N($G801)*10/110,N($G801)*10/100),0))))</f>
        <v/>
      </c>
      <c r="K801" s="28">
        <f>IF($A801="","",IF('設定'!$B$10="四捨五入",ROUND(IF('設定'!$B$9="税込",N($H801)*8/108,N($H801)*8/100),0),IF('設定'!$B$10="切り上げ",ROUNDUP(IF('設定'!$B$9="税込",N($H801)*8/108,N($H801)*8/100),0),ROUNDDOWN(IF('設定'!$B$9="税込",N($H801)*8/108,N($H801)*8/100),0))))</f>
        <v/>
      </c>
      <c r="L801" s="28">
        <f>IF($A801="","",N($G801)+N($H801)+N($I801)+IF('設定'!$B$9="税込",0,$J801+$K801))</f>
        <v/>
      </c>
      <c r="M801" s="29">
        <f>IF(OR($A801="",NOT(ISNUMBER($W801)),NOT(ISNUMBER($X801))),"",IF(OR(INDEX('得意先'!$D$5:$D$104,$W801)="",INDEX('得意先'!$E$5:$E$104,$W801)="",INDEX('得意先'!$F$5:$F$104,$W801)=""),"",IF(INDEX('得意先'!$F$5:$F$104,$W801)="末",DATE(YEAR($X801),(MONTH($X801)+IF(INDEX('得意先'!$D$5:$D$104,$W801)="末",0,IF(DAY($X801)&lt;=INDEX('得意先'!$D$5:$D$104,$W801),0,1))+N(INDEX('得意先'!$E$5:$E$104,$W801)))+1,0),DATE(YEAR($X801),(MONTH($X801)+IF(INDEX('得意先'!$D$5:$D$104,$W801)="末",0,IF(DAY($X801)&lt;=INDEX('得意先'!$D$5:$D$104,$W801),0,1))+N(INDEX('得意先'!$E$5:$E$104,$W801))),MIN(INDEX('得意先'!$F$5:$F$104,$W801),DAY(DATE(YEAR($X801),(MONTH($X801)+IF(INDEX('得意先'!$D$5:$D$104,$W801)="末",0,IF(DAY($X801)&lt;=INDEX('得意先'!$D$5:$D$104,$W801),0,1))+N(INDEX('得意先'!$E$5:$E$104,$W801)))+1,0)))))))</f>
        <v/>
      </c>
      <c r="N801" s="26" t="n"/>
      <c r="O801" s="29">
        <f>IF($A801="","",IF(ISNUMBER($N801),$N801,$M801))</f>
        <v/>
      </c>
      <c r="P801" s="28">
        <f>IF($A801="","",SUMIF('入金消込'!$F$5:$F$1004,$A801,'入金消込'!$G$5:$G$1004))</f>
        <v/>
      </c>
      <c r="Q801" s="28">
        <f>IF($A801="","",SUMIF('入金消込'!$F$5:$F$1004,$A801,'入金消込'!$H$5:$H$1004)+SUMIF('入金消込'!$F$5:$F$1004,$A801,'入金消込'!$I$5:$I$1004))</f>
        <v/>
      </c>
      <c r="R801" s="28">
        <f>IF($A801="","",$L801-$P801-$Q801)</f>
        <v/>
      </c>
      <c r="S801" s="30">
        <f>IF($A801="","",IF($R801=0,IF($L801=0,"請求額0","回収済"),IF($L801&lt;0,IF($R801&lt;0,"差し引き待ち","差し引きすぎ"),IF($R801&lt;0,"入金が多い",IF($P801+$Q801=0,"未入金","一部入金")))))</f>
        <v/>
      </c>
      <c r="T801" s="31">
        <f>IF(OR($A801="",N($R801)&lt;=0,NOT(ISNUMBER($O801))),"",IF($O801&lt;'設定'!$B$7,'設定'!$B$7-$O801,""))</f>
        <v/>
      </c>
      <c r="U801" s="30">
        <f>IF(OR($A801="",N($R801)&lt;=0),"",IF(NOT(ISNUMBER($O801)),'設定'!$B$22,IF($O801&gt;='設定'!$B$7,'設定'!$B$17,IF('設定'!$B$7-$O801&lt;='設定'!$B$12,'設定'!$B$18,IF('設定'!$B$7-$O801&lt;='設定'!$B$13,'設定'!$B$19,IF('設定'!$B$7-$O801&lt;='設定'!$B$14,'設定'!$B$20,'設定'!$B$21))))))</f>
        <v/>
      </c>
      <c r="V801" s="56" t="n"/>
      <c r="W801" s="32">
        <f>IF($C801="","",IFERROR(MATCH($C801,'得意先'!$B$5:$B$104,0),"なし"))</f>
        <v/>
      </c>
      <c r="X801" s="33">
        <f>IF($A801="","",IF(ISNUMBER($E801),$E801,IF(ISNUMBER($B801),$B801,"")))</f>
        <v/>
      </c>
      <c r="Y801" s="34">
        <f>IF($T801="","",$O801+ROW()/1000000)</f>
        <v/>
      </c>
      <c r="Z801" s="35">
        <f>IF(OR($A801="",$C801="",$C801&lt;&gt;'売掛帳'!$B$3,NOT(ISNUMBER($X801))),"",IF(AND($X801&gt;='売掛帳'!$Q$3,$X801&lt;='売掛帳'!$Q$4),$X801+ROW()/10000000,""))</f>
        <v/>
      </c>
    </row>
    <row r="802" ht="18" customHeight="1">
      <c r="A802" s="18" t="n"/>
      <c r="B802" s="26" t="n"/>
      <c r="C802" s="18" t="n"/>
      <c r="D802" s="20">
        <f>IF($W802="","",IF($W802="なし","※得意先にないコード",INDEX('得意先'!$C$5:$C$104,$W802)&amp;""))</f>
        <v/>
      </c>
      <c r="E802" s="26" t="n"/>
      <c r="F802" s="19" t="n"/>
      <c r="G802" s="27" t="n"/>
      <c r="H802" s="27" t="n"/>
      <c r="I802" s="27" t="n"/>
      <c r="J802" s="28">
        <f>IF($A802="","",IF('設定'!$B$10="四捨五入",ROUND(IF('設定'!$B$9="税込",N($G802)*10/110,N($G802)*10/100),0),IF('設定'!$B$10="切り上げ",ROUNDUP(IF('設定'!$B$9="税込",N($G802)*10/110,N($G802)*10/100),0),ROUNDDOWN(IF('設定'!$B$9="税込",N($G802)*10/110,N($G802)*10/100),0))))</f>
        <v/>
      </c>
      <c r="K802" s="28">
        <f>IF($A802="","",IF('設定'!$B$10="四捨五入",ROUND(IF('設定'!$B$9="税込",N($H802)*8/108,N($H802)*8/100),0),IF('設定'!$B$10="切り上げ",ROUNDUP(IF('設定'!$B$9="税込",N($H802)*8/108,N($H802)*8/100),0),ROUNDDOWN(IF('設定'!$B$9="税込",N($H802)*8/108,N($H802)*8/100),0))))</f>
        <v/>
      </c>
      <c r="L802" s="28">
        <f>IF($A802="","",N($G802)+N($H802)+N($I802)+IF('設定'!$B$9="税込",0,$J802+$K802))</f>
        <v/>
      </c>
      <c r="M802" s="29">
        <f>IF(OR($A802="",NOT(ISNUMBER($W802)),NOT(ISNUMBER($X802))),"",IF(OR(INDEX('得意先'!$D$5:$D$104,$W802)="",INDEX('得意先'!$E$5:$E$104,$W802)="",INDEX('得意先'!$F$5:$F$104,$W802)=""),"",IF(INDEX('得意先'!$F$5:$F$104,$W802)="末",DATE(YEAR($X802),(MONTH($X802)+IF(INDEX('得意先'!$D$5:$D$104,$W802)="末",0,IF(DAY($X802)&lt;=INDEX('得意先'!$D$5:$D$104,$W802),0,1))+N(INDEX('得意先'!$E$5:$E$104,$W802)))+1,0),DATE(YEAR($X802),(MONTH($X802)+IF(INDEX('得意先'!$D$5:$D$104,$W802)="末",0,IF(DAY($X802)&lt;=INDEX('得意先'!$D$5:$D$104,$W802),0,1))+N(INDEX('得意先'!$E$5:$E$104,$W802))),MIN(INDEX('得意先'!$F$5:$F$104,$W802),DAY(DATE(YEAR($X802),(MONTH($X802)+IF(INDEX('得意先'!$D$5:$D$104,$W802)="末",0,IF(DAY($X802)&lt;=INDEX('得意先'!$D$5:$D$104,$W802),0,1))+N(INDEX('得意先'!$E$5:$E$104,$W802)))+1,0)))))))</f>
        <v/>
      </c>
      <c r="N802" s="26" t="n"/>
      <c r="O802" s="29">
        <f>IF($A802="","",IF(ISNUMBER($N802),$N802,$M802))</f>
        <v/>
      </c>
      <c r="P802" s="28">
        <f>IF($A802="","",SUMIF('入金消込'!$F$5:$F$1004,$A802,'入金消込'!$G$5:$G$1004))</f>
        <v/>
      </c>
      <c r="Q802" s="28">
        <f>IF($A802="","",SUMIF('入金消込'!$F$5:$F$1004,$A802,'入金消込'!$H$5:$H$1004)+SUMIF('入金消込'!$F$5:$F$1004,$A802,'入金消込'!$I$5:$I$1004))</f>
        <v/>
      </c>
      <c r="R802" s="28">
        <f>IF($A802="","",$L802-$P802-$Q802)</f>
        <v/>
      </c>
      <c r="S802" s="30">
        <f>IF($A802="","",IF($R802=0,IF($L802=0,"請求額0","回収済"),IF($L802&lt;0,IF($R802&lt;0,"差し引き待ち","差し引きすぎ"),IF($R802&lt;0,"入金が多い",IF($P802+$Q802=0,"未入金","一部入金")))))</f>
        <v/>
      </c>
      <c r="T802" s="31">
        <f>IF(OR($A802="",N($R802)&lt;=0,NOT(ISNUMBER($O802))),"",IF($O802&lt;'設定'!$B$7,'設定'!$B$7-$O802,""))</f>
        <v/>
      </c>
      <c r="U802" s="30">
        <f>IF(OR($A802="",N($R802)&lt;=0),"",IF(NOT(ISNUMBER($O802)),'設定'!$B$22,IF($O802&gt;='設定'!$B$7,'設定'!$B$17,IF('設定'!$B$7-$O802&lt;='設定'!$B$12,'設定'!$B$18,IF('設定'!$B$7-$O802&lt;='設定'!$B$13,'設定'!$B$19,IF('設定'!$B$7-$O802&lt;='設定'!$B$14,'設定'!$B$20,'設定'!$B$21))))))</f>
        <v/>
      </c>
      <c r="V802" s="56" t="n"/>
      <c r="W802" s="32">
        <f>IF($C802="","",IFERROR(MATCH($C802,'得意先'!$B$5:$B$104,0),"なし"))</f>
        <v/>
      </c>
      <c r="X802" s="33">
        <f>IF($A802="","",IF(ISNUMBER($E802),$E802,IF(ISNUMBER($B802),$B802,"")))</f>
        <v/>
      </c>
      <c r="Y802" s="34">
        <f>IF($T802="","",$O802+ROW()/1000000)</f>
        <v/>
      </c>
      <c r="Z802" s="35">
        <f>IF(OR($A802="",$C802="",$C802&lt;&gt;'売掛帳'!$B$3,NOT(ISNUMBER($X802))),"",IF(AND($X802&gt;='売掛帳'!$Q$3,$X802&lt;='売掛帳'!$Q$4),$X802+ROW()/10000000,""))</f>
        <v/>
      </c>
    </row>
    <row r="803" ht="18" customHeight="1">
      <c r="A803" s="18" t="n"/>
      <c r="B803" s="26" t="n"/>
      <c r="C803" s="18" t="n"/>
      <c r="D803" s="20">
        <f>IF($W803="","",IF($W803="なし","※得意先にないコード",INDEX('得意先'!$C$5:$C$104,$W803)&amp;""))</f>
        <v/>
      </c>
      <c r="E803" s="26" t="n"/>
      <c r="F803" s="19" t="n"/>
      <c r="G803" s="27" t="n"/>
      <c r="H803" s="27" t="n"/>
      <c r="I803" s="27" t="n"/>
      <c r="J803" s="28">
        <f>IF($A803="","",IF('設定'!$B$10="四捨五入",ROUND(IF('設定'!$B$9="税込",N($G803)*10/110,N($G803)*10/100),0),IF('設定'!$B$10="切り上げ",ROUNDUP(IF('設定'!$B$9="税込",N($G803)*10/110,N($G803)*10/100),0),ROUNDDOWN(IF('設定'!$B$9="税込",N($G803)*10/110,N($G803)*10/100),0))))</f>
        <v/>
      </c>
      <c r="K803" s="28">
        <f>IF($A803="","",IF('設定'!$B$10="四捨五入",ROUND(IF('設定'!$B$9="税込",N($H803)*8/108,N($H803)*8/100),0),IF('設定'!$B$10="切り上げ",ROUNDUP(IF('設定'!$B$9="税込",N($H803)*8/108,N($H803)*8/100),0),ROUNDDOWN(IF('設定'!$B$9="税込",N($H803)*8/108,N($H803)*8/100),0))))</f>
        <v/>
      </c>
      <c r="L803" s="28">
        <f>IF($A803="","",N($G803)+N($H803)+N($I803)+IF('設定'!$B$9="税込",0,$J803+$K803))</f>
        <v/>
      </c>
      <c r="M803" s="29">
        <f>IF(OR($A803="",NOT(ISNUMBER($W803)),NOT(ISNUMBER($X803))),"",IF(OR(INDEX('得意先'!$D$5:$D$104,$W803)="",INDEX('得意先'!$E$5:$E$104,$W803)="",INDEX('得意先'!$F$5:$F$104,$W803)=""),"",IF(INDEX('得意先'!$F$5:$F$104,$W803)="末",DATE(YEAR($X803),(MONTH($X803)+IF(INDEX('得意先'!$D$5:$D$104,$W803)="末",0,IF(DAY($X803)&lt;=INDEX('得意先'!$D$5:$D$104,$W803),0,1))+N(INDEX('得意先'!$E$5:$E$104,$W803)))+1,0),DATE(YEAR($X803),(MONTH($X803)+IF(INDEX('得意先'!$D$5:$D$104,$W803)="末",0,IF(DAY($X803)&lt;=INDEX('得意先'!$D$5:$D$104,$W803),0,1))+N(INDEX('得意先'!$E$5:$E$104,$W803))),MIN(INDEX('得意先'!$F$5:$F$104,$W803),DAY(DATE(YEAR($X803),(MONTH($X803)+IF(INDEX('得意先'!$D$5:$D$104,$W803)="末",0,IF(DAY($X803)&lt;=INDEX('得意先'!$D$5:$D$104,$W803),0,1))+N(INDEX('得意先'!$E$5:$E$104,$W803)))+1,0)))))))</f>
        <v/>
      </c>
      <c r="N803" s="26" t="n"/>
      <c r="O803" s="29">
        <f>IF($A803="","",IF(ISNUMBER($N803),$N803,$M803))</f>
        <v/>
      </c>
      <c r="P803" s="28">
        <f>IF($A803="","",SUMIF('入金消込'!$F$5:$F$1004,$A803,'入金消込'!$G$5:$G$1004))</f>
        <v/>
      </c>
      <c r="Q803" s="28">
        <f>IF($A803="","",SUMIF('入金消込'!$F$5:$F$1004,$A803,'入金消込'!$H$5:$H$1004)+SUMIF('入金消込'!$F$5:$F$1004,$A803,'入金消込'!$I$5:$I$1004))</f>
        <v/>
      </c>
      <c r="R803" s="28">
        <f>IF($A803="","",$L803-$P803-$Q803)</f>
        <v/>
      </c>
      <c r="S803" s="30">
        <f>IF($A803="","",IF($R803=0,IF($L803=0,"請求額0","回収済"),IF($L803&lt;0,IF($R803&lt;0,"差し引き待ち","差し引きすぎ"),IF($R803&lt;0,"入金が多い",IF($P803+$Q803=0,"未入金","一部入金")))))</f>
        <v/>
      </c>
      <c r="T803" s="31">
        <f>IF(OR($A803="",N($R803)&lt;=0,NOT(ISNUMBER($O803))),"",IF($O803&lt;'設定'!$B$7,'設定'!$B$7-$O803,""))</f>
        <v/>
      </c>
      <c r="U803" s="30">
        <f>IF(OR($A803="",N($R803)&lt;=0),"",IF(NOT(ISNUMBER($O803)),'設定'!$B$22,IF($O803&gt;='設定'!$B$7,'設定'!$B$17,IF('設定'!$B$7-$O803&lt;='設定'!$B$12,'設定'!$B$18,IF('設定'!$B$7-$O803&lt;='設定'!$B$13,'設定'!$B$19,IF('設定'!$B$7-$O803&lt;='設定'!$B$14,'設定'!$B$20,'設定'!$B$21))))))</f>
        <v/>
      </c>
      <c r="V803" s="56" t="n"/>
      <c r="W803" s="32">
        <f>IF($C803="","",IFERROR(MATCH($C803,'得意先'!$B$5:$B$104,0),"なし"))</f>
        <v/>
      </c>
      <c r="X803" s="33">
        <f>IF($A803="","",IF(ISNUMBER($E803),$E803,IF(ISNUMBER($B803),$B803,"")))</f>
        <v/>
      </c>
      <c r="Y803" s="34">
        <f>IF($T803="","",$O803+ROW()/1000000)</f>
        <v/>
      </c>
      <c r="Z803" s="35">
        <f>IF(OR($A803="",$C803="",$C803&lt;&gt;'売掛帳'!$B$3,NOT(ISNUMBER($X803))),"",IF(AND($X803&gt;='売掛帳'!$Q$3,$X803&lt;='売掛帳'!$Q$4),$X803+ROW()/10000000,""))</f>
        <v/>
      </c>
    </row>
    <row r="804" ht="18" customHeight="1">
      <c r="A804" s="18" t="n"/>
      <c r="B804" s="26" t="n"/>
      <c r="C804" s="18" t="n"/>
      <c r="D804" s="20">
        <f>IF($W804="","",IF($W804="なし","※得意先にないコード",INDEX('得意先'!$C$5:$C$104,$W804)&amp;""))</f>
        <v/>
      </c>
      <c r="E804" s="26" t="n"/>
      <c r="F804" s="19" t="n"/>
      <c r="G804" s="27" t="n"/>
      <c r="H804" s="27" t="n"/>
      <c r="I804" s="27" t="n"/>
      <c r="J804" s="28">
        <f>IF($A804="","",IF('設定'!$B$10="四捨五入",ROUND(IF('設定'!$B$9="税込",N($G804)*10/110,N($G804)*10/100),0),IF('設定'!$B$10="切り上げ",ROUNDUP(IF('設定'!$B$9="税込",N($G804)*10/110,N($G804)*10/100),0),ROUNDDOWN(IF('設定'!$B$9="税込",N($G804)*10/110,N($G804)*10/100),0))))</f>
        <v/>
      </c>
      <c r="K804" s="28">
        <f>IF($A804="","",IF('設定'!$B$10="四捨五入",ROUND(IF('設定'!$B$9="税込",N($H804)*8/108,N($H804)*8/100),0),IF('設定'!$B$10="切り上げ",ROUNDUP(IF('設定'!$B$9="税込",N($H804)*8/108,N($H804)*8/100),0),ROUNDDOWN(IF('設定'!$B$9="税込",N($H804)*8/108,N($H804)*8/100),0))))</f>
        <v/>
      </c>
      <c r="L804" s="28">
        <f>IF($A804="","",N($G804)+N($H804)+N($I804)+IF('設定'!$B$9="税込",0,$J804+$K804))</f>
        <v/>
      </c>
      <c r="M804" s="29">
        <f>IF(OR($A804="",NOT(ISNUMBER($W804)),NOT(ISNUMBER($X804))),"",IF(OR(INDEX('得意先'!$D$5:$D$104,$W804)="",INDEX('得意先'!$E$5:$E$104,$W804)="",INDEX('得意先'!$F$5:$F$104,$W804)=""),"",IF(INDEX('得意先'!$F$5:$F$104,$W804)="末",DATE(YEAR($X804),(MONTH($X804)+IF(INDEX('得意先'!$D$5:$D$104,$W804)="末",0,IF(DAY($X804)&lt;=INDEX('得意先'!$D$5:$D$104,$W804),0,1))+N(INDEX('得意先'!$E$5:$E$104,$W804)))+1,0),DATE(YEAR($X804),(MONTH($X804)+IF(INDEX('得意先'!$D$5:$D$104,$W804)="末",0,IF(DAY($X804)&lt;=INDEX('得意先'!$D$5:$D$104,$W804),0,1))+N(INDEX('得意先'!$E$5:$E$104,$W804))),MIN(INDEX('得意先'!$F$5:$F$104,$W804),DAY(DATE(YEAR($X804),(MONTH($X804)+IF(INDEX('得意先'!$D$5:$D$104,$W804)="末",0,IF(DAY($X804)&lt;=INDEX('得意先'!$D$5:$D$104,$W804),0,1))+N(INDEX('得意先'!$E$5:$E$104,$W804)))+1,0)))))))</f>
        <v/>
      </c>
      <c r="N804" s="26" t="n"/>
      <c r="O804" s="29">
        <f>IF($A804="","",IF(ISNUMBER($N804),$N804,$M804))</f>
        <v/>
      </c>
      <c r="P804" s="28">
        <f>IF($A804="","",SUMIF('入金消込'!$F$5:$F$1004,$A804,'入金消込'!$G$5:$G$1004))</f>
        <v/>
      </c>
      <c r="Q804" s="28">
        <f>IF($A804="","",SUMIF('入金消込'!$F$5:$F$1004,$A804,'入金消込'!$H$5:$H$1004)+SUMIF('入金消込'!$F$5:$F$1004,$A804,'入金消込'!$I$5:$I$1004))</f>
        <v/>
      </c>
      <c r="R804" s="28">
        <f>IF($A804="","",$L804-$P804-$Q804)</f>
        <v/>
      </c>
      <c r="S804" s="30">
        <f>IF($A804="","",IF($R804=0,IF($L804=0,"請求額0","回収済"),IF($L804&lt;0,IF($R804&lt;0,"差し引き待ち","差し引きすぎ"),IF($R804&lt;0,"入金が多い",IF($P804+$Q804=0,"未入金","一部入金")))))</f>
        <v/>
      </c>
      <c r="T804" s="31">
        <f>IF(OR($A804="",N($R804)&lt;=0,NOT(ISNUMBER($O804))),"",IF($O804&lt;'設定'!$B$7,'設定'!$B$7-$O804,""))</f>
        <v/>
      </c>
      <c r="U804" s="30">
        <f>IF(OR($A804="",N($R804)&lt;=0),"",IF(NOT(ISNUMBER($O804)),'設定'!$B$22,IF($O804&gt;='設定'!$B$7,'設定'!$B$17,IF('設定'!$B$7-$O804&lt;='設定'!$B$12,'設定'!$B$18,IF('設定'!$B$7-$O804&lt;='設定'!$B$13,'設定'!$B$19,IF('設定'!$B$7-$O804&lt;='設定'!$B$14,'設定'!$B$20,'設定'!$B$21))))))</f>
        <v/>
      </c>
      <c r="V804" s="56" t="n"/>
      <c r="W804" s="32">
        <f>IF($C804="","",IFERROR(MATCH($C804,'得意先'!$B$5:$B$104,0),"なし"))</f>
        <v/>
      </c>
      <c r="X804" s="33">
        <f>IF($A804="","",IF(ISNUMBER($E804),$E804,IF(ISNUMBER($B804),$B804,"")))</f>
        <v/>
      </c>
      <c r="Y804" s="34">
        <f>IF($T804="","",$O804+ROW()/1000000)</f>
        <v/>
      </c>
      <c r="Z804" s="35">
        <f>IF(OR($A804="",$C804="",$C804&lt;&gt;'売掛帳'!$B$3,NOT(ISNUMBER($X804))),"",IF(AND($X804&gt;='売掛帳'!$Q$3,$X804&lt;='売掛帳'!$Q$4),$X804+ROW()/10000000,""))</f>
        <v/>
      </c>
    </row>
    <row r="805" ht="18" customHeight="1">
      <c r="A805" s="18" t="n"/>
      <c r="B805" s="26" t="n"/>
      <c r="C805" s="18" t="n"/>
      <c r="D805" s="20">
        <f>IF($W805="","",IF($W805="なし","※得意先にないコード",INDEX('得意先'!$C$5:$C$104,$W805)&amp;""))</f>
        <v/>
      </c>
      <c r="E805" s="26" t="n"/>
      <c r="F805" s="19" t="n"/>
      <c r="G805" s="27" t="n"/>
      <c r="H805" s="27" t="n"/>
      <c r="I805" s="27" t="n"/>
      <c r="J805" s="28">
        <f>IF($A805="","",IF('設定'!$B$10="四捨五入",ROUND(IF('設定'!$B$9="税込",N($G805)*10/110,N($G805)*10/100),0),IF('設定'!$B$10="切り上げ",ROUNDUP(IF('設定'!$B$9="税込",N($G805)*10/110,N($G805)*10/100),0),ROUNDDOWN(IF('設定'!$B$9="税込",N($G805)*10/110,N($G805)*10/100),0))))</f>
        <v/>
      </c>
      <c r="K805" s="28">
        <f>IF($A805="","",IF('設定'!$B$10="四捨五入",ROUND(IF('設定'!$B$9="税込",N($H805)*8/108,N($H805)*8/100),0),IF('設定'!$B$10="切り上げ",ROUNDUP(IF('設定'!$B$9="税込",N($H805)*8/108,N($H805)*8/100),0),ROUNDDOWN(IF('設定'!$B$9="税込",N($H805)*8/108,N($H805)*8/100),0))))</f>
        <v/>
      </c>
      <c r="L805" s="28">
        <f>IF($A805="","",N($G805)+N($H805)+N($I805)+IF('設定'!$B$9="税込",0,$J805+$K805))</f>
        <v/>
      </c>
      <c r="M805" s="29">
        <f>IF(OR($A805="",NOT(ISNUMBER($W805)),NOT(ISNUMBER($X805))),"",IF(OR(INDEX('得意先'!$D$5:$D$104,$W805)="",INDEX('得意先'!$E$5:$E$104,$W805)="",INDEX('得意先'!$F$5:$F$104,$W805)=""),"",IF(INDEX('得意先'!$F$5:$F$104,$W805)="末",DATE(YEAR($X805),(MONTH($X805)+IF(INDEX('得意先'!$D$5:$D$104,$W805)="末",0,IF(DAY($X805)&lt;=INDEX('得意先'!$D$5:$D$104,$W805),0,1))+N(INDEX('得意先'!$E$5:$E$104,$W805)))+1,0),DATE(YEAR($X805),(MONTH($X805)+IF(INDEX('得意先'!$D$5:$D$104,$W805)="末",0,IF(DAY($X805)&lt;=INDEX('得意先'!$D$5:$D$104,$W805),0,1))+N(INDEX('得意先'!$E$5:$E$104,$W805))),MIN(INDEX('得意先'!$F$5:$F$104,$W805),DAY(DATE(YEAR($X805),(MONTH($X805)+IF(INDEX('得意先'!$D$5:$D$104,$W805)="末",0,IF(DAY($X805)&lt;=INDEX('得意先'!$D$5:$D$104,$W805),0,1))+N(INDEX('得意先'!$E$5:$E$104,$W805)))+1,0)))))))</f>
        <v/>
      </c>
      <c r="N805" s="26" t="n"/>
      <c r="O805" s="29">
        <f>IF($A805="","",IF(ISNUMBER($N805),$N805,$M805))</f>
        <v/>
      </c>
      <c r="P805" s="28">
        <f>IF($A805="","",SUMIF('入金消込'!$F$5:$F$1004,$A805,'入金消込'!$G$5:$G$1004))</f>
        <v/>
      </c>
      <c r="Q805" s="28">
        <f>IF($A805="","",SUMIF('入金消込'!$F$5:$F$1004,$A805,'入金消込'!$H$5:$H$1004)+SUMIF('入金消込'!$F$5:$F$1004,$A805,'入金消込'!$I$5:$I$1004))</f>
        <v/>
      </c>
      <c r="R805" s="28">
        <f>IF($A805="","",$L805-$P805-$Q805)</f>
        <v/>
      </c>
      <c r="S805" s="30">
        <f>IF($A805="","",IF($R805=0,IF($L805=0,"請求額0","回収済"),IF($L805&lt;0,IF($R805&lt;0,"差し引き待ち","差し引きすぎ"),IF($R805&lt;0,"入金が多い",IF($P805+$Q805=0,"未入金","一部入金")))))</f>
        <v/>
      </c>
      <c r="T805" s="31">
        <f>IF(OR($A805="",N($R805)&lt;=0,NOT(ISNUMBER($O805))),"",IF($O805&lt;'設定'!$B$7,'設定'!$B$7-$O805,""))</f>
        <v/>
      </c>
      <c r="U805" s="30">
        <f>IF(OR($A805="",N($R805)&lt;=0),"",IF(NOT(ISNUMBER($O805)),'設定'!$B$22,IF($O805&gt;='設定'!$B$7,'設定'!$B$17,IF('設定'!$B$7-$O805&lt;='設定'!$B$12,'設定'!$B$18,IF('設定'!$B$7-$O805&lt;='設定'!$B$13,'設定'!$B$19,IF('設定'!$B$7-$O805&lt;='設定'!$B$14,'設定'!$B$20,'設定'!$B$21))))))</f>
        <v/>
      </c>
      <c r="V805" s="56" t="n"/>
      <c r="W805" s="32">
        <f>IF($C805="","",IFERROR(MATCH($C805,'得意先'!$B$5:$B$104,0),"なし"))</f>
        <v/>
      </c>
      <c r="X805" s="33">
        <f>IF($A805="","",IF(ISNUMBER($E805),$E805,IF(ISNUMBER($B805),$B805,"")))</f>
        <v/>
      </c>
      <c r="Y805" s="34">
        <f>IF($T805="","",$O805+ROW()/1000000)</f>
        <v/>
      </c>
      <c r="Z805" s="35">
        <f>IF(OR($A805="",$C805="",$C805&lt;&gt;'売掛帳'!$B$3,NOT(ISNUMBER($X805))),"",IF(AND($X805&gt;='売掛帳'!$Q$3,$X805&lt;='売掛帳'!$Q$4),$X805+ROW()/10000000,""))</f>
        <v/>
      </c>
    </row>
    <row r="806" ht="18" customHeight="1">
      <c r="A806" s="18" t="n"/>
      <c r="B806" s="26" t="n"/>
      <c r="C806" s="18" t="n"/>
      <c r="D806" s="20">
        <f>IF($W806="","",IF($W806="なし","※得意先にないコード",INDEX('得意先'!$C$5:$C$104,$W806)&amp;""))</f>
        <v/>
      </c>
      <c r="E806" s="26" t="n"/>
      <c r="F806" s="19" t="n"/>
      <c r="G806" s="27" t="n"/>
      <c r="H806" s="27" t="n"/>
      <c r="I806" s="27" t="n"/>
      <c r="J806" s="28">
        <f>IF($A806="","",IF('設定'!$B$10="四捨五入",ROUND(IF('設定'!$B$9="税込",N($G806)*10/110,N($G806)*10/100),0),IF('設定'!$B$10="切り上げ",ROUNDUP(IF('設定'!$B$9="税込",N($G806)*10/110,N($G806)*10/100),0),ROUNDDOWN(IF('設定'!$B$9="税込",N($G806)*10/110,N($G806)*10/100),0))))</f>
        <v/>
      </c>
      <c r="K806" s="28">
        <f>IF($A806="","",IF('設定'!$B$10="四捨五入",ROUND(IF('設定'!$B$9="税込",N($H806)*8/108,N($H806)*8/100),0),IF('設定'!$B$10="切り上げ",ROUNDUP(IF('設定'!$B$9="税込",N($H806)*8/108,N($H806)*8/100),0),ROUNDDOWN(IF('設定'!$B$9="税込",N($H806)*8/108,N($H806)*8/100),0))))</f>
        <v/>
      </c>
      <c r="L806" s="28">
        <f>IF($A806="","",N($G806)+N($H806)+N($I806)+IF('設定'!$B$9="税込",0,$J806+$K806))</f>
        <v/>
      </c>
      <c r="M806" s="29">
        <f>IF(OR($A806="",NOT(ISNUMBER($W806)),NOT(ISNUMBER($X806))),"",IF(OR(INDEX('得意先'!$D$5:$D$104,$W806)="",INDEX('得意先'!$E$5:$E$104,$W806)="",INDEX('得意先'!$F$5:$F$104,$W806)=""),"",IF(INDEX('得意先'!$F$5:$F$104,$W806)="末",DATE(YEAR($X806),(MONTH($X806)+IF(INDEX('得意先'!$D$5:$D$104,$W806)="末",0,IF(DAY($X806)&lt;=INDEX('得意先'!$D$5:$D$104,$W806),0,1))+N(INDEX('得意先'!$E$5:$E$104,$W806)))+1,0),DATE(YEAR($X806),(MONTH($X806)+IF(INDEX('得意先'!$D$5:$D$104,$W806)="末",0,IF(DAY($X806)&lt;=INDEX('得意先'!$D$5:$D$104,$W806),0,1))+N(INDEX('得意先'!$E$5:$E$104,$W806))),MIN(INDEX('得意先'!$F$5:$F$104,$W806),DAY(DATE(YEAR($X806),(MONTH($X806)+IF(INDEX('得意先'!$D$5:$D$104,$W806)="末",0,IF(DAY($X806)&lt;=INDEX('得意先'!$D$5:$D$104,$W806),0,1))+N(INDEX('得意先'!$E$5:$E$104,$W806)))+1,0)))))))</f>
        <v/>
      </c>
      <c r="N806" s="26" t="n"/>
      <c r="O806" s="29">
        <f>IF($A806="","",IF(ISNUMBER($N806),$N806,$M806))</f>
        <v/>
      </c>
      <c r="P806" s="28">
        <f>IF($A806="","",SUMIF('入金消込'!$F$5:$F$1004,$A806,'入金消込'!$G$5:$G$1004))</f>
        <v/>
      </c>
      <c r="Q806" s="28">
        <f>IF($A806="","",SUMIF('入金消込'!$F$5:$F$1004,$A806,'入金消込'!$H$5:$H$1004)+SUMIF('入金消込'!$F$5:$F$1004,$A806,'入金消込'!$I$5:$I$1004))</f>
        <v/>
      </c>
      <c r="R806" s="28">
        <f>IF($A806="","",$L806-$P806-$Q806)</f>
        <v/>
      </c>
      <c r="S806" s="30">
        <f>IF($A806="","",IF($R806=0,IF($L806=0,"請求額0","回収済"),IF($L806&lt;0,IF($R806&lt;0,"差し引き待ち","差し引きすぎ"),IF($R806&lt;0,"入金が多い",IF($P806+$Q806=0,"未入金","一部入金")))))</f>
        <v/>
      </c>
      <c r="T806" s="31">
        <f>IF(OR($A806="",N($R806)&lt;=0,NOT(ISNUMBER($O806))),"",IF($O806&lt;'設定'!$B$7,'設定'!$B$7-$O806,""))</f>
        <v/>
      </c>
      <c r="U806" s="30">
        <f>IF(OR($A806="",N($R806)&lt;=0),"",IF(NOT(ISNUMBER($O806)),'設定'!$B$22,IF($O806&gt;='設定'!$B$7,'設定'!$B$17,IF('設定'!$B$7-$O806&lt;='設定'!$B$12,'設定'!$B$18,IF('設定'!$B$7-$O806&lt;='設定'!$B$13,'設定'!$B$19,IF('設定'!$B$7-$O806&lt;='設定'!$B$14,'設定'!$B$20,'設定'!$B$21))))))</f>
        <v/>
      </c>
      <c r="V806" s="56" t="n"/>
      <c r="W806" s="32">
        <f>IF($C806="","",IFERROR(MATCH($C806,'得意先'!$B$5:$B$104,0),"なし"))</f>
        <v/>
      </c>
      <c r="X806" s="33">
        <f>IF($A806="","",IF(ISNUMBER($E806),$E806,IF(ISNUMBER($B806),$B806,"")))</f>
        <v/>
      </c>
      <c r="Y806" s="34">
        <f>IF($T806="","",$O806+ROW()/1000000)</f>
        <v/>
      </c>
      <c r="Z806" s="35">
        <f>IF(OR($A806="",$C806="",$C806&lt;&gt;'売掛帳'!$B$3,NOT(ISNUMBER($X806))),"",IF(AND($X806&gt;='売掛帳'!$Q$3,$X806&lt;='売掛帳'!$Q$4),$X806+ROW()/10000000,""))</f>
        <v/>
      </c>
    </row>
    <row r="807" ht="18" customHeight="1">
      <c r="A807" s="18" t="n"/>
      <c r="B807" s="26" t="n"/>
      <c r="C807" s="18" t="n"/>
      <c r="D807" s="20">
        <f>IF($W807="","",IF($W807="なし","※得意先にないコード",INDEX('得意先'!$C$5:$C$104,$W807)&amp;""))</f>
        <v/>
      </c>
      <c r="E807" s="26" t="n"/>
      <c r="F807" s="19" t="n"/>
      <c r="G807" s="27" t="n"/>
      <c r="H807" s="27" t="n"/>
      <c r="I807" s="27" t="n"/>
      <c r="J807" s="28">
        <f>IF($A807="","",IF('設定'!$B$10="四捨五入",ROUND(IF('設定'!$B$9="税込",N($G807)*10/110,N($G807)*10/100),0),IF('設定'!$B$10="切り上げ",ROUNDUP(IF('設定'!$B$9="税込",N($G807)*10/110,N($G807)*10/100),0),ROUNDDOWN(IF('設定'!$B$9="税込",N($G807)*10/110,N($G807)*10/100),0))))</f>
        <v/>
      </c>
      <c r="K807" s="28">
        <f>IF($A807="","",IF('設定'!$B$10="四捨五入",ROUND(IF('設定'!$B$9="税込",N($H807)*8/108,N($H807)*8/100),0),IF('設定'!$B$10="切り上げ",ROUNDUP(IF('設定'!$B$9="税込",N($H807)*8/108,N($H807)*8/100),0),ROUNDDOWN(IF('設定'!$B$9="税込",N($H807)*8/108,N($H807)*8/100),0))))</f>
        <v/>
      </c>
      <c r="L807" s="28">
        <f>IF($A807="","",N($G807)+N($H807)+N($I807)+IF('設定'!$B$9="税込",0,$J807+$K807))</f>
        <v/>
      </c>
      <c r="M807" s="29">
        <f>IF(OR($A807="",NOT(ISNUMBER($W807)),NOT(ISNUMBER($X807))),"",IF(OR(INDEX('得意先'!$D$5:$D$104,$W807)="",INDEX('得意先'!$E$5:$E$104,$W807)="",INDEX('得意先'!$F$5:$F$104,$W807)=""),"",IF(INDEX('得意先'!$F$5:$F$104,$W807)="末",DATE(YEAR($X807),(MONTH($X807)+IF(INDEX('得意先'!$D$5:$D$104,$W807)="末",0,IF(DAY($X807)&lt;=INDEX('得意先'!$D$5:$D$104,$W807),0,1))+N(INDEX('得意先'!$E$5:$E$104,$W807)))+1,0),DATE(YEAR($X807),(MONTH($X807)+IF(INDEX('得意先'!$D$5:$D$104,$W807)="末",0,IF(DAY($X807)&lt;=INDEX('得意先'!$D$5:$D$104,$W807),0,1))+N(INDEX('得意先'!$E$5:$E$104,$W807))),MIN(INDEX('得意先'!$F$5:$F$104,$W807),DAY(DATE(YEAR($X807),(MONTH($X807)+IF(INDEX('得意先'!$D$5:$D$104,$W807)="末",0,IF(DAY($X807)&lt;=INDEX('得意先'!$D$5:$D$104,$W807),0,1))+N(INDEX('得意先'!$E$5:$E$104,$W807)))+1,0)))))))</f>
        <v/>
      </c>
      <c r="N807" s="26" t="n"/>
      <c r="O807" s="29">
        <f>IF($A807="","",IF(ISNUMBER($N807),$N807,$M807))</f>
        <v/>
      </c>
      <c r="P807" s="28">
        <f>IF($A807="","",SUMIF('入金消込'!$F$5:$F$1004,$A807,'入金消込'!$G$5:$G$1004))</f>
        <v/>
      </c>
      <c r="Q807" s="28">
        <f>IF($A807="","",SUMIF('入金消込'!$F$5:$F$1004,$A807,'入金消込'!$H$5:$H$1004)+SUMIF('入金消込'!$F$5:$F$1004,$A807,'入金消込'!$I$5:$I$1004))</f>
        <v/>
      </c>
      <c r="R807" s="28">
        <f>IF($A807="","",$L807-$P807-$Q807)</f>
        <v/>
      </c>
      <c r="S807" s="30">
        <f>IF($A807="","",IF($R807=0,IF($L807=0,"請求額0","回収済"),IF($L807&lt;0,IF($R807&lt;0,"差し引き待ち","差し引きすぎ"),IF($R807&lt;0,"入金が多い",IF($P807+$Q807=0,"未入金","一部入金")))))</f>
        <v/>
      </c>
      <c r="T807" s="31">
        <f>IF(OR($A807="",N($R807)&lt;=0,NOT(ISNUMBER($O807))),"",IF($O807&lt;'設定'!$B$7,'設定'!$B$7-$O807,""))</f>
        <v/>
      </c>
      <c r="U807" s="30">
        <f>IF(OR($A807="",N($R807)&lt;=0),"",IF(NOT(ISNUMBER($O807)),'設定'!$B$22,IF($O807&gt;='設定'!$B$7,'設定'!$B$17,IF('設定'!$B$7-$O807&lt;='設定'!$B$12,'設定'!$B$18,IF('設定'!$B$7-$O807&lt;='設定'!$B$13,'設定'!$B$19,IF('設定'!$B$7-$O807&lt;='設定'!$B$14,'設定'!$B$20,'設定'!$B$21))))))</f>
        <v/>
      </c>
      <c r="V807" s="56" t="n"/>
      <c r="W807" s="32">
        <f>IF($C807="","",IFERROR(MATCH($C807,'得意先'!$B$5:$B$104,0),"なし"))</f>
        <v/>
      </c>
      <c r="X807" s="33">
        <f>IF($A807="","",IF(ISNUMBER($E807),$E807,IF(ISNUMBER($B807),$B807,"")))</f>
        <v/>
      </c>
      <c r="Y807" s="34">
        <f>IF($T807="","",$O807+ROW()/1000000)</f>
        <v/>
      </c>
      <c r="Z807" s="35">
        <f>IF(OR($A807="",$C807="",$C807&lt;&gt;'売掛帳'!$B$3,NOT(ISNUMBER($X807))),"",IF(AND($X807&gt;='売掛帳'!$Q$3,$X807&lt;='売掛帳'!$Q$4),$X807+ROW()/10000000,""))</f>
        <v/>
      </c>
    </row>
    <row r="808" ht="18" customHeight="1">
      <c r="A808" s="18" t="n"/>
      <c r="B808" s="26" t="n"/>
      <c r="C808" s="18" t="n"/>
      <c r="D808" s="20">
        <f>IF($W808="","",IF($W808="なし","※得意先にないコード",INDEX('得意先'!$C$5:$C$104,$W808)&amp;""))</f>
        <v/>
      </c>
      <c r="E808" s="26" t="n"/>
      <c r="F808" s="19" t="n"/>
      <c r="G808" s="27" t="n"/>
      <c r="H808" s="27" t="n"/>
      <c r="I808" s="27" t="n"/>
      <c r="J808" s="28">
        <f>IF($A808="","",IF('設定'!$B$10="四捨五入",ROUND(IF('設定'!$B$9="税込",N($G808)*10/110,N($G808)*10/100),0),IF('設定'!$B$10="切り上げ",ROUNDUP(IF('設定'!$B$9="税込",N($G808)*10/110,N($G808)*10/100),0),ROUNDDOWN(IF('設定'!$B$9="税込",N($G808)*10/110,N($G808)*10/100),0))))</f>
        <v/>
      </c>
      <c r="K808" s="28">
        <f>IF($A808="","",IF('設定'!$B$10="四捨五入",ROUND(IF('設定'!$B$9="税込",N($H808)*8/108,N($H808)*8/100),0),IF('設定'!$B$10="切り上げ",ROUNDUP(IF('設定'!$B$9="税込",N($H808)*8/108,N($H808)*8/100),0),ROUNDDOWN(IF('設定'!$B$9="税込",N($H808)*8/108,N($H808)*8/100),0))))</f>
        <v/>
      </c>
      <c r="L808" s="28">
        <f>IF($A808="","",N($G808)+N($H808)+N($I808)+IF('設定'!$B$9="税込",0,$J808+$K808))</f>
        <v/>
      </c>
      <c r="M808" s="29">
        <f>IF(OR($A808="",NOT(ISNUMBER($W808)),NOT(ISNUMBER($X808))),"",IF(OR(INDEX('得意先'!$D$5:$D$104,$W808)="",INDEX('得意先'!$E$5:$E$104,$W808)="",INDEX('得意先'!$F$5:$F$104,$W808)=""),"",IF(INDEX('得意先'!$F$5:$F$104,$W808)="末",DATE(YEAR($X808),(MONTH($X808)+IF(INDEX('得意先'!$D$5:$D$104,$W808)="末",0,IF(DAY($X808)&lt;=INDEX('得意先'!$D$5:$D$104,$W808),0,1))+N(INDEX('得意先'!$E$5:$E$104,$W808)))+1,0),DATE(YEAR($X808),(MONTH($X808)+IF(INDEX('得意先'!$D$5:$D$104,$W808)="末",0,IF(DAY($X808)&lt;=INDEX('得意先'!$D$5:$D$104,$W808),0,1))+N(INDEX('得意先'!$E$5:$E$104,$W808))),MIN(INDEX('得意先'!$F$5:$F$104,$W808),DAY(DATE(YEAR($X808),(MONTH($X808)+IF(INDEX('得意先'!$D$5:$D$104,$W808)="末",0,IF(DAY($X808)&lt;=INDEX('得意先'!$D$5:$D$104,$W808),0,1))+N(INDEX('得意先'!$E$5:$E$104,$W808)))+1,0)))))))</f>
        <v/>
      </c>
      <c r="N808" s="26" t="n"/>
      <c r="O808" s="29">
        <f>IF($A808="","",IF(ISNUMBER($N808),$N808,$M808))</f>
        <v/>
      </c>
      <c r="P808" s="28">
        <f>IF($A808="","",SUMIF('入金消込'!$F$5:$F$1004,$A808,'入金消込'!$G$5:$G$1004))</f>
        <v/>
      </c>
      <c r="Q808" s="28">
        <f>IF($A808="","",SUMIF('入金消込'!$F$5:$F$1004,$A808,'入金消込'!$H$5:$H$1004)+SUMIF('入金消込'!$F$5:$F$1004,$A808,'入金消込'!$I$5:$I$1004))</f>
        <v/>
      </c>
      <c r="R808" s="28">
        <f>IF($A808="","",$L808-$P808-$Q808)</f>
        <v/>
      </c>
      <c r="S808" s="30">
        <f>IF($A808="","",IF($R808=0,IF($L808=0,"請求額0","回収済"),IF($L808&lt;0,IF($R808&lt;0,"差し引き待ち","差し引きすぎ"),IF($R808&lt;0,"入金が多い",IF($P808+$Q808=0,"未入金","一部入金")))))</f>
        <v/>
      </c>
      <c r="T808" s="31">
        <f>IF(OR($A808="",N($R808)&lt;=0,NOT(ISNUMBER($O808))),"",IF($O808&lt;'設定'!$B$7,'設定'!$B$7-$O808,""))</f>
        <v/>
      </c>
      <c r="U808" s="30">
        <f>IF(OR($A808="",N($R808)&lt;=0),"",IF(NOT(ISNUMBER($O808)),'設定'!$B$22,IF($O808&gt;='設定'!$B$7,'設定'!$B$17,IF('設定'!$B$7-$O808&lt;='設定'!$B$12,'設定'!$B$18,IF('設定'!$B$7-$O808&lt;='設定'!$B$13,'設定'!$B$19,IF('設定'!$B$7-$O808&lt;='設定'!$B$14,'設定'!$B$20,'設定'!$B$21))))))</f>
        <v/>
      </c>
      <c r="V808" s="56" t="n"/>
      <c r="W808" s="32">
        <f>IF($C808="","",IFERROR(MATCH($C808,'得意先'!$B$5:$B$104,0),"なし"))</f>
        <v/>
      </c>
      <c r="X808" s="33">
        <f>IF($A808="","",IF(ISNUMBER($E808),$E808,IF(ISNUMBER($B808),$B808,"")))</f>
        <v/>
      </c>
      <c r="Y808" s="34">
        <f>IF($T808="","",$O808+ROW()/1000000)</f>
        <v/>
      </c>
      <c r="Z808" s="35">
        <f>IF(OR($A808="",$C808="",$C808&lt;&gt;'売掛帳'!$B$3,NOT(ISNUMBER($X808))),"",IF(AND($X808&gt;='売掛帳'!$Q$3,$X808&lt;='売掛帳'!$Q$4),$X808+ROW()/10000000,""))</f>
        <v/>
      </c>
    </row>
    <row r="809" ht="18" customHeight="1">
      <c r="A809" s="18" t="n"/>
      <c r="B809" s="26" t="n"/>
      <c r="C809" s="18" t="n"/>
      <c r="D809" s="20">
        <f>IF($W809="","",IF($W809="なし","※得意先にないコード",INDEX('得意先'!$C$5:$C$104,$W809)&amp;""))</f>
        <v/>
      </c>
      <c r="E809" s="26" t="n"/>
      <c r="F809" s="19" t="n"/>
      <c r="G809" s="27" t="n"/>
      <c r="H809" s="27" t="n"/>
      <c r="I809" s="27" t="n"/>
      <c r="J809" s="28">
        <f>IF($A809="","",IF('設定'!$B$10="四捨五入",ROUND(IF('設定'!$B$9="税込",N($G809)*10/110,N($G809)*10/100),0),IF('設定'!$B$10="切り上げ",ROUNDUP(IF('設定'!$B$9="税込",N($G809)*10/110,N($G809)*10/100),0),ROUNDDOWN(IF('設定'!$B$9="税込",N($G809)*10/110,N($G809)*10/100),0))))</f>
        <v/>
      </c>
      <c r="K809" s="28">
        <f>IF($A809="","",IF('設定'!$B$10="四捨五入",ROUND(IF('設定'!$B$9="税込",N($H809)*8/108,N($H809)*8/100),0),IF('設定'!$B$10="切り上げ",ROUNDUP(IF('設定'!$B$9="税込",N($H809)*8/108,N($H809)*8/100),0),ROUNDDOWN(IF('設定'!$B$9="税込",N($H809)*8/108,N($H809)*8/100),0))))</f>
        <v/>
      </c>
      <c r="L809" s="28">
        <f>IF($A809="","",N($G809)+N($H809)+N($I809)+IF('設定'!$B$9="税込",0,$J809+$K809))</f>
        <v/>
      </c>
      <c r="M809" s="29">
        <f>IF(OR($A809="",NOT(ISNUMBER($W809)),NOT(ISNUMBER($X809))),"",IF(OR(INDEX('得意先'!$D$5:$D$104,$W809)="",INDEX('得意先'!$E$5:$E$104,$W809)="",INDEX('得意先'!$F$5:$F$104,$W809)=""),"",IF(INDEX('得意先'!$F$5:$F$104,$W809)="末",DATE(YEAR($X809),(MONTH($X809)+IF(INDEX('得意先'!$D$5:$D$104,$W809)="末",0,IF(DAY($X809)&lt;=INDEX('得意先'!$D$5:$D$104,$W809),0,1))+N(INDEX('得意先'!$E$5:$E$104,$W809)))+1,0),DATE(YEAR($X809),(MONTH($X809)+IF(INDEX('得意先'!$D$5:$D$104,$W809)="末",0,IF(DAY($X809)&lt;=INDEX('得意先'!$D$5:$D$104,$W809),0,1))+N(INDEX('得意先'!$E$5:$E$104,$W809))),MIN(INDEX('得意先'!$F$5:$F$104,$W809),DAY(DATE(YEAR($X809),(MONTH($X809)+IF(INDEX('得意先'!$D$5:$D$104,$W809)="末",0,IF(DAY($X809)&lt;=INDEX('得意先'!$D$5:$D$104,$W809),0,1))+N(INDEX('得意先'!$E$5:$E$104,$W809)))+1,0)))))))</f>
        <v/>
      </c>
      <c r="N809" s="26" t="n"/>
      <c r="O809" s="29">
        <f>IF($A809="","",IF(ISNUMBER($N809),$N809,$M809))</f>
        <v/>
      </c>
      <c r="P809" s="28">
        <f>IF($A809="","",SUMIF('入金消込'!$F$5:$F$1004,$A809,'入金消込'!$G$5:$G$1004))</f>
        <v/>
      </c>
      <c r="Q809" s="28">
        <f>IF($A809="","",SUMIF('入金消込'!$F$5:$F$1004,$A809,'入金消込'!$H$5:$H$1004)+SUMIF('入金消込'!$F$5:$F$1004,$A809,'入金消込'!$I$5:$I$1004))</f>
        <v/>
      </c>
      <c r="R809" s="28">
        <f>IF($A809="","",$L809-$P809-$Q809)</f>
        <v/>
      </c>
      <c r="S809" s="30">
        <f>IF($A809="","",IF($R809=0,IF($L809=0,"請求額0","回収済"),IF($L809&lt;0,IF($R809&lt;0,"差し引き待ち","差し引きすぎ"),IF($R809&lt;0,"入金が多い",IF($P809+$Q809=0,"未入金","一部入金")))))</f>
        <v/>
      </c>
      <c r="T809" s="31">
        <f>IF(OR($A809="",N($R809)&lt;=0,NOT(ISNUMBER($O809))),"",IF($O809&lt;'設定'!$B$7,'設定'!$B$7-$O809,""))</f>
        <v/>
      </c>
      <c r="U809" s="30">
        <f>IF(OR($A809="",N($R809)&lt;=0),"",IF(NOT(ISNUMBER($O809)),'設定'!$B$22,IF($O809&gt;='設定'!$B$7,'設定'!$B$17,IF('設定'!$B$7-$O809&lt;='設定'!$B$12,'設定'!$B$18,IF('設定'!$B$7-$O809&lt;='設定'!$B$13,'設定'!$B$19,IF('設定'!$B$7-$O809&lt;='設定'!$B$14,'設定'!$B$20,'設定'!$B$21))))))</f>
        <v/>
      </c>
      <c r="V809" s="56" t="n"/>
      <c r="W809" s="32">
        <f>IF($C809="","",IFERROR(MATCH($C809,'得意先'!$B$5:$B$104,0),"なし"))</f>
        <v/>
      </c>
      <c r="X809" s="33">
        <f>IF($A809="","",IF(ISNUMBER($E809),$E809,IF(ISNUMBER($B809),$B809,"")))</f>
        <v/>
      </c>
      <c r="Y809" s="34">
        <f>IF($T809="","",$O809+ROW()/1000000)</f>
        <v/>
      </c>
      <c r="Z809" s="35">
        <f>IF(OR($A809="",$C809="",$C809&lt;&gt;'売掛帳'!$B$3,NOT(ISNUMBER($X809))),"",IF(AND($X809&gt;='売掛帳'!$Q$3,$X809&lt;='売掛帳'!$Q$4),$X809+ROW()/10000000,""))</f>
        <v/>
      </c>
    </row>
    <row r="810" ht="18" customHeight="1">
      <c r="A810" s="18" t="n"/>
      <c r="B810" s="26" t="n"/>
      <c r="C810" s="18" t="n"/>
      <c r="D810" s="20">
        <f>IF($W810="","",IF($W810="なし","※得意先にないコード",INDEX('得意先'!$C$5:$C$104,$W810)&amp;""))</f>
        <v/>
      </c>
      <c r="E810" s="26" t="n"/>
      <c r="F810" s="19" t="n"/>
      <c r="G810" s="27" t="n"/>
      <c r="H810" s="27" t="n"/>
      <c r="I810" s="27" t="n"/>
      <c r="J810" s="28">
        <f>IF($A810="","",IF('設定'!$B$10="四捨五入",ROUND(IF('設定'!$B$9="税込",N($G810)*10/110,N($G810)*10/100),0),IF('設定'!$B$10="切り上げ",ROUNDUP(IF('設定'!$B$9="税込",N($G810)*10/110,N($G810)*10/100),0),ROUNDDOWN(IF('設定'!$B$9="税込",N($G810)*10/110,N($G810)*10/100),0))))</f>
        <v/>
      </c>
      <c r="K810" s="28">
        <f>IF($A810="","",IF('設定'!$B$10="四捨五入",ROUND(IF('設定'!$B$9="税込",N($H810)*8/108,N($H810)*8/100),0),IF('設定'!$B$10="切り上げ",ROUNDUP(IF('設定'!$B$9="税込",N($H810)*8/108,N($H810)*8/100),0),ROUNDDOWN(IF('設定'!$B$9="税込",N($H810)*8/108,N($H810)*8/100),0))))</f>
        <v/>
      </c>
      <c r="L810" s="28">
        <f>IF($A810="","",N($G810)+N($H810)+N($I810)+IF('設定'!$B$9="税込",0,$J810+$K810))</f>
        <v/>
      </c>
      <c r="M810" s="29">
        <f>IF(OR($A810="",NOT(ISNUMBER($W810)),NOT(ISNUMBER($X810))),"",IF(OR(INDEX('得意先'!$D$5:$D$104,$W810)="",INDEX('得意先'!$E$5:$E$104,$W810)="",INDEX('得意先'!$F$5:$F$104,$W810)=""),"",IF(INDEX('得意先'!$F$5:$F$104,$W810)="末",DATE(YEAR($X810),(MONTH($X810)+IF(INDEX('得意先'!$D$5:$D$104,$W810)="末",0,IF(DAY($X810)&lt;=INDEX('得意先'!$D$5:$D$104,$W810),0,1))+N(INDEX('得意先'!$E$5:$E$104,$W810)))+1,0),DATE(YEAR($X810),(MONTH($X810)+IF(INDEX('得意先'!$D$5:$D$104,$W810)="末",0,IF(DAY($X810)&lt;=INDEX('得意先'!$D$5:$D$104,$W810),0,1))+N(INDEX('得意先'!$E$5:$E$104,$W810))),MIN(INDEX('得意先'!$F$5:$F$104,$W810),DAY(DATE(YEAR($X810),(MONTH($X810)+IF(INDEX('得意先'!$D$5:$D$104,$W810)="末",0,IF(DAY($X810)&lt;=INDEX('得意先'!$D$5:$D$104,$W810),0,1))+N(INDEX('得意先'!$E$5:$E$104,$W810)))+1,0)))))))</f>
        <v/>
      </c>
      <c r="N810" s="26" t="n"/>
      <c r="O810" s="29">
        <f>IF($A810="","",IF(ISNUMBER($N810),$N810,$M810))</f>
        <v/>
      </c>
      <c r="P810" s="28">
        <f>IF($A810="","",SUMIF('入金消込'!$F$5:$F$1004,$A810,'入金消込'!$G$5:$G$1004))</f>
        <v/>
      </c>
      <c r="Q810" s="28">
        <f>IF($A810="","",SUMIF('入金消込'!$F$5:$F$1004,$A810,'入金消込'!$H$5:$H$1004)+SUMIF('入金消込'!$F$5:$F$1004,$A810,'入金消込'!$I$5:$I$1004))</f>
        <v/>
      </c>
      <c r="R810" s="28">
        <f>IF($A810="","",$L810-$P810-$Q810)</f>
        <v/>
      </c>
      <c r="S810" s="30">
        <f>IF($A810="","",IF($R810=0,IF($L810=0,"請求額0","回収済"),IF($L810&lt;0,IF($R810&lt;0,"差し引き待ち","差し引きすぎ"),IF($R810&lt;0,"入金が多い",IF($P810+$Q810=0,"未入金","一部入金")))))</f>
        <v/>
      </c>
      <c r="T810" s="31">
        <f>IF(OR($A810="",N($R810)&lt;=0,NOT(ISNUMBER($O810))),"",IF($O810&lt;'設定'!$B$7,'設定'!$B$7-$O810,""))</f>
        <v/>
      </c>
      <c r="U810" s="30">
        <f>IF(OR($A810="",N($R810)&lt;=0),"",IF(NOT(ISNUMBER($O810)),'設定'!$B$22,IF($O810&gt;='設定'!$B$7,'設定'!$B$17,IF('設定'!$B$7-$O810&lt;='設定'!$B$12,'設定'!$B$18,IF('設定'!$B$7-$O810&lt;='設定'!$B$13,'設定'!$B$19,IF('設定'!$B$7-$O810&lt;='設定'!$B$14,'設定'!$B$20,'設定'!$B$21))))))</f>
        <v/>
      </c>
      <c r="V810" s="56" t="n"/>
      <c r="W810" s="32">
        <f>IF($C810="","",IFERROR(MATCH($C810,'得意先'!$B$5:$B$104,0),"なし"))</f>
        <v/>
      </c>
      <c r="X810" s="33">
        <f>IF($A810="","",IF(ISNUMBER($E810),$E810,IF(ISNUMBER($B810),$B810,"")))</f>
        <v/>
      </c>
      <c r="Y810" s="34">
        <f>IF($T810="","",$O810+ROW()/1000000)</f>
        <v/>
      </c>
      <c r="Z810" s="35">
        <f>IF(OR($A810="",$C810="",$C810&lt;&gt;'売掛帳'!$B$3,NOT(ISNUMBER($X810))),"",IF(AND($X810&gt;='売掛帳'!$Q$3,$X810&lt;='売掛帳'!$Q$4),$X810+ROW()/10000000,""))</f>
        <v/>
      </c>
    </row>
    <row r="811" ht="18" customHeight="1">
      <c r="A811" s="18" t="n"/>
      <c r="B811" s="26" t="n"/>
      <c r="C811" s="18" t="n"/>
      <c r="D811" s="20">
        <f>IF($W811="","",IF($W811="なし","※得意先にないコード",INDEX('得意先'!$C$5:$C$104,$W811)&amp;""))</f>
        <v/>
      </c>
      <c r="E811" s="26" t="n"/>
      <c r="F811" s="19" t="n"/>
      <c r="G811" s="27" t="n"/>
      <c r="H811" s="27" t="n"/>
      <c r="I811" s="27" t="n"/>
      <c r="J811" s="28">
        <f>IF($A811="","",IF('設定'!$B$10="四捨五入",ROUND(IF('設定'!$B$9="税込",N($G811)*10/110,N($G811)*10/100),0),IF('設定'!$B$10="切り上げ",ROUNDUP(IF('設定'!$B$9="税込",N($G811)*10/110,N($G811)*10/100),0),ROUNDDOWN(IF('設定'!$B$9="税込",N($G811)*10/110,N($G811)*10/100),0))))</f>
        <v/>
      </c>
      <c r="K811" s="28">
        <f>IF($A811="","",IF('設定'!$B$10="四捨五入",ROUND(IF('設定'!$B$9="税込",N($H811)*8/108,N($H811)*8/100),0),IF('設定'!$B$10="切り上げ",ROUNDUP(IF('設定'!$B$9="税込",N($H811)*8/108,N($H811)*8/100),0),ROUNDDOWN(IF('設定'!$B$9="税込",N($H811)*8/108,N($H811)*8/100),0))))</f>
        <v/>
      </c>
      <c r="L811" s="28">
        <f>IF($A811="","",N($G811)+N($H811)+N($I811)+IF('設定'!$B$9="税込",0,$J811+$K811))</f>
        <v/>
      </c>
      <c r="M811" s="29">
        <f>IF(OR($A811="",NOT(ISNUMBER($W811)),NOT(ISNUMBER($X811))),"",IF(OR(INDEX('得意先'!$D$5:$D$104,$W811)="",INDEX('得意先'!$E$5:$E$104,$W811)="",INDEX('得意先'!$F$5:$F$104,$W811)=""),"",IF(INDEX('得意先'!$F$5:$F$104,$W811)="末",DATE(YEAR($X811),(MONTH($X811)+IF(INDEX('得意先'!$D$5:$D$104,$W811)="末",0,IF(DAY($X811)&lt;=INDEX('得意先'!$D$5:$D$104,$W811),0,1))+N(INDEX('得意先'!$E$5:$E$104,$W811)))+1,0),DATE(YEAR($X811),(MONTH($X811)+IF(INDEX('得意先'!$D$5:$D$104,$W811)="末",0,IF(DAY($X811)&lt;=INDEX('得意先'!$D$5:$D$104,$W811),0,1))+N(INDEX('得意先'!$E$5:$E$104,$W811))),MIN(INDEX('得意先'!$F$5:$F$104,$W811),DAY(DATE(YEAR($X811),(MONTH($X811)+IF(INDEX('得意先'!$D$5:$D$104,$W811)="末",0,IF(DAY($X811)&lt;=INDEX('得意先'!$D$5:$D$104,$W811),0,1))+N(INDEX('得意先'!$E$5:$E$104,$W811)))+1,0)))))))</f>
        <v/>
      </c>
      <c r="N811" s="26" t="n"/>
      <c r="O811" s="29">
        <f>IF($A811="","",IF(ISNUMBER($N811),$N811,$M811))</f>
        <v/>
      </c>
      <c r="P811" s="28">
        <f>IF($A811="","",SUMIF('入金消込'!$F$5:$F$1004,$A811,'入金消込'!$G$5:$G$1004))</f>
        <v/>
      </c>
      <c r="Q811" s="28">
        <f>IF($A811="","",SUMIF('入金消込'!$F$5:$F$1004,$A811,'入金消込'!$H$5:$H$1004)+SUMIF('入金消込'!$F$5:$F$1004,$A811,'入金消込'!$I$5:$I$1004))</f>
        <v/>
      </c>
      <c r="R811" s="28">
        <f>IF($A811="","",$L811-$P811-$Q811)</f>
        <v/>
      </c>
      <c r="S811" s="30">
        <f>IF($A811="","",IF($R811=0,IF($L811=0,"請求額0","回収済"),IF($L811&lt;0,IF($R811&lt;0,"差し引き待ち","差し引きすぎ"),IF($R811&lt;0,"入金が多い",IF($P811+$Q811=0,"未入金","一部入金")))))</f>
        <v/>
      </c>
      <c r="T811" s="31">
        <f>IF(OR($A811="",N($R811)&lt;=0,NOT(ISNUMBER($O811))),"",IF($O811&lt;'設定'!$B$7,'設定'!$B$7-$O811,""))</f>
        <v/>
      </c>
      <c r="U811" s="30">
        <f>IF(OR($A811="",N($R811)&lt;=0),"",IF(NOT(ISNUMBER($O811)),'設定'!$B$22,IF($O811&gt;='設定'!$B$7,'設定'!$B$17,IF('設定'!$B$7-$O811&lt;='設定'!$B$12,'設定'!$B$18,IF('設定'!$B$7-$O811&lt;='設定'!$B$13,'設定'!$B$19,IF('設定'!$B$7-$O811&lt;='設定'!$B$14,'設定'!$B$20,'設定'!$B$21))))))</f>
        <v/>
      </c>
      <c r="V811" s="56" t="n"/>
      <c r="W811" s="32">
        <f>IF($C811="","",IFERROR(MATCH($C811,'得意先'!$B$5:$B$104,0),"なし"))</f>
        <v/>
      </c>
      <c r="X811" s="33">
        <f>IF($A811="","",IF(ISNUMBER($E811),$E811,IF(ISNUMBER($B811),$B811,"")))</f>
        <v/>
      </c>
      <c r="Y811" s="34">
        <f>IF($T811="","",$O811+ROW()/1000000)</f>
        <v/>
      </c>
      <c r="Z811" s="35">
        <f>IF(OR($A811="",$C811="",$C811&lt;&gt;'売掛帳'!$B$3,NOT(ISNUMBER($X811))),"",IF(AND($X811&gt;='売掛帳'!$Q$3,$X811&lt;='売掛帳'!$Q$4),$X811+ROW()/10000000,""))</f>
        <v/>
      </c>
    </row>
    <row r="812" ht="18" customHeight="1">
      <c r="A812" s="18" t="n"/>
      <c r="B812" s="26" t="n"/>
      <c r="C812" s="18" t="n"/>
      <c r="D812" s="20">
        <f>IF($W812="","",IF($W812="なし","※得意先にないコード",INDEX('得意先'!$C$5:$C$104,$W812)&amp;""))</f>
        <v/>
      </c>
      <c r="E812" s="26" t="n"/>
      <c r="F812" s="19" t="n"/>
      <c r="G812" s="27" t="n"/>
      <c r="H812" s="27" t="n"/>
      <c r="I812" s="27" t="n"/>
      <c r="J812" s="28">
        <f>IF($A812="","",IF('設定'!$B$10="四捨五入",ROUND(IF('設定'!$B$9="税込",N($G812)*10/110,N($G812)*10/100),0),IF('設定'!$B$10="切り上げ",ROUNDUP(IF('設定'!$B$9="税込",N($G812)*10/110,N($G812)*10/100),0),ROUNDDOWN(IF('設定'!$B$9="税込",N($G812)*10/110,N($G812)*10/100),0))))</f>
        <v/>
      </c>
      <c r="K812" s="28">
        <f>IF($A812="","",IF('設定'!$B$10="四捨五入",ROUND(IF('設定'!$B$9="税込",N($H812)*8/108,N($H812)*8/100),0),IF('設定'!$B$10="切り上げ",ROUNDUP(IF('設定'!$B$9="税込",N($H812)*8/108,N($H812)*8/100),0),ROUNDDOWN(IF('設定'!$B$9="税込",N($H812)*8/108,N($H812)*8/100),0))))</f>
        <v/>
      </c>
      <c r="L812" s="28">
        <f>IF($A812="","",N($G812)+N($H812)+N($I812)+IF('設定'!$B$9="税込",0,$J812+$K812))</f>
        <v/>
      </c>
      <c r="M812" s="29">
        <f>IF(OR($A812="",NOT(ISNUMBER($W812)),NOT(ISNUMBER($X812))),"",IF(OR(INDEX('得意先'!$D$5:$D$104,$W812)="",INDEX('得意先'!$E$5:$E$104,$W812)="",INDEX('得意先'!$F$5:$F$104,$W812)=""),"",IF(INDEX('得意先'!$F$5:$F$104,$W812)="末",DATE(YEAR($X812),(MONTH($X812)+IF(INDEX('得意先'!$D$5:$D$104,$W812)="末",0,IF(DAY($X812)&lt;=INDEX('得意先'!$D$5:$D$104,$W812),0,1))+N(INDEX('得意先'!$E$5:$E$104,$W812)))+1,0),DATE(YEAR($X812),(MONTH($X812)+IF(INDEX('得意先'!$D$5:$D$104,$W812)="末",0,IF(DAY($X812)&lt;=INDEX('得意先'!$D$5:$D$104,$W812),0,1))+N(INDEX('得意先'!$E$5:$E$104,$W812))),MIN(INDEX('得意先'!$F$5:$F$104,$W812),DAY(DATE(YEAR($X812),(MONTH($X812)+IF(INDEX('得意先'!$D$5:$D$104,$W812)="末",0,IF(DAY($X812)&lt;=INDEX('得意先'!$D$5:$D$104,$W812),0,1))+N(INDEX('得意先'!$E$5:$E$104,$W812)))+1,0)))))))</f>
        <v/>
      </c>
      <c r="N812" s="26" t="n"/>
      <c r="O812" s="29">
        <f>IF($A812="","",IF(ISNUMBER($N812),$N812,$M812))</f>
        <v/>
      </c>
      <c r="P812" s="28">
        <f>IF($A812="","",SUMIF('入金消込'!$F$5:$F$1004,$A812,'入金消込'!$G$5:$G$1004))</f>
        <v/>
      </c>
      <c r="Q812" s="28">
        <f>IF($A812="","",SUMIF('入金消込'!$F$5:$F$1004,$A812,'入金消込'!$H$5:$H$1004)+SUMIF('入金消込'!$F$5:$F$1004,$A812,'入金消込'!$I$5:$I$1004))</f>
        <v/>
      </c>
      <c r="R812" s="28">
        <f>IF($A812="","",$L812-$P812-$Q812)</f>
        <v/>
      </c>
      <c r="S812" s="30">
        <f>IF($A812="","",IF($R812=0,IF($L812=0,"請求額0","回収済"),IF($L812&lt;0,IF($R812&lt;0,"差し引き待ち","差し引きすぎ"),IF($R812&lt;0,"入金が多い",IF($P812+$Q812=0,"未入金","一部入金")))))</f>
        <v/>
      </c>
      <c r="T812" s="31">
        <f>IF(OR($A812="",N($R812)&lt;=0,NOT(ISNUMBER($O812))),"",IF($O812&lt;'設定'!$B$7,'設定'!$B$7-$O812,""))</f>
        <v/>
      </c>
      <c r="U812" s="30">
        <f>IF(OR($A812="",N($R812)&lt;=0),"",IF(NOT(ISNUMBER($O812)),'設定'!$B$22,IF($O812&gt;='設定'!$B$7,'設定'!$B$17,IF('設定'!$B$7-$O812&lt;='設定'!$B$12,'設定'!$B$18,IF('設定'!$B$7-$O812&lt;='設定'!$B$13,'設定'!$B$19,IF('設定'!$B$7-$O812&lt;='設定'!$B$14,'設定'!$B$20,'設定'!$B$21))))))</f>
        <v/>
      </c>
      <c r="V812" s="56" t="n"/>
      <c r="W812" s="32">
        <f>IF($C812="","",IFERROR(MATCH($C812,'得意先'!$B$5:$B$104,0),"なし"))</f>
        <v/>
      </c>
      <c r="X812" s="33">
        <f>IF($A812="","",IF(ISNUMBER($E812),$E812,IF(ISNUMBER($B812),$B812,"")))</f>
        <v/>
      </c>
      <c r="Y812" s="34">
        <f>IF($T812="","",$O812+ROW()/1000000)</f>
        <v/>
      </c>
      <c r="Z812" s="35">
        <f>IF(OR($A812="",$C812="",$C812&lt;&gt;'売掛帳'!$B$3,NOT(ISNUMBER($X812))),"",IF(AND($X812&gt;='売掛帳'!$Q$3,$X812&lt;='売掛帳'!$Q$4),$X812+ROW()/10000000,""))</f>
        <v/>
      </c>
    </row>
    <row r="813" ht="18" customHeight="1">
      <c r="A813" s="18" t="n"/>
      <c r="B813" s="26" t="n"/>
      <c r="C813" s="18" t="n"/>
      <c r="D813" s="20">
        <f>IF($W813="","",IF($W813="なし","※得意先にないコード",INDEX('得意先'!$C$5:$C$104,$W813)&amp;""))</f>
        <v/>
      </c>
      <c r="E813" s="26" t="n"/>
      <c r="F813" s="19" t="n"/>
      <c r="G813" s="27" t="n"/>
      <c r="H813" s="27" t="n"/>
      <c r="I813" s="27" t="n"/>
      <c r="J813" s="28">
        <f>IF($A813="","",IF('設定'!$B$10="四捨五入",ROUND(IF('設定'!$B$9="税込",N($G813)*10/110,N($G813)*10/100),0),IF('設定'!$B$10="切り上げ",ROUNDUP(IF('設定'!$B$9="税込",N($G813)*10/110,N($G813)*10/100),0),ROUNDDOWN(IF('設定'!$B$9="税込",N($G813)*10/110,N($G813)*10/100),0))))</f>
        <v/>
      </c>
      <c r="K813" s="28">
        <f>IF($A813="","",IF('設定'!$B$10="四捨五入",ROUND(IF('設定'!$B$9="税込",N($H813)*8/108,N($H813)*8/100),0),IF('設定'!$B$10="切り上げ",ROUNDUP(IF('設定'!$B$9="税込",N($H813)*8/108,N($H813)*8/100),0),ROUNDDOWN(IF('設定'!$B$9="税込",N($H813)*8/108,N($H813)*8/100),0))))</f>
        <v/>
      </c>
      <c r="L813" s="28">
        <f>IF($A813="","",N($G813)+N($H813)+N($I813)+IF('設定'!$B$9="税込",0,$J813+$K813))</f>
        <v/>
      </c>
      <c r="M813" s="29">
        <f>IF(OR($A813="",NOT(ISNUMBER($W813)),NOT(ISNUMBER($X813))),"",IF(OR(INDEX('得意先'!$D$5:$D$104,$W813)="",INDEX('得意先'!$E$5:$E$104,$W813)="",INDEX('得意先'!$F$5:$F$104,$W813)=""),"",IF(INDEX('得意先'!$F$5:$F$104,$W813)="末",DATE(YEAR($X813),(MONTH($X813)+IF(INDEX('得意先'!$D$5:$D$104,$W813)="末",0,IF(DAY($X813)&lt;=INDEX('得意先'!$D$5:$D$104,$W813),0,1))+N(INDEX('得意先'!$E$5:$E$104,$W813)))+1,0),DATE(YEAR($X813),(MONTH($X813)+IF(INDEX('得意先'!$D$5:$D$104,$W813)="末",0,IF(DAY($X813)&lt;=INDEX('得意先'!$D$5:$D$104,$W813),0,1))+N(INDEX('得意先'!$E$5:$E$104,$W813))),MIN(INDEX('得意先'!$F$5:$F$104,$W813),DAY(DATE(YEAR($X813),(MONTH($X813)+IF(INDEX('得意先'!$D$5:$D$104,$W813)="末",0,IF(DAY($X813)&lt;=INDEX('得意先'!$D$5:$D$104,$W813),0,1))+N(INDEX('得意先'!$E$5:$E$104,$W813)))+1,0)))))))</f>
        <v/>
      </c>
      <c r="N813" s="26" t="n"/>
      <c r="O813" s="29">
        <f>IF($A813="","",IF(ISNUMBER($N813),$N813,$M813))</f>
        <v/>
      </c>
      <c r="P813" s="28">
        <f>IF($A813="","",SUMIF('入金消込'!$F$5:$F$1004,$A813,'入金消込'!$G$5:$G$1004))</f>
        <v/>
      </c>
      <c r="Q813" s="28">
        <f>IF($A813="","",SUMIF('入金消込'!$F$5:$F$1004,$A813,'入金消込'!$H$5:$H$1004)+SUMIF('入金消込'!$F$5:$F$1004,$A813,'入金消込'!$I$5:$I$1004))</f>
        <v/>
      </c>
      <c r="R813" s="28">
        <f>IF($A813="","",$L813-$P813-$Q813)</f>
        <v/>
      </c>
      <c r="S813" s="30">
        <f>IF($A813="","",IF($R813=0,IF($L813=0,"請求額0","回収済"),IF($L813&lt;0,IF($R813&lt;0,"差し引き待ち","差し引きすぎ"),IF($R813&lt;0,"入金が多い",IF($P813+$Q813=0,"未入金","一部入金")))))</f>
        <v/>
      </c>
      <c r="T813" s="31">
        <f>IF(OR($A813="",N($R813)&lt;=0,NOT(ISNUMBER($O813))),"",IF($O813&lt;'設定'!$B$7,'設定'!$B$7-$O813,""))</f>
        <v/>
      </c>
      <c r="U813" s="30">
        <f>IF(OR($A813="",N($R813)&lt;=0),"",IF(NOT(ISNUMBER($O813)),'設定'!$B$22,IF($O813&gt;='設定'!$B$7,'設定'!$B$17,IF('設定'!$B$7-$O813&lt;='設定'!$B$12,'設定'!$B$18,IF('設定'!$B$7-$O813&lt;='設定'!$B$13,'設定'!$B$19,IF('設定'!$B$7-$O813&lt;='設定'!$B$14,'設定'!$B$20,'設定'!$B$21))))))</f>
        <v/>
      </c>
      <c r="V813" s="56" t="n"/>
      <c r="W813" s="32">
        <f>IF($C813="","",IFERROR(MATCH($C813,'得意先'!$B$5:$B$104,0),"なし"))</f>
        <v/>
      </c>
      <c r="X813" s="33">
        <f>IF($A813="","",IF(ISNUMBER($E813),$E813,IF(ISNUMBER($B813),$B813,"")))</f>
        <v/>
      </c>
      <c r="Y813" s="34">
        <f>IF($T813="","",$O813+ROW()/1000000)</f>
        <v/>
      </c>
      <c r="Z813" s="35">
        <f>IF(OR($A813="",$C813="",$C813&lt;&gt;'売掛帳'!$B$3,NOT(ISNUMBER($X813))),"",IF(AND($X813&gt;='売掛帳'!$Q$3,$X813&lt;='売掛帳'!$Q$4),$X813+ROW()/10000000,""))</f>
        <v/>
      </c>
    </row>
    <row r="814" ht="18" customHeight="1">
      <c r="A814" s="18" t="n"/>
      <c r="B814" s="26" t="n"/>
      <c r="C814" s="18" t="n"/>
      <c r="D814" s="20">
        <f>IF($W814="","",IF($W814="なし","※得意先にないコード",INDEX('得意先'!$C$5:$C$104,$W814)&amp;""))</f>
        <v/>
      </c>
      <c r="E814" s="26" t="n"/>
      <c r="F814" s="19" t="n"/>
      <c r="G814" s="27" t="n"/>
      <c r="H814" s="27" t="n"/>
      <c r="I814" s="27" t="n"/>
      <c r="J814" s="28">
        <f>IF($A814="","",IF('設定'!$B$10="四捨五入",ROUND(IF('設定'!$B$9="税込",N($G814)*10/110,N($G814)*10/100),0),IF('設定'!$B$10="切り上げ",ROUNDUP(IF('設定'!$B$9="税込",N($G814)*10/110,N($G814)*10/100),0),ROUNDDOWN(IF('設定'!$B$9="税込",N($G814)*10/110,N($G814)*10/100),0))))</f>
        <v/>
      </c>
      <c r="K814" s="28">
        <f>IF($A814="","",IF('設定'!$B$10="四捨五入",ROUND(IF('設定'!$B$9="税込",N($H814)*8/108,N($H814)*8/100),0),IF('設定'!$B$10="切り上げ",ROUNDUP(IF('設定'!$B$9="税込",N($H814)*8/108,N($H814)*8/100),0),ROUNDDOWN(IF('設定'!$B$9="税込",N($H814)*8/108,N($H814)*8/100),0))))</f>
        <v/>
      </c>
      <c r="L814" s="28">
        <f>IF($A814="","",N($G814)+N($H814)+N($I814)+IF('設定'!$B$9="税込",0,$J814+$K814))</f>
        <v/>
      </c>
      <c r="M814" s="29">
        <f>IF(OR($A814="",NOT(ISNUMBER($W814)),NOT(ISNUMBER($X814))),"",IF(OR(INDEX('得意先'!$D$5:$D$104,$W814)="",INDEX('得意先'!$E$5:$E$104,$W814)="",INDEX('得意先'!$F$5:$F$104,$W814)=""),"",IF(INDEX('得意先'!$F$5:$F$104,$W814)="末",DATE(YEAR($X814),(MONTH($X814)+IF(INDEX('得意先'!$D$5:$D$104,$W814)="末",0,IF(DAY($X814)&lt;=INDEX('得意先'!$D$5:$D$104,$W814),0,1))+N(INDEX('得意先'!$E$5:$E$104,$W814)))+1,0),DATE(YEAR($X814),(MONTH($X814)+IF(INDEX('得意先'!$D$5:$D$104,$W814)="末",0,IF(DAY($X814)&lt;=INDEX('得意先'!$D$5:$D$104,$W814),0,1))+N(INDEX('得意先'!$E$5:$E$104,$W814))),MIN(INDEX('得意先'!$F$5:$F$104,$W814),DAY(DATE(YEAR($X814),(MONTH($X814)+IF(INDEX('得意先'!$D$5:$D$104,$W814)="末",0,IF(DAY($X814)&lt;=INDEX('得意先'!$D$5:$D$104,$W814),0,1))+N(INDEX('得意先'!$E$5:$E$104,$W814)))+1,0)))))))</f>
        <v/>
      </c>
      <c r="N814" s="26" t="n"/>
      <c r="O814" s="29">
        <f>IF($A814="","",IF(ISNUMBER($N814),$N814,$M814))</f>
        <v/>
      </c>
      <c r="P814" s="28">
        <f>IF($A814="","",SUMIF('入金消込'!$F$5:$F$1004,$A814,'入金消込'!$G$5:$G$1004))</f>
        <v/>
      </c>
      <c r="Q814" s="28">
        <f>IF($A814="","",SUMIF('入金消込'!$F$5:$F$1004,$A814,'入金消込'!$H$5:$H$1004)+SUMIF('入金消込'!$F$5:$F$1004,$A814,'入金消込'!$I$5:$I$1004))</f>
        <v/>
      </c>
      <c r="R814" s="28">
        <f>IF($A814="","",$L814-$P814-$Q814)</f>
        <v/>
      </c>
      <c r="S814" s="30">
        <f>IF($A814="","",IF($R814=0,IF($L814=0,"請求額0","回収済"),IF($L814&lt;0,IF($R814&lt;0,"差し引き待ち","差し引きすぎ"),IF($R814&lt;0,"入金が多い",IF($P814+$Q814=0,"未入金","一部入金")))))</f>
        <v/>
      </c>
      <c r="T814" s="31">
        <f>IF(OR($A814="",N($R814)&lt;=0,NOT(ISNUMBER($O814))),"",IF($O814&lt;'設定'!$B$7,'設定'!$B$7-$O814,""))</f>
        <v/>
      </c>
      <c r="U814" s="30">
        <f>IF(OR($A814="",N($R814)&lt;=0),"",IF(NOT(ISNUMBER($O814)),'設定'!$B$22,IF($O814&gt;='設定'!$B$7,'設定'!$B$17,IF('設定'!$B$7-$O814&lt;='設定'!$B$12,'設定'!$B$18,IF('設定'!$B$7-$O814&lt;='設定'!$B$13,'設定'!$B$19,IF('設定'!$B$7-$O814&lt;='設定'!$B$14,'設定'!$B$20,'設定'!$B$21))))))</f>
        <v/>
      </c>
      <c r="V814" s="56" t="n"/>
      <c r="W814" s="32">
        <f>IF($C814="","",IFERROR(MATCH($C814,'得意先'!$B$5:$B$104,0),"なし"))</f>
        <v/>
      </c>
      <c r="X814" s="33">
        <f>IF($A814="","",IF(ISNUMBER($E814),$E814,IF(ISNUMBER($B814),$B814,"")))</f>
        <v/>
      </c>
      <c r="Y814" s="34">
        <f>IF($T814="","",$O814+ROW()/1000000)</f>
        <v/>
      </c>
      <c r="Z814" s="35">
        <f>IF(OR($A814="",$C814="",$C814&lt;&gt;'売掛帳'!$B$3,NOT(ISNUMBER($X814))),"",IF(AND($X814&gt;='売掛帳'!$Q$3,$X814&lt;='売掛帳'!$Q$4),$X814+ROW()/10000000,""))</f>
        <v/>
      </c>
    </row>
    <row r="815" ht="18" customHeight="1">
      <c r="A815" s="18" t="n"/>
      <c r="B815" s="26" t="n"/>
      <c r="C815" s="18" t="n"/>
      <c r="D815" s="20">
        <f>IF($W815="","",IF($W815="なし","※得意先にないコード",INDEX('得意先'!$C$5:$C$104,$W815)&amp;""))</f>
        <v/>
      </c>
      <c r="E815" s="26" t="n"/>
      <c r="F815" s="19" t="n"/>
      <c r="G815" s="27" t="n"/>
      <c r="H815" s="27" t="n"/>
      <c r="I815" s="27" t="n"/>
      <c r="J815" s="28">
        <f>IF($A815="","",IF('設定'!$B$10="四捨五入",ROUND(IF('設定'!$B$9="税込",N($G815)*10/110,N($G815)*10/100),0),IF('設定'!$B$10="切り上げ",ROUNDUP(IF('設定'!$B$9="税込",N($G815)*10/110,N($G815)*10/100),0),ROUNDDOWN(IF('設定'!$B$9="税込",N($G815)*10/110,N($G815)*10/100),0))))</f>
        <v/>
      </c>
      <c r="K815" s="28">
        <f>IF($A815="","",IF('設定'!$B$10="四捨五入",ROUND(IF('設定'!$B$9="税込",N($H815)*8/108,N($H815)*8/100),0),IF('設定'!$B$10="切り上げ",ROUNDUP(IF('設定'!$B$9="税込",N($H815)*8/108,N($H815)*8/100),0),ROUNDDOWN(IF('設定'!$B$9="税込",N($H815)*8/108,N($H815)*8/100),0))))</f>
        <v/>
      </c>
      <c r="L815" s="28">
        <f>IF($A815="","",N($G815)+N($H815)+N($I815)+IF('設定'!$B$9="税込",0,$J815+$K815))</f>
        <v/>
      </c>
      <c r="M815" s="29">
        <f>IF(OR($A815="",NOT(ISNUMBER($W815)),NOT(ISNUMBER($X815))),"",IF(OR(INDEX('得意先'!$D$5:$D$104,$W815)="",INDEX('得意先'!$E$5:$E$104,$W815)="",INDEX('得意先'!$F$5:$F$104,$W815)=""),"",IF(INDEX('得意先'!$F$5:$F$104,$W815)="末",DATE(YEAR($X815),(MONTH($X815)+IF(INDEX('得意先'!$D$5:$D$104,$W815)="末",0,IF(DAY($X815)&lt;=INDEX('得意先'!$D$5:$D$104,$W815),0,1))+N(INDEX('得意先'!$E$5:$E$104,$W815)))+1,0),DATE(YEAR($X815),(MONTH($X815)+IF(INDEX('得意先'!$D$5:$D$104,$W815)="末",0,IF(DAY($X815)&lt;=INDEX('得意先'!$D$5:$D$104,$W815),0,1))+N(INDEX('得意先'!$E$5:$E$104,$W815))),MIN(INDEX('得意先'!$F$5:$F$104,$W815),DAY(DATE(YEAR($X815),(MONTH($X815)+IF(INDEX('得意先'!$D$5:$D$104,$W815)="末",0,IF(DAY($X815)&lt;=INDEX('得意先'!$D$5:$D$104,$W815),0,1))+N(INDEX('得意先'!$E$5:$E$104,$W815)))+1,0)))))))</f>
        <v/>
      </c>
      <c r="N815" s="26" t="n"/>
      <c r="O815" s="29">
        <f>IF($A815="","",IF(ISNUMBER($N815),$N815,$M815))</f>
        <v/>
      </c>
      <c r="P815" s="28">
        <f>IF($A815="","",SUMIF('入金消込'!$F$5:$F$1004,$A815,'入金消込'!$G$5:$G$1004))</f>
        <v/>
      </c>
      <c r="Q815" s="28">
        <f>IF($A815="","",SUMIF('入金消込'!$F$5:$F$1004,$A815,'入金消込'!$H$5:$H$1004)+SUMIF('入金消込'!$F$5:$F$1004,$A815,'入金消込'!$I$5:$I$1004))</f>
        <v/>
      </c>
      <c r="R815" s="28">
        <f>IF($A815="","",$L815-$P815-$Q815)</f>
        <v/>
      </c>
      <c r="S815" s="30">
        <f>IF($A815="","",IF($R815=0,IF($L815=0,"請求額0","回収済"),IF($L815&lt;0,IF($R815&lt;0,"差し引き待ち","差し引きすぎ"),IF($R815&lt;0,"入金が多い",IF($P815+$Q815=0,"未入金","一部入金")))))</f>
        <v/>
      </c>
      <c r="T815" s="31">
        <f>IF(OR($A815="",N($R815)&lt;=0,NOT(ISNUMBER($O815))),"",IF($O815&lt;'設定'!$B$7,'設定'!$B$7-$O815,""))</f>
        <v/>
      </c>
      <c r="U815" s="30">
        <f>IF(OR($A815="",N($R815)&lt;=0),"",IF(NOT(ISNUMBER($O815)),'設定'!$B$22,IF($O815&gt;='設定'!$B$7,'設定'!$B$17,IF('設定'!$B$7-$O815&lt;='設定'!$B$12,'設定'!$B$18,IF('設定'!$B$7-$O815&lt;='設定'!$B$13,'設定'!$B$19,IF('設定'!$B$7-$O815&lt;='設定'!$B$14,'設定'!$B$20,'設定'!$B$21))))))</f>
        <v/>
      </c>
      <c r="V815" s="56" t="n"/>
      <c r="W815" s="32">
        <f>IF($C815="","",IFERROR(MATCH($C815,'得意先'!$B$5:$B$104,0),"なし"))</f>
        <v/>
      </c>
      <c r="X815" s="33">
        <f>IF($A815="","",IF(ISNUMBER($E815),$E815,IF(ISNUMBER($B815),$B815,"")))</f>
        <v/>
      </c>
      <c r="Y815" s="34">
        <f>IF($T815="","",$O815+ROW()/1000000)</f>
        <v/>
      </c>
      <c r="Z815" s="35">
        <f>IF(OR($A815="",$C815="",$C815&lt;&gt;'売掛帳'!$B$3,NOT(ISNUMBER($X815))),"",IF(AND($X815&gt;='売掛帳'!$Q$3,$X815&lt;='売掛帳'!$Q$4),$X815+ROW()/10000000,""))</f>
        <v/>
      </c>
    </row>
    <row r="816" ht="18" customHeight="1">
      <c r="A816" s="18" t="n"/>
      <c r="B816" s="26" t="n"/>
      <c r="C816" s="18" t="n"/>
      <c r="D816" s="20">
        <f>IF($W816="","",IF($W816="なし","※得意先にないコード",INDEX('得意先'!$C$5:$C$104,$W816)&amp;""))</f>
        <v/>
      </c>
      <c r="E816" s="26" t="n"/>
      <c r="F816" s="19" t="n"/>
      <c r="G816" s="27" t="n"/>
      <c r="H816" s="27" t="n"/>
      <c r="I816" s="27" t="n"/>
      <c r="J816" s="28">
        <f>IF($A816="","",IF('設定'!$B$10="四捨五入",ROUND(IF('設定'!$B$9="税込",N($G816)*10/110,N($G816)*10/100),0),IF('設定'!$B$10="切り上げ",ROUNDUP(IF('設定'!$B$9="税込",N($G816)*10/110,N($G816)*10/100),0),ROUNDDOWN(IF('設定'!$B$9="税込",N($G816)*10/110,N($G816)*10/100),0))))</f>
        <v/>
      </c>
      <c r="K816" s="28">
        <f>IF($A816="","",IF('設定'!$B$10="四捨五入",ROUND(IF('設定'!$B$9="税込",N($H816)*8/108,N($H816)*8/100),0),IF('設定'!$B$10="切り上げ",ROUNDUP(IF('設定'!$B$9="税込",N($H816)*8/108,N($H816)*8/100),0),ROUNDDOWN(IF('設定'!$B$9="税込",N($H816)*8/108,N($H816)*8/100),0))))</f>
        <v/>
      </c>
      <c r="L816" s="28">
        <f>IF($A816="","",N($G816)+N($H816)+N($I816)+IF('設定'!$B$9="税込",0,$J816+$K816))</f>
        <v/>
      </c>
      <c r="M816" s="29">
        <f>IF(OR($A816="",NOT(ISNUMBER($W816)),NOT(ISNUMBER($X816))),"",IF(OR(INDEX('得意先'!$D$5:$D$104,$W816)="",INDEX('得意先'!$E$5:$E$104,$W816)="",INDEX('得意先'!$F$5:$F$104,$W816)=""),"",IF(INDEX('得意先'!$F$5:$F$104,$W816)="末",DATE(YEAR($X816),(MONTH($X816)+IF(INDEX('得意先'!$D$5:$D$104,$W816)="末",0,IF(DAY($X816)&lt;=INDEX('得意先'!$D$5:$D$104,$W816),0,1))+N(INDEX('得意先'!$E$5:$E$104,$W816)))+1,0),DATE(YEAR($X816),(MONTH($X816)+IF(INDEX('得意先'!$D$5:$D$104,$W816)="末",0,IF(DAY($X816)&lt;=INDEX('得意先'!$D$5:$D$104,$W816),0,1))+N(INDEX('得意先'!$E$5:$E$104,$W816))),MIN(INDEX('得意先'!$F$5:$F$104,$W816),DAY(DATE(YEAR($X816),(MONTH($X816)+IF(INDEX('得意先'!$D$5:$D$104,$W816)="末",0,IF(DAY($X816)&lt;=INDEX('得意先'!$D$5:$D$104,$W816),0,1))+N(INDEX('得意先'!$E$5:$E$104,$W816)))+1,0)))))))</f>
        <v/>
      </c>
      <c r="N816" s="26" t="n"/>
      <c r="O816" s="29">
        <f>IF($A816="","",IF(ISNUMBER($N816),$N816,$M816))</f>
        <v/>
      </c>
      <c r="P816" s="28">
        <f>IF($A816="","",SUMIF('入金消込'!$F$5:$F$1004,$A816,'入金消込'!$G$5:$G$1004))</f>
        <v/>
      </c>
      <c r="Q816" s="28">
        <f>IF($A816="","",SUMIF('入金消込'!$F$5:$F$1004,$A816,'入金消込'!$H$5:$H$1004)+SUMIF('入金消込'!$F$5:$F$1004,$A816,'入金消込'!$I$5:$I$1004))</f>
        <v/>
      </c>
      <c r="R816" s="28">
        <f>IF($A816="","",$L816-$P816-$Q816)</f>
        <v/>
      </c>
      <c r="S816" s="30">
        <f>IF($A816="","",IF($R816=0,IF($L816=0,"請求額0","回収済"),IF($L816&lt;0,IF($R816&lt;0,"差し引き待ち","差し引きすぎ"),IF($R816&lt;0,"入金が多い",IF($P816+$Q816=0,"未入金","一部入金")))))</f>
        <v/>
      </c>
      <c r="T816" s="31">
        <f>IF(OR($A816="",N($R816)&lt;=0,NOT(ISNUMBER($O816))),"",IF($O816&lt;'設定'!$B$7,'設定'!$B$7-$O816,""))</f>
        <v/>
      </c>
      <c r="U816" s="30">
        <f>IF(OR($A816="",N($R816)&lt;=0),"",IF(NOT(ISNUMBER($O816)),'設定'!$B$22,IF($O816&gt;='設定'!$B$7,'設定'!$B$17,IF('設定'!$B$7-$O816&lt;='設定'!$B$12,'設定'!$B$18,IF('設定'!$B$7-$O816&lt;='設定'!$B$13,'設定'!$B$19,IF('設定'!$B$7-$O816&lt;='設定'!$B$14,'設定'!$B$20,'設定'!$B$21))))))</f>
        <v/>
      </c>
      <c r="V816" s="56" t="n"/>
      <c r="W816" s="32">
        <f>IF($C816="","",IFERROR(MATCH($C816,'得意先'!$B$5:$B$104,0),"なし"))</f>
        <v/>
      </c>
      <c r="X816" s="33">
        <f>IF($A816="","",IF(ISNUMBER($E816),$E816,IF(ISNUMBER($B816),$B816,"")))</f>
        <v/>
      </c>
      <c r="Y816" s="34">
        <f>IF($T816="","",$O816+ROW()/1000000)</f>
        <v/>
      </c>
      <c r="Z816" s="35">
        <f>IF(OR($A816="",$C816="",$C816&lt;&gt;'売掛帳'!$B$3,NOT(ISNUMBER($X816))),"",IF(AND($X816&gt;='売掛帳'!$Q$3,$X816&lt;='売掛帳'!$Q$4),$X816+ROW()/10000000,""))</f>
        <v/>
      </c>
    </row>
    <row r="817" ht="18" customHeight="1">
      <c r="A817" s="18" t="n"/>
      <c r="B817" s="26" t="n"/>
      <c r="C817" s="18" t="n"/>
      <c r="D817" s="20">
        <f>IF($W817="","",IF($W817="なし","※得意先にないコード",INDEX('得意先'!$C$5:$C$104,$W817)&amp;""))</f>
        <v/>
      </c>
      <c r="E817" s="26" t="n"/>
      <c r="F817" s="19" t="n"/>
      <c r="G817" s="27" t="n"/>
      <c r="H817" s="27" t="n"/>
      <c r="I817" s="27" t="n"/>
      <c r="J817" s="28">
        <f>IF($A817="","",IF('設定'!$B$10="四捨五入",ROUND(IF('設定'!$B$9="税込",N($G817)*10/110,N($G817)*10/100),0),IF('設定'!$B$10="切り上げ",ROUNDUP(IF('設定'!$B$9="税込",N($G817)*10/110,N($G817)*10/100),0),ROUNDDOWN(IF('設定'!$B$9="税込",N($G817)*10/110,N($G817)*10/100),0))))</f>
        <v/>
      </c>
      <c r="K817" s="28">
        <f>IF($A817="","",IF('設定'!$B$10="四捨五入",ROUND(IF('設定'!$B$9="税込",N($H817)*8/108,N($H817)*8/100),0),IF('設定'!$B$10="切り上げ",ROUNDUP(IF('設定'!$B$9="税込",N($H817)*8/108,N($H817)*8/100),0),ROUNDDOWN(IF('設定'!$B$9="税込",N($H817)*8/108,N($H817)*8/100),0))))</f>
        <v/>
      </c>
      <c r="L817" s="28">
        <f>IF($A817="","",N($G817)+N($H817)+N($I817)+IF('設定'!$B$9="税込",0,$J817+$K817))</f>
        <v/>
      </c>
      <c r="M817" s="29">
        <f>IF(OR($A817="",NOT(ISNUMBER($W817)),NOT(ISNUMBER($X817))),"",IF(OR(INDEX('得意先'!$D$5:$D$104,$W817)="",INDEX('得意先'!$E$5:$E$104,$W817)="",INDEX('得意先'!$F$5:$F$104,$W817)=""),"",IF(INDEX('得意先'!$F$5:$F$104,$W817)="末",DATE(YEAR($X817),(MONTH($X817)+IF(INDEX('得意先'!$D$5:$D$104,$W817)="末",0,IF(DAY($X817)&lt;=INDEX('得意先'!$D$5:$D$104,$W817),0,1))+N(INDEX('得意先'!$E$5:$E$104,$W817)))+1,0),DATE(YEAR($X817),(MONTH($X817)+IF(INDEX('得意先'!$D$5:$D$104,$W817)="末",0,IF(DAY($X817)&lt;=INDEX('得意先'!$D$5:$D$104,$W817),0,1))+N(INDEX('得意先'!$E$5:$E$104,$W817))),MIN(INDEX('得意先'!$F$5:$F$104,$W817),DAY(DATE(YEAR($X817),(MONTH($X817)+IF(INDEX('得意先'!$D$5:$D$104,$W817)="末",0,IF(DAY($X817)&lt;=INDEX('得意先'!$D$5:$D$104,$W817),0,1))+N(INDEX('得意先'!$E$5:$E$104,$W817)))+1,0)))))))</f>
        <v/>
      </c>
      <c r="N817" s="26" t="n"/>
      <c r="O817" s="29">
        <f>IF($A817="","",IF(ISNUMBER($N817),$N817,$M817))</f>
        <v/>
      </c>
      <c r="P817" s="28">
        <f>IF($A817="","",SUMIF('入金消込'!$F$5:$F$1004,$A817,'入金消込'!$G$5:$G$1004))</f>
        <v/>
      </c>
      <c r="Q817" s="28">
        <f>IF($A817="","",SUMIF('入金消込'!$F$5:$F$1004,$A817,'入金消込'!$H$5:$H$1004)+SUMIF('入金消込'!$F$5:$F$1004,$A817,'入金消込'!$I$5:$I$1004))</f>
        <v/>
      </c>
      <c r="R817" s="28">
        <f>IF($A817="","",$L817-$P817-$Q817)</f>
        <v/>
      </c>
      <c r="S817" s="30">
        <f>IF($A817="","",IF($R817=0,IF($L817=0,"請求額0","回収済"),IF($L817&lt;0,IF($R817&lt;0,"差し引き待ち","差し引きすぎ"),IF($R817&lt;0,"入金が多い",IF($P817+$Q817=0,"未入金","一部入金")))))</f>
        <v/>
      </c>
      <c r="T817" s="31">
        <f>IF(OR($A817="",N($R817)&lt;=0,NOT(ISNUMBER($O817))),"",IF($O817&lt;'設定'!$B$7,'設定'!$B$7-$O817,""))</f>
        <v/>
      </c>
      <c r="U817" s="30">
        <f>IF(OR($A817="",N($R817)&lt;=0),"",IF(NOT(ISNUMBER($O817)),'設定'!$B$22,IF($O817&gt;='設定'!$B$7,'設定'!$B$17,IF('設定'!$B$7-$O817&lt;='設定'!$B$12,'設定'!$B$18,IF('設定'!$B$7-$O817&lt;='設定'!$B$13,'設定'!$B$19,IF('設定'!$B$7-$O817&lt;='設定'!$B$14,'設定'!$B$20,'設定'!$B$21))))))</f>
        <v/>
      </c>
      <c r="V817" s="56" t="n"/>
      <c r="W817" s="32">
        <f>IF($C817="","",IFERROR(MATCH($C817,'得意先'!$B$5:$B$104,0),"なし"))</f>
        <v/>
      </c>
      <c r="X817" s="33">
        <f>IF($A817="","",IF(ISNUMBER($E817),$E817,IF(ISNUMBER($B817),$B817,"")))</f>
        <v/>
      </c>
      <c r="Y817" s="34">
        <f>IF($T817="","",$O817+ROW()/1000000)</f>
        <v/>
      </c>
      <c r="Z817" s="35">
        <f>IF(OR($A817="",$C817="",$C817&lt;&gt;'売掛帳'!$B$3,NOT(ISNUMBER($X817))),"",IF(AND($X817&gt;='売掛帳'!$Q$3,$X817&lt;='売掛帳'!$Q$4),$X817+ROW()/10000000,""))</f>
        <v/>
      </c>
    </row>
    <row r="818" ht="18" customHeight="1">
      <c r="A818" s="18" t="n"/>
      <c r="B818" s="26" t="n"/>
      <c r="C818" s="18" t="n"/>
      <c r="D818" s="20">
        <f>IF($W818="","",IF($W818="なし","※得意先にないコード",INDEX('得意先'!$C$5:$C$104,$W818)&amp;""))</f>
        <v/>
      </c>
      <c r="E818" s="26" t="n"/>
      <c r="F818" s="19" t="n"/>
      <c r="G818" s="27" t="n"/>
      <c r="H818" s="27" t="n"/>
      <c r="I818" s="27" t="n"/>
      <c r="J818" s="28">
        <f>IF($A818="","",IF('設定'!$B$10="四捨五入",ROUND(IF('設定'!$B$9="税込",N($G818)*10/110,N($G818)*10/100),0),IF('設定'!$B$10="切り上げ",ROUNDUP(IF('設定'!$B$9="税込",N($G818)*10/110,N($G818)*10/100),0),ROUNDDOWN(IF('設定'!$B$9="税込",N($G818)*10/110,N($G818)*10/100),0))))</f>
        <v/>
      </c>
      <c r="K818" s="28">
        <f>IF($A818="","",IF('設定'!$B$10="四捨五入",ROUND(IF('設定'!$B$9="税込",N($H818)*8/108,N($H818)*8/100),0),IF('設定'!$B$10="切り上げ",ROUNDUP(IF('設定'!$B$9="税込",N($H818)*8/108,N($H818)*8/100),0),ROUNDDOWN(IF('設定'!$B$9="税込",N($H818)*8/108,N($H818)*8/100),0))))</f>
        <v/>
      </c>
      <c r="L818" s="28">
        <f>IF($A818="","",N($G818)+N($H818)+N($I818)+IF('設定'!$B$9="税込",0,$J818+$K818))</f>
        <v/>
      </c>
      <c r="M818" s="29">
        <f>IF(OR($A818="",NOT(ISNUMBER($W818)),NOT(ISNUMBER($X818))),"",IF(OR(INDEX('得意先'!$D$5:$D$104,$W818)="",INDEX('得意先'!$E$5:$E$104,$W818)="",INDEX('得意先'!$F$5:$F$104,$W818)=""),"",IF(INDEX('得意先'!$F$5:$F$104,$W818)="末",DATE(YEAR($X818),(MONTH($X818)+IF(INDEX('得意先'!$D$5:$D$104,$W818)="末",0,IF(DAY($X818)&lt;=INDEX('得意先'!$D$5:$D$104,$W818),0,1))+N(INDEX('得意先'!$E$5:$E$104,$W818)))+1,0),DATE(YEAR($X818),(MONTH($X818)+IF(INDEX('得意先'!$D$5:$D$104,$W818)="末",0,IF(DAY($X818)&lt;=INDEX('得意先'!$D$5:$D$104,$W818),0,1))+N(INDEX('得意先'!$E$5:$E$104,$W818))),MIN(INDEX('得意先'!$F$5:$F$104,$W818),DAY(DATE(YEAR($X818),(MONTH($X818)+IF(INDEX('得意先'!$D$5:$D$104,$W818)="末",0,IF(DAY($X818)&lt;=INDEX('得意先'!$D$5:$D$104,$W818),0,1))+N(INDEX('得意先'!$E$5:$E$104,$W818)))+1,0)))))))</f>
        <v/>
      </c>
      <c r="N818" s="26" t="n"/>
      <c r="O818" s="29">
        <f>IF($A818="","",IF(ISNUMBER($N818),$N818,$M818))</f>
        <v/>
      </c>
      <c r="P818" s="28">
        <f>IF($A818="","",SUMIF('入金消込'!$F$5:$F$1004,$A818,'入金消込'!$G$5:$G$1004))</f>
        <v/>
      </c>
      <c r="Q818" s="28">
        <f>IF($A818="","",SUMIF('入金消込'!$F$5:$F$1004,$A818,'入金消込'!$H$5:$H$1004)+SUMIF('入金消込'!$F$5:$F$1004,$A818,'入金消込'!$I$5:$I$1004))</f>
        <v/>
      </c>
      <c r="R818" s="28">
        <f>IF($A818="","",$L818-$P818-$Q818)</f>
        <v/>
      </c>
      <c r="S818" s="30">
        <f>IF($A818="","",IF($R818=0,IF($L818=0,"請求額0","回収済"),IF($L818&lt;0,IF($R818&lt;0,"差し引き待ち","差し引きすぎ"),IF($R818&lt;0,"入金が多い",IF($P818+$Q818=0,"未入金","一部入金")))))</f>
        <v/>
      </c>
      <c r="T818" s="31">
        <f>IF(OR($A818="",N($R818)&lt;=0,NOT(ISNUMBER($O818))),"",IF($O818&lt;'設定'!$B$7,'設定'!$B$7-$O818,""))</f>
        <v/>
      </c>
      <c r="U818" s="30">
        <f>IF(OR($A818="",N($R818)&lt;=0),"",IF(NOT(ISNUMBER($O818)),'設定'!$B$22,IF($O818&gt;='設定'!$B$7,'設定'!$B$17,IF('設定'!$B$7-$O818&lt;='設定'!$B$12,'設定'!$B$18,IF('設定'!$B$7-$O818&lt;='設定'!$B$13,'設定'!$B$19,IF('設定'!$B$7-$O818&lt;='設定'!$B$14,'設定'!$B$20,'設定'!$B$21))))))</f>
        <v/>
      </c>
      <c r="V818" s="56" t="n"/>
      <c r="W818" s="32">
        <f>IF($C818="","",IFERROR(MATCH($C818,'得意先'!$B$5:$B$104,0),"なし"))</f>
        <v/>
      </c>
      <c r="X818" s="33">
        <f>IF($A818="","",IF(ISNUMBER($E818),$E818,IF(ISNUMBER($B818),$B818,"")))</f>
        <v/>
      </c>
      <c r="Y818" s="34">
        <f>IF($T818="","",$O818+ROW()/1000000)</f>
        <v/>
      </c>
      <c r="Z818" s="35">
        <f>IF(OR($A818="",$C818="",$C818&lt;&gt;'売掛帳'!$B$3,NOT(ISNUMBER($X818))),"",IF(AND($X818&gt;='売掛帳'!$Q$3,$X818&lt;='売掛帳'!$Q$4),$X818+ROW()/10000000,""))</f>
        <v/>
      </c>
    </row>
    <row r="819" ht="18" customHeight="1">
      <c r="A819" s="18" t="n"/>
      <c r="B819" s="26" t="n"/>
      <c r="C819" s="18" t="n"/>
      <c r="D819" s="20">
        <f>IF($W819="","",IF($W819="なし","※得意先にないコード",INDEX('得意先'!$C$5:$C$104,$W819)&amp;""))</f>
        <v/>
      </c>
      <c r="E819" s="26" t="n"/>
      <c r="F819" s="19" t="n"/>
      <c r="G819" s="27" t="n"/>
      <c r="H819" s="27" t="n"/>
      <c r="I819" s="27" t="n"/>
      <c r="J819" s="28">
        <f>IF($A819="","",IF('設定'!$B$10="四捨五入",ROUND(IF('設定'!$B$9="税込",N($G819)*10/110,N($G819)*10/100),0),IF('設定'!$B$10="切り上げ",ROUNDUP(IF('設定'!$B$9="税込",N($G819)*10/110,N($G819)*10/100),0),ROUNDDOWN(IF('設定'!$B$9="税込",N($G819)*10/110,N($G819)*10/100),0))))</f>
        <v/>
      </c>
      <c r="K819" s="28">
        <f>IF($A819="","",IF('設定'!$B$10="四捨五入",ROUND(IF('設定'!$B$9="税込",N($H819)*8/108,N($H819)*8/100),0),IF('設定'!$B$10="切り上げ",ROUNDUP(IF('設定'!$B$9="税込",N($H819)*8/108,N($H819)*8/100),0),ROUNDDOWN(IF('設定'!$B$9="税込",N($H819)*8/108,N($H819)*8/100),0))))</f>
        <v/>
      </c>
      <c r="L819" s="28">
        <f>IF($A819="","",N($G819)+N($H819)+N($I819)+IF('設定'!$B$9="税込",0,$J819+$K819))</f>
        <v/>
      </c>
      <c r="M819" s="29">
        <f>IF(OR($A819="",NOT(ISNUMBER($W819)),NOT(ISNUMBER($X819))),"",IF(OR(INDEX('得意先'!$D$5:$D$104,$W819)="",INDEX('得意先'!$E$5:$E$104,$W819)="",INDEX('得意先'!$F$5:$F$104,$W819)=""),"",IF(INDEX('得意先'!$F$5:$F$104,$W819)="末",DATE(YEAR($X819),(MONTH($X819)+IF(INDEX('得意先'!$D$5:$D$104,$W819)="末",0,IF(DAY($X819)&lt;=INDEX('得意先'!$D$5:$D$104,$W819),0,1))+N(INDEX('得意先'!$E$5:$E$104,$W819)))+1,0),DATE(YEAR($X819),(MONTH($X819)+IF(INDEX('得意先'!$D$5:$D$104,$W819)="末",0,IF(DAY($X819)&lt;=INDEX('得意先'!$D$5:$D$104,$W819),0,1))+N(INDEX('得意先'!$E$5:$E$104,$W819))),MIN(INDEX('得意先'!$F$5:$F$104,$W819),DAY(DATE(YEAR($X819),(MONTH($X819)+IF(INDEX('得意先'!$D$5:$D$104,$W819)="末",0,IF(DAY($X819)&lt;=INDEX('得意先'!$D$5:$D$104,$W819),0,1))+N(INDEX('得意先'!$E$5:$E$104,$W819)))+1,0)))))))</f>
        <v/>
      </c>
      <c r="N819" s="26" t="n"/>
      <c r="O819" s="29">
        <f>IF($A819="","",IF(ISNUMBER($N819),$N819,$M819))</f>
        <v/>
      </c>
      <c r="P819" s="28">
        <f>IF($A819="","",SUMIF('入金消込'!$F$5:$F$1004,$A819,'入金消込'!$G$5:$G$1004))</f>
        <v/>
      </c>
      <c r="Q819" s="28">
        <f>IF($A819="","",SUMIF('入金消込'!$F$5:$F$1004,$A819,'入金消込'!$H$5:$H$1004)+SUMIF('入金消込'!$F$5:$F$1004,$A819,'入金消込'!$I$5:$I$1004))</f>
        <v/>
      </c>
      <c r="R819" s="28">
        <f>IF($A819="","",$L819-$P819-$Q819)</f>
        <v/>
      </c>
      <c r="S819" s="30">
        <f>IF($A819="","",IF($R819=0,IF($L819=0,"請求額0","回収済"),IF($L819&lt;0,IF($R819&lt;0,"差し引き待ち","差し引きすぎ"),IF($R819&lt;0,"入金が多い",IF($P819+$Q819=0,"未入金","一部入金")))))</f>
        <v/>
      </c>
      <c r="T819" s="31">
        <f>IF(OR($A819="",N($R819)&lt;=0,NOT(ISNUMBER($O819))),"",IF($O819&lt;'設定'!$B$7,'設定'!$B$7-$O819,""))</f>
        <v/>
      </c>
      <c r="U819" s="30">
        <f>IF(OR($A819="",N($R819)&lt;=0),"",IF(NOT(ISNUMBER($O819)),'設定'!$B$22,IF($O819&gt;='設定'!$B$7,'設定'!$B$17,IF('設定'!$B$7-$O819&lt;='設定'!$B$12,'設定'!$B$18,IF('設定'!$B$7-$O819&lt;='設定'!$B$13,'設定'!$B$19,IF('設定'!$B$7-$O819&lt;='設定'!$B$14,'設定'!$B$20,'設定'!$B$21))))))</f>
        <v/>
      </c>
      <c r="V819" s="56" t="n"/>
      <c r="W819" s="32">
        <f>IF($C819="","",IFERROR(MATCH($C819,'得意先'!$B$5:$B$104,0),"なし"))</f>
        <v/>
      </c>
      <c r="X819" s="33">
        <f>IF($A819="","",IF(ISNUMBER($E819),$E819,IF(ISNUMBER($B819),$B819,"")))</f>
        <v/>
      </c>
      <c r="Y819" s="34">
        <f>IF($T819="","",$O819+ROW()/1000000)</f>
        <v/>
      </c>
      <c r="Z819" s="35">
        <f>IF(OR($A819="",$C819="",$C819&lt;&gt;'売掛帳'!$B$3,NOT(ISNUMBER($X819))),"",IF(AND($X819&gt;='売掛帳'!$Q$3,$X819&lt;='売掛帳'!$Q$4),$X819+ROW()/10000000,""))</f>
        <v/>
      </c>
    </row>
    <row r="820" ht="18" customHeight="1">
      <c r="A820" s="18" t="n"/>
      <c r="B820" s="26" t="n"/>
      <c r="C820" s="18" t="n"/>
      <c r="D820" s="20">
        <f>IF($W820="","",IF($W820="なし","※得意先にないコード",INDEX('得意先'!$C$5:$C$104,$W820)&amp;""))</f>
        <v/>
      </c>
      <c r="E820" s="26" t="n"/>
      <c r="F820" s="19" t="n"/>
      <c r="G820" s="27" t="n"/>
      <c r="H820" s="27" t="n"/>
      <c r="I820" s="27" t="n"/>
      <c r="J820" s="28">
        <f>IF($A820="","",IF('設定'!$B$10="四捨五入",ROUND(IF('設定'!$B$9="税込",N($G820)*10/110,N($G820)*10/100),0),IF('設定'!$B$10="切り上げ",ROUNDUP(IF('設定'!$B$9="税込",N($G820)*10/110,N($G820)*10/100),0),ROUNDDOWN(IF('設定'!$B$9="税込",N($G820)*10/110,N($G820)*10/100),0))))</f>
        <v/>
      </c>
      <c r="K820" s="28">
        <f>IF($A820="","",IF('設定'!$B$10="四捨五入",ROUND(IF('設定'!$B$9="税込",N($H820)*8/108,N($H820)*8/100),0),IF('設定'!$B$10="切り上げ",ROUNDUP(IF('設定'!$B$9="税込",N($H820)*8/108,N($H820)*8/100),0),ROUNDDOWN(IF('設定'!$B$9="税込",N($H820)*8/108,N($H820)*8/100),0))))</f>
        <v/>
      </c>
      <c r="L820" s="28">
        <f>IF($A820="","",N($G820)+N($H820)+N($I820)+IF('設定'!$B$9="税込",0,$J820+$K820))</f>
        <v/>
      </c>
      <c r="M820" s="29">
        <f>IF(OR($A820="",NOT(ISNUMBER($W820)),NOT(ISNUMBER($X820))),"",IF(OR(INDEX('得意先'!$D$5:$D$104,$W820)="",INDEX('得意先'!$E$5:$E$104,$W820)="",INDEX('得意先'!$F$5:$F$104,$W820)=""),"",IF(INDEX('得意先'!$F$5:$F$104,$W820)="末",DATE(YEAR($X820),(MONTH($X820)+IF(INDEX('得意先'!$D$5:$D$104,$W820)="末",0,IF(DAY($X820)&lt;=INDEX('得意先'!$D$5:$D$104,$W820),0,1))+N(INDEX('得意先'!$E$5:$E$104,$W820)))+1,0),DATE(YEAR($X820),(MONTH($X820)+IF(INDEX('得意先'!$D$5:$D$104,$W820)="末",0,IF(DAY($X820)&lt;=INDEX('得意先'!$D$5:$D$104,$W820),0,1))+N(INDEX('得意先'!$E$5:$E$104,$W820))),MIN(INDEX('得意先'!$F$5:$F$104,$W820),DAY(DATE(YEAR($X820),(MONTH($X820)+IF(INDEX('得意先'!$D$5:$D$104,$W820)="末",0,IF(DAY($X820)&lt;=INDEX('得意先'!$D$5:$D$104,$W820),0,1))+N(INDEX('得意先'!$E$5:$E$104,$W820)))+1,0)))))))</f>
        <v/>
      </c>
      <c r="N820" s="26" t="n"/>
      <c r="O820" s="29">
        <f>IF($A820="","",IF(ISNUMBER($N820),$N820,$M820))</f>
        <v/>
      </c>
      <c r="P820" s="28">
        <f>IF($A820="","",SUMIF('入金消込'!$F$5:$F$1004,$A820,'入金消込'!$G$5:$G$1004))</f>
        <v/>
      </c>
      <c r="Q820" s="28">
        <f>IF($A820="","",SUMIF('入金消込'!$F$5:$F$1004,$A820,'入金消込'!$H$5:$H$1004)+SUMIF('入金消込'!$F$5:$F$1004,$A820,'入金消込'!$I$5:$I$1004))</f>
        <v/>
      </c>
      <c r="R820" s="28">
        <f>IF($A820="","",$L820-$P820-$Q820)</f>
        <v/>
      </c>
      <c r="S820" s="30">
        <f>IF($A820="","",IF($R820=0,IF($L820=0,"請求額0","回収済"),IF($L820&lt;0,IF($R820&lt;0,"差し引き待ち","差し引きすぎ"),IF($R820&lt;0,"入金が多い",IF($P820+$Q820=0,"未入金","一部入金")))))</f>
        <v/>
      </c>
      <c r="T820" s="31">
        <f>IF(OR($A820="",N($R820)&lt;=0,NOT(ISNUMBER($O820))),"",IF($O820&lt;'設定'!$B$7,'設定'!$B$7-$O820,""))</f>
        <v/>
      </c>
      <c r="U820" s="30">
        <f>IF(OR($A820="",N($R820)&lt;=0),"",IF(NOT(ISNUMBER($O820)),'設定'!$B$22,IF($O820&gt;='設定'!$B$7,'設定'!$B$17,IF('設定'!$B$7-$O820&lt;='設定'!$B$12,'設定'!$B$18,IF('設定'!$B$7-$O820&lt;='設定'!$B$13,'設定'!$B$19,IF('設定'!$B$7-$O820&lt;='設定'!$B$14,'設定'!$B$20,'設定'!$B$21))))))</f>
        <v/>
      </c>
      <c r="V820" s="56" t="n"/>
      <c r="W820" s="32">
        <f>IF($C820="","",IFERROR(MATCH($C820,'得意先'!$B$5:$B$104,0),"なし"))</f>
        <v/>
      </c>
      <c r="X820" s="33">
        <f>IF($A820="","",IF(ISNUMBER($E820),$E820,IF(ISNUMBER($B820),$B820,"")))</f>
        <v/>
      </c>
      <c r="Y820" s="34">
        <f>IF($T820="","",$O820+ROW()/1000000)</f>
        <v/>
      </c>
      <c r="Z820" s="35">
        <f>IF(OR($A820="",$C820="",$C820&lt;&gt;'売掛帳'!$B$3,NOT(ISNUMBER($X820))),"",IF(AND($X820&gt;='売掛帳'!$Q$3,$X820&lt;='売掛帳'!$Q$4),$X820+ROW()/10000000,""))</f>
        <v/>
      </c>
    </row>
    <row r="821" ht="18" customHeight="1">
      <c r="A821" s="18" t="n"/>
      <c r="B821" s="26" t="n"/>
      <c r="C821" s="18" t="n"/>
      <c r="D821" s="20">
        <f>IF($W821="","",IF($W821="なし","※得意先にないコード",INDEX('得意先'!$C$5:$C$104,$W821)&amp;""))</f>
        <v/>
      </c>
      <c r="E821" s="26" t="n"/>
      <c r="F821" s="19" t="n"/>
      <c r="G821" s="27" t="n"/>
      <c r="H821" s="27" t="n"/>
      <c r="I821" s="27" t="n"/>
      <c r="J821" s="28">
        <f>IF($A821="","",IF('設定'!$B$10="四捨五入",ROUND(IF('設定'!$B$9="税込",N($G821)*10/110,N($G821)*10/100),0),IF('設定'!$B$10="切り上げ",ROUNDUP(IF('設定'!$B$9="税込",N($G821)*10/110,N($G821)*10/100),0),ROUNDDOWN(IF('設定'!$B$9="税込",N($G821)*10/110,N($G821)*10/100),0))))</f>
        <v/>
      </c>
      <c r="K821" s="28">
        <f>IF($A821="","",IF('設定'!$B$10="四捨五入",ROUND(IF('設定'!$B$9="税込",N($H821)*8/108,N($H821)*8/100),0),IF('設定'!$B$10="切り上げ",ROUNDUP(IF('設定'!$B$9="税込",N($H821)*8/108,N($H821)*8/100),0),ROUNDDOWN(IF('設定'!$B$9="税込",N($H821)*8/108,N($H821)*8/100),0))))</f>
        <v/>
      </c>
      <c r="L821" s="28">
        <f>IF($A821="","",N($G821)+N($H821)+N($I821)+IF('設定'!$B$9="税込",0,$J821+$K821))</f>
        <v/>
      </c>
      <c r="M821" s="29">
        <f>IF(OR($A821="",NOT(ISNUMBER($W821)),NOT(ISNUMBER($X821))),"",IF(OR(INDEX('得意先'!$D$5:$D$104,$W821)="",INDEX('得意先'!$E$5:$E$104,$W821)="",INDEX('得意先'!$F$5:$F$104,$W821)=""),"",IF(INDEX('得意先'!$F$5:$F$104,$W821)="末",DATE(YEAR($X821),(MONTH($X821)+IF(INDEX('得意先'!$D$5:$D$104,$W821)="末",0,IF(DAY($X821)&lt;=INDEX('得意先'!$D$5:$D$104,$W821),0,1))+N(INDEX('得意先'!$E$5:$E$104,$W821)))+1,0),DATE(YEAR($X821),(MONTH($X821)+IF(INDEX('得意先'!$D$5:$D$104,$W821)="末",0,IF(DAY($X821)&lt;=INDEX('得意先'!$D$5:$D$104,$W821),0,1))+N(INDEX('得意先'!$E$5:$E$104,$W821))),MIN(INDEX('得意先'!$F$5:$F$104,$W821),DAY(DATE(YEAR($X821),(MONTH($X821)+IF(INDEX('得意先'!$D$5:$D$104,$W821)="末",0,IF(DAY($X821)&lt;=INDEX('得意先'!$D$5:$D$104,$W821),0,1))+N(INDEX('得意先'!$E$5:$E$104,$W821)))+1,0)))))))</f>
        <v/>
      </c>
      <c r="N821" s="26" t="n"/>
      <c r="O821" s="29">
        <f>IF($A821="","",IF(ISNUMBER($N821),$N821,$M821))</f>
        <v/>
      </c>
      <c r="P821" s="28">
        <f>IF($A821="","",SUMIF('入金消込'!$F$5:$F$1004,$A821,'入金消込'!$G$5:$G$1004))</f>
        <v/>
      </c>
      <c r="Q821" s="28">
        <f>IF($A821="","",SUMIF('入金消込'!$F$5:$F$1004,$A821,'入金消込'!$H$5:$H$1004)+SUMIF('入金消込'!$F$5:$F$1004,$A821,'入金消込'!$I$5:$I$1004))</f>
        <v/>
      </c>
      <c r="R821" s="28">
        <f>IF($A821="","",$L821-$P821-$Q821)</f>
        <v/>
      </c>
      <c r="S821" s="30">
        <f>IF($A821="","",IF($R821=0,IF($L821=0,"請求額0","回収済"),IF($L821&lt;0,IF($R821&lt;0,"差し引き待ち","差し引きすぎ"),IF($R821&lt;0,"入金が多い",IF($P821+$Q821=0,"未入金","一部入金")))))</f>
        <v/>
      </c>
      <c r="T821" s="31">
        <f>IF(OR($A821="",N($R821)&lt;=0,NOT(ISNUMBER($O821))),"",IF($O821&lt;'設定'!$B$7,'設定'!$B$7-$O821,""))</f>
        <v/>
      </c>
      <c r="U821" s="30">
        <f>IF(OR($A821="",N($R821)&lt;=0),"",IF(NOT(ISNUMBER($O821)),'設定'!$B$22,IF($O821&gt;='設定'!$B$7,'設定'!$B$17,IF('設定'!$B$7-$O821&lt;='設定'!$B$12,'設定'!$B$18,IF('設定'!$B$7-$O821&lt;='設定'!$B$13,'設定'!$B$19,IF('設定'!$B$7-$O821&lt;='設定'!$B$14,'設定'!$B$20,'設定'!$B$21))))))</f>
        <v/>
      </c>
      <c r="V821" s="56" t="n"/>
      <c r="W821" s="32">
        <f>IF($C821="","",IFERROR(MATCH($C821,'得意先'!$B$5:$B$104,0),"なし"))</f>
        <v/>
      </c>
      <c r="X821" s="33">
        <f>IF($A821="","",IF(ISNUMBER($E821),$E821,IF(ISNUMBER($B821),$B821,"")))</f>
        <v/>
      </c>
      <c r="Y821" s="34">
        <f>IF($T821="","",$O821+ROW()/1000000)</f>
        <v/>
      </c>
      <c r="Z821" s="35">
        <f>IF(OR($A821="",$C821="",$C821&lt;&gt;'売掛帳'!$B$3,NOT(ISNUMBER($X821))),"",IF(AND($X821&gt;='売掛帳'!$Q$3,$X821&lt;='売掛帳'!$Q$4),$X821+ROW()/10000000,""))</f>
        <v/>
      </c>
    </row>
    <row r="822" ht="18" customHeight="1">
      <c r="A822" s="18" t="n"/>
      <c r="B822" s="26" t="n"/>
      <c r="C822" s="18" t="n"/>
      <c r="D822" s="20">
        <f>IF($W822="","",IF($W822="なし","※得意先にないコード",INDEX('得意先'!$C$5:$C$104,$W822)&amp;""))</f>
        <v/>
      </c>
      <c r="E822" s="26" t="n"/>
      <c r="F822" s="19" t="n"/>
      <c r="G822" s="27" t="n"/>
      <c r="H822" s="27" t="n"/>
      <c r="I822" s="27" t="n"/>
      <c r="J822" s="28">
        <f>IF($A822="","",IF('設定'!$B$10="四捨五入",ROUND(IF('設定'!$B$9="税込",N($G822)*10/110,N($G822)*10/100),0),IF('設定'!$B$10="切り上げ",ROUNDUP(IF('設定'!$B$9="税込",N($G822)*10/110,N($G822)*10/100),0),ROUNDDOWN(IF('設定'!$B$9="税込",N($G822)*10/110,N($G822)*10/100),0))))</f>
        <v/>
      </c>
      <c r="K822" s="28">
        <f>IF($A822="","",IF('設定'!$B$10="四捨五入",ROUND(IF('設定'!$B$9="税込",N($H822)*8/108,N($H822)*8/100),0),IF('設定'!$B$10="切り上げ",ROUNDUP(IF('設定'!$B$9="税込",N($H822)*8/108,N($H822)*8/100),0),ROUNDDOWN(IF('設定'!$B$9="税込",N($H822)*8/108,N($H822)*8/100),0))))</f>
        <v/>
      </c>
      <c r="L822" s="28">
        <f>IF($A822="","",N($G822)+N($H822)+N($I822)+IF('設定'!$B$9="税込",0,$J822+$K822))</f>
        <v/>
      </c>
      <c r="M822" s="29">
        <f>IF(OR($A822="",NOT(ISNUMBER($W822)),NOT(ISNUMBER($X822))),"",IF(OR(INDEX('得意先'!$D$5:$D$104,$W822)="",INDEX('得意先'!$E$5:$E$104,$W822)="",INDEX('得意先'!$F$5:$F$104,$W822)=""),"",IF(INDEX('得意先'!$F$5:$F$104,$W822)="末",DATE(YEAR($X822),(MONTH($X822)+IF(INDEX('得意先'!$D$5:$D$104,$W822)="末",0,IF(DAY($X822)&lt;=INDEX('得意先'!$D$5:$D$104,$W822),0,1))+N(INDEX('得意先'!$E$5:$E$104,$W822)))+1,0),DATE(YEAR($X822),(MONTH($X822)+IF(INDEX('得意先'!$D$5:$D$104,$W822)="末",0,IF(DAY($X822)&lt;=INDEX('得意先'!$D$5:$D$104,$W822),0,1))+N(INDEX('得意先'!$E$5:$E$104,$W822))),MIN(INDEX('得意先'!$F$5:$F$104,$W822),DAY(DATE(YEAR($X822),(MONTH($X822)+IF(INDEX('得意先'!$D$5:$D$104,$W822)="末",0,IF(DAY($X822)&lt;=INDEX('得意先'!$D$5:$D$104,$W822),0,1))+N(INDEX('得意先'!$E$5:$E$104,$W822)))+1,0)))))))</f>
        <v/>
      </c>
      <c r="N822" s="26" t="n"/>
      <c r="O822" s="29">
        <f>IF($A822="","",IF(ISNUMBER($N822),$N822,$M822))</f>
        <v/>
      </c>
      <c r="P822" s="28">
        <f>IF($A822="","",SUMIF('入金消込'!$F$5:$F$1004,$A822,'入金消込'!$G$5:$G$1004))</f>
        <v/>
      </c>
      <c r="Q822" s="28">
        <f>IF($A822="","",SUMIF('入金消込'!$F$5:$F$1004,$A822,'入金消込'!$H$5:$H$1004)+SUMIF('入金消込'!$F$5:$F$1004,$A822,'入金消込'!$I$5:$I$1004))</f>
        <v/>
      </c>
      <c r="R822" s="28">
        <f>IF($A822="","",$L822-$P822-$Q822)</f>
        <v/>
      </c>
      <c r="S822" s="30">
        <f>IF($A822="","",IF($R822=0,IF($L822=0,"請求額0","回収済"),IF($L822&lt;0,IF($R822&lt;0,"差し引き待ち","差し引きすぎ"),IF($R822&lt;0,"入金が多い",IF($P822+$Q822=0,"未入金","一部入金")))))</f>
        <v/>
      </c>
      <c r="T822" s="31">
        <f>IF(OR($A822="",N($R822)&lt;=0,NOT(ISNUMBER($O822))),"",IF($O822&lt;'設定'!$B$7,'設定'!$B$7-$O822,""))</f>
        <v/>
      </c>
      <c r="U822" s="30">
        <f>IF(OR($A822="",N($R822)&lt;=0),"",IF(NOT(ISNUMBER($O822)),'設定'!$B$22,IF($O822&gt;='設定'!$B$7,'設定'!$B$17,IF('設定'!$B$7-$O822&lt;='設定'!$B$12,'設定'!$B$18,IF('設定'!$B$7-$O822&lt;='設定'!$B$13,'設定'!$B$19,IF('設定'!$B$7-$O822&lt;='設定'!$B$14,'設定'!$B$20,'設定'!$B$21))))))</f>
        <v/>
      </c>
      <c r="V822" s="56" t="n"/>
      <c r="W822" s="32">
        <f>IF($C822="","",IFERROR(MATCH($C822,'得意先'!$B$5:$B$104,0),"なし"))</f>
        <v/>
      </c>
      <c r="X822" s="33">
        <f>IF($A822="","",IF(ISNUMBER($E822),$E822,IF(ISNUMBER($B822),$B822,"")))</f>
        <v/>
      </c>
      <c r="Y822" s="34">
        <f>IF($T822="","",$O822+ROW()/1000000)</f>
        <v/>
      </c>
      <c r="Z822" s="35">
        <f>IF(OR($A822="",$C822="",$C822&lt;&gt;'売掛帳'!$B$3,NOT(ISNUMBER($X822))),"",IF(AND($X822&gt;='売掛帳'!$Q$3,$X822&lt;='売掛帳'!$Q$4),$X822+ROW()/10000000,""))</f>
        <v/>
      </c>
    </row>
    <row r="823" ht="18" customHeight="1">
      <c r="A823" s="18" t="n"/>
      <c r="B823" s="26" t="n"/>
      <c r="C823" s="18" t="n"/>
      <c r="D823" s="20">
        <f>IF($W823="","",IF($W823="なし","※得意先にないコード",INDEX('得意先'!$C$5:$C$104,$W823)&amp;""))</f>
        <v/>
      </c>
      <c r="E823" s="26" t="n"/>
      <c r="F823" s="19" t="n"/>
      <c r="G823" s="27" t="n"/>
      <c r="H823" s="27" t="n"/>
      <c r="I823" s="27" t="n"/>
      <c r="J823" s="28">
        <f>IF($A823="","",IF('設定'!$B$10="四捨五入",ROUND(IF('設定'!$B$9="税込",N($G823)*10/110,N($G823)*10/100),0),IF('設定'!$B$10="切り上げ",ROUNDUP(IF('設定'!$B$9="税込",N($G823)*10/110,N($G823)*10/100),0),ROUNDDOWN(IF('設定'!$B$9="税込",N($G823)*10/110,N($G823)*10/100),0))))</f>
        <v/>
      </c>
      <c r="K823" s="28">
        <f>IF($A823="","",IF('設定'!$B$10="四捨五入",ROUND(IF('設定'!$B$9="税込",N($H823)*8/108,N($H823)*8/100),0),IF('設定'!$B$10="切り上げ",ROUNDUP(IF('設定'!$B$9="税込",N($H823)*8/108,N($H823)*8/100),0),ROUNDDOWN(IF('設定'!$B$9="税込",N($H823)*8/108,N($H823)*8/100),0))))</f>
        <v/>
      </c>
      <c r="L823" s="28">
        <f>IF($A823="","",N($G823)+N($H823)+N($I823)+IF('設定'!$B$9="税込",0,$J823+$K823))</f>
        <v/>
      </c>
      <c r="M823" s="29">
        <f>IF(OR($A823="",NOT(ISNUMBER($W823)),NOT(ISNUMBER($X823))),"",IF(OR(INDEX('得意先'!$D$5:$D$104,$W823)="",INDEX('得意先'!$E$5:$E$104,$W823)="",INDEX('得意先'!$F$5:$F$104,$W823)=""),"",IF(INDEX('得意先'!$F$5:$F$104,$W823)="末",DATE(YEAR($X823),(MONTH($X823)+IF(INDEX('得意先'!$D$5:$D$104,$W823)="末",0,IF(DAY($X823)&lt;=INDEX('得意先'!$D$5:$D$104,$W823),0,1))+N(INDEX('得意先'!$E$5:$E$104,$W823)))+1,0),DATE(YEAR($X823),(MONTH($X823)+IF(INDEX('得意先'!$D$5:$D$104,$W823)="末",0,IF(DAY($X823)&lt;=INDEX('得意先'!$D$5:$D$104,$W823),0,1))+N(INDEX('得意先'!$E$5:$E$104,$W823))),MIN(INDEX('得意先'!$F$5:$F$104,$W823),DAY(DATE(YEAR($X823),(MONTH($X823)+IF(INDEX('得意先'!$D$5:$D$104,$W823)="末",0,IF(DAY($X823)&lt;=INDEX('得意先'!$D$5:$D$104,$W823),0,1))+N(INDEX('得意先'!$E$5:$E$104,$W823)))+1,0)))))))</f>
        <v/>
      </c>
      <c r="N823" s="26" t="n"/>
      <c r="O823" s="29">
        <f>IF($A823="","",IF(ISNUMBER($N823),$N823,$M823))</f>
        <v/>
      </c>
      <c r="P823" s="28">
        <f>IF($A823="","",SUMIF('入金消込'!$F$5:$F$1004,$A823,'入金消込'!$G$5:$G$1004))</f>
        <v/>
      </c>
      <c r="Q823" s="28">
        <f>IF($A823="","",SUMIF('入金消込'!$F$5:$F$1004,$A823,'入金消込'!$H$5:$H$1004)+SUMIF('入金消込'!$F$5:$F$1004,$A823,'入金消込'!$I$5:$I$1004))</f>
        <v/>
      </c>
      <c r="R823" s="28">
        <f>IF($A823="","",$L823-$P823-$Q823)</f>
        <v/>
      </c>
      <c r="S823" s="30">
        <f>IF($A823="","",IF($R823=0,IF($L823=0,"請求額0","回収済"),IF($L823&lt;0,IF($R823&lt;0,"差し引き待ち","差し引きすぎ"),IF($R823&lt;0,"入金が多い",IF($P823+$Q823=0,"未入金","一部入金")))))</f>
        <v/>
      </c>
      <c r="T823" s="31">
        <f>IF(OR($A823="",N($R823)&lt;=0,NOT(ISNUMBER($O823))),"",IF($O823&lt;'設定'!$B$7,'設定'!$B$7-$O823,""))</f>
        <v/>
      </c>
      <c r="U823" s="30">
        <f>IF(OR($A823="",N($R823)&lt;=0),"",IF(NOT(ISNUMBER($O823)),'設定'!$B$22,IF($O823&gt;='設定'!$B$7,'設定'!$B$17,IF('設定'!$B$7-$O823&lt;='設定'!$B$12,'設定'!$B$18,IF('設定'!$B$7-$O823&lt;='設定'!$B$13,'設定'!$B$19,IF('設定'!$B$7-$O823&lt;='設定'!$B$14,'設定'!$B$20,'設定'!$B$21))))))</f>
        <v/>
      </c>
      <c r="V823" s="56" t="n"/>
      <c r="W823" s="32">
        <f>IF($C823="","",IFERROR(MATCH($C823,'得意先'!$B$5:$B$104,0),"なし"))</f>
        <v/>
      </c>
      <c r="X823" s="33">
        <f>IF($A823="","",IF(ISNUMBER($E823),$E823,IF(ISNUMBER($B823),$B823,"")))</f>
        <v/>
      </c>
      <c r="Y823" s="34">
        <f>IF($T823="","",$O823+ROW()/1000000)</f>
        <v/>
      </c>
      <c r="Z823" s="35">
        <f>IF(OR($A823="",$C823="",$C823&lt;&gt;'売掛帳'!$B$3,NOT(ISNUMBER($X823))),"",IF(AND($X823&gt;='売掛帳'!$Q$3,$X823&lt;='売掛帳'!$Q$4),$X823+ROW()/10000000,""))</f>
        <v/>
      </c>
    </row>
    <row r="824" ht="18" customHeight="1">
      <c r="A824" s="18" t="n"/>
      <c r="B824" s="26" t="n"/>
      <c r="C824" s="18" t="n"/>
      <c r="D824" s="20">
        <f>IF($W824="","",IF($W824="なし","※得意先にないコード",INDEX('得意先'!$C$5:$C$104,$W824)&amp;""))</f>
        <v/>
      </c>
      <c r="E824" s="26" t="n"/>
      <c r="F824" s="19" t="n"/>
      <c r="G824" s="27" t="n"/>
      <c r="H824" s="27" t="n"/>
      <c r="I824" s="27" t="n"/>
      <c r="J824" s="28">
        <f>IF($A824="","",IF('設定'!$B$10="四捨五入",ROUND(IF('設定'!$B$9="税込",N($G824)*10/110,N($G824)*10/100),0),IF('設定'!$B$10="切り上げ",ROUNDUP(IF('設定'!$B$9="税込",N($G824)*10/110,N($G824)*10/100),0),ROUNDDOWN(IF('設定'!$B$9="税込",N($G824)*10/110,N($G824)*10/100),0))))</f>
        <v/>
      </c>
      <c r="K824" s="28">
        <f>IF($A824="","",IF('設定'!$B$10="四捨五入",ROUND(IF('設定'!$B$9="税込",N($H824)*8/108,N($H824)*8/100),0),IF('設定'!$B$10="切り上げ",ROUNDUP(IF('設定'!$B$9="税込",N($H824)*8/108,N($H824)*8/100),0),ROUNDDOWN(IF('設定'!$B$9="税込",N($H824)*8/108,N($H824)*8/100),0))))</f>
        <v/>
      </c>
      <c r="L824" s="28">
        <f>IF($A824="","",N($G824)+N($H824)+N($I824)+IF('設定'!$B$9="税込",0,$J824+$K824))</f>
        <v/>
      </c>
      <c r="M824" s="29">
        <f>IF(OR($A824="",NOT(ISNUMBER($W824)),NOT(ISNUMBER($X824))),"",IF(OR(INDEX('得意先'!$D$5:$D$104,$W824)="",INDEX('得意先'!$E$5:$E$104,$W824)="",INDEX('得意先'!$F$5:$F$104,$W824)=""),"",IF(INDEX('得意先'!$F$5:$F$104,$W824)="末",DATE(YEAR($X824),(MONTH($X824)+IF(INDEX('得意先'!$D$5:$D$104,$W824)="末",0,IF(DAY($X824)&lt;=INDEX('得意先'!$D$5:$D$104,$W824),0,1))+N(INDEX('得意先'!$E$5:$E$104,$W824)))+1,0),DATE(YEAR($X824),(MONTH($X824)+IF(INDEX('得意先'!$D$5:$D$104,$W824)="末",0,IF(DAY($X824)&lt;=INDEX('得意先'!$D$5:$D$104,$W824),0,1))+N(INDEX('得意先'!$E$5:$E$104,$W824))),MIN(INDEX('得意先'!$F$5:$F$104,$W824),DAY(DATE(YEAR($X824),(MONTH($X824)+IF(INDEX('得意先'!$D$5:$D$104,$W824)="末",0,IF(DAY($X824)&lt;=INDEX('得意先'!$D$5:$D$104,$W824),0,1))+N(INDEX('得意先'!$E$5:$E$104,$W824)))+1,0)))))))</f>
        <v/>
      </c>
      <c r="N824" s="26" t="n"/>
      <c r="O824" s="29">
        <f>IF($A824="","",IF(ISNUMBER($N824),$N824,$M824))</f>
        <v/>
      </c>
      <c r="P824" s="28">
        <f>IF($A824="","",SUMIF('入金消込'!$F$5:$F$1004,$A824,'入金消込'!$G$5:$G$1004))</f>
        <v/>
      </c>
      <c r="Q824" s="28">
        <f>IF($A824="","",SUMIF('入金消込'!$F$5:$F$1004,$A824,'入金消込'!$H$5:$H$1004)+SUMIF('入金消込'!$F$5:$F$1004,$A824,'入金消込'!$I$5:$I$1004))</f>
        <v/>
      </c>
      <c r="R824" s="28">
        <f>IF($A824="","",$L824-$P824-$Q824)</f>
        <v/>
      </c>
      <c r="S824" s="30">
        <f>IF($A824="","",IF($R824=0,IF($L824=0,"請求額0","回収済"),IF($L824&lt;0,IF($R824&lt;0,"差し引き待ち","差し引きすぎ"),IF($R824&lt;0,"入金が多い",IF($P824+$Q824=0,"未入金","一部入金")))))</f>
        <v/>
      </c>
      <c r="T824" s="31">
        <f>IF(OR($A824="",N($R824)&lt;=0,NOT(ISNUMBER($O824))),"",IF($O824&lt;'設定'!$B$7,'設定'!$B$7-$O824,""))</f>
        <v/>
      </c>
      <c r="U824" s="30">
        <f>IF(OR($A824="",N($R824)&lt;=0),"",IF(NOT(ISNUMBER($O824)),'設定'!$B$22,IF($O824&gt;='設定'!$B$7,'設定'!$B$17,IF('設定'!$B$7-$O824&lt;='設定'!$B$12,'設定'!$B$18,IF('設定'!$B$7-$O824&lt;='設定'!$B$13,'設定'!$B$19,IF('設定'!$B$7-$O824&lt;='設定'!$B$14,'設定'!$B$20,'設定'!$B$21))))))</f>
        <v/>
      </c>
      <c r="V824" s="56" t="n"/>
      <c r="W824" s="32">
        <f>IF($C824="","",IFERROR(MATCH($C824,'得意先'!$B$5:$B$104,0),"なし"))</f>
        <v/>
      </c>
      <c r="X824" s="33">
        <f>IF($A824="","",IF(ISNUMBER($E824),$E824,IF(ISNUMBER($B824),$B824,"")))</f>
        <v/>
      </c>
      <c r="Y824" s="34">
        <f>IF($T824="","",$O824+ROW()/1000000)</f>
        <v/>
      </c>
      <c r="Z824" s="35">
        <f>IF(OR($A824="",$C824="",$C824&lt;&gt;'売掛帳'!$B$3,NOT(ISNUMBER($X824))),"",IF(AND($X824&gt;='売掛帳'!$Q$3,$X824&lt;='売掛帳'!$Q$4),$X824+ROW()/10000000,""))</f>
        <v/>
      </c>
    </row>
    <row r="825" ht="18" customHeight="1">
      <c r="A825" s="18" t="n"/>
      <c r="B825" s="26" t="n"/>
      <c r="C825" s="18" t="n"/>
      <c r="D825" s="20">
        <f>IF($W825="","",IF($W825="なし","※得意先にないコード",INDEX('得意先'!$C$5:$C$104,$W825)&amp;""))</f>
        <v/>
      </c>
      <c r="E825" s="26" t="n"/>
      <c r="F825" s="19" t="n"/>
      <c r="G825" s="27" t="n"/>
      <c r="H825" s="27" t="n"/>
      <c r="I825" s="27" t="n"/>
      <c r="J825" s="28">
        <f>IF($A825="","",IF('設定'!$B$10="四捨五入",ROUND(IF('設定'!$B$9="税込",N($G825)*10/110,N($G825)*10/100),0),IF('設定'!$B$10="切り上げ",ROUNDUP(IF('設定'!$B$9="税込",N($G825)*10/110,N($G825)*10/100),0),ROUNDDOWN(IF('設定'!$B$9="税込",N($G825)*10/110,N($G825)*10/100),0))))</f>
        <v/>
      </c>
      <c r="K825" s="28">
        <f>IF($A825="","",IF('設定'!$B$10="四捨五入",ROUND(IF('設定'!$B$9="税込",N($H825)*8/108,N($H825)*8/100),0),IF('設定'!$B$10="切り上げ",ROUNDUP(IF('設定'!$B$9="税込",N($H825)*8/108,N($H825)*8/100),0),ROUNDDOWN(IF('設定'!$B$9="税込",N($H825)*8/108,N($H825)*8/100),0))))</f>
        <v/>
      </c>
      <c r="L825" s="28">
        <f>IF($A825="","",N($G825)+N($H825)+N($I825)+IF('設定'!$B$9="税込",0,$J825+$K825))</f>
        <v/>
      </c>
      <c r="M825" s="29">
        <f>IF(OR($A825="",NOT(ISNUMBER($W825)),NOT(ISNUMBER($X825))),"",IF(OR(INDEX('得意先'!$D$5:$D$104,$W825)="",INDEX('得意先'!$E$5:$E$104,$W825)="",INDEX('得意先'!$F$5:$F$104,$W825)=""),"",IF(INDEX('得意先'!$F$5:$F$104,$W825)="末",DATE(YEAR($X825),(MONTH($X825)+IF(INDEX('得意先'!$D$5:$D$104,$W825)="末",0,IF(DAY($X825)&lt;=INDEX('得意先'!$D$5:$D$104,$W825),0,1))+N(INDEX('得意先'!$E$5:$E$104,$W825)))+1,0),DATE(YEAR($X825),(MONTH($X825)+IF(INDEX('得意先'!$D$5:$D$104,$W825)="末",0,IF(DAY($X825)&lt;=INDEX('得意先'!$D$5:$D$104,$W825),0,1))+N(INDEX('得意先'!$E$5:$E$104,$W825))),MIN(INDEX('得意先'!$F$5:$F$104,$W825),DAY(DATE(YEAR($X825),(MONTH($X825)+IF(INDEX('得意先'!$D$5:$D$104,$W825)="末",0,IF(DAY($X825)&lt;=INDEX('得意先'!$D$5:$D$104,$W825),0,1))+N(INDEX('得意先'!$E$5:$E$104,$W825)))+1,0)))))))</f>
        <v/>
      </c>
      <c r="N825" s="26" t="n"/>
      <c r="O825" s="29">
        <f>IF($A825="","",IF(ISNUMBER($N825),$N825,$M825))</f>
        <v/>
      </c>
      <c r="P825" s="28">
        <f>IF($A825="","",SUMIF('入金消込'!$F$5:$F$1004,$A825,'入金消込'!$G$5:$G$1004))</f>
        <v/>
      </c>
      <c r="Q825" s="28">
        <f>IF($A825="","",SUMIF('入金消込'!$F$5:$F$1004,$A825,'入金消込'!$H$5:$H$1004)+SUMIF('入金消込'!$F$5:$F$1004,$A825,'入金消込'!$I$5:$I$1004))</f>
        <v/>
      </c>
      <c r="R825" s="28">
        <f>IF($A825="","",$L825-$P825-$Q825)</f>
        <v/>
      </c>
      <c r="S825" s="30">
        <f>IF($A825="","",IF($R825=0,IF($L825=0,"請求額0","回収済"),IF($L825&lt;0,IF($R825&lt;0,"差し引き待ち","差し引きすぎ"),IF($R825&lt;0,"入金が多い",IF($P825+$Q825=0,"未入金","一部入金")))))</f>
        <v/>
      </c>
      <c r="T825" s="31">
        <f>IF(OR($A825="",N($R825)&lt;=0,NOT(ISNUMBER($O825))),"",IF($O825&lt;'設定'!$B$7,'設定'!$B$7-$O825,""))</f>
        <v/>
      </c>
      <c r="U825" s="30">
        <f>IF(OR($A825="",N($R825)&lt;=0),"",IF(NOT(ISNUMBER($O825)),'設定'!$B$22,IF($O825&gt;='設定'!$B$7,'設定'!$B$17,IF('設定'!$B$7-$O825&lt;='設定'!$B$12,'設定'!$B$18,IF('設定'!$B$7-$O825&lt;='設定'!$B$13,'設定'!$B$19,IF('設定'!$B$7-$O825&lt;='設定'!$B$14,'設定'!$B$20,'設定'!$B$21))))))</f>
        <v/>
      </c>
      <c r="V825" s="56" t="n"/>
      <c r="W825" s="32">
        <f>IF($C825="","",IFERROR(MATCH($C825,'得意先'!$B$5:$B$104,0),"なし"))</f>
        <v/>
      </c>
      <c r="X825" s="33">
        <f>IF($A825="","",IF(ISNUMBER($E825),$E825,IF(ISNUMBER($B825),$B825,"")))</f>
        <v/>
      </c>
      <c r="Y825" s="34">
        <f>IF($T825="","",$O825+ROW()/1000000)</f>
        <v/>
      </c>
      <c r="Z825" s="35">
        <f>IF(OR($A825="",$C825="",$C825&lt;&gt;'売掛帳'!$B$3,NOT(ISNUMBER($X825))),"",IF(AND($X825&gt;='売掛帳'!$Q$3,$X825&lt;='売掛帳'!$Q$4),$X825+ROW()/10000000,""))</f>
        <v/>
      </c>
    </row>
    <row r="826" ht="18" customHeight="1">
      <c r="A826" s="18" t="n"/>
      <c r="B826" s="26" t="n"/>
      <c r="C826" s="18" t="n"/>
      <c r="D826" s="20">
        <f>IF($W826="","",IF($W826="なし","※得意先にないコード",INDEX('得意先'!$C$5:$C$104,$W826)&amp;""))</f>
        <v/>
      </c>
      <c r="E826" s="26" t="n"/>
      <c r="F826" s="19" t="n"/>
      <c r="G826" s="27" t="n"/>
      <c r="H826" s="27" t="n"/>
      <c r="I826" s="27" t="n"/>
      <c r="J826" s="28">
        <f>IF($A826="","",IF('設定'!$B$10="四捨五入",ROUND(IF('設定'!$B$9="税込",N($G826)*10/110,N($G826)*10/100),0),IF('設定'!$B$10="切り上げ",ROUNDUP(IF('設定'!$B$9="税込",N($G826)*10/110,N($G826)*10/100),0),ROUNDDOWN(IF('設定'!$B$9="税込",N($G826)*10/110,N($G826)*10/100),0))))</f>
        <v/>
      </c>
      <c r="K826" s="28">
        <f>IF($A826="","",IF('設定'!$B$10="四捨五入",ROUND(IF('設定'!$B$9="税込",N($H826)*8/108,N($H826)*8/100),0),IF('設定'!$B$10="切り上げ",ROUNDUP(IF('設定'!$B$9="税込",N($H826)*8/108,N($H826)*8/100),0),ROUNDDOWN(IF('設定'!$B$9="税込",N($H826)*8/108,N($H826)*8/100),0))))</f>
        <v/>
      </c>
      <c r="L826" s="28">
        <f>IF($A826="","",N($G826)+N($H826)+N($I826)+IF('設定'!$B$9="税込",0,$J826+$K826))</f>
        <v/>
      </c>
      <c r="M826" s="29">
        <f>IF(OR($A826="",NOT(ISNUMBER($W826)),NOT(ISNUMBER($X826))),"",IF(OR(INDEX('得意先'!$D$5:$D$104,$W826)="",INDEX('得意先'!$E$5:$E$104,$W826)="",INDEX('得意先'!$F$5:$F$104,$W826)=""),"",IF(INDEX('得意先'!$F$5:$F$104,$W826)="末",DATE(YEAR($X826),(MONTH($X826)+IF(INDEX('得意先'!$D$5:$D$104,$W826)="末",0,IF(DAY($X826)&lt;=INDEX('得意先'!$D$5:$D$104,$W826),0,1))+N(INDEX('得意先'!$E$5:$E$104,$W826)))+1,0),DATE(YEAR($X826),(MONTH($X826)+IF(INDEX('得意先'!$D$5:$D$104,$W826)="末",0,IF(DAY($X826)&lt;=INDEX('得意先'!$D$5:$D$104,$W826),0,1))+N(INDEX('得意先'!$E$5:$E$104,$W826))),MIN(INDEX('得意先'!$F$5:$F$104,$W826),DAY(DATE(YEAR($X826),(MONTH($X826)+IF(INDEX('得意先'!$D$5:$D$104,$W826)="末",0,IF(DAY($X826)&lt;=INDEX('得意先'!$D$5:$D$104,$W826),0,1))+N(INDEX('得意先'!$E$5:$E$104,$W826)))+1,0)))))))</f>
        <v/>
      </c>
      <c r="N826" s="26" t="n"/>
      <c r="O826" s="29">
        <f>IF($A826="","",IF(ISNUMBER($N826),$N826,$M826))</f>
        <v/>
      </c>
      <c r="P826" s="28">
        <f>IF($A826="","",SUMIF('入金消込'!$F$5:$F$1004,$A826,'入金消込'!$G$5:$G$1004))</f>
        <v/>
      </c>
      <c r="Q826" s="28">
        <f>IF($A826="","",SUMIF('入金消込'!$F$5:$F$1004,$A826,'入金消込'!$H$5:$H$1004)+SUMIF('入金消込'!$F$5:$F$1004,$A826,'入金消込'!$I$5:$I$1004))</f>
        <v/>
      </c>
      <c r="R826" s="28">
        <f>IF($A826="","",$L826-$P826-$Q826)</f>
        <v/>
      </c>
      <c r="S826" s="30">
        <f>IF($A826="","",IF($R826=0,IF($L826=0,"請求額0","回収済"),IF($L826&lt;0,IF($R826&lt;0,"差し引き待ち","差し引きすぎ"),IF($R826&lt;0,"入金が多い",IF($P826+$Q826=0,"未入金","一部入金")))))</f>
        <v/>
      </c>
      <c r="T826" s="31">
        <f>IF(OR($A826="",N($R826)&lt;=0,NOT(ISNUMBER($O826))),"",IF($O826&lt;'設定'!$B$7,'設定'!$B$7-$O826,""))</f>
        <v/>
      </c>
      <c r="U826" s="30">
        <f>IF(OR($A826="",N($R826)&lt;=0),"",IF(NOT(ISNUMBER($O826)),'設定'!$B$22,IF($O826&gt;='設定'!$B$7,'設定'!$B$17,IF('設定'!$B$7-$O826&lt;='設定'!$B$12,'設定'!$B$18,IF('設定'!$B$7-$O826&lt;='設定'!$B$13,'設定'!$B$19,IF('設定'!$B$7-$O826&lt;='設定'!$B$14,'設定'!$B$20,'設定'!$B$21))))))</f>
        <v/>
      </c>
      <c r="V826" s="56" t="n"/>
      <c r="W826" s="32">
        <f>IF($C826="","",IFERROR(MATCH($C826,'得意先'!$B$5:$B$104,0),"なし"))</f>
        <v/>
      </c>
      <c r="X826" s="33">
        <f>IF($A826="","",IF(ISNUMBER($E826),$E826,IF(ISNUMBER($B826),$B826,"")))</f>
        <v/>
      </c>
      <c r="Y826" s="34">
        <f>IF($T826="","",$O826+ROW()/1000000)</f>
        <v/>
      </c>
      <c r="Z826" s="35">
        <f>IF(OR($A826="",$C826="",$C826&lt;&gt;'売掛帳'!$B$3,NOT(ISNUMBER($X826))),"",IF(AND($X826&gt;='売掛帳'!$Q$3,$X826&lt;='売掛帳'!$Q$4),$X826+ROW()/10000000,""))</f>
        <v/>
      </c>
    </row>
    <row r="827" ht="18" customHeight="1">
      <c r="A827" s="18" t="n"/>
      <c r="B827" s="26" t="n"/>
      <c r="C827" s="18" t="n"/>
      <c r="D827" s="20">
        <f>IF($W827="","",IF($W827="なし","※得意先にないコード",INDEX('得意先'!$C$5:$C$104,$W827)&amp;""))</f>
        <v/>
      </c>
      <c r="E827" s="26" t="n"/>
      <c r="F827" s="19" t="n"/>
      <c r="G827" s="27" t="n"/>
      <c r="H827" s="27" t="n"/>
      <c r="I827" s="27" t="n"/>
      <c r="J827" s="28">
        <f>IF($A827="","",IF('設定'!$B$10="四捨五入",ROUND(IF('設定'!$B$9="税込",N($G827)*10/110,N($G827)*10/100),0),IF('設定'!$B$10="切り上げ",ROUNDUP(IF('設定'!$B$9="税込",N($G827)*10/110,N($G827)*10/100),0),ROUNDDOWN(IF('設定'!$B$9="税込",N($G827)*10/110,N($G827)*10/100),0))))</f>
        <v/>
      </c>
      <c r="K827" s="28">
        <f>IF($A827="","",IF('設定'!$B$10="四捨五入",ROUND(IF('設定'!$B$9="税込",N($H827)*8/108,N($H827)*8/100),0),IF('設定'!$B$10="切り上げ",ROUNDUP(IF('設定'!$B$9="税込",N($H827)*8/108,N($H827)*8/100),0),ROUNDDOWN(IF('設定'!$B$9="税込",N($H827)*8/108,N($H827)*8/100),0))))</f>
        <v/>
      </c>
      <c r="L827" s="28">
        <f>IF($A827="","",N($G827)+N($H827)+N($I827)+IF('設定'!$B$9="税込",0,$J827+$K827))</f>
        <v/>
      </c>
      <c r="M827" s="29">
        <f>IF(OR($A827="",NOT(ISNUMBER($W827)),NOT(ISNUMBER($X827))),"",IF(OR(INDEX('得意先'!$D$5:$D$104,$W827)="",INDEX('得意先'!$E$5:$E$104,$W827)="",INDEX('得意先'!$F$5:$F$104,$W827)=""),"",IF(INDEX('得意先'!$F$5:$F$104,$W827)="末",DATE(YEAR($X827),(MONTH($X827)+IF(INDEX('得意先'!$D$5:$D$104,$W827)="末",0,IF(DAY($X827)&lt;=INDEX('得意先'!$D$5:$D$104,$W827),0,1))+N(INDEX('得意先'!$E$5:$E$104,$W827)))+1,0),DATE(YEAR($X827),(MONTH($X827)+IF(INDEX('得意先'!$D$5:$D$104,$W827)="末",0,IF(DAY($X827)&lt;=INDEX('得意先'!$D$5:$D$104,$W827),0,1))+N(INDEX('得意先'!$E$5:$E$104,$W827))),MIN(INDEX('得意先'!$F$5:$F$104,$W827),DAY(DATE(YEAR($X827),(MONTH($X827)+IF(INDEX('得意先'!$D$5:$D$104,$W827)="末",0,IF(DAY($X827)&lt;=INDEX('得意先'!$D$5:$D$104,$W827),0,1))+N(INDEX('得意先'!$E$5:$E$104,$W827)))+1,0)))))))</f>
        <v/>
      </c>
      <c r="N827" s="26" t="n"/>
      <c r="O827" s="29">
        <f>IF($A827="","",IF(ISNUMBER($N827),$N827,$M827))</f>
        <v/>
      </c>
      <c r="P827" s="28">
        <f>IF($A827="","",SUMIF('入金消込'!$F$5:$F$1004,$A827,'入金消込'!$G$5:$G$1004))</f>
        <v/>
      </c>
      <c r="Q827" s="28">
        <f>IF($A827="","",SUMIF('入金消込'!$F$5:$F$1004,$A827,'入金消込'!$H$5:$H$1004)+SUMIF('入金消込'!$F$5:$F$1004,$A827,'入金消込'!$I$5:$I$1004))</f>
        <v/>
      </c>
      <c r="R827" s="28">
        <f>IF($A827="","",$L827-$P827-$Q827)</f>
        <v/>
      </c>
      <c r="S827" s="30">
        <f>IF($A827="","",IF($R827=0,IF($L827=0,"請求額0","回収済"),IF($L827&lt;0,IF($R827&lt;0,"差し引き待ち","差し引きすぎ"),IF($R827&lt;0,"入金が多い",IF($P827+$Q827=0,"未入金","一部入金")))))</f>
        <v/>
      </c>
      <c r="T827" s="31">
        <f>IF(OR($A827="",N($R827)&lt;=0,NOT(ISNUMBER($O827))),"",IF($O827&lt;'設定'!$B$7,'設定'!$B$7-$O827,""))</f>
        <v/>
      </c>
      <c r="U827" s="30">
        <f>IF(OR($A827="",N($R827)&lt;=0),"",IF(NOT(ISNUMBER($O827)),'設定'!$B$22,IF($O827&gt;='設定'!$B$7,'設定'!$B$17,IF('設定'!$B$7-$O827&lt;='設定'!$B$12,'設定'!$B$18,IF('設定'!$B$7-$O827&lt;='設定'!$B$13,'設定'!$B$19,IF('設定'!$B$7-$O827&lt;='設定'!$B$14,'設定'!$B$20,'設定'!$B$21))))))</f>
        <v/>
      </c>
      <c r="V827" s="56" t="n"/>
      <c r="W827" s="32">
        <f>IF($C827="","",IFERROR(MATCH($C827,'得意先'!$B$5:$B$104,0),"なし"))</f>
        <v/>
      </c>
      <c r="X827" s="33">
        <f>IF($A827="","",IF(ISNUMBER($E827),$E827,IF(ISNUMBER($B827),$B827,"")))</f>
        <v/>
      </c>
      <c r="Y827" s="34">
        <f>IF($T827="","",$O827+ROW()/1000000)</f>
        <v/>
      </c>
      <c r="Z827" s="35">
        <f>IF(OR($A827="",$C827="",$C827&lt;&gt;'売掛帳'!$B$3,NOT(ISNUMBER($X827))),"",IF(AND($X827&gt;='売掛帳'!$Q$3,$X827&lt;='売掛帳'!$Q$4),$X827+ROW()/10000000,""))</f>
        <v/>
      </c>
    </row>
    <row r="828" ht="18" customHeight="1">
      <c r="A828" s="18" t="n"/>
      <c r="B828" s="26" t="n"/>
      <c r="C828" s="18" t="n"/>
      <c r="D828" s="20">
        <f>IF($W828="","",IF($W828="なし","※得意先にないコード",INDEX('得意先'!$C$5:$C$104,$W828)&amp;""))</f>
        <v/>
      </c>
      <c r="E828" s="26" t="n"/>
      <c r="F828" s="19" t="n"/>
      <c r="G828" s="27" t="n"/>
      <c r="H828" s="27" t="n"/>
      <c r="I828" s="27" t="n"/>
      <c r="J828" s="28">
        <f>IF($A828="","",IF('設定'!$B$10="四捨五入",ROUND(IF('設定'!$B$9="税込",N($G828)*10/110,N($G828)*10/100),0),IF('設定'!$B$10="切り上げ",ROUNDUP(IF('設定'!$B$9="税込",N($G828)*10/110,N($G828)*10/100),0),ROUNDDOWN(IF('設定'!$B$9="税込",N($G828)*10/110,N($G828)*10/100),0))))</f>
        <v/>
      </c>
      <c r="K828" s="28">
        <f>IF($A828="","",IF('設定'!$B$10="四捨五入",ROUND(IF('設定'!$B$9="税込",N($H828)*8/108,N($H828)*8/100),0),IF('設定'!$B$10="切り上げ",ROUNDUP(IF('設定'!$B$9="税込",N($H828)*8/108,N($H828)*8/100),0),ROUNDDOWN(IF('設定'!$B$9="税込",N($H828)*8/108,N($H828)*8/100),0))))</f>
        <v/>
      </c>
      <c r="L828" s="28">
        <f>IF($A828="","",N($G828)+N($H828)+N($I828)+IF('設定'!$B$9="税込",0,$J828+$K828))</f>
        <v/>
      </c>
      <c r="M828" s="29">
        <f>IF(OR($A828="",NOT(ISNUMBER($W828)),NOT(ISNUMBER($X828))),"",IF(OR(INDEX('得意先'!$D$5:$D$104,$W828)="",INDEX('得意先'!$E$5:$E$104,$W828)="",INDEX('得意先'!$F$5:$F$104,$W828)=""),"",IF(INDEX('得意先'!$F$5:$F$104,$W828)="末",DATE(YEAR($X828),(MONTH($X828)+IF(INDEX('得意先'!$D$5:$D$104,$W828)="末",0,IF(DAY($X828)&lt;=INDEX('得意先'!$D$5:$D$104,$W828),0,1))+N(INDEX('得意先'!$E$5:$E$104,$W828)))+1,0),DATE(YEAR($X828),(MONTH($X828)+IF(INDEX('得意先'!$D$5:$D$104,$W828)="末",0,IF(DAY($X828)&lt;=INDEX('得意先'!$D$5:$D$104,$W828),0,1))+N(INDEX('得意先'!$E$5:$E$104,$W828))),MIN(INDEX('得意先'!$F$5:$F$104,$W828),DAY(DATE(YEAR($X828),(MONTH($X828)+IF(INDEX('得意先'!$D$5:$D$104,$W828)="末",0,IF(DAY($X828)&lt;=INDEX('得意先'!$D$5:$D$104,$W828),0,1))+N(INDEX('得意先'!$E$5:$E$104,$W828)))+1,0)))))))</f>
        <v/>
      </c>
      <c r="N828" s="26" t="n"/>
      <c r="O828" s="29">
        <f>IF($A828="","",IF(ISNUMBER($N828),$N828,$M828))</f>
        <v/>
      </c>
      <c r="P828" s="28">
        <f>IF($A828="","",SUMIF('入金消込'!$F$5:$F$1004,$A828,'入金消込'!$G$5:$G$1004))</f>
        <v/>
      </c>
      <c r="Q828" s="28">
        <f>IF($A828="","",SUMIF('入金消込'!$F$5:$F$1004,$A828,'入金消込'!$H$5:$H$1004)+SUMIF('入金消込'!$F$5:$F$1004,$A828,'入金消込'!$I$5:$I$1004))</f>
        <v/>
      </c>
      <c r="R828" s="28">
        <f>IF($A828="","",$L828-$P828-$Q828)</f>
        <v/>
      </c>
      <c r="S828" s="30">
        <f>IF($A828="","",IF($R828=0,IF($L828=0,"請求額0","回収済"),IF($L828&lt;0,IF($R828&lt;0,"差し引き待ち","差し引きすぎ"),IF($R828&lt;0,"入金が多い",IF($P828+$Q828=0,"未入金","一部入金")))))</f>
        <v/>
      </c>
      <c r="T828" s="31">
        <f>IF(OR($A828="",N($R828)&lt;=0,NOT(ISNUMBER($O828))),"",IF($O828&lt;'設定'!$B$7,'設定'!$B$7-$O828,""))</f>
        <v/>
      </c>
      <c r="U828" s="30">
        <f>IF(OR($A828="",N($R828)&lt;=0),"",IF(NOT(ISNUMBER($O828)),'設定'!$B$22,IF($O828&gt;='設定'!$B$7,'設定'!$B$17,IF('設定'!$B$7-$O828&lt;='設定'!$B$12,'設定'!$B$18,IF('設定'!$B$7-$O828&lt;='設定'!$B$13,'設定'!$B$19,IF('設定'!$B$7-$O828&lt;='設定'!$B$14,'設定'!$B$20,'設定'!$B$21))))))</f>
        <v/>
      </c>
      <c r="V828" s="56" t="n"/>
      <c r="W828" s="32">
        <f>IF($C828="","",IFERROR(MATCH($C828,'得意先'!$B$5:$B$104,0),"なし"))</f>
        <v/>
      </c>
      <c r="X828" s="33">
        <f>IF($A828="","",IF(ISNUMBER($E828),$E828,IF(ISNUMBER($B828),$B828,"")))</f>
        <v/>
      </c>
      <c r="Y828" s="34">
        <f>IF($T828="","",$O828+ROW()/1000000)</f>
        <v/>
      </c>
      <c r="Z828" s="35">
        <f>IF(OR($A828="",$C828="",$C828&lt;&gt;'売掛帳'!$B$3,NOT(ISNUMBER($X828))),"",IF(AND($X828&gt;='売掛帳'!$Q$3,$X828&lt;='売掛帳'!$Q$4),$X828+ROW()/10000000,""))</f>
        <v/>
      </c>
    </row>
    <row r="829" ht="18" customHeight="1">
      <c r="A829" s="18" t="n"/>
      <c r="B829" s="26" t="n"/>
      <c r="C829" s="18" t="n"/>
      <c r="D829" s="20">
        <f>IF($W829="","",IF($W829="なし","※得意先にないコード",INDEX('得意先'!$C$5:$C$104,$W829)&amp;""))</f>
        <v/>
      </c>
      <c r="E829" s="26" t="n"/>
      <c r="F829" s="19" t="n"/>
      <c r="G829" s="27" t="n"/>
      <c r="H829" s="27" t="n"/>
      <c r="I829" s="27" t="n"/>
      <c r="J829" s="28">
        <f>IF($A829="","",IF('設定'!$B$10="四捨五入",ROUND(IF('設定'!$B$9="税込",N($G829)*10/110,N($G829)*10/100),0),IF('設定'!$B$10="切り上げ",ROUNDUP(IF('設定'!$B$9="税込",N($G829)*10/110,N($G829)*10/100),0),ROUNDDOWN(IF('設定'!$B$9="税込",N($G829)*10/110,N($G829)*10/100),0))))</f>
        <v/>
      </c>
      <c r="K829" s="28">
        <f>IF($A829="","",IF('設定'!$B$10="四捨五入",ROUND(IF('設定'!$B$9="税込",N($H829)*8/108,N($H829)*8/100),0),IF('設定'!$B$10="切り上げ",ROUNDUP(IF('設定'!$B$9="税込",N($H829)*8/108,N($H829)*8/100),0),ROUNDDOWN(IF('設定'!$B$9="税込",N($H829)*8/108,N($H829)*8/100),0))))</f>
        <v/>
      </c>
      <c r="L829" s="28">
        <f>IF($A829="","",N($G829)+N($H829)+N($I829)+IF('設定'!$B$9="税込",0,$J829+$K829))</f>
        <v/>
      </c>
      <c r="M829" s="29">
        <f>IF(OR($A829="",NOT(ISNUMBER($W829)),NOT(ISNUMBER($X829))),"",IF(OR(INDEX('得意先'!$D$5:$D$104,$W829)="",INDEX('得意先'!$E$5:$E$104,$W829)="",INDEX('得意先'!$F$5:$F$104,$W829)=""),"",IF(INDEX('得意先'!$F$5:$F$104,$W829)="末",DATE(YEAR($X829),(MONTH($X829)+IF(INDEX('得意先'!$D$5:$D$104,$W829)="末",0,IF(DAY($X829)&lt;=INDEX('得意先'!$D$5:$D$104,$W829),0,1))+N(INDEX('得意先'!$E$5:$E$104,$W829)))+1,0),DATE(YEAR($X829),(MONTH($X829)+IF(INDEX('得意先'!$D$5:$D$104,$W829)="末",0,IF(DAY($X829)&lt;=INDEX('得意先'!$D$5:$D$104,$W829),0,1))+N(INDEX('得意先'!$E$5:$E$104,$W829))),MIN(INDEX('得意先'!$F$5:$F$104,$W829),DAY(DATE(YEAR($X829),(MONTH($X829)+IF(INDEX('得意先'!$D$5:$D$104,$W829)="末",0,IF(DAY($X829)&lt;=INDEX('得意先'!$D$5:$D$104,$W829),0,1))+N(INDEX('得意先'!$E$5:$E$104,$W829)))+1,0)))))))</f>
        <v/>
      </c>
      <c r="N829" s="26" t="n"/>
      <c r="O829" s="29">
        <f>IF($A829="","",IF(ISNUMBER($N829),$N829,$M829))</f>
        <v/>
      </c>
      <c r="P829" s="28">
        <f>IF($A829="","",SUMIF('入金消込'!$F$5:$F$1004,$A829,'入金消込'!$G$5:$G$1004))</f>
        <v/>
      </c>
      <c r="Q829" s="28">
        <f>IF($A829="","",SUMIF('入金消込'!$F$5:$F$1004,$A829,'入金消込'!$H$5:$H$1004)+SUMIF('入金消込'!$F$5:$F$1004,$A829,'入金消込'!$I$5:$I$1004))</f>
        <v/>
      </c>
      <c r="R829" s="28">
        <f>IF($A829="","",$L829-$P829-$Q829)</f>
        <v/>
      </c>
      <c r="S829" s="30">
        <f>IF($A829="","",IF($R829=0,IF($L829=0,"請求額0","回収済"),IF($L829&lt;0,IF($R829&lt;0,"差し引き待ち","差し引きすぎ"),IF($R829&lt;0,"入金が多い",IF($P829+$Q829=0,"未入金","一部入金")))))</f>
        <v/>
      </c>
      <c r="T829" s="31">
        <f>IF(OR($A829="",N($R829)&lt;=0,NOT(ISNUMBER($O829))),"",IF($O829&lt;'設定'!$B$7,'設定'!$B$7-$O829,""))</f>
        <v/>
      </c>
      <c r="U829" s="30">
        <f>IF(OR($A829="",N($R829)&lt;=0),"",IF(NOT(ISNUMBER($O829)),'設定'!$B$22,IF($O829&gt;='設定'!$B$7,'設定'!$B$17,IF('設定'!$B$7-$O829&lt;='設定'!$B$12,'設定'!$B$18,IF('設定'!$B$7-$O829&lt;='設定'!$B$13,'設定'!$B$19,IF('設定'!$B$7-$O829&lt;='設定'!$B$14,'設定'!$B$20,'設定'!$B$21))))))</f>
        <v/>
      </c>
      <c r="V829" s="56" t="n"/>
      <c r="W829" s="32">
        <f>IF($C829="","",IFERROR(MATCH($C829,'得意先'!$B$5:$B$104,0),"なし"))</f>
        <v/>
      </c>
      <c r="X829" s="33">
        <f>IF($A829="","",IF(ISNUMBER($E829),$E829,IF(ISNUMBER($B829),$B829,"")))</f>
        <v/>
      </c>
      <c r="Y829" s="34">
        <f>IF($T829="","",$O829+ROW()/1000000)</f>
        <v/>
      </c>
      <c r="Z829" s="35">
        <f>IF(OR($A829="",$C829="",$C829&lt;&gt;'売掛帳'!$B$3,NOT(ISNUMBER($X829))),"",IF(AND($X829&gt;='売掛帳'!$Q$3,$X829&lt;='売掛帳'!$Q$4),$X829+ROW()/10000000,""))</f>
        <v/>
      </c>
    </row>
    <row r="830" ht="18" customHeight="1">
      <c r="A830" s="18" t="n"/>
      <c r="B830" s="26" t="n"/>
      <c r="C830" s="18" t="n"/>
      <c r="D830" s="20">
        <f>IF($W830="","",IF($W830="なし","※得意先にないコード",INDEX('得意先'!$C$5:$C$104,$W830)&amp;""))</f>
        <v/>
      </c>
      <c r="E830" s="26" t="n"/>
      <c r="F830" s="19" t="n"/>
      <c r="G830" s="27" t="n"/>
      <c r="H830" s="27" t="n"/>
      <c r="I830" s="27" t="n"/>
      <c r="J830" s="28">
        <f>IF($A830="","",IF('設定'!$B$10="四捨五入",ROUND(IF('設定'!$B$9="税込",N($G830)*10/110,N($G830)*10/100),0),IF('設定'!$B$10="切り上げ",ROUNDUP(IF('設定'!$B$9="税込",N($G830)*10/110,N($G830)*10/100),0),ROUNDDOWN(IF('設定'!$B$9="税込",N($G830)*10/110,N($G830)*10/100),0))))</f>
        <v/>
      </c>
      <c r="K830" s="28">
        <f>IF($A830="","",IF('設定'!$B$10="四捨五入",ROUND(IF('設定'!$B$9="税込",N($H830)*8/108,N($H830)*8/100),0),IF('設定'!$B$10="切り上げ",ROUNDUP(IF('設定'!$B$9="税込",N($H830)*8/108,N($H830)*8/100),0),ROUNDDOWN(IF('設定'!$B$9="税込",N($H830)*8/108,N($H830)*8/100),0))))</f>
        <v/>
      </c>
      <c r="L830" s="28">
        <f>IF($A830="","",N($G830)+N($H830)+N($I830)+IF('設定'!$B$9="税込",0,$J830+$K830))</f>
        <v/>
      </c>
      <c r="M830" s="29">
        <f>IF(OR($A830="",NOT(ISNUMBER($W830)),NOT(ISNUMBER($X830))),"",IF(OR(INDEX('得意先'!$D$5:$D$104,$W830)="",INDEX('得意先'!$E$5:$E$104,$W830)="",INDEX('得意先'!$F$5:$F$104,$W830)=""),"",IF(INDEX('得意先'!$F$5:$F$104,$W830)="末",DATE(YEAR($X830),(MONTH($X830)+IF(INDEX('得意先'!$D$5:$D$104,$W830)="末",0,IF(DAY($X830)&lt;=INDEX('得意先'!$D$5:$D$104,$W830),0,1))+N(INDEX('得意先'!$E$5:$E$104,$W830)))+1,0),DATE(YEAR($X830),(MONTH($X830)+IF(INDEX('得意先'!$D$5:$D$104,$W830)="末",0,IF(DAY($X830)&lt;=INDEX('得意先'!$D$5:$D$104,$W830),0,1))+N(INDEX('得意先'!$E$5:$E$104,$W830))),MIN(INDEX('得意先'!$F$5:$F$104,$W830),DAY(DATE(YEAR($X830),(MONTH($X830)+IF(INDEX('得意先'!$D$5:$D$104,$W830)="末",0,IF(DAY($X830)&lt;=INDEX('得意先'!$D$5:$D$104,$W830),0,1))+N(INDEX('得意先'!$E$5:$E$104,$W830)))+1,0)))))))</f>
        <v/>
      </c>
      <c r="N830" s="26" t="n"/>
      <c r="O830" s="29">
        <f>IF($A830="","",IF(ISNUMBER($N830),$N830,$M830))</f>
        <v/>
      </c>
      <c r="P830" s="28">
        <f>IF($A830="","",SUMIF('入金消込'!$F$5:$F$1004,$A830,'入金消込'!$G$5:$G$1004))</f>
        <v/>
      </c>
      <c r="Q830" s="28">
        <f>IF($A830="","",SUMIF('入金消込'!$F$5:$F$1004,$A830,'入金消込'!$H$5:$H$1004)+SUMIF('入金消込'!$F$5:$F$1004,$A830,'入金消込'!$I$5:$I$1004))</f>
        <v/>
      </c>
      <c r="R830" s="28">
        <f>IF($A830="","",$L830-$P830-$Q830)</f>
        <v/>
      </c>
      <c r="S830" s="30">
        <f>IF($A830="","",IF($R830=0,IF($L830=0,"請求額0","回収済"),IF($L830&lt;0,IF($R830&lt;0,"差し引き待ち","差し引きすぎ"),IF($R830&lt;0,"入金が多い",IF($P830+$Q830=0,"未入金","一部入金")))))</f>
        <v/>
      </c>
      <c r="T830" s="31">
        <f>IF(OR($A830="",N($R830)&lt;=0,NOT(ISNUMBER($O830))),"",IF($O830&lt;'設定'!$B$7,'設定'!$B$7-$O830,""))</f>
        <v/>
      </c>
      <c r="U830" s="30">
        <f>IF(OR($A830="",N($R830)&lt;=0),"",IF(NOT(ISNUMBER($O830)),'設定'!$B$22,IF($O830&gt;='設定'!$B$7,'設定'!$B$17,IF('設定'!$B$7-$O830&lt;='設定'!$B$12,'設定'!$B$18,IF('設定'!$B$7-$O830&lt;='設定'!$B$13,'設定'!$B$19,IF('設定'!$B$7-$O830&lt;='設定'!$B$14,'設定'!$B$20,'設定'!$B$21))))))</f>
        <v/>
      </c>
      <c r="V830" s="56" t="n"/>
      <c r="W830" s="32">
        <f>IF($C830="","",IFERROR(MATCH($C830,'得意先'!$B$5:$B$104,0),"なし"))</f>
        <v/>
      </c>
      <c r="X830" s="33">
        <f>IF($A830="","",IF(ISNUMBER($E830),$E830,IF(ISNUMBER($B830),$B830,"")))</f>
        <v/>
      </c>
      <c r="Y830" s="34">
        <f>IF($T830="","",$O830+ROW()/1000000)</f>
        <v/>
      </c>
      <c r="Z830" s="35">
        <f>IF(OR($A830="",$C830="",$C830&lt;&gt;'売掛帳'!$B$3,NOT(ISNUMBER($X830))),"",IF(AND($X830&gt;='売掛帳'!$Q$3,$X830&lt;='売掛帳'!$Q$4),$X830+ROW()/10000000,""))</f>
        <v/>
      </c>
    </row>
    <row r="831" ht="18" customHeight="1">
      <c r="A831" s="18" t="n"/>
      <c r="B831" s="26" t="n"/>
      <c r="C831" s="18" t="n"/>
      <c r="D831" s="20">
        <f>IF($W831="","",IF($W831="なし","※得意先にないコード",INDEX('得意先'!$C$5:$C$104,$W831)&amp;""))</f>
        <v/>
      </c>
      <c r="E831" s="26" t="n"/>
      <c r="F831" s="19" t="n"/>
      <c r="G831" s="27" t="n"/>
      <c r="H831" s="27" t="n"/>
      <c r="I831" s="27" t="n"/>
      <c r="J831" s="28">
        <f>IF($A831="","",IF('設定'!$B$10="四捨五入",ROUND(IF('設定'!$B$9="税込",N($G831)*10/110,N($G831)*10/100),0),IF('設定'!$B$10="切り上げ",ROUNDUP(IF('設定'!$B$9="税込",N($G831)*10/110,N($G831)*10/100),0),ROUNDDOWN(IF('設定'!$B$9="税込",N($G831)*10/110,N($G831)*10/100),0))))</f>
        <v/>
      </c>
      <c r="K831" s="28">
        <f>IF($A831="","",IF('設定'!$B$10="四捨五入",ROUND(IF('設定'!$B$9="税込",N($H831)*8/108,N($H831)*8/100),0),IF('設定'!$B$10="切り上げ",ROUNDUP(IF('設定'!$B$9="税込",N($H831)*8/108,N($H831)*8/100),0),ROUNDDOWN(IF('設定'!$B$9="税込",N($H831)*8/108,N($H831)*8/100),0))))</f>
        <v/>
      </c>
      <c r="L831" s="28">
        <f>IF($A831="","",N($G831)+N($H831)+N($I831)+IF('設定'!$B$9="税込",0,$J831+$K831))</f>
        <v/>
      </c>
      <c r="M831" s="29">
        <f>IF(OR($A831="",NOT(ISNUMBER($W831)),NOT(ISNUMBER($X831))),"",IF(OR(INDEX('得意先'!$D$5:$D$104,$W831)="",INDEX('得意先'!$E$5:$E$104,$W831)="",INDEX('得意先'!$F$5:$F$104,$W831)=""),"",IF(INDEX('得意先'!$F$5:$F$104,$W831)="末",DATE(YEAR($X831),(MONTH($X831)+IF(INDEX('得意先'!$D$5:$D$104,$W831)="末",0,IF(DAY($X831)&lt;=INDEX('得意先'!$D$5:$D$104,$W831),0,1))+N(INDEX('得意先'!$E$5:$E$104,$W831)))+1,0),DATE(YEAR($X831),(MONTH($X831)+IF(INDEX('得意先'!$D$5:$D$104,$W831)="末",0,IF(DAY($X831)&lt;=INDEX('得意先'!$D$5:$D$104,$W831),0,1))+N(INDEX('得意先'!$E$5:$E$104,$W831))),MIN(INDEX('得意先'!$F$5:$F$104,$W831),DAY(DATE(YEAR($X831),(MONTH($X831)+IF(INDEX('得意先'!$D$5:$D$104,$W831)="末",0,IF(DAY($X831)&lt;=INDEX('得意先'!$D$5:$D$104,$W831),0,1))+N(INDEX('得意先'!$E$5:$E$104,$W831)))+1,0)))))))</f>
        <v/>
      </c>
      <c r="N831" s="26" t="n"/>
      <c r="O831" s="29">
        <f>IF($A831="","",IF(ISNUMBER($N831),$N831,$M831))</f>
        <v/>
      </c>
      <c r="P831" s="28">
        <f>IF($A831="","",SUMIF('入金消込'!$F$5:$F$1004,$A831,'入金消込'!$G$5:$G$1004))</f>
        <v/>
      </c>
      <c r="Q831" s="28">
        <f>IF($A831="","",SUMIF('入金消込'!$F$5:$F$1004,$A831,'入金消込'!$H$5:$H$1004)+SUMIF('入金消込'!$F$5:$F$1004,$A831,'入金消込'!$I$5:$I$1004))</f>
        <v/>
      </c>
      <c r="R831" s="28">
        <f>IF($A831="","",$L831-$P831-$Q831)</f>
        <v/>
      </c>
      <c r="S831" s="30">
        <f>IF($A831="","",IF($R831=0,IF($L831=0,"請求額0","回収済"),IF($L831&lt;0,IF($R831&lt;0,"差し引き待ち","差し引きすぎ"),IF($R831&lt;0,"入金が多い",IF($P831+$Q831=0,"未入金","一部入金")))))</f>
        <v/>
      </c>
      <c r="T831" s="31">
        <f>IF(OR($A831="",N($R831)&lt;=0,NOT(ISNUMBER($O831))),"",IF($O831&lt;'設定'!$B$7,'設定'!$B$7-$O831,""))</f>
        <v/>
      </c>
      <c r="U831" s="30">
        <f>IF(OR($A831="",N($R831)&lt;=0),"",IF(NOT(ISNUMBER($O831)),'設定'!$B$22,IF($O831&gt;='設定'!$B$7,'設定'!$B$17,IF('設定'!$B$7-$O831&lt;='設定'!$B$12,'設定'!$B$18,IF('設定'!$B$7-$O831&lt;='設定'!$B$13,'設定'!$B$19,IF('設定'!$B$7-$O831&lt;='設定'!$B$14,'設定'!$B$20,'設定'!$B$21))))))</f>
        <v/>
      </c>
      <c r="V831" s="56" t="n"/>
      <c r="W831" s="32">
        <f>IF($C831="","",IFERROR(MATCH($C831,'得意先'!$B$5:$B$104,0),"なし"))</f>
        <v/>
      </c>
      <c r="X831" s="33">
        <f>IF($A831="","",IF(ISNUMBER($E831),$E831,IF(ISNUMBER($B831),$B831,"")))</f>
        <v/>
      </c>
      <c r="Y831" s="34">
        <f>IF($T831="","",$O831+ROW()/1000000)</f>
        <v/>
      </c>
      <c r="Z831" s="35">
        <f>IF(OR($A831="",$C831="",$C831&lt;&gt;'売掛帳'!$B$3,NOT(ISNUMBER($X831))),"",IF(AND($X831&gt;='売掛帳'!$Q$3,$X831&lt;='売掛帳'!$Q$4),$X831+ROW()/10000000,""))</f>
        <v/>
      </c>
    </row>
    <row r="832" ht="18" customHeight="1">
      <c r="A832" s="18" t="n"/>
      <c r="B832" s="26" t="n"/>
      <c r="C832" s="18" t="n"/>
      <c r="D832" s="20">
        <f>IF($W832="","",IF($W832="なし","※得意先にないコード",INDEX('得意先'!$C$5:$C$104,$W832)&amp;""))</f>
        <v/>
      </c>
      <c r="E832" s="26" t="n"/>
      <c r="F832" s="19" t="n"/>
      <c r="G832" s="27" t="n"/>
      <c r="H832" s="27" t="n"/>
      <c r="I832" s="27" t="n"/>
      <c r="J832" s="28">
        <f>IF($A832="","",IF('設定'!$B$10="四捨五入",ROUND(IF('設定'!$B$9="税込",N($G832)*10/110,N($G832)*10/100),0),IF('設定'!$B$10="切り上げ",ROUNDUP(IF('設定'!$B$9="税込",N($G832)*10/110,N($G832)*10/100),0),ROUNDDOWN(IF('設定'!$B$9="税込",N($G832)*10/110,N($G832)*10/100),0))))</f>
        <v/>
      </c>
      <c r="K832" s="28">
        <f>IF($A832="","",IF('設定'!$B$10="四捨五入",ROUND(IF('設定'!$B$9="税込",N($H832)*8/108,N($H832)*8/100),0),IF('設定'!$B$10="切り上げ",ROUNDUP(IF('設定'!$B$9="税込",N($H832)*8/108,N($H832)*8/100),0),ROUNDDOWN(IF('設定'!$B$9="税込",N($H832)*8/108,N($H832)*8/100),0))))</f>
        <v/>
      </c>
      <c r="L832" s="28">
        <f>IF($A832="","",N($G832)+N($H832)+N($I832)+IF('設定'!$B$9="税込",0,$J832+$K832))</f>
        <v/>
      </c>
      <c r="M832" s="29">
        <f>IF(OR($A832="",NOT(ISNUMBER($W832)),NOT(ISNUMBER($X832))),"",IF(OR(INDEX('得意先'!$D$5:$D$104,$W832)="",INDEX('得意先'!$E$5:$E$104,$W832)="",INDEX('得意先'!$F$5:$F$104,$W832)=""),"",IF(INDEX('得意先'!$F$5:$F$104,$W832)="末",DATE(YEAR($X832),(MONTH($X832)+IF(INDEX('得意先'!$D$5:$D$104,$W832)="末",0,IF(DAY($X832)&lt;=INDEX('得意先'!$D$5:$D$104,$W832),0,1))+N(INDEX('得意先'!$E$5:$E$104,$W832)))+1,0),DATE(YEAR($X832),(MONTH($X832)+IF(INDEX('得意先'!$D$5:$D$104,$W832)="末",0,IF(DAY($X832)&lt;=INDEX('得意先'!$D$5:$D$104,$W832),0,1))+N(INDEX('得意先'!$E$5:$E$104,$W832))),MIN(INDEX('得意先'!$F$5:$F$104,$W832),DAY(DATE(YEAR($X832),(MONTH($X832)+IF(INDEX('得意先'!$D$5:$D$104,$W832)="末",0,IF(DAY($X832)&lt;=INDEX('得意先'!$D$5:$D$104,$W832),0,1))+N(INDEX('得意先'!$E$5:$E$104,$W832)))+1,0)))))))</f>
        <v/>
      </c>
      <c r="N832" s="26" t="n"/>
      <c r="O832" s="29">
        <f>IF($A832="","",IF(ISNUMBER($N832),$N832,$M832))</f>
        <v/>
      </c>
      <c r="P832" s="28">
        <f>IF($A832="","",SUMIF('入金消込'!$F$5:$F$1004,$A832,'入金消込'!$G$5:$G$1004))</f>
        <v/>
      </c>
      <c r="Q832" s="28">
        <f>IF($A832="","",SUMIF('入金消込'!$F$5:$F$1004,$A832,'入金消込'!$H$5:$H$1004)+SUMIF('入金消込'!$F$5:$F$1004,$A832,'入金消込'!$I$5:$I$1004))</f>
        <v/>
      </c>
      <c r="R832" s="28">
        <f>IF($A832="","",$L832-$P832-$Q832)</f>
        <v/>
      </c>
      <c r="S832" s="30">
        <f>IF($A832="","",IF($R832=0,IF($L832=0,"請求額0","回収済"),IF($L832&lt;0,IF($R832&lt;0,"差し引き待ち","差し引きすぎ"),IF($R832&lt;0,"入金が多い",IF($P832+$Q832=0,"未入金","一部入金")))))</f>
        <v/>
      </c>
      <c r="T832" s="31">
        <f>IF(OR($A832="",N($R832)&lt;=0,NOT(ISNUMBER($O832))),"",IF($O832&lt;'設定'!$B$7,'設定'!$B$7-$O832,""))</f>
        <v/>
      </c>
      <c r="U832" s="30">
        <f>IF(OR($A832="",N($R832)&lt;=0),"",IF(NOT(ISNUMBER($O832)),'設定'!$B$22,IF($O832&gt;='設定'!$B$7,'設定'!$B$17,IF('設定'!$B$7-$O832&lt;='設定'!$B$12,'設定'!$B$18,IF('設定'!$B$7-$O832&lt;='設定'!$B$13,'設定'!$B$19,IF('設定'!$B$7-$O832&lt;='設定'!$B$14,'設定'!$B$20,'設定'!$B$21))))))</f>
        <v/>
      </c>
      <c r="V832" s="56" t="n"/>
      <c r="W832" s="32">
        <f>IF($C832="","",IFERROR(MATCH($C832,'得意先'!$B$5:$B$104,0),"なし"))</f>
        <v/>
      </c>
      <c r="X832" s="33">
        <f>IF($A832="","",IF(ISNUMBER($E832),$E832,IF(ISNUMBER($B832),$B832,"")))</f>
        <v/>
      </c>
      <c r="Y832" s="34">
        <f>IF($T832="","",$O832+ROW()/1000000)</f>
        <v/>
      </c>
      <c r="Z832" s="35">
        <f>IF(OR($A832="",$C832="",$C832&lt;&gt;'売掛帳'!$B$3,NOT(ISNUMBER($X832))),"",IF(AND($X832&gt;='売掛帳'!$Q$3,$X832&lt;='売掛帳'!$Q$4),$X832+ROW()/10000000,""))</f>
        <v/>
      </c>
    </row>
    <row r="833" ht="18" customHeight="1">
      <c r="A833" s="18" t="n"/>
      <c r="B833" s="26" t="n"/>
      <c r="C833" s="18" t="n"/>
      <c r="D833" s="20">
        <f>IF($W833="","",IF($W833="なし","※得意先にないコード",INDEX('得意先'!$C$5:$C$104,$W833)&amp;""))</f>
        <v/>
      </c>
      <c r="E833" s="26" t="n"/>
      <c r="F833" s="19" t="n"/>
      <c r="G833" s="27" t="n"/>
      <c r="H833" s="27" t="n"/>
      <c r="I833" s="27" t="n"/>
      <c r="J833" s="28">
        <f>IF($A833="","",IF('設定'!$B$10="四捨五入",ROUND(IF('設定'!$B$9="税込",N($G833)*10/110,N($G833)*10/100),0),IF('設定'!$B$10="切り上げ",ROUNDUP(IF('設定'!$B$9="税込",N($G833)*10/110,N($G833)*10/100),0),ROUNDDOWN(IF('設定'!$B$9="税込",N($G833)*10/110,N($G833)*10/100),0))))</f>
        <v/>
      </c>
      <c r="K833" s="28">
        <f>IF($A833="","",IF('設定'!$B$10="四捨五入",ROUND(IF('設定'!$B$9="税込",N($H833)*8/108,N($H833)*8/100),0),IF('設定'!$B$10="切り上げ",ROUNDUP(IF('設定'!$B$9="税込",N($H833)*8/108,N($H833)*8/100),0),ROUNDDOWN(IF('設定'!$B$9="税込",N($H833)*8/108,N($H833)*8/100),0))))</f>
        <v/>
      </c>
      <c r="L833" s="28">
        <f>IF($A833="","",N($G833)+N($H833)+N($I833)+IF('設定'!$B$9="税込",0,$J833+$K833))</f>
        <v/>
      </c>
      <c r="M833" s="29">
        <f>IF(OR($A833="",NOT(ISNUMBER($W833)),NOT(ISNUMBER($X833))),"",IF(OR(INDEX('得意先'!$D$5:$D$104,$W833)="",INDEX('得意先'!$E$5:$E$104,$W833)="",INDEX('得意先'!$F$5:$F$104,$W833)=""),"",IF(INDEX('得意先'!$F$5:$F$104,$W833)="末",DATE(YEAR($X833),(MONTH($X833)+IF(INDEX('得意先'!$D$5:$D$104,$W833)="末",0,IF(DAY($X833)&lt;=INDEX('得意先'!$D$5:$D$104,$W833),0,1))+N(INDEX('得意先'!$E$5:$E$104,$W833)))+1,0),DATE(YEAR($X833),(MONTH($X833)+IF(INDEX('得意先'!$D$5:$D$104,$W833)="末",0,IF(DAY($X833)&lt;=INDEX('得意先'!$D$5:$D$104,$W833),0,1))+N(INDEX('得意先'!$E$5:$E$104,$W833))),MIN(INDEX('得意先'!$F$5:$F$104,$W833),DAY(DATE(YEAR($X833),(MONTH($X833)+IF(INDEX('得意先'!$D$5:$D$104,$W833)="末",0,IF(DAY($X833)&lt;=INDEX('得意先'!$D$5:$D$104,$W833),0,1))+N(INDEX('得意先'!$E$5:$E$104,$W833)))+1,0)))))))</f>
        <v/>
      </c>
      <c r="N833" s="26" t="n"/>
      <c r="O833" s="29">
        <f>IF($A833="","",IF(ISNUMBER($N833),$N833,$M833))</f>
        <v/>
      </c>
      <c r="P833" s="28">
        <f>IF($A833="","",SUMIF('入金消込'!$F$5:$F$1004,$A833,'入金消込'!$G$5:$G$1004))</f>
        <v/>
      </c>
      <c r="Q833" s="28">
        <f>IF($A833="","",SUMIF('入金消込'!$F$5:$F$1004,$A833,'入金消込'!$H$5:$H$1004)+SUMIF('入金消込'!$F$5:$F$1004,$A833,'入金消込'!$I$5:$I$1004))</f>
        <v/>
      </c>
      <c r="R833" s="28">
        <f>IF($A833="","",$L833-$P833-$Q833)</f>
        <v/>
      </c>
      <c r="S833" s="30">
        <f>IF($A833="","",IF($R833=0,IF($L833=0,"請求額0","回収済"),IF($L833&lt;0,IF($R833&lt;0,"差し引き待ち","差し引きすぎ"),IF($R833&lt;0,"入金が多い",IF($P833+$Q833=0,"未入金","一部入金")))))</f>
        <v/>
      </c>
      <c r="T833" s="31">
        <f>IF(OR($A833="",N($R833)&lt;=0,NOT(ISNUMBER($O833))),"",IF($O833&lt;'設定'!$B$7,'設定'!$B$7-$O833,""))</f>
        <v/>
      </c>
      <c r="U833" s="30">
        <f>IF(OR($A833="",N($R833)&lt;=0),"",IF(NOT(ISNUMBER($O833)),'設定'!$B$22,IF($O833&gt;='設定'!$B$7,'設定'!$B$17,IF('設定'!$B$7-$O833&lt;='設定'!$B$12,'設定'!$B$18,IF('設定'!$B$7-$O833&lt;='設定'!$B$13,'設定'!$B$19,IF('設定'!$B$7-$O833&lt;='設定'!$B$14,'設定'!$B$20,'設定'!$B$21))))))</f>
        <v/>
      </c>
      <c r="V833" s="56" t="n"/>
      <c r="W833" s="32">
        <f>IF($C833="","",IFERROR(MATCH($C833,'得意先'!$B$5:$B$104,0),"なし"))</f>
        <v/>
      </c>
      <c r="X833" s="33">
        <f>IF($A833="","",IF(ISNUMBER($E833),$E833,IF(ISNUMBER($B833),$B833,"")))</f>
        <v/>
      </c>
      <c r="Y833" s="34">
        <f>IF($T833="","",$O833+ROW()/1000000)</f>
        <v/>
      </c>
      <c r="Z833" s="35">
        <f>IF(OR($A833="",$C833="",$C833&lt;&gt;'売掛帳'!$B$3,NOT(ISNUMBER($X833))),"",IF(AND($X833&gt;='売掛帳'!$Q$3,$X833&lt;='売掛帳'!$Q$4),$X833+ROW()/10000000,""))</f>
        <v/>
      </c>
    </row>
    <row r="834" ht="18" customHeight="1">
      <c r="A834" s="18" t="n"/>
      <c r="B834" s="26" t="n"/>
      <c r="C834" s="18" t="n"/>
      <c r="D834" s="20">
        <f>IF($W834="","",IF($W834="なし","※得意先にないコード",INDEX('得意先'!$C$5:$C$104,$W834)&amp;""))</f>
        <v/>
      </c>
      <c r="E834" s="26" t="n"/>
      <c r="F834" s="19" t="n"/>
      <c r="G834" s="27" t="n"/>
      <c r="H834" s="27" t="n"/>
      <c r="I834" s="27" t="n"/>
      <c r="J834" s="28">
        <f>IF($A834="","",IF('設定'!$B$10="四捨五入",ROUND(IF('設定'!$B$9="税込",N($G834)*10/110,N($G834)*10/100),0),IF('設定'!$B$10="切り上げ",ROUNDUP(IF('設定'!$B$9="税込",N($G834)*10/110,N($G834)*10/100),0),ROUNDDOWN(IF('設定'!$B$9="税込",N($G834)*10/110,N($G834)*10/100),0))))</f>
        <v/>
      </c>
      <c r="K834" s="28">
        <f>IF($A834="","",IF('設定'!$B$10="四捨五入",ROUND(IF('設定'!$B$9="税込",N($H834)*8/108,N($H834)*8/100),0),IF('設定'!$B$10="切り上げ",ROUNDUP(IF('設定'!$B$9="税込",N($H834)*8/108,N($H834)*8/100),0),ROUNDDOWN(IF('設定'!$B$9="税込",N($H834)*8/108,N($H834)*8/100),0))))</f>
        <v/>
      </c>
      <c r="L834" s="28">
        <f>IF($A834="","",N($G834)+N($H834)+N($I834)+IF('設定'!$B$9="税込",0,$J834+$K834))</f>
        <v/>
      </c>
      <c r="M834" s="29">
        <f>IF(OR($A834="",NOT(ISNUMBER($W834)),NOT(ISNUMBER($X834))),"",IF(OR(INDEX('得意先'!$D$5:$D$104,$W834)="",INDEX('得意先'!$E$5:$E$104,$W834)="",INDEX('得意先'!$F$5:$F$104,$W834)=""),"",IF(INDEX('得意先'!$F$5:$F$104,$W834)="末",DATE(YEAR($X834),(MONTH($X834)+IF(INDEX('得意先'!$D$5:$D$104,$W834)="末",0,IF(DAY($X834)&lt;=INDEX('得意先'!$D$5:$D$104,$W834),0,1))+N(INDEX('得意先'!$E$5:$E$104,$W834)))+1,0),DATE(YEAR($X834),(MONTH($X834)+IF(INDEX('得意先'!$D$5:$D$104,$W834)="末",0,IF(DAY($X834)&lt;=INDEX('得意先'!$D$5:$D$104,$W834),0,1))+N(INDEX('得意先'!$E$5:$E$104,$W834))),MIN(INDEX('得意先'!$F$5:$F$104,$W834),DAY(DATE(YEAR($X834),(MONTH($X834)+IF(INDEX('得意先'!$D$5:$D$104,$W834)="末",0,IF(DAY($X834)&lt;=INDEX('得意先'!$D$5:$D$104,$W834),0,1))+N(INDEX('得意先'!$E$5:$E$104,$W834)))+1,0)))))))</f>
        <v/>
      </c>
      <c r="N834" s="26" t="n"/>
      <c r="O834" s="29">
        <f>IF($A834="","",IF(ISNUMBER($N834),$N834,$M834))</f>
        <v/>
      </c>
      <c r="P834" s="28">
        <f>IF($A834="","",SUMIF('入金消込'!$F$5:$F$1004,$A834,'入金消込'!$G$5:$G$1004))</f>
        <v/>
      </c>
      <c r="Q834" s="28">
        <f>IF($A834="","",SUMIF('入金消込'!$F$5:$F$1004,$A834,'入金消込'!$H$5:$H$1004)+SUMIF('入金消込'!$F$5:$F$1004,$A834,'入金消込'!$I$5:$I$1004))</f>
        <v/>
      </c>
      <c r="R834" s="28">
        <f>IF($A834="","",$L834-$P834-$Q834)</f>
        <v/>
      </c>
      <c r="S834" s="30">
        <f>IF($A834="","",IF($R834=0,IF($L834=0,"請求額0","回収済"),IF($L834&lt;0,IF($R834&lt;0,"差し引き待ち","差し引きすぎ"),IF($R834&lt;0,"入金が多い",IF($P834+$Q834=0,"未入金","一部入金")))))</f>
        <v/>
      </c>
      <c r="T834" s="31">
        <f>IF(OR($A834="",N($R834)&lt;=0,NOT(ISNUMBER($O834))),"",IF($O834&lt;'設定'!$B$7,'設定'!$B$7-$O834,""))</f>
        <v/>
      </c>
      <c r="U834" s="30">
        <f>IF(OR($A834="",N($R834)&lt;=0),"",IF(NOT(ISNUMBER($O834)),'設定'!$B$22,IF($O834&gt;='設定'!$B$7,'設定'!$B$17,IF('設定'!$B$7-$O834&lt;='設定'!$B$12,'設定'!$B$18,IF('設定'!$B$7-$O834&lt;='設定'!$B$13,'設定'!$B$19,IF('設定'!$B$7-$O834&lt;='設定'!$B$14,'設定'!$B$20,'設定'!$B$21))))))</f>
        <v/>
      </c>
      <c r="V834" s="56" t="n"/>
      <c r="W834" s="32">
        <f>IF($C834="","",IFERROR(MATCH($C834,'得意先'!$B$5:$B$104,0),"なし"))</f>
        <v/>
      </c>
      <c r="X834" s="33">
        <f>IF($A834="","",IF(ISNUMBER($E834),$E834,IF(ISNUMBER($B834),$B834,"")))</f>
        <v/>
      </c>
      <c r="Y834" s="34">
        <f>IF($T834="","",$O834+ROW()/1000000)</f>
        <v/>
      </c>
      <c r="Z834" s="35">
        <f>IF(OR($A834="",$C834="",$C834&lt;&gt;'売掛帳'!$B$3,NOT(ISNUMBER($X834))),"",IF(AND($X834&gt;='売掛帳'!$Q$3,$X834&lt;='売掛帳'!$Q$4),$X834+ROW()/10000000,""))</f>
        <v/>
      </c>
    </row>
    <row r="835" ht="18" customHeight="1">
      <c r="A835" s="18" t="n"/>
      <c r="B835" s="26" t="n"/>
      <c r="C835" s="18" t="n"/>
      <c r="D835" s="20">
        <f>IF($W835="","",IF($W835="なし","※得意先にないコード",INDEX('得意先'!$C$5:$C$104,$W835)&amp;""))</f>
        <v/>
      </c>
      <c r="E835" s="26" t="n"/>
      <c r="F835" s="19" t="n"/>
      <c r="G835" s="27" t="n"/>
      <c r="H835" s="27" t="n"/>
      <c r="I835" s="27" t="n"/>
      <c r="J835" s="28">
        <f>IF($A835="","",IF('設定'!$B$10="四捨五入",ROUND(IF('設定'!$B$9="税込",N($G835)*10/110,N($G835)*10/100),0),IF('設定'!$B$10="切り上げ",ROUNDUP(IF('設定'!$B$9="税込",N($G835)*10/110,N($G835)*10/100),0),ROUNDDOWN(IF('設定'!$B$9="税込",N($G835)*10/110,N($G835)*10/100),0))))</f>
        <v/>
      </c>
      <c r="K835" s="28">
        <f>IF($A835="","",IF('設定'!$B$10="四捨五入",ROUND(IF('設定'!$B$9="税込",N($H835)*8/108,N($H835)*8/100),0),IF('設定'!$B$10="切り上げ",ROUNDUP(IF('設定'!$B$9="税込",N($H835)*8/108,N($H835)*8/100),0),ROUNDDOWN(IF('設定'!$B$9="税込",N($H835)*8/108,N($H835)*8/100),0))))</f>
        <v/>
      </c>
      <c r="L835" s="28">
        <f>IF($A835="","",N($G835)+N($H835)+N($I835)+IF('設定'!$B$9="税込",0,$J835+$K835))</f>
        <v/>
      </c>
      <c r="M835" s="29">
        <f>IF(OR($A835="",NOT(ISNUMBER($W835)),NOT(ISNUMBER($X835))),"",IF(OR(INDEX('得意先'!$D$5:$D$104,$W835)="",INDEX('得意先'!$E$5:$E$104,$W835)="",INDEX('得意先'!$F$5:$F$104,$W835)=""),"",IF(INDEX('得意先'!$F$5:$F$104,$W835)="末",DATE(YEAR($X835),(MONTH($X835)+IF(INDEX('得意先'!$D$5:$D$104,$W835)="末",0,IF(DAY($X835)&lt;=INDEX('得意先'!$D$5:$D$104,$W835),0,1))+N(INDEX('得意先'!$E$5:$E$104,$W835)))+1,0),DATE(YEAR($X835),(MONTH($X835)+IF(INDEX('得意先'!$D$5:$D$104,$W835)="末",0,IF(DAY($X835)&lt;=INDEX('得意先'!$D$5:$D$104,$W835),0,1))+N(INDEX('得意先'!$E$5:$E$104,$W835))),MIN(INDEX('得意先'!$F$5:$F$104,$W835),DAY(DATE(YEAR($X835),(MONTH($X835)+IF(INDEX('得意先'!$D$5:$D$104,$W835)="末",0,IF(DAY($X835)&lt;=INDEX('得意先'!$D$5:$D$104,$W835),0,1))+N(INDEX('得意先'!$E$5:$E$104,$W835)))+1,0)))))))</f>
        <v/>
      </c>
      <c r="N835" s="26" t="n"/>
      <c r="O835" s="29">
        <f>IF($A835="","",IF(ISNUMBER($N835),$N835,$M835))</f>
        <v/>
      </c>
      <c r="P835" s="28">
        <f>IF($A835="","",SUMIF('入金消込'!$F$5:$F$1004,$A835,'入金消込'!$G$5:$G$1004))</f>
        <v/>
      </c>
      <c r="Q835" s="28">
        <f>IF($A835="","",SUMIF('入金消込'!$F$5:$F$1004,$A835,'入金消込'!$H$5:$H$1004)+SUMIF('入金消込'!$F$5:$F$1004,$A835,'入金消込'!$I$5:$I$1004))</f>
        <v/>
      </c>
      <c r="R835" s="28">
        <f>IF($A835="","",$L835-$P835-$Q835)</f>
        <v/>
      </c>
      <c r="S835" s="30">
        <f>IF($A835="","",IF($R835=0,IF($L835=0,"請求額0","回収済"),IF($L835&lt;0,IF($R835&lt;0,"差し引き待ち","差し引きすぎ"),IF($R835&lt;0,"入金が多い",IF($P835+$Q835=0,"未入金","一部入金")))))</f>
        <v/>
      </c>
      <c r="T835" s="31">
        <f>IF(OR($A835="",N($R835)&lt;=0,NOT(ISNUMBER($O835))),"",IF($O835&lt;'設定'!$B$7,'設定'!$B$7-$O835,""))</f>
        <v/>
      </c>
      <c r="U835" s="30">
        <f>IF(OR($A835="",N($R835)&lt;=0),"",IF(NOT(ISNUMBER($O835)),'設定'!$B$22,IF($O835&gt;='設定'!$B$7,'設定'!$B$17,IF('設定'!$B$7-$O835&lt;='設定'!$B$12,'設定'!$B$18,IF('設定'!$B$7-$O835&lt;='設定'!$B$13,'設定'!$B$19,IF('設定'!$B$7-$O835&lt;='設定'!$B$14,'設定'!$B$20,'設定'!$B$21))))))</f>
        <v/>
      </c>
      <c r="V835" s="56" t="n"/>
      <c r="W835" s="32">
        <f>IF($C835="","",IFERROR(MATCH($C835,'得意先'!$B$5:$B$104,0),"なし"))</f>
        <v/>
      </c>
      <c r="X835" s="33">
        <f>IF($A835="","",IF(ISNUMBER($E835),$E835,IF(ISNUMBER($B835),$B835,"")))</f>
        <v/>
      </c>
      <c r="Y835" s="34">
        <f>IF($T835="","",$O835+ROW()/1000000)</f>
        <v/>
      </c>
      <c r="Z835" s="35">
        <f>IF(OR($A835="",$C835="",$C835&lt;&gt;'売掛帳'!$B$3,NOT(ISNUMBER($X835))),"",IF(AND($X835&gt;='売掛帳'!$Q$3,$X835&lt;='売掛帳'!$Q$4),$X835+ROW()/10000000,""))</f>
        <v/>
      </c>
    </row>
    <row r="836" ht="18" customHeight="1">
      <c r="A836" s="18" t="n"/>
      <c r="B836" s="26" t="n"/>
      <c r="C836" s="18" t="n"/>
      <c r="D836" s="20">
        <f>IF($W836="","",IF($W836="なし","※得意先にないコード",INDEX('得意先'!$C$5:$C$104,$W836)&amp;""))</f>
        <v/>
      </c>
      <c r="E836" s="26" t="n"/>
      <c r="F836" s="19" t="n"/>
      <c r="G836" s="27" t="n"/>
      <c r="H836" s="27" t="n"/>
      <c r="I836" s="27" t="n"/>
      <c r="J836" s="28">
        <f>IF($A836="","",IF('設定'!$B$10="四捨五入",ROUND(IF('設定'!$B$9="税込",N($G836)*10/110,N($G836)*10/100),0),IF('設定'!$B$10="切り上げ",ROUNDUP(IF('設定'!$B$9="税込",N($G836)*10/110,N($G836)*10/100),0),ROUNDDOWN(IF('設定'!$B$9="税込",N($G836)*10/110,N($G836)*10/100),0))))</f>
        <v/>
      </c>
      <c r="K836" s="28">
        <f>IF($A836="","",IF('設定'!$B$10="四捨五入",ROUND(IF('設定'!$B$9="税込",N($H836)*8/108,N($H836)*8/100),0),IF('設定'!$B$10="切り上げ",ROUNDUP(IF('設定'!$B$9="税込",N($H836)*8/108,N($H836)*8/100),0),ROUNDDOWN(IF('設定'!$B$9="税込",N($H836)*8/108,N($H836)*8/100),0))))</f>
        <v/>
      </c>
      <c r="L836" s="28">
        <f>IF($A836="","",N($G836)+N($H836)+N($I836)+IF('設定'!$B$9="税込",0,$J836+$K836))</f>
        <v/>
      </c>
      <c r="M836" s="29">
        <f>IF(OR($A836="",NOT(ISNUMBER($W836)),NOT(ISNUMBER($X836))),"",IF(OR(INDEX('得意先'!$D$5:$D$104,$W836)="",INDEX('得意先'!$E$5:$E$104,$W836)="",INDEX('得意先'!$F$5:$F$104,$W836)=""),"",IF(INDEX('得意先'!$F$5:$F$104,$W836)="末",DATE(YEAR($X836),(MONTH($X836)+IF(INDEX('得意先'!$D$5:$D$104,$W836)="末",0,IF(DAY($X836)&lt;=INDEX('得意先'!$D$5:$D$104,$W836),0,1))+N(INDEX('得意先'!$E$5:$E$104,$W836)))+1,0),DATE(YEAR($X836),(MONTH($X836)+IF(INDEX('得意先'!$D$5:$D$104,$W836)="末",0,IF(DAY($X836)&lt;=INDEX('得意先'!$D$5:$D$104,$W836),0,1))+N(INDEX('得意先'!$E$5:$E$104,$W836))),MIN(INDEX('得意先'!$F$5:$F$104,$W836),DAY(DATE(YEAR($X836),(MONTH($X836)+IF(INDEX('得意先'!$D$5:$D$104,$W836)="末",0,IF(DAY($X836)&lt;=INDEX('得意先'!$D$5:$D$104,$W836),0,1))+N(INDEX('得意先'!$E$5:$E$104,$W836)))+1,0)))))))</f>
        <v/>
      </c>
      <c r="N836" s="26" t="n"/>
      <c r="O836" s="29">
        <f>IF($A836="","",IF(ISNUMBER($N836),$N836,$M836))</f>
        <v/>
      </c>
      <c r="P836" s="28">
        <f>IF($A836="","",SUMIF('入金消込'!$F$5:$F$1004,$A836,'入金消込'!$G$5:$G$1004))</f>
        <v/>
      </c>
      <c r="Q836" s="28">
        <f>IF($A836="","",SUMIF('入金消込'!$F$5:$F$1004,$A836,'入金消込'!$H$5:$H$1004)+SUMIF('入金消込'!$F$5:$F$1004,$A836,'入金消込'!$I$5:$I$1004))</f>
        <v/>
      </c>
      <c r="R836" s="28">
        <f>IF($A836="","",$L836-$P836-$Q836)</f>
        <v/>
      </c>
      <c r="S836" s="30">
        <f>IF($A836="","",IF($R836=0,IF($L836=0,"請求額0","回収済"),IF($L836&lt;0,IF($R836&lt;0,"差し引き待ち","差し引きすぎ"),IF($R836&lt;0,"入金が多い",IF($P836+$Q836=0,"未入金","一部入金")))))</f>
        <v/>
      </c>
      <c r="T836" s="31">
        <f>IF(OR($A836="",N($R836)&lt;=0,NOT(ISNUMBER($O836))),"",IF($O836&lt;'設定'!$B$7,'設定'!$B$7-$O836,""))</f>
        <v/>
      </c>
      <c r="U836" s="30">
        <f>IF(OR($A836="",N($R836)&lt;=0),"",IF(NOT(ISNUMBER($O836)),'設定'!$B$22,IF($O836&gt;='設定'!$B$7,'設定'!$B$17,IF('設定'!$B$7-$O836&lt;='設定'!$B$12,'設定'!$B$18,IF('設定'!$B$7-$O836&lt;='設定'!$B$13,'設定'!$B$19,IF('設定'!$B$7-$O836&lt;='設定'!$B$14,'設定'!$B$20,'設定'!$B$21))))))</f>
        <v/>
      </c>
      <c r="V836" s="56" t="n"/>
      <c r="W836" s="32">
        <f>IF($C836="","",IFERROR(MATCH($C836,'得意先'!$B$5:$B$104,0),"なし"))</f>
        <v/>
      </c>
      <c r="X836" s="33">
        <f>IF($A836="","",IF(ISNUMBER($E836),$E836,IF(ISNUMBER($B836),$B836,"")))</f>
        <v/>
      </c>
      <c r="Y836" s="34">
        <f>IF($T836="","",$O836+ROW()/1000000)</f>
        <v/>
      </c>
      <c r="Z836" s="35">
        <f>IF(OR($A836="",$C836="",$C836&lt;&gt;'売掛帳'!$B$3,NOT(ISNUMBER($X836))),"",IF(AND($X836&gt;='売掛帳'!$Q$3,$X836&lt;='売掛帳'!$Q$4),$X836+ROW()/10000000,""))</f>
        <v/>
      </c>
    </row>
    <row r="837" ht="18" customHeight="1">
      <c r="A837" s="18" t="n"/>
      <c r="B837" s="26" t="n"/>
      <c r="C837" s="18" t="n"/>
      <c r="D837" s="20">
        <f>IF($W837="","",IF($W837="なし","※得意先にないコード",INDEX('得意先'!$C$5:$C$104,$W837)&amp;""))</f>
        <v/>
      </c>
      <c r="E837" s="26" t="n"/>
      <c r="F837" s="19" t="n"/>
      <c r="G837" s="27" t="n"/>
      <c r="H837" s="27" t="n"/>
      <c r="I837" s="27" t="n"/>
      <c r="J837" s="28">
        <f>IF($A837="","",IF('設定'!$B$10="四捨五入",ROUND(IF('設定'!$B$9="税込",N($G837)*10/110,N($G837)*10/100),0),IF('設定'!$B$10="切り上げ",ROUNDUP(IF('設定'!$B$9="税込",N($G837)*10/110,N($G837)*10/100),0),ROUNDDOWN(IF('設定'!$B$9="税込",N($G837)*10/110,N($G837)*10/100),0))))</f>
        <v/>
      </c>
      <c r="K837" s="28">
        <f>IF($A837="","",IF('設定'!$B$10="四捨五入",ROUND(IF('設定'!$B$9="税込",N($H837)*8/108,N($H837)*8/100),0),IF('設定'!$B$10="切り上げ",ROUNDUP(IF('設定'!$B$9="税込",N($H837)*8/108,N($H837)*8/100),0),ROUNDDOWN(IF('設定'!$B$9="税込",N($H837)*8/108,N($H837)*8/100),0))))</f>
        <v/>
      </c>
      <c r="L837" s="28">
        <f>IF($A837="","",N($G837)+N($H837)+N($I837)+IF('設定'!$B$9="税込",0,$J837+$K837))</f>
        <v/>
      </c>
      <c r="M837" s="29">
        <f>IF(OR($A837="",NOT(ISNUMBER($W837)),NOT(ISNUMBER($X837))),"",IF(OR(INDEX('得意先'!$D$5:$D$104,$W837)="",INDEX('得意先'!$E$5:$E$104,$W837)="",INDEX('得意先'!$F$5:$F$104,$W837)=""),"",IF(INDEX('得意先'!$F$5:$F$104,$W837)="末",DATE(YEAR($X837),(MONTH($X837)+IF(INDEX('得意先'!$D$5:$D$104,$W837)="末",0,IF(DAY($X837)&lt;=INDEX('得意先'!$D$5:$D$104,$W837),0,1))+N(INDEX('得意先'!$E$5:$E$104,$W837)))+1,0),DATE(YEAR($X837),(MONTH($X837)+IF(INDEX('得意先'!$D$5:$D$104,$W837)="末",0,IF(DAY($X837)&lt;=INDEX('得意先'!$D$5:$D$104,$W837),0,1))+N(INDEX('得意先'!$E$5:$E$104,$W837))),MIN(INDEX('得意先'!$F$5:$F$104,$W837),DAY(DATE(YEAR($X837),(MONTH($X837)+IF(INDEX('得意先'!$D$5:$D$104,$W837)="末",0,IF(DAY($X837)&lt;=INDEX('得意先'!$D$5:$D$104,$W837),0,1))+N(INDEX('得意先'!$E$5:$E$104,$W837)))+1,0)))))))</f>
        <v/>
      </c>
      <c r="N837" s="26" t="n"/>
      <c r="O837" s="29">
        <f>IF($A837="","",IF(ISNUMBER($N837),$N837,$M837))</f>
        <v/>
      </c>
      <c r="P837" s="28">
        <f>IF($A837="","",SUMIF('入金消込'!$F$5:$F$1004,$A837,'入金消込'!$G$5:$G$1004))</f>
        <v/>
      </c>
      <c r="Q837" s="28">
        <f>IF($A837="","",SUMIF('入金消込'!$F$5:$F$1004,$A837,'入金消込'!$H$5:$H$1004)+SUMIF('入金消込'!$F$5:$F$1004,$A837,'入金消込'!$I$5:$I$1004))</f>
        <v/>
      </c>
      <c r="R837" s="28">
        <f>IF($A837="","",$L837-$P837-$Q837)</f>
        <v/>
      </c>
      <c r="S837" s="30">
        <f>IF($A837="","",IF($R837=0,IF($L837=0,"請求額0","回収済"),IF($L837&lt;0,IF($R837&lt;0,"差し引き待ち","差し引きすぎ"),IF($R837&lt;0,"入金が多い",IF($P837+$Q837=0,"未入金","一部入金")))))</f>
        <v/>
      </c>
      <c r="T837" s="31">
        <f>IF(OR($A837="",N($R837)&lt;=0,NOT(ISNUMBER($O837))),"",IF($O837&lt;'設定'!$B$7,'設定'!$B$7-$O837,""))</f>
        <v/>
      </c>
      <c r="U837" s="30">
        <f>IF(OR($A837="",N($R837)&lt;=0),"",IF(NOT(ISNUMBER($O837)),'設定'!$B$22,IF($O837&gt;='設定'!$B$7,'設定'!$B$17,IF('設定'!$B$7-$O837&lt;='設定'!$B$12,'設定'!$B$18,IF('設定'!$B$7-$O837&lt;='設定'!$B$13,'設定'!$B$19,IF('設定'!$B$7-$O837&lt;='設定'!$B$14,'設定'!$B$20,'設定'!$B$21))))))</f>
        <v/>
      </c>
      <c r="V837" s="56" t="n"/>
      <c r="W837" s="32">
        <f>IF($C837="","",IFERROR(MATCH($C837,'得意先'!$B$5:$B$104,0),"なし"))</f>
        <v/>
      </c>
      <c r="X837" s="33">
        <f>IF($A837="","",IF(ISNUMBER($E837),$E837,IF(ISNUMBER($B837),$B837,"")))</f>
        <v/>
      </c>
      <c r="Y837" s="34">
        <f>IF($T837="","",$O837+ROW()/1000000)</f>
        <v/>
      </c>
      <c r="Z837" s="35">
        <f>IF(OR($A837="",$C837="",$C837&lt;&gt;'売掛帳'!$B$3,NOT(ISNUMBER($X837))),"",IF(AND($X837&gt;='売掛帳'!$Q$3,$X837&lt;='売掛帳'!$Q$4),$X837+ROW()/10000000,""))</f>
        <v/>
      </c>
    </row>
    <row r="838" ht="18" customHeight="1">
      <c r="A838" s="18" t="n"/>
      <c r="B838" s="26" t="n"/>
      <c r="C838" s="18" t="n"/>
      <c r="D838" s="20">
        <f>IF($W838="","",IF($W838="なし","※得意先にないコード",INDEX('得意先'!$C$5:$C$104,$W838)&amp;""))</f>
        <v/>
      </c>
      <c r="E838" s="26" t="n"/>
      <c r="F838" s="19" t="n"/>
      <c r="G838" s="27" t="n"/>
      <c r="H838" s="27" t="n"/>
      <c r="I838" s="27" t="n"/>
      <c r="J838" s="28">
        <f>IF($A838="","",IF('設定'!$B$10="四捨五入",ROUND(IF('設定'!$B$9="税込",N($G838)*10/110,N($G838)*10/100),0),IF('設定'!$B$10="切り上げ",ROUNDUP(IF('設定'!$B$9="税込",N($G838)*10/110,N($G838)*10/100),0),ROUNDDOWN(IF('設定'!$B$9="税込",N($G838)*10/110,N($G838)*10/100),0))))</f>
        <v/>
      </c>
      <c r="K838" s="28">
        <f>IF($A838="","",IF('設定'!$B$10="四捨五入",ROUND(IF('設定'!$B$9="税込",N($H838)*8/108,N($H838)*8/100),0),IF('設定'!$B$10="切り上げ",ROUNDUP(IF('設定'!$B$9="税込",N($H838)*8/108,N($H838)*8/100),0),ROUNDDOWN(IF('設定'!$B$9="税込",N($H838)*8/108,N($H838)*8/100),0))))</f>
        <v/>
      </c>
      <c r="L838" s="28">
        <f>IF($A838="","",N($G838)+N($H838)+N($I838)+IF('設定'!$B$9="税込",0,$J838+$K838))</f>
        <v/>
      </c>
      <c r="M838" s="29">
        <f>IF(OR($A838="",NOT(ISNUMBER($W838)),NOT(ISNUMBER($X838))),"",IF(OR(INDEX('得意先'!$D$5:$D$104,$W838)="",INDEX('得意先'!$E$5:$E$104,$W838)="",INDEX('得意先'!$F$5:$F$104,$W838)=""),"",IF(INDEX('得意先'!$F$5:$F$104,$W838)="末",DATE(YEAR($X838),(MONTH($X838)+IF(INDEX('得意先'!$D$5:$D$104,$W838)="末",0,IF(DAY($X838)&lt;=INDEX('得意先'!$D$5:$D$104,$W838),0,1))+N(INDEX('得意先'!$E$5:$E$104,$W838)))+1,0),DATE(YEAR($X838),(MONTH($X838)+IF(INDEX('得意先'!$D$5:$D$104,$W838)="末",0,IF(DAY($X838)&lt;=INDEX('得意先'!$D$5:$D$104,$W838),0,1))+N(INDEX('得意先'!$E$5:$E$104,$W838))),MIN(INDEX('得意先'!$F$5:$F$104,$W838),DAY(DATE(YEAR($X838),(MONTH($X838)+IF(INDEX('得意先'!$D$5:$D$104,$W838)="末",0,IF(DAY($X838)&lt;=INDEX('得意先'!$D$5:$D$104,$W838),0,1))+N(INDEX('得意先'!$E$5:$E$104,$W838)))+1,0)))))))</f>
        <v/>
      </c>
      <c r="N838" s="26" t="n"/>
      <c r="O838" s="29">
        <f>IF($A838="","",IF(ISNUMBER($N838),$N838,$M838))</f>
        <v/>
      </c>
      <c r="P838" s="28">
        <f>IF($A838="","",SUMIF('入金消込'!$F$5:$F$1004,$A838,'入金消込'!$G$5:$G$1004))</f>
        <v/>
      </c>
      <c r="Q838" s="28">
        <f>IF($A838="","",SUMIF('入金消込'!$F$5:$F$1004,$A838,'入金消込'!$H$5:$H$1004)+SUMIF('入金消込'!$F$5:$F$1004,$A838,'入金消込'!$I$5:$I$1004))</f>
        <v/>
      </c>
      <c r="R838" s="28">
        <f>IF($A838="","",$L838-$P838-$Q838)</f>
        <v/>
      </c>
      <c r="S838" s="30">
        <f>IF($A838="","",IF($R838=0,IF($L838=0,"請求額0","回収済"),IF($L838&lt;0,IF($R838&lt;0,"差し引き待ち","差し引きすぎ"),IF($R838&lt;0,"入金が多い",IF($P838+$Q838=0,"未入金","一部入金")))))</f>
        <v/>
      </c>
      <c r="T838" s="31">
        <f>IF(OR($A838="",N($R838)&lt;=0,NOT(ISNUMBER($O838))),"",IF($O838&lt;'設定'!$B$7,'設定'!$B$7-$O838,""))</f>
        <v/>
      </c>
      <c r="U838" s="30">
        <f>IF(OR($A838="",N($R838)&lt;=0),"",IF(NOT(ISNUMBER($O838)),'設定'!$B$22,IF($O838&gt;='設定'!$B$7,'設定'!$B$17,IF('設定'!$B$7-$O838&lt;='設定'!$B$12,'設定'!$B$18,IF('設定'!$B$7-$O838&lt;='設定'!$B$13,'設定'!$B$19,IF('設定'!$B$7-$O838&lt;='設定'!$B$14,'設定'!$B$20,'設定'!$B$21))))))</f>
        <v/>
      </c>
      <c r="V838" s="56" t="n"/>
      <c r="W838" s="32">
        <f>IF($C838="","",IFERROR(MATCH($C838,'得意先'!$B$5:$B$104,0),"なし"))</f>
        <v/>
      </c>
      <c r="X838" s="33">
        <f>IF($A838="","",IF(ISNUMBER($E838),$E838,IF(ISNUMBER($B838),$B838,"")))</f>
        <v/>
      </c>
      <c r="Y838" s="34">
        <f>IF($T838="","",$O838+ROW()/1000000)</f>
        <v/>
      </c>
      <c r="Z838" s="35">
        <f>IF(OR($A838="",$C838="",$C838&lt;&gt;'売掛帳'!$B$3,NOT(ISNUMBER($X838))),"",IF(AND($X838&gt;='売掛帳'!$Q$3,$X838&lt;='売掛帳'!$Q$4),$X838+ROW()/10000000,""))</f>
        <v/>
      </c>
    </row>
    <row r="839" ht="18" customHeight="1">
      <c r="A839" s="18" t="n"/>
      <c r="B839" s="26" t="n"/>
      <c r="C839" s="18" t="n"/>
      <c r="D839" s="20">
        <f>IF($W839="","",IF($W839="なし","※得意先にないコード",INDEX('得意先'!$C$5:$C$104,$W839)&amp;""))</f>
        <v/>
      </c>
      <c r="E839" s="26" t="n"/>
      <c r="F839" s="19" t="n"/>
      <c r="G839" s="27" t="n"/>
      <c r="H839" s="27" t="n"/>
      <c r="I839" s="27" t="n"/>
      <c r="J839" s="28">
        <f>IF($A839="","",IF('設定'!$B$10="四捨五入",ROUND(IF('設定'!$B$9="税込",N($G839)*10/110,N($G839)*10/100),0),IF('設定'!$B$10="切り上げ",ROUNDUP(IF('設定'!$B$9="税込",N($G839)*10/110,N($G839)*10/100),0),ROUNDDOWN(IF('設定'!$B$9="税込",N($G839)*10/110,N($G839)*10/100),0))))</f>
        <v/>
      </c>
      <c r="K839" s="28">
        <f>IF($A839="","",IF('設定'!$B$10="四捨五入",ROUND(IF('設定'!$B$9="税込",N($H839)*8/108,N($H839)*8/100),0),IF('設定'!$B$10="切り上げ",ROUNDUP(IF('設定'!$B$9="税込",N($H839)*8/108,N($H839)*8/100),0),ROUNDDOWN(IF('設定'!$B$9="税込",N($H839)*8/108,N($H839)*8/100),0))))</f>
        <v/>
      </c>
      <c r="L839" s="28">
        <f>IF($A839="","",N($G839)+N($H839)+N($I839)+IF('設定'!$B$9="税込",0,$J839+$K839))</f>
        <v/>
      </c>
      <c r="M839" s="29">
        <f>IF(OR($A839="",NOT(ISNUMBER($W839)),NOT(ISNUMBER($X839))),"",IF(OR(INDEX('得意先'!$D$5:$D$104,$W839)="",INDEX('得意先'!$E$5:$E$104,$W839)="",INDEX('得意先'!$F$5:$F$104,$W839)=""),"",IF(INDEX('得意先'!$F$5:$F$104,$W839)="末",DATE(YEAR($X839),(MONTH($X839)+IF(INDEX('得意先'!$D$5:$D$104,$W839)="末",0,IF(DAY($X839)&lt;=INDEX('得意先'!$D$5:$D$104,$W839),0,1))+N(INDEX('得意先'!$E$5:$E$104,$W839)))+1,0),DATE(YEAR($X839),(MONTH($X839)+IF(INDEX('得意先'!$D$5:$D$104,$W839)="末",0,IF(DAY($X839)&lt;=INDEX('得意先'!$D$5:$D$104,$W839),0,1))+N(INDEX('得意先'!$E$5:$E$104,$W839))),MIN(INDEX('得意先'!$F$5:$F$104,$W839),DAY(DATE(YEAR($X839),(MONTH($X839)+IF(INDEX('得意先'!$D$5:$D$104,$W839)="末",0,IF(DAY($X839)&lt;=INDEX('得意先'!$D$5:$D$104,$W839),0,1))+N(INDEX('得意先'!$E$5:$E$104,$W839)))+1,0)))))))</f>
        <v/>
      </c>
      <c r="N839" s="26" t="n"/>
      <c r="O839" s="29">
        <f>IF($A839="","",IF(ISNUMBER($N839),$N839,$M839))</f>
        <v/>
      </c>
      <c r="P839" s="28">
        <f>IF($A839="","",SUMIF('入金消込'!$F$5:$F$1004,$A839,'入金消込'!$G$5:$G$1004))</f>
        <v/>
      </c>
      <c r="Q839" s="28">
        <f>IF($A839="","",SUMIF('入金消込'!$F$5:$F$1004,$A839,'入金消込'!$H$5:$H$1004)+SUMIF('入金消込'!$F$5:$F$1004,$A839,'入金消込'!$I$5:$I$1004))</f>
        <v/>
      </c>
      <c r="R839" s="28">
        <f>IF($A839="","",$L839-$P839-$Q839)</f>
        <v/>
      </c>
      <c r="S839" s="30">
        <f>IF($A839="","",IF($R839=0,IF($L839=0,"請求額0","回収済"),IF($L839&lt;0,IF($R839&lt;0,"差し引き待ち","差し引きすぎ"),IF($R839&lt;0,"入金が多い",IF($P839+$Q839=0,"未入金","一部入金")))))</f>
        <v/>
      </c>
      <c r="T839" s="31">
        <f>IF(OR($A839="",N($R839)&lt;=0,NOT(ISNUMBER($O839))),"",IF($O839&lt;'設定'!$B$7,'設定'!$B$7-$O839,""))</f>
        <v/>
      </c>
      <c r="U839" s="30">
        <f>IF(OR($A839="",N($R839)&lt;=0),"",IF(NOT(ISNUMBER($O839)),'設定'!$B$22,IF($O839&gt;='設定'!$B$7,'設定'!$B$17,IF('設定'!$B$7-$O839&lt;='設定'!$B$12,'設定'!$B$18,IF('設定'!$B$7-$O839&lt;='設定'!$B$13,'設定'!$B$19,IF('設定'!$B$7-$O839&lt;='設定'!$B$14,'設定'!$B$20,'設定'!$B$21))))))</f>
        <v/>
      </c>
      <c r="V839" s="56" t="n"/>
      <c r="W839" s="32">
        <f>IF($C839="","",IFERROR(MATCH($C839,'得意先'!$B$5:$B$104,0),"なし"))</f>
        <v/>
      </c>
      <c r="X839" s="33">
        <f>IF($A839="","",IF(ISNUMBER($E839),$E839,IF(ISNUMBER($B839),$B839,"")))</f>
        <v/>
      </c>
      <c r="Y839" s="34">
        <f>IF($T839="","",$O839+ROW()/1000000)</f>
        <v/>
      </c>
      <c r="Z839" s="35">
        <f>IF(OR($A839="",$C839="",$C839&lt;&gt;'売掛帳'!$B$3,NOT(ISNUMBER($X839))),"",IF(AND($X839&gt;='売掛帳'!$Q$3,$X839&lt;='売掛帳'!$Q$4),$X839+ROW()/10000000,""))</f>
        <v/>
      </c>
    </row>
    <row r="840" ht="18" customHeight="1">
      <c r="A840" s="18" t="n"/>
      <c r="B840" s="26" t="n"/>
      <c r="C840" s="18" t="n"/>
      <c r="D840" s="20">
        <f>IF($W840="","",IF($W840="なし","※得意先にないコード",INDEX('得意先'!$C$5:$C$104,$W840)&amp;""))</f>
        <v/>
      </c>
      <c r="E840" s="26" t="n"/>
      <c r="F840" s="19" t="n"/>
      <c r="G840" s="27" t="n"/>
      <c r="H840" s="27" t="n"/>
      <c r="I840" s="27" t="n"/>
      <c r="J840" s="28">
        <f>IF($A840="","",IF('設定'!$B$10="四捨五入",ROUND(IF('設定'!$B$9="税込",N($G840)*10/110,N($G840)*10/100),0),IF('設定'!$B$10="切り上げ",ROUNDUP(IF('設定'!$B$9="税込",N($G840)*10/110,N($G840)*10/100),0),ROUNDDOWN(IF('設定'!$B$9="税込",N($G840)*10/110,N($G840)*10/100),0))))</f>
        <v/>
      </c>
      <c r="K840" s="28">
        <f>IF($A840="","",IF('設定'!$B$10="四捨五入",ROUND(IF('設定'!$B$9="税込",N($H840)*8/108,N($H840)*8/100),0),IF('設定'!$B$10="切り上げ",ROUNDUP(IF('設定'!$B$9="税込",N($H840)*8/108,N($H840)*8/100),0),ROUNDDOWN(IF('設定'!$B$9="税込",N($H840)*8/108,N($H840)*8/100),0))))</f>
        <v/>
      </c>
      <c r="L840" s="28">
        <f>IF($A840="","",N($G840)+N($H840)+N($I840)+IF('設定'!$B$9="税込",0,$J840+$K840))</f>
        <v/>
      </c>
      <c r="M840" s="29">
        <f>IF(OR($A840="",NOT(ISNUMBER($W840)),NOT(ISNUMBER($X840))),"",IF(OR(INDEX('得意先'!$D$5:$D$104,$W840)="",INDEX('得意先'!$E$5:$E$104,$W840)="",INDEX('得意先'!$F$5:$F$104,$W840)=""),"",IF(INDEX('得意先'!$F$5:$F$104,$W840)="末",DATE(YEAR($X840),(MONTH($X840)+IF(INDEX('得意先'!$D$5:$D$104,$W840)="末",0,IF(DAY($X840)&lt;=INDEX('得意先'!$D$5:$D$104,$W840),0,1))+N(INDEX('得意先'!$E$5:$E$104,$W840)))+1,0),DATE(YEAR($X840),(MONTH($X840)+IF(INDEX('得意先'!$D$5:$D$104,$W840)="末",0,IF(DAY($X840)&lt;=INDEX('得意先'!$D$5:$D$104,$W840),0,1))+N(INDEX('得意先'!$E$5:$E$104,$W840))),MIN(INDEX('得意先'!$F$5:$F$104,$W840),DAY(DATE(YEAR($X840),(MONTH($X840)+IF(INDEX('得意先'!$D$5:$D$104,$W840)="末",0,IF(DAY($X840)&lt;=INDEX('得意先'!$D$5:$D$104,$W840),0,1))+N(INDEX('得意先'!$E$5:$E$104,$W840)))+1,0)))))))</f>
        <v/>
      </c>
      <c r="N840" s="26" t="n"/>
      <c r="O840" s="29">
        <f>IF($A840="","",IF(ISNUMBER($N840),$N840,$M840))</f>
        <v/>
      </c>
      <c r="P840" s="28">
        <f>IF($A840="","",SUMIF('入金消込'!$F$5:$F$1004,$A840,'入金消込'!$G$5:$G$1004))</f>
        <v/>
      </c>
      <c r="Q840" s="28">
        <f>IF($A840="","",SUMIF('入金消込'!$F$5:$F$1004,$A840,'入金消込'!$H$5:$H$1004)+SUMIF('入金消込'!$F$5:$F$1004,$A840,'入金消込'!$I$5:$I$1004))</f>
        <v/>
      </c>
      <c r="R840" s="28">
        <f>IF($A840="","",$L840-$P840-$Q840)</f>
        <v/>
      </c>
      <c r="S840" s="30">
        <f>IF($A840="","",IF($R840=0,IF($L840=0,"請求額0","回収済"),IF($L840&lt;0,IF($R840&lt;0,"差し引き待ち","差し引きすぎ"),IF($R840&lt;0,"入金が多い",IF($P840+$Q840=0,"未入金","一部入金")))))</f>
        <v/>
      </c>
      <c r="T840" s="31">
        <f>IF(OR($A840="",N($R840)&lt;=0,NOT(ISNUMBER($O840))),"",IF($O840&lt;'設定'!$B$7,'設定'!$B$7-$O840,""))</f>
        <v/>
      </c>
      <c r="U840" s="30">
        <f>IF(OR($A840="",N($R840)&lt;=0),"",IF(NOT(ISNUMBER($O840)),'設定'!$B$22,IF($O840&gt;='設定'!$B$7,'設定'!$B$17,IF('設定'!$B$7-$O840&lt;='設定'!$B$12,'設定'!$B$18,IF('設定'!$B$7-$O840&lt;='設定'!$B$13,'設定'!$B$19,IF('設定'!$B$7-$O840&lt;='設定'!$B$14,'設定'!$B$20,'設定'!$B$21))))))</f>
        <v/>
      </c>
      <c r="V840" s="56" t="n"/>
      <c r="W840" s="32">
        <f>IF($C840="","",IFERROR(MATCH($C840,'得意先'!$B$5:$B$104,0),"なし"))</f>
        <v/>
      </c>
      <c r="X840" s="33">
        <f>IF($A840="","",IF(ISNUMBER($E840),$E840,IF(ISNUMBER($B840),$B840,"")))</f>
        <v/>
      </c>
      <c r="Y840" s="34">
        <f>IF($T840="","",$O840+ROW()/1000000)</f>
        <v/>
      </c>
      <c r="Z840" s="35">
        <f>IF(OR($A840="",$C840="",$C840&lt;&gt;'売掛帳'!$B$3,NOT(ISNUMBER($X840))),"",IF(AND($X840&gt;='売掛帳'!$Q$3,$X840&lt;='売掛帳'!$Q$4),$X840+ROW()/10000000,""))</f>
        <v/>
      </c>
    </row>
    <row r="841" ht="18" customHeight="1">
      <c r="A841" s="18" t="n"/>
      <c r="B841" s="26" t="n"/>
      <c r="C841" s="18" t="n"/>
      <c r="D841" s="20">
        <f>IF($W841="","",IF($W841="なし","※得意先にないコード",INDEX('得意先'!$C$5:$C$104,$W841)&amp;""))</f>
        <v/>
      </c>
      <c r="E841" s="26" t="n"/>
      <c r="F841" s="19" t="n"/>
      <c r="G841" s="27" t="n"/>
      <c r="H841" s="27" t="n"/>
      <c r="I841" s="27" t="n"/>
      <c r="J841" s="28">
        <f>IF($A841="","",IF('設定'!$B$10="四捨五入",ROUND(IF('設定'!$B$9="税込",N($G841)*10/110,N($G841)*10/100),0),IF('設定'!$B$10="切り上げ",ROUNDUP(IF('設定'!$B$9="税込",N($G841)*10/110,N($G841)*10/100),0),ROUNDDOWN(IF('設定'!$B$9="税込",N($G841)*10/110,N($G841)*10/100),0))))</f>
        <v/>
      </c>
      <c r="K841" s="28">
        <f>IF($A841="","",IF('設定'!$B$10="四捨五入",ROUND(IF('設定'!$B$9="税込",N($H841)*8/108,N($H841)*8/100),0),IF('設定'!$B$10="切り上げ",ROUNDUP(IF('設定'!$B$9="税込",N($H841)*8/108,N($H841)*8/100),0),ROUNDDOWN(IF('設定'!$B$9="税込",N($H841)*8/108,N($H841)*8/100),0))))</f>
        <v/>
      </c>
      <c r="L841" s="28">
        <f>IF($A841="","",N($G841)+N($H841)+N($I841)+IF('設定'!$B$9="税込",0,$J841+$K841))</f>
        <v/>
      </c>
      <c r="M841" s="29">
        <f>IF(OR($A841="",NOT(ISNUMBER($W841)),NOT(ISNUMBER($X841))),"",IF(OR(INDEX('得意先'!$D$5:$D$104,$W841)="",INDEX('得意先'!$E$5:$E$104,$W841)="",INDEX('得意先'!$F$5:$F$104,$W841)=""),"",IF(INDEX('得意先'!$F$5:$F$104,$W841)="末",DATE(YEAR($X841),(MONTH($X841)+IF(INDEX('得意先'!$D$5:$D$104,$W841)="末",0,IF(DAY($X841)&lt;=INDEX('得意先'!$D$5:$D$104,$W841),0,1))+N(INDEX('得意先'!$E$5:$E$104,$W841)))+1,0),DATE(YEAR($X841),(MONTH($X841)+IF(INDEX('得意先'!$D$5:$D$104,$W841)="末",0,IF(DAY($X841)&lt;=INDEX('得意先'!$D$5:$D$104,$W841),0,1))+N(INDEX('得意先'!$E$5:$E$104,$W841))),MIN(INDEX('得意先'!$F$5:$F$104,$W841),DAY(DATE(YEAR($X841),(MONTH($X841)+IF(INDEX('得意先'!$D$5:$D$104,$W841)="末",0,IF(DAY($X841)&lt;=INDEX('得意先'!$D$5:$D$104,$W841),0,1))+N(INDEX('得意先'!$E$5:$E$104,$W841)))+1,0)))))))</f>
        <v/>
      </c>
      <c r="N841" s="26" t="n"/>
      <c r="O841" s="29">
        <f>IF($A841="","",IF(ISNUMBER($N841),$N841,$M841))</f>
        <v/>
      </c>
      <c r="P841" s="28">
        <f>IF($A841="","",SUMIF('入金消込'!$F$5:$F$1004,$A841,'入金消込'!$G$5:$G$1004))</f>
        <v/>
      </c>
      <c r="Q841" s="28">
        <f>IF($A841="","",SUMIF('入金消込'!$F$5:$F$1004,$A841,'入金消込'!$H$5:$H$1004)+SUMIF('入金消込'!$F$5:$F$1004,$A841,'入金消込'!$I$5:$I$1004))</f>
        <v/>
      </c>
      <c r="R841" s="28">
        <f>IF($A841="","",$L841-$P841-$Q841)</f>
        <v/>
      </c>
      <c r="S841" s="30">
        <f>IF($A841="","",IF($R841=0,IF($L841=0,"請求額0","回収済"),IF($L841&lt;0,IF($R841&lt;0,"差し引き待ち","差し引きすぎ"),IF($R841&lt;0,"入金が多い",IF($P841+$Q841=0,"未入金","一部入金")))))</f>
        <v/>
      </c>
      <c r="T841" s="31">
        <f>IF(OR($A841="",N($R841)&lt;=0,NOT(ISNUMBER($O841))),"",IF($O841&lt;'設定'!$B$7,'設定'!$B$7-$O841,""))</f>
        <v/>
      </c>
      <c r="U841" s="30">
        <f>IF(OR($A841="",N($R841)&lt;=0),"",IF(NOT(ISNUMBER($O841)),'設定'!$B$22,IF($O841&gt;='設定'!$B$7,'設定'!$B$17,IF('設定'!$B$7-$O841&lt;='設定'!$B$12,'設定'!$B$18,IF('設定'!$B$7-$O841&lt;='設定'!$B$13,'設定'!$B$19,IF('設定'!$B$7-$O841&lt;='設定'!$B$14,'設定'!$B$20,'設定'!$B$21))))))</f>
        <v/>
      </c>
      <c r="V841" s="56" t="n"/>
      <c r="W841" s="32">
        <f>IF($C841="","",IFERROR(MATCH($C841,'得意先'!$B$5:$B$104,0),"なし"))</f>
        <v/>
      </c>
      <c r="X841" s="33">
        <f>IF($A841="","",IF(ISNUMBER($E841),$E841,IF(ISNUMBER($B841),$B841,"")))</f>
        <v/>
      </c>
      <c r="Y841" s="34">
        <f>IF($T841="","",$O841+ROW()/1000000)</f>
        <v/>
      </c>
      <c r="Z841" s="35">
        <f>IF(OR($A841="",$C841="",$C841&lt;&gt;'売掛帳'!$B$3,NOT(ISNUMBER($X841))),"",IF(AND($X841&gt;='売掛帳'!$Q$3,$X841&lt;='売掛帳'!$Q$4),$X841+ROW()/10000000,""))</f>
        <v/>
      </c>
    </row>
    <row r="842" ht="18" customHeight="1">
      <c r="A842" s="18" t="n"/>
      <c r="B842" s="26" t="n"/>
      <c r="C842" s="18" t="n"/>
      <c r="D842" s="20">
        <f>IF($W842="","",IF($W842="なし","※得意先にないコード",INDEX('得意先'!$C$5:$C$104,$W842)&amp;""))</f>
        <v/>
      </c>
      <c r="E842" s="26" t="n"/>
      <c r="F842" s="19" t="n"/>
      <c r="G842" s="27" t="n"/>
      <c r="H842" s="27" t="n"/>
      <c r="I842" s="27" t="n"/>
      <c r="J842" s="28">
        <f>IF($A842="","",IF('設定'!$B$10="四捨五入",ROUND(IF('設定'!$B$9="税込",N($G842)*10/110,N($G842)*10/100),0),IF('設定'!$B$10="切り上げ",ROUNDUP(IF('設定'!$B$9="税込",N($G842)*10/110,N($G842)*10/100),0),ROUNDDOWN(IF('設定'!$B$9="税込",N($G842)*10/110,N($G842)*10/100),0))))</f>
        <v/>
      </c>
      <c r="K842" s="28">
        <f>IF($A842="","",IF('設定'!$B$10="四捨五入",ROUND(IF('設定'!$B$9="税込",N($H842)*8/108,N($H842)*8/100),0),IF('設定'!$B$10="切り上げ",ROUNDUP(IF('設定'!$B$9="税込",N($H842)*8/108,N($H842)*8/100),0),ROUNDDOWN(IF('設定'!$B$9="税込",N($H842)*8/108,N($H842)*8/100),0))))</f>
        <v/>
      </c>
      <c r="L842" s="28">
        <f>IF($A842="","",N($G842)+N($H842)+N($I842)+IF('設定'!$B$9="税込",0,$J842+$K842))</f>
        <v/>
      </c>
      <c r="M842" s="29">
        <f>IF(OR($A842="",NOT(ISNUMBER($W842)),NOT(ISNUMBER($X842))),"",IF(OR(INDEX('得意先'!$D$5:$D$104,$W842)="",INDEX('得意先'!$E$5:$E$104,$W842)="",INDEX('得意先'!$F$5:$F$104,$W842)=""),"",IF(INDEX('得意先'!$F$5:$F$104,$W842)="末",DATE(YEAR($X842),(MONTH($X842)+IF(INDEX('得意先'!$D$5:$D$104,$W842)="末",0,IF(DAY($X842)&lt;=INDEX('得意先'!$D$5:$D$104,$W842),0,1))+N(INDEX('得意先'!$E$5:$E$104,$W842)))+1,0),DATE(YEAR($X842),(MONTH($X842)+IF(INDEX('得意先'!$D$5:$D$104,$W842)="末",0,IF(DAY($X842)&lt;=INDEX('得意先'!$D$5:$D$104,$W842),0,1))+N(INDEX('得意先'!$E$5:$E$104,$W842))),MIN(INDEX('得意先'!$F$5:$F$104,$W842),DAY(DATE(YEAR($X842),(MONTH($X842)+IF(INDEX('得意先'!$D$5:$D$104,$W842)="末",0,IF(DAY($X842)&lt;=INDEX('得意先'!$D$5:$D$104,$W842),0,1))+N(INDEX('得意先'!$E$5:$E$104,$W842)))+1,0)))))))</f>
        <v/>
      </c>
      <c r="N842" s="26" t="n"/>
      <c r="O842" s="29">
        <f>IF($A842="","",IF(ISNUMBER($N842),$N842,$M842))</f>
        <v/>
      </c>
      <c r="P842" s="28">
        <f>IF($A842="","",SUMIF('入金消込'!$F$5:$F$1004,$A842,'入金消込'!$G$5:$G$1004))</f>
        <v/>
      </c>
      <c r="Q842" s="28">
        <f>IF($A842="","",SUMIF('入金消込'!$F$5:$F$1004,$A842,'入金消込'!$H$5:$H$1004)+SUMIF('入金消込'!$F$5:$F$1004,$A842,'入金消込'!$I$5:$I$1004))</f>
        <v/>
      </c>
      <c r="R842" s="28">
        <f>IF($A842="","",$L842-$P842-$Q842)</f>
        <v/>
      </c>
      <c r="S842" s="30">
        <f>IF($A842="","",IF($R842=0,IF($L842=0,"請求額0","回収済"),IF($L842&lt;0,IF($R842&lt;0,"差し引き待ち","差し引きすぎ"),IF($R842&lt;0,"入金が多い",IF($P842+$Q842=0,"未入金","一部入金")))))</f>
        <v/>
      </c>
      <c r="T842" s="31">
        <f>IF(OR($A842="",N($R842)&lt;=0,NOT(ISNUMBER($O842))),"",IF($O842&lt;'設定'!$B$7,'設定'!$B$7-$O842,""))</f>
        <v/>
      </c>
      <c r="U842" s="30">
        <f>IF(OR($A842="",N($R842)&lt;=0),"",IF(NOT(ISNUMBER($O842)),'設定'!$B$22,IF($O842&gt;='設定'!$B$7,'設定'!$B$17,IF('設定'!$B$7-$O842&lt;='設定'!$B$12,'設定'!$B$18,IF('設定'!$B$7-$O842&lt;='設定'!$B$13,'設定'!$B$19,IF('設定'!$B$7-$O842&lt;='設定'!$B$14,'設定'!$B$20,'設定'!$B$21))))))</f>
        <v/>
      </c>
      <c r="V842" s="56" t="n"/>
      <c r="W842" s="32">
        <f>IF($C842="","",IFERROR(MATCH($C842,'得意先'!$B$5:$B$104,0),"なし"))</f>
        <v/>
      </c>
      <c r="X842" s="33">
        <f>IF($A842="","",IF(ISNUMBER($E842),$E842,IF(ISNUMBER($B842),$B842,"")))</f>
        <v/>
      </c>
      <c r="Y842" s="34">
        <f>IF($T842="","",$O842+ROW()/1000000)</f>
        <v/>
      </c>
      <c r="Z842" s="35">
        <f>IF(OR($A842="",$C842="",$C842&lt;&gt;'売掛帳'!$B$3,NOT(ISNUMBER($X842))),"",IF(AND($X842&gt;='売掛帳'!$Q$3,$X842&lt;='売掛帳'!$Q$4),$X842+ROW()/10000000,""))</f>
        <v/>
      </c>
    </row>
    <row r="843" ht="18" customHeight="1">
      <c r="A843" s="18" t="n"/>
      <c r="B843" s="26" t="n"/>
      <c r="C843" s="18" t="n"/>
      <c r="D843" s="20">
        <f>IF($W843="","",IF($W843="なし","※得意先にないコード",INDEX('得意先'!$C$5:$C$104,$W843)&amp;""))</f>
        <v/>
      </c>
      <c r="E843" s="26" t="n"/>
      <c r="F843" s="19" t="n"/>
      <c r="G843" s="27" t="n"/>
      <c r="H843" s="27" t="n"/>
      <c r="I843" s="27" t="n"/>
      <c r="J843" s="28">
        <f>IF($A843="","",IF('設定'!$B$10="四捨五入",ROUND(IF('設定'!$B$9="税込",N($G843)*10/110,N($G843)*10/100),0),IF('設定'!$B$10="切り上げ",ROUNDUP(IF('設定'!$B$9="税込",N($G843)*10/110,N($G843)*10/100),0),ROUNDDOWN(IF('設定'!$B$9="税込",N($G843)*10/110,N($G843)*10/100),0))))</f>
        <v/>
      </c>
      <c r="K843" s="28">
        <f>IF($A843="","",IF('設定'!$B$10="四捨五入",ROUND(IF('設定'!$B$9="税込",N($H843)*8/108,N($H843)*8/100),0),IF('設定'!$B$10="切り上げ",ROUNDUP(IF('設定'!$B$9="税込",N($H843)*8/108,N($H843)*8/100),0),ROUNDDOWN(IF('設定'!$B$9="税込",N($H843)*8/108,N($H843)*8/100),0))))</f>
        <v/>
      </c>
      <c r="L843" s="28">
        <f>IF($A843="","",N($G843)+N($H843)+N($I843)+IF('設定'!$B$9="税込",0,$J843+$K843))</f>
        <v/>
      </c>
      <c r="M843" s="29">
        <f>IF(OR($A843="",NOT(ISNUMBER($W843)),NOT(ISNUMBER($X843))),"",IF(OR(INDEX('得意先'!$D$5:$D$104,$W843)="",INDEX('得意先'!$E$5:$E$104,$W843)="",INDEX('得意先'!$F$5:$F$104,$W843)=""),"",IF(INDEX('得意先'!$F$5:$F$104,$W843)="末",DATE(YEAR($X843),(MONTH($X843)+IF(INDEX('得意先'!$D$5:$D$104,$W843)="末",0,IF(DAY($X843)&lt;=INDEX('得意先'!$D$5:$D$104,$W843),0,1))+N(INDEX('得意先'!$E$5:$E$104,$W843)))+1,0),DATE(YEAR($X843),(MONTH($X843)+IF(INDEX('得意先'!$D$5:$D$104,$W843)="末",0,IF(DAY($X843)&lt;=INDEX('得意先'!$D$5:$D$104,$W843),0,1))+N(INDEX('得意先'!$E$5:$E$104,$W843))),MIN(INDEX('得意先'!$F$5:$F$104,$W843),DAY(DATE(YEAR($X843),(MONTH($X843)+IF(INDEX('得意先'!$D$5:$D$104,$W843)="末",0,IF(DAY($X843)&lt;=INDEX('得意先'!$D$5:$D$104,$W843),0,1))+N(INDEX('得意先'!$E$5:$E$104,$W843)))+1,0)))))))</f>
        <v/>
      </c>
      <c r="N843" s="26" t="n"/>
      <c r="O843" s="29">
        <f>IF($A843="","",IF(ISNUMBER($N843),$N843,$M843))</f>
        <v/>
      </c>
      <c r="P843" s="28">
        <f>IF($A843="","",SUMIF('入金消込'!$F$5:$F$1004,$A843,'入金消込'!$G$5:$G$1004))</f>
        <v/>
      </c>
      <c r="Q843" s="28">
        <f>IF($A843="","",SUMIF('入金消込'!$F$5:$F$1004,$A843,'入金消込'!$H$5:$H$1004)+SUMIF('入金消込'!$F$5:$F$1004,$A843,'入金消込'!$I$5:$I$1004))</f>
        <v/>
      </c>
      <c r="R843" s="28">
        <f>IF($A843="","",$L843-$P843-$Q843)</f>
        <v/>
      </c>
      <c r="S843" s="30">
        <f>IF($A843="","",IF($R843=0,IF($L843=0,"請求額0","回収済"),IF($L843&lt;0,IF($R843&lt;0,"差し引き待ち","差し引きすぎ"),IF($R843&lt;0,"入金が多い",IF($P843+$Q843=0,"未入金","一部入金")))))</f>
        <v/>
      </c>
      <c r="T843" s="31">
        <f>IF(OR($A843="",N($R843)&lt;=0,NOT(ISNUMBER($O843))),"",IF($O843&lt;'設定'!$B$7,'設定'!$B$7-$O843,""))</f>
        <v/>
      </c>
      <c r="U843" s="30">
        <f>IF(OR($A843="",N($R843)&lt;=0),"",IF(NOT(ISNUMBER($O843)),'設定'!$B$22,IF($O843&gt;='設定'!$B$7,'設定'!$B$17,IF('設定'!$B$7-$O843&lt;='設定'!$B$12,'設定'!$B$18,IF('設定'!$B$7-$O843&lt;='設定'!$B$13,'設定'!$B$19,IF('設定'!$B$7-$O843&lt;='設定'!$B$14,'設定'!$B$20,'設定'!$B$21))))))</f>
        <v/>
      </c>
      <c r="V843" s="56" t="n"/>
      <c r="W843" s="32">
        <f>IF($C843="","",IFERROR(MATCH($C843,'得意先'!$B$5:$B$104,0),"なし"))</f>
        <v/>
      </c>
      <c r="X843" s="33">
        <f>IF($A843="","",IF(ISNUMBER($E843),$E843,IF(ISNUMBER($B843),$B843,"")))</f>
        <v/>
      </c>
      <c r="Y843" s="34">
        <f>IF($T843="","",$O843+ROW()/1000000)</f>
        <v/>
      </c>
      <c r="Z843" s="35">
        <f>IF(OR($A843="",$C843="",$C843&lt;&gt;'売掛帳'!$B$3,NOT(ISNUMBER($X843))),"",IF(AND($X843&gt;='売掛帳'!$Q$3,$X843&lt;='売掛帳'!$Q$4),$X843+ROW()/10000000,""))</f>
        <v/>
      </c>
    </row>
    <row r="844" ht="18" customHeight="1">
      <c r="A844" s="18" t="n"/>
      <c r="B844" s="26" t="n"/>
      <c r="C844" s="18" t="n"/>
      <c r="D844" s="20">
        <f>IF($W844="","",IF($W844="なし","※得意先にないコード",INDEX('得意先'!$C$5:$C$104,$W844)&amp;""))</f>
        <v/>
      </c>
      <c r="E844" s="26" t="n"/>
      <c r="F844" s="19" t="n"/>
      <c r="G844" s="27" t="n"/>
      <c r="H844" s="27" t="n"/>
      <c r="I844" s="27" t="n"/>
      <c r="J844" s="28">
        <f>IF($A844="","",IF('設定'!$B$10="四捨五入",ROUND(IF('設定'!$B$9="税込",N($G844)*10/110,N($G844)*10/100),0),IF('設定'!$B$10="切り上げ",ROUNDUP(IF('設定'!$B$9="税込",N($G844)*10/110,N($G844)*10/100),0),ROUNDDOWN(IF('設定'!$B$9="税込",N($G844)*10/110,N($G844)*10/100),0))))</f>
        <v/>
      </c>
      <c r="K844" s="28">
        <f>IF($A844="","",IF('設定'!$B$10="四捨五入",ROUND(IF('設定'!$B$9="税込",N($H844)*8/108,N($H844)*8/100),0),IF('設定'!$B$10="切り上げ",ROUNDUP(IF('設定'!$B$9="税込",N($H844)*8/108,N($H844)*8/100),0),ROUNDDOWN(IF('設定'!$B$9="税込",N($H844)*8/108,N($H844)*8/100),0))))</f>
        <v/>
      </c>
      <c r="L844" s="28">
        <f>IF($A844="","",N($G844)+N($H844)+N($I844)+IF('設定'!$B$9="税込",0,$J844+$K844))</f>
        <v/>
      </c>
      <c r="M844" s="29">
        <f>IF(OR($A844="",NOT(ISNUMBER($W844)),NOT(ISNUMBER($X844))),"",IF(OR(INDEX('得意先'!$D$5:$D$104,$W844)="",INDEX('得意先'!$E$5:$E$104,$W844)="",INDEX('得意先'!$F$5:$F$104,$W844)=""),"",IF(INDEX('得意先'!$F$5:$F$104,$W844)="末",DATE(YEAR($X844),(MONTH($X844)+IF(INDEX('得意先'!$D$5:$D$104,$W844)="末",0,IF(DAY($X844)&lt;=INDEX('得意先'!$D$5:$D$104,$W844),0,1))+N(INDEX('得意先'!$E$5:$E$104,$W844)))+1,0),DATE(YEAR($X844),(MONTH($X844)+IF(INDEX('得意先'!$D$5:$D$104,$W844)="末",0,IF(DAY($X844)&lt;=INDEX('得意先'!$D$5:$D$104,$W844),0,1))+N(INDEX('得意先'!$E$5:$E$104,$W844))),MIN(INDEX('得意先'!$F$5:$F$104,$W844),DAY(DATE(YEAR($X844),(MONTH($X844)+IF(INDEX('得意先'!$D$5:$D$104,$W844)="末",0,IF(DAY($X844)&lt;=INDEX('得意先'!$D$5:$D$104,$W844),0,1))+N(INDEX('得意先'!$E$5:$E$104,$W844)))+1,0)))))))</f>
        <v/>
      </c>
      <c r="N844" s="26" t="n"/>
      <c r="O844" s="29">
        <f>IF($A844="","",IF(ISNUMBER($N844),$N844,$M844))</f>
        <v/>
      </c>
      <c r="P844" s="28">
        <f>IF($A844="","",SUMIF('入金消込'!$F$5:$F$1004,$A844,'入金消込'!$G$5:$G$1004))</f>
        <v/>
      </c>
      <c r="Q844" s="28">
        <f>IF($A844="","",SUMIF('入金消込'!$F$5:$F$1004,$A844,'入金消込'!$H$5:$H$1004)+SUMIF('入金消込'!$F$5:$F$1004,$A844,'入金消込'!$I$5:$I$1004))</f>
        <v/>
      </c>
      <c r="R844" s="28">
        <f>IF($A844="","",$L844-$P844-$Q844)</f>
        <v/>
      </c>
      <c r="S844" s="30">
        <f>IF($A844="","",IF($R844=0,IF($L844=0,"請求額0","回収済"),IF($L844&lt;0,IF($R844&lt;0,"差し引き待ち","差し引きすぎ"),IF($R844&lt;0,"入金が多い",IF($P844+$Q844=0,"未入金","一部入金")))))</f>
        <v/>
      </c>
      <c r="T844" s="31">
        <f>IF(OR($A844="",N($R844)&lt;=0,NOT(ISNUMBER($O844))),"",IF($O844&lt;'設定'!$B$7,'設定'!$B$7-$O844,""))</f>
        <v/>
      </c>
      <c r="U844" s="30">
        <f>IF(OR($A844="",N($R844)&lt;=0),"",IF(NOT(ISNUMBER($O844)),'設定'!$B$22,IF($O844&gt;='設定'!$B$7,'設定'!$B$17,IF('設定'!$B$7-$O844&lt;='設定'!$B$12,'設定'!$B$18,IF('設定'!$B$7-$O844&lt;='設定'!$B$13,'設定'!$B$19,IF('設定'!$B$7-$O844&lt;='設定'!$B$14,'設定'!$B$20,'設定'!$B$21))))))</f>
        <v/>
      </c>
      <c r="V844" s="56" t="n"/>
      <c r="W844" s="32">
        <f>IF($C844="","",IFERROR(MATCH($C844,'得意先'!$B$5:$B$104,0),"なし"))</f>
        <v/>
      </c>
      <c r="X844" s="33">
        <f>IF($A844="","",IF(ISNUMBER($E844),$E844,IF(ISNUMBER($B844),$B844,"")))</f>
        <v/>
      </c>
      <c r="Y844" s="34">
        <f>IF($T844="","",$O844+ROW()/1000000)</f>
        <v/>
      </c>
      <c r="Z844" s="35">
        <f>IF(OR($A844="",$C844="",$C844&lt;&gt;'売掛帳'!$B$3,NOT(ISNUMBER($X844))),"",IF(AND($X844&gt;='売掛帳'!$Q$3,$X844&lt;='売掛帳'!$Q$4),$X844+ROW()/10000000,""))</f>
        <v/>
      </c>
    </row>
    <row r="845" ht="18" customHeight="1">
      <c r="A845" s="18" t="n"/>
      <c r="B845" s="26" t="n"/>
      <c r="C845" s="18" t="n"/>
      <c r="D845" s="20">
        <f>IF($W845="","",IF($W845="なし","※得意先にないコード",INDEX('得意先'!$C$5:$C$104,$W845)&amp;""))</f>
        <v/>
      </c>
      <c r="E845" s="26" t="n"/>
      <c r="F845" s="19" t="n"/>
      <c r="G845" s="27" t="n"/>
      <c r="H845" s="27" t="n"/>
      <c r="I845" s="27" t="n"/>
      <c r="J845" s="28">
        <f>IF($A845="","",IF('設定'!$B$10="四捨五入",ROUND(IF('設定'!$B$9="税込",N($G845)*10/110,N($G845)*10/100),0),IF('設定'!$B$10="切り上げ",ROUNDUP(IF('設定'!$B$9="税込",N($G845)*10/110,N($G845)*10/100),0),ROUNDDOWN(IF('設定'!$B$9="税込",N($G845)*10/110,N($G845)*10/100),0))))</f>
        <v/>
      </c>
      <c r="K845" s="28">
        <f>IF($A845="","",IF('設定'!$B$10="四捨五入",ROUND(IF('設定'!$B$9="税込",N($H845)*8/108,N($H845)*8/100),0),IF('設定'!$B$10="切り上げ",ROUNDUP(IF('設定'!$B$9="税込",N($H845)*8/108,N($H845)*8/100),0),ROUNDDOWN(IF('設定'!$B$9="税込",N($H845)*8/108,N($H845)*8/100),0))))</f>
        <v/>
      </c>
      <c r="L845" s="28">
        <f>IF($A845="","",N($G845)+N($H845)+N($I845)+IF('設定'!$B$9="税込",0,$J845+$K845))</f>
        <v/>
      </c>
      <c r="M845" s="29">
        <f>IF(OR($A845="",NOT(ISNUMBER($W845)),NOT(ISNUMBER($X845))),"",IF(OR(INDEX('得意先'!$D$5:$D$104,$W845)="",INDEX('得意先'!$E$5:$E$104,$W845)="",INDEX('得意先'!$F$5:$F$104,$W845)=""),"",IF(INDEX('得意先'!$F$5:$F$104,$W845)="末",DATE(YEAR($X845),(MONTH($X845)+IF(INDEX('得意先'!$D$5:$D$104,$W845)="末",0,IF(DAY($X845)&lt;=INDEX('得意先'!$D$5:$D$104,$W845),0,1))+N(INDEX('得意先'!$E$5:$E$104,$W845)))+1,0),DATE(YEAR($X845),(MONTH($X845)+IF(INDEX('得意先'!$D$5:$D$104,$W845)="末",0,IF(DAY($X845)&lt;=INDEX('得意先'!$D$5:$D$104,$W845),0,1))+N(INDEX('得意先'!$E$5:$E$104,$W845))),MIN(INDEX('得意先'!$F$5:$F$104,$W845),DAY(DATE(YEAR($X845),(MONTH($X845)+IF(INDEX('得意先'!$D$5:$D$104,$W845)="末",0,IF(DAY($X845)&lt;=INDEX('得意先'!$D$5:$D$104,$W845),0,1))+N(INDEX('得意先'!$E$5:$E$104,$W845)))+1,0)))))))</f>
        <v/>
      </c>
      <c r="N845" s="26" t="n"/>
      <c r="O845" s="29">
        <f>IF($A845="","",IF(ISNUMBER($N845),$N845,$M845))</f>
        <v/>
      </c>
      <c r="P845" s="28">
        <f>IF($A845="","",SUMIF('入金消込'!$F$5:$F$1004,$A845,'入金消込'!$G$5:$G$1004))</f>
        <v/>
      </c>
      <c r="Q845" s="28">
        <f>IF($A845="","",SUMIF('入金消込'!$F$5:$F$1004,$A845,'入金消込'!$H$5:$H$1004)+SUMIF('入金消込'!$F$5:$F$1004,$A845,'入金消込'!$I$5:$I$1004))</f>
        <v/>
      </c>
      <c r="R845" s="28">
        <f>IF($A845="","",$L845-$P845-$Q845)</f>
        <v/>
      </c>
      <c r="S845" s="30">
        <f>IF($A845="","",IF($R845=0,IF($L845=0,"請求額0","回収済"),IF($L845&lt;0,IF($R845&lt;0,"差し引き待ち","差し引きすぎ"),IF($R845&lt;0,"入金が多い",IF($P845+$Q845=0,"未入金","一部入金")))))</f>
        <v/>
      </c>
      <c r="T845" s="31">
        <f>IF(OR($A845="",N($R845)&lt;=0,NOT(ISNUMBER($O845))),"",IF($O845&lt;'設定'!$B$7,'設定'!$B$7-$O845,""))</f>
        <v/>
      </c>
      <c r="U845" s="30">
        <f>IF(OR($A845="",N($R845)&lt;=0),"",IF(NOT(ISNUMBER($O845)),'設定'!$B$22,IF($O845&gt;='設定'!$B$7,'設定'!$B$17,IF('設定'!$B$7-$O845&lt;='設定'!$B$12,'設定'!$B$18,IF('設定'!$B$7-$O845&lt;='設定'!$B$13,'設定'!$B$19,IF('設定'!$B$7-$O845&lt;='設定'!$B$14,'設定'!$B$20,'設定'!$B$21))))))</f>
        <v/>
      </c>
      <c r="V845" s="56" t="n"/>
      <c r="W845" s="32">
        <f>IF($C845="","",IFERROR(MATCH($C845,'得意先'!$B$5:$B$104,0),"なし"))</f>
        <v/>
      </c>
      <c r="X845" s="33">
        <f>IF($A845="","",IF(ISNUMBER($E845),$E845,IF(ISNUMBER($B845),$B845,"")))</f>
        <v/>
      </c>
      <c r="Y845" s="34">
        <f>IF($T845="","",$O845+ROW()/1000000)</f>
        <v/>
      </c>
      <c r="Z845" s="35">
        <f>IF(OR($A845="",$C845="",$C845&lt;&gt;'売掛帳'!$B$3,NOT(ISNUMBER($X845))),"",IF(AND($X845&gt;='売掛帳'!$Q$3,$X845&lt;='売掛帳'!$Q$4),$X845+ROW()/10000000,""))</f>
        <v/>
      </c>
    </row>
    <row r="846" ht="18" customHeight="1">
      <c r="A846" s="18" t="n"/>
      <c r="B846" s="26" t="n"/>
      <c r="C846" s="18" t="n"/>
      <c r="D846" s="20">
        <f>IF($W846="","",IF($W846="なし","※得意先にないコード",INDEX('得意先'!$C$5:$C$104,$W846)&amp;""))</f>
        <v/>
      </c>
      <c r="E846" s="26" t="n"/>
      <c r="F846" s="19" t="n"/>
      <c r="G846" s="27" t="n"/>
      <c r="H846" s="27" t="n"/>
      <c r="I846" s="27" t="n"/>
      <c r="J846" s="28">
        <f>IF($A846="","",IF('設定'!$B$10="四捨五入",ROUND(IF('設定'!$B$9="税込",N($G846)*10/110,N($G846)*10/100),0),IF('設定'!$B$10="切り上げ",ROUNDUP(IF('設定'!$B$9="税込",N($G846)*10/110,N($G846)*10/100),0),ROUNDDOWN(IF('設定'!$B$9="税込",N($G846)*10/110,N($G846)*10/100),0))))</f>
        <v/>
      </c>
      <c r="K846" s="28">
        <f>IF($A846="","",IF('設定'!$B$10="四捨五入",ROUND(IF('設定'!$B$9="税込",N($H846)*8/108,N($H846)*8/100),0),IF('設定'!$B$10="切り上げ",ROUNDUP(IF('設定'!$B$9="税込",N($H846)*8/108,N($H846)*8/100),0),ROUNDDOWN(IF('設定'!$B$9="税込",N($H846)*8/108,N($H846)*8/100),0))))</f>
        <v/>
      </c>
      <c r="L846" s="28">
        <f>IF($A846="","",N($G846)+N($H846)+N($I846)+IF('設定'!$B$9="税込",0,$J846+$K846))</f>
        <v/>
      </c>
      <c r="M846" s="29">
        <f>IF(OR($A846="",NOT(ISNUMBER($W846)),NOT(ISNUMBER($X846))),"",IF(OR(INDEX('得意先'!$D$5:$D$104,$W846)="",INDEX('得意先'!$E$5:$E$104,$W846)="",INDEX('得意先'!$F$5:$F$104,$W846)=""),"",IF(INDEX('得意先'!$F$5:$F$104,$W846)="末",DATE(YEAR($X846),(MONTH($X846)+IF(INDEX('得意先'!$D$5:$D$104,$W846)="末",0,IF(DAY($X846)&lt;=INDEX('得意先'!$D$5:$D$104,$W846),0,1))+N(INDEX('得意先'!$E$5:$E$104,$W846)))+1,0),DATE(YEAR($X846),(MONTH($X846)+IF(INDEX('得意先'!$D$5:$D$104,$W846)="末",0,IF(DAY($X846)&lt;=INDEX('得意先'!$D$5:$D$104,$W846),0,1))+N(INDEX('得意先'!$E$5:$E$104,$W846))),MIN(INDEX('得意先'!$F$5:$F$104,$W846),DAY(DATE(YEAR($X846),(MONTH($X846)+IF(INDEX('得意先'!$D$5:$D$104,$W846)="末",0,IF(DAY($X846)&lt;=INDEX('得意先'!$D$5:$D$104,$W846),0,1))+N(INDEX('得意先'!$E$5:$E$104,$W846)))+1,0)))))))</f>
        <v/>
      </c>
      <c r="N846" s="26" t="n"/>
      <c r="O846" s="29">
        <f>IF($A846="","",IF(ISNUMBER($N846),$N846,$M846))</f>
        <v/>
      </c>
      <c r="P846" s="28">
        <f>IF($A846="","",SUMIF('入金消込'!$F$5:$F$1004,$A846,'入金消込'!$G$5:$G$1004))</f>
        <v/>
      </c>
      <c r="Q846" s="28">
        <f>IF($A846="","",SUMIF('入金消込'!$F$5:$F$1004,$A846,'入金消込'!$H$5:$H$1004)+SUMIF('入金消込'!$F$5:$F$1004,$A846,'入金消込'!$I$5:$I$1004))</f>
        <v/>
      </c>
      <c r="R846" s="28">
        <f>IF($A846="","",$L846-$P846-$Q846)</f>
        <v/>
      </c>
      <c r="S846" s="30">
        <f>IF($A846="","",IF($R846=0,IF($L846=0,"請求額0","回収済"),IF($L846&lt;0,IF($R846&lt;0,"差し引き待ち","差し引きすぎ"),IF($R846&lt;0,"入金が多い",IF($P846+$Q846=0,"未入金","一部入金")))))</f>
        <v/>
      </c>
      <c r="T846" s="31">
        <f>IF(OR($A846="",N($R846)&lt;=0,NOT(ISNUMBER($O846))),"",IF($O846&lt;'設定'!$B$7,'設定'!$B$7-$O846,""))</f>
        <v/>
      </c>
      <c r="U846" s="30">
        <f>IF(OR($A846="",N($R846)&lt;=0),"",IF(NOT(ISNUMBER($O846)),'設定'!$B$22,IF($O846&gt;='設定'!$B$7,'設定'!$B$17,IF('設定'!$B$7-$O846&lt;='設定'!$B$12,'設定'!$B$18,IF('設定'!$B$7-$O846&lt;='設定'!$B$13,'設定'!$B$19,IF('設定'!$B$7-$O846&lt;='設定'!$B$14,'設定'!$B$20,'設定'!$B$21))))))</f>
        <v/>
      </c>
      <c r="V846" s="56" t="n"/>
      <c r="W846" s="32">
        <f>IF($C846="","",IFERROR(MATCH($C846,'得意先'!$B$5:$B$104,0),"なし"))</f>
        <v/>
      </c>
      <c r="X846" s="33">
        <f>IF($A846="","",IF(ISNUMBER($E846),$E846,IF(ISNUMBER($B846),$B846,"")))</f>
        <v/>
      </c>
      <c r="Y846" s="34">
        <f>IF($T846="","",$O846+ROW()/1000000)</f>
        <v/>
      </c>
      <c r="Z846" s="35">
        <f>IF(OR($A846="",$C846="",$C846&lt;&gt;'売掛帳'!$B$3,NOT(ISNUMBER($X846))),"",IF(AND($X846&gt;='売掛帳'!$Q$3,$X846&lt;='売掛帳'!$Q$4),$X846+ROW()/10000000,""))</f>
        <v/>
      </c>
    </row>
    <row r="847" ht="18" customHeight="1">
      <c r="A847" s="18" t="n"/>
      <c r="B847" s="26" t="n"/>
      <c r="C847" s="18" t="n"/>
      <c r="D847" s="20">
        <f>IF($W847="","",IF($W847="なし","※得意先にないコード",INDEX('得意先'!$C$5:$C$104,$W847)&amp;""))</f>
        <v/>
      </c>
      <c r="E847" s="26" t="n"/>
      <c r="F847" s="19" t="n"/>
      <c r="G847" s="27" t="n"/>
      <c r="H847" s="27" t="n"/>
      <c r="I847" s="27" t="n"/>
      <c r="J847" s="28">
        <f>IF($A847="","",IF('設定'!$B$10="四捨五入",ROUND(IF('設定'!$B$9="税込",N($G847)*10/110,N($G847)*10/100),0),IF('設定'!$B$10="切り上げ",ROUNDUP(IF('設定'!$B$9="税込",N($G847)*10/110,N($G847)*10/100),0),ROUNDDOWN(IF('設定'!$B$9="税込",N($G847)*10/110,N($G847)*10/100),0))))</f>
        <v/>
      </c>
      <c r="K847" s="28">
        <f>IF($A847="","",IF('設定'!$B$10="四捨五入",ROUND(IF('設定'!$B$9="税込",N($H847)*8/108,N($H847)*8/100),0),IF('設定'!$B$10="切り上げ",ROUNDUP(IF('設定'!$B$9="税込",N($H847)*8/108,N($H847)*8/100),0),ROUNDDOWN(IF('設定'!$B$9="税込",N($H847)*8/108,N($H847)*8/100),0))))</f>
        <v/>
      </c>
      <c r="L847" s="28">
        <f>IF($A847="","",N($G847)+N($H847)+N($I847)+IF('設定'!$B$9="税込",0,$J847+$K847))</f>
        <v/>
      </c>
      <c r="M847" s="29">
        <f>IF(OR($A847="",NOT(ISNUMBER($W847)),NOT(ISNUMBER($X847))),"",IF(OR(INDEX('得意先'!$D$5:$D$104,$W847)="",INDEX('得意先'!$E$5:$E$104,$W847)="",INDEX('得意先'!$F$5:$F$104,$W847)=""),"",IF(INDEX('得意先'!$F$5:$F$104,$W847)="末",DATE(YEAR($X847),(MONTH($X847)+IF(INDEX('得意先'!$D$5:$D$104,$W847)="末",0,IF(DAY($X847)&lt;=INDEX('得意先'!$D$5:$D$104,$W847),0,1))+N(INDEX('得意先'!$E$5:$E$104,$W847)))+1,0),DATE(YEAR($X847),(MONTH($X847)+IF(INDEX('得意先'!$D$5:$D$104,$W847)="末",0,IF(DAY($X847)&lt;=INDEX('得意先'!$D$5:$D$104,$W847),0,1))+N(INDEX('得意先'!$E$5:$E$104,$W847))),MIN(INDEX('得意先'!$F$5:$F$104,$W847),DAY(DATE(YEAR($X847),(MONTH($X847)+IF(INDEX('得意先'!$D$5:$D$104,$W847)="末",0,IF(DAY($X847)&lt;=INDEX('得意先'!$D$5:$D$104,$W847),0,1))+N(INDEX('得意先'!$E$5:$E$104,$W847)))+1,0)))))))</f>
        <v/>
      </c>
      <c r="N847" s="26" t="n"/>
      <c r="O847" s="29">
        <f>IF($A847="","",IF(ISNUMBER($N847),$N847,$M847))</f>
        <v/>
      </c>
      <c r="P847" s="28">
        <f>IF($A847="","",SUMIF('入金消込'!$F$5:$F$1004,$A847,'入金消込'!$G$5:$G$1004))</f>
        <v/>
      </c>
      <c r="Q847" s="28">
        <f>IF($A847="","",SUMIF('入金消込'!$F$5:$F$1004,$A847,'入金消込'!$H$5:$H$1004)+SUMIF('入金消込'!$F$5:$F$1004,$A847,'入金消込'!$I$5:$I$1004))</f>
        <v/>
      </c>
      <c r="R847" s="28">
        <f>IF($A847="","",$L847-$P847-$Q847)</f>
        <v/>
      </c>
      <c r="S847" s="30">
        <f>IF($A847="","",IF($R847=0,IF($L847=0,"請求額0","回収済"),IF($L847&lt;0,IF($R847&lt;0,"差し引き待ち","差し引きすぎ"),IF($R847&lt;0,"入金が多い",IF($P847+$Q847=0,"未入金","一部入金")))))</f>
        <v/>
      </c>
      <c r="T847" s="31">
        <f>IF(OR($A847="",N($R847)&lt;=0,NOT(ISNUMBER($O847))),"",IF($O847&lt;'設定'!$B$7,'設定'!$B$7-$O847,""))</f>
        <v/>
      </c>
      <c r="U847" s="30">
        <f>IF(OR($A847="",N($R847)&lt;=0),"",IF(NOT(ISNUMBER($O847)),'設定'!$B$22,IF($O847&gt;='設定'!$B$7,'設定'!$B$17,IF('設定'!$B$7-$O847&lt;='設定'!$B$12,'設定'!$B$18,IF('設定'!$B$7-$O847&lt;='設定'!$B$13,'設定'!$B$19,IF('設定'!$B$7-$O847&lt;='設定'!$B$14,'設定'!$B$20,'設定'!$B$21))))))</f>
        <v/>
      </c>
      <c r="V847" s="56" t="n"/>
      <c r="W847" s="32">
        <f>IF($C847="","",IFERROR(MATCH($C847,'得意先'!$B$5:$B$104,0),"なし"))</f>
        <v/>
      </c>
      <c r="X847" s="33">
        <f>IF($A847="","",IF(ISNUMBER($E847),$E847,IF(ISNUMBER($B847),$B847,"")))</f>
        <v/>
      </c>
      <c r="Y847" s="34">
        <f>IF($T847="","",$O847+ROW()/1000000)</f>
        <v/>
      </c>
      <c r="Z847" s="35">
        <f>IF(OR($A847="",$C847="",$C847&lt;&gt;'売掛帳'!$B$3,NOT(ISNUMBER($X847))),"",IF(AND($X847&gt;='売掛帳'!$Q$3,$X847&lt;='売掛帳'!$Q$4),$X847+ROW()/10000000,""))</f>
        <v/>
      </c>
    </row>
    <row r="848" ht="18" customHeight="1">
      <c r="A848" s="18" t="n"/>
      <c r="B848" s="26" t="n"/>
      <c r="C848" s="18" t="n"/>
      <c r="D848" s="20">
        <f>IF($W848="","",IF($W848="なし","※得意先にないコード",INDEX('得意先'!$C$5:$C$104,$W848)&amp;""))</f>
        <v/>
      </c>
      <c r="E848" s="26" t="n"/>
      <c r="F848" s="19" t="n"/>
      <c r="G848" s="27" t="n"/>
      <c r="H848" s="27" t="n"/>
      <c r="I848" s="27" t="n"/>
      <c r="J848" s="28">
        <f>IF($A848="","",IF('設定'!$B$10="四捨五入",ROUND(IF('設定'!$B$9="税込",N($G848)*10/110,N($G848)*10/100),0),IF('設定'!$B$10="切り上げ",ROUNDUP(IF('設定'!$B$9="税込",N($G848)*10/110,N($G848)*10/100),0),ROUNDDOWN(IF('設定'!$B$9="税込",N($G848)*10/110,N($G848)*10/100),0))))</f>
        <v/>
      </c>
      <c r="K848" s="28">
        <f>IF($A848="","",IF('設定'!$B$10="四捨五入",ROUND(IF('設定'!$B$9="税込",N($H848)*8/108,N($H848)*8/100),0),IF('設定'!$B$10="切り上げ",ROUNDUP(IF('設定'!$B$9="税込",N($H848)*8/108,N($H848)*8/100),0),ROUNDDOWN(IF('設定'!$B$9="税込",N($H848)*8/108,N($H848)*8/100),0))))</f>
        <v/>
      </c>
      <c r="L848" s="28">
        <f>IF($A848="","",N($G848)+N($H848)+N($I848)+IF('設定'!$B$9="税込",0,$J848+$K848))</f>
        <v/>
      </c>
      <c r="M848" s="29">
        <f>IF(OR($A848="",NOT(ISNUMBER($W848)),NOT(ISNUMBER($X848))),"",IF(OR(INDEX('得意先'!$D$5:$D$104,$W848)="",INDEX('得意先'!$E$5:$E$104,$W848)="",INDEX('得意先'!$F$5:$F$104,$W848)=""),"",IF(INDEX('得意先'!$F$5:$F$104,$W848)="末",DATE(YEAR($X848),(MONTH($X848)+IF(INDEX('得意先'!$D$5:$D$104,$W848)="末",0,IF(DAY($X848)&lt;=INDEX('得意先'!$D$5:$D$104,$W848),0,1))+N(INDEX('得意先'!$E$5:$E$104,$W848)))+1,0),DATE(YEAR($X848),(MONTH($X848)+IF(INDEX('得意先'!$D$5:$D$104,$W848)="末",0,IF(DAY($X848)&lt;=INDEX('得意先'!$D$5:$D$104,$W848),0,1))+N(INDEX('得意先'!$E$5:$E$104,$W848))),MIN(INDEX('得意先'!$F$5:$F$104,$W848),DAY(DATE(YEAR($X848),(MONTH($X848)+IF(INDEX('得意先'!$D$5:$D$104,$W848)="末",0,IF(DAY($X848)&lt;=INDEX('得意先'!$D$5:$D$104,$W848),0,1))+N(INDEX('得意先'!$E$5:$E$104,$W848)))+1,0)))))))</f>
        <v/>
      </c>
      <c r="N848" s="26" t="n"/>
      <c r="O848" s="29">
        <f>IF($A848="","",IF(ISNUMBER($N848),$N848,$M848))</f>
        <v/>
      </c>
      <c r="P848" s="28">
        <f>IF($A848="","",SUMIF('入金消込'!$F$5:$F$1004,$A848,'入金消込'!$G$5:$G$1004))</f>
        <v/>
      </c>
      <c r="Q848" s="28">
        <f>IF($A848="","",SUMIF('入金消込'!$F$5:$F$1004,$A848,'入金消込'!$H$5:$H$1004)+SUMIF('入金消込'!$F$5:$F$1004,$A848,'入金消込'!$I$5:$I$1004))</f>
        <v/>
      </c>
      <c r="R848" s="28">
        <f>IF($A848="","",$L848-$P848-$Q848)</f>
        <v/>
      </c>
      <c r="S848" s="30">
        <f>IF($A848="","",IF($R848=0,IF($L848=0,"請求額0","回収済"),IF($L848&lt;0,IF($R848&lt;0,"差し引き待ち","差し引きすぎ"),IF($R848&lt;0,"入金が多い",IF($P848+$Q848=0,"未入金","一部入金")))))</f>
        <v/>
      </c>
      <c r="T848" s="31">
        <f>IF(OR($A848="",N($R848)&lt;=0,NOT(ISNUMBER($O848))),"",IF($O848&lt;'設定'!$B$7,'設定'!$B$7-$O848,""))</f>
        <v/>
      </c>
      <c r="U848" s="30">
        <f>IF(OR($A848="",N($R848)&lt;=0),"",IF(NOT(ISNUMBER($O848)),'設定'!$B$22,IF($O848&gt;='設定'!$B$7,'設定'!$B$17,IF('設定'!$B$7-$O848&lt;='設定'!$B$12,'設定'!$B$18,IF('設定'!$B$7-$O848&lt;='設定'!$B$13,'設定'!$B$19,IF('設定'!$B$7-$O848&lt;='設定'!$B$14,'設定'!$B$20,'設定'!$B$21))))))</f>
        <v/>
      </c>
      <c r="V848" s="56" t="n"/>
      <c r="W848" s="32">
        <f>IF($C848="","",IFERROR(MATCH($C848,'得意先'!$B$5:$B$104,0),"なし"))</f>
        <v/>
      </c>
      <c r="X848" s="33">
        <f>IF($A848="","",IF(ISNUMBER($E848),$E848,IF(ISNUMBER($B848),$B848,"")))</f>
        <v/>
      </c>
      <c r="Y848" s="34">
        <f>IF($T848="","",$O848+ROW()/1000000)</f>
        <v/>
      </c>
      <c r="Z848" s="35">
        <f>IF(OR($A848="",$C848="",$C848&lt;&gt;'売掛帳'!$B$3,NOT(ISNUMBER($X848))),"",IF(AND($X848&gt;='売掛帳'!$Q$3,$X848&lt;='売掛帳'!$Q$4),$X848+ROW()/10000000,""))</f>
        <v/>
      </c>
    </row>
    <row r="849" ht="18" customHeight="1">
      <c r="A849" s="18" t="n"/>
      <c r="B849" s="26" t="n"/>
      <c r="C849" s="18" t="n"/>
      <c r="D849" s="20">
        <f>IF($W849="","",IF($W849="なし","※得意先にないコード",INDEX('得意先'!$C$5:$C$104,$W849)&amp;""))</f>
        <v/>
      </c>
      <c r="E849" s="26" t="n"/>
      <c r="F849" s="19" t="n"/>
      <c r="G849" s="27" t="n"/>
      <c r="H849" s="27" t="n"/>
      <c r="I849" s="27" t="n"/>
      <c r="J849" s="28">
        <f>IF($A849="","",IF('設定'!$B$10="四捨五入",ROUND(IF('設定'!$B$9="税込",N($G849)*10/110,N($G849)*10/100),0),IF('設定'!$B$10="切り上げ",ROUNDUP(IF('設定'!$B$9="税込",N($G849)*10/110,N($G849)*10/100),0),ROUNDDOWN(IF('設定'!$B$9="税込",N($G849)*10/110,N($G849)*10/100),0))))</f>
        <v/>
      </c>
      <c r="K849" s="28">
        <f>IF($A849="","",IF('設定'!$B$10="四捨五入",ROUND(IF('設定'!$B$9="税込",N($H849)*8/108,N($H849)*8/100),0),IF('設定'!$B$10="切り上げ",ROUNDUP(IF('設定'!$B$9="税込",N($H849)*8/108,N($H849)*8/100),0),ROUNDDOWN(IF('設定'!$B$9="税込",N($H849)*8/108,N($H849)*8/100),0))))</f>
        <v/>
      </c>
      <c r="L849" s="28">
        <f>IF($A849="","",N($G849)+N($H849)+N($I849)+IF('設定'!$B$9="税込",0,$J849+$K849))</f>
        <v/>
      </c>
      <c r="M849" s="29">
        <f>IF(OR($A849="",NOT(ISNUMBER($W849)),NOT(ISNUMBER($X849))),"",IF(OR(INDEX('得意先'!$D$5:$D$104,$W849)="",INDEX('得意先'!$E$5:$E$104,$W849)="",INDEX('得意先'!$F$5:$F$104,$W849)=""),"",IF(INDEX('得意先'!$F$5:$F$104,$W849)="末",DATE(YEAR($X849),(MONTH($X849)+IF(INDEX('得意先'!$D$5:$D$104,$W849)="末",0,IF(DAY($X849)&lt;=INDEX('得意先'!$D$5:$D$104,$W849),0,1))+N(INDEX('得意先'!$E$5:$E$104,$W849)))+1,0),DATE(YEAR($X849),(MONTH($X849)+IF(INDEX('得意先'!$D$5:$D$104,$W849)="末",0,IF(DAY($X849)&lt;=INDEX('得意先'!$D$5:$D$104,$W849),0,1))+N(INDEX('得意先'!$E$5:$E$104,$W849))),MIN(INDEX('得意先'!$F$5:$F$104,$W849),DAY(DATE(YEAR($X849),(MONTH($X849)+IF(INDEX('得意先'!$D$5:$D$104,$W849)="末",0,IF(DAY($X849)&lt;=INDEX('得意先'!$D$5:$D$104,$W849),0,1))+N(INDEX('得意先'!$E$5:$E$104,$W849)))+1,0)))))))</f>
        <v/>
      </c>
      <c r="N849" s="26" t="n"/>
      <c r="O849" s="29">
        <f>IF($A849="","",IF(ISNUMBER($N849),$N849,$M849))</f>
        <v/>
      </c>
      <c r="P849" s="28">
        <f>IF($A849="","",SUMIF('入金消込'!$F$5:$F$1004,$A849,'入金消込'!$G$5:$G$1004))</f>
        <v/>
      </c>
      <c r="Q849" s="28">
        <f>IF($A849="","",SUMIF('入金消込'!$F$5:$F$1004,$A849,'入金消込'!$H$5:$H$1004)+SUMIF('入金消込'!$F$5:$F$1004,$A849,'入金消込'!$I$5:$I$1004))</f>
        <v/>
      </c>
      <c r="R849" s="28">
        <f>IF($A849="","",$L849-$P849-$Q849)</f>
        <v/>
      </c>
      <c r="S849" s="30">
        <f>IF($A849="","",IF($R849=0,IF($L849=0,"請求額0","回収済"),IF($L849&lt;0,IF($R849&lt;0,"差し引き待ち","差し引きすぎ"),IF($R849&lt;0,"入金が多い",IF($P849+$Q849=0,"未入金","一部入金")))))</f>
        <v/>
      </c>
      <c r="T849" s="31">
        <f>IF(OR($A849="",N($R849)&lt;=0,NOT(ISNUMBER($O849))),"",IF($O849&lt;'設定'!$B$7,'設定'!$B$7-$O849,""))</f>
        <v/>
      </c>
      <c r="U849" s="30">
        <f>IF(OR($A849="",N($R849)&lt;=0),"",IF(NOT(ISNUMBER($O849)),'設定'!$B$22,IF($O849&gt;='設定'!$B$7,'設定'!$B$17,IF('設定'!$B$7-$O849&lt;='設定'!$B$12,'設定'!$B$18,IF('設定'!$B$7-$O849&lt;='設定'!$B$13,'設定'!$B$19,IF('設定'!$B$7-$O849&lt;='設定'!$B$14,'設定'!$B$20,'設定'!$B$21))))))</f>
        <v/>
      </c>
      <c r="V849" s="56" t="n"/>
      <c r="W849" s="32">
        <f>IF($C849="","",IFERROR(MATCH($C849,'得意先'!$B$5:$B$104,0),"なし"))</f>
        <v/>
      </c>
      <c r="X849" s="33">
        <f>IF($A849="","",IF(ISNUMBER($E849),$E849,IF(ISNUMBER($B849),$B849,"")))</f>
        <v/>
      </c>
      <c r="Y849" s="34">
        <f>IF($T849="","",$O849+ROW()/1000000)</f>
        <v/>
      </c>
      <c r="Z849" s="35">
        <f>IF(OR($A849="",$C849="",$C849&lt;&gt;'売掛帳'!$B$3,NOT(ISNUMBER($X849))),"",IF(AND($X849&gt;='売掛帳'!$Q$3,$X849&lt;='売掛帳'!$Q$4),$X849+ROW()/10000000,""))</f>
        <v/>
      </c>
    </row>
    <row r="850" ht="18" customHeight="1">
      <c r="A850" s="18" t="n"/>
      <c r="B850" s="26" t="n"/>
      <c r="C850" s="18" t="n"/>
      <c r="D850" s="20">
        <f>IF($W850="","",IF($W850="なし","※得意先にないコード",INDEX('得意先'!$C$5:$C$104,$W850)&amp;""))</f>
        <v/>
      </c>
      <c r="E850" s="26" t="n"/>
      <c r="F850" s="19" t="n"/>
      <c r="G850" s="27" t="n"/>
      <c r="H850" s="27" t="n"/>
      <c r="I850" s="27" t="n"/>
      <c r="J850" s="28">
        <f>IF($A850="","",IF('設定'!$B$10="四捨五入",ROUND(IF('設定'!$B$9="税込",N($G850)*10/110,N($G850)*10/100),0),IF('設定'!$B$10="切り上げ",ROUNDUP(IF('設定'!$B$9="税込",N($G850)*10/110,N($G850)*10/100),0),ROUNDDOWN(IF('設定'!$B$9="税込",N($G850)*10/110,N($G850)*10/100),0))))</f>
        <v/>
      </c>
      <c r="K850" s="28">
        <f>IF($A850="","",IF('設定'!$B$10="四捨五入",ROUND(IF('設定'!$B$9="税込",N($H850)*8/108,N($H850)*8/100),0),IF('設定'!$B$10="切り上げ",ROUNDUP(IF('設定'!$B$9="税込",N($H850)*8/108,N($H850)*8/100),0),ROUNDDOWN(IF('設定'!$B$9="税込",N($H850)*8/108,N($H850)*8/100),0))))</f>
        <v/>
      </c>
      <c r="L850" s="28">
        <f>IF($A850="","",N($G850)+N($H850)+N($I850)+IF('設定'!$B$9="税込",0,$J850+$K850))</f>
        <v/>
      </c>
      <c r="M850" s="29">
        <f>IF(OR($A850="",NOT(ISNUMBER($W850)),NOT(ISNUMBER($X850))),"",IF(OR(INDEX('得意先'!$D$5:$D$104,$W850)="",INDEX('得意先'!$E$5:$E$104,$W850)="",INDEX('得意先'!$F$5:$F$104,$W850)=""),"",IF(INDEX('得意先'!$F$5:$F$104,$W850)="末",DATE(YEAR($X850),(MONTH($X850)+IF(INDEX('得意先'!$D$5:$D$104,$W850)="末",0,IF(DAY($X850)&lt;=INDEX('得意先'!$D$5:$D$104,$W850),0,1))+N(INDEX('得意先'!$E$5:$E$104,$W850)))+1,0),DATE(YEAR($X850),(MONTH($X850)+IF(INDEX('得意先'!$D$5:$D$104,$W850)="末",0,IF(DAY($X850)&lt;=INDEX('得意先'!$D$5:$D$104,$W850),0,1))+N(INDEX('得意先'!$E$5:$E$104,$W850))),MIN(INDEX('得意先'!$F$5:$F$104,$W850),DAY(DATE(YEAR($X850),(MONTH($X850)+IF(INDEX('得意先'!$D$5:$D$104,$W850)="末",0,IF(DAY($X850)&lt;=INDEX('得意先'!$D$5:$D$104,$W850),0,1))+N(INDEX('得意先'!$E$5:$E$104,$W850)))+1,0)))))))</f>
        <v/>
      </c>
      <c r="N850" s="26" t="n"/>
      <c r="O850" s="29">
        <f>IF($A850="","",IF(ISNUMBER($N850),$N850,$M850))</f>
        <v/>
      </c>
      <c r="P850" s="28">
        <f>IF($A850="","",SUMIF('入金消込'!$F$5:$F$1004,$A850,'入金消込'!$G$5:$G$1004))</f>
        <v/>
      </c>
      <c r="Q850" s="28">
        <f>IF($A850="","",SUMIF('入金消込'!$F$5:$F$1004,$A850,'入金消込'!$H$5:$H$1004)+SUMIF('入金消込'!$F$5:$F$1004,$A850,'入金消込'!$I$5:$I$1004))</f>
        <v/>
      </c>
      <c r="R850" s="28">
        <f>IF($A850="","",$L850-$P850-$Q850)</f>
        <v/>
      </c>
      <c r="S850" s="30">
        <f>IF($A850="","",IF($R850=0,IF($L850=0,"請求額0","回収済"),IF($L850&lt;0,IF($R850&lt;0,"差し引き待ち","差し引きすぎ"),IF($R850&lt;0,"入金が多い",IF($P850+$Q850=0,"未入金","一部入金")))))</f>
        <v/>
      </c>
      <c r="T850" s="31">
        <f>IF(OR($A850="",N($R850)&lt;=0,NOT(ISNUMBER($O850))),"",IF($O850&lt;'設定'!$B$7,'設定'!$B$7-$O850,""))</f>
        <v/>
      </c>
      <c r="U850" s="30">
        <f>IF(OR($A850="",N($R850)&lt;=0),"",IF(NOT(ISNUMBER($O850)),'設定'!$B$22,IF($O850&gt;='設定'!$B$7,'設定'!$B$17,IF('設定'!$B$7-$O850&lt;='設定'!$B$12,'設定'!$B$18,IF('設定'!$B$7-$O850&lt;='設定'!$B$13,'設定'!$B$19,IF('設定'!$B$7-$O850&lt;='設定'!$B$14,'設定'!$B$20,'設定'!$B$21))))))</f>
        <v/>
      </c>
      <c r="V850" s="56" t="n"/>
      <c r="W850" s="32">
        <f>IF($C850="","",IFERROR(MATCH($C850,'得意先'!$B$5:$B$104,0),"なし"))</f>
        <v/>
      </c>
      <c r="X850" s="33">
        <f>IF($A850="","",IF(ISNUMBER($E850),$E850,IF(ISNUMBER($B850),$B850,"")))</f>
        <v/>
      </c>
      <c r="Y850" s="34">
        <f>IF($T850="","",$O850+ROW()/1000000)</f>
        <v/>
      </c>
      <c r="Z850" s="35">
        <f>IF(OR($A850="",$C850="",$C850&lt;&gt;'売掛帳'!$B$3,NOT(ISNUMBER($X850))),"",IF(AND($X850&gt;='売掛帳'!$Q$3,$X850&lt;='売掛帳'!$Q$4),$X850+ROW()/10000000,""))</f>
        <v/>
      </c>
    </row>
    <row r="851" ht="18" customHeight="1">
      <c r="A851" s="18" t="n"/>
      <c r="B851" s="26" t="n"/>
      <c r="C851" s="18" t="n"/>
      <c r="D851" s="20">
        <f>IF($W851="","",IF($W851="なし","※得意先にないコード",INDEX('得意先'!$C$5:$C$104,$W851)&amp;""))</f>
        <v/>
      </c>
      <c r="E851" s="26" t="n"/>
      <c r="F851" s="19" t="n"/>
      <c r="G851" s="27" t="n"/>
      <c r="H851" s="27" t="n"/>
      <c r="I851" s="27" t="n"/>
      <c r="J851" s="28">
        <f>IF($A851="","",IF('設定'!$B$10="四捨五入",ROUND(IF('設定'!$B$9="税込",N($G851)*10/110,N($G851)*10/100),0),IF('設定'!$B$10="切り上げ",ROUNDUP(IF('設定'!$B$9="税込",N($G851)*10/110,N($G851)*10/100),0),ROUNDDOWN(IF('設定'!$B$9="税込",N($G851)*10/110,N($G851)*10/100),0))))</f>
        <v/>
      </c>
      <c r="K851" s="28">
        <f>IF($A851="","",IF('設定'!$B$10="四捨五入",ROUND(IF('設定'!$B$9="税込",N($H851)*8/108,N($H851)*8/100),0),IF('設定'!$B$10="切り上げ",ROUNDUP(IF('設定'!$B$9="税込",N($H851)*8/108,N($H851)*8/100),0),ROUNDDOWN(IF('設定'!$B$9="税込",N($H851)*8/108,N($H851)*8/100),0))))</f>
        <v/>
      </c>
      <c r="L851" s="28">
        <f>IF($A851="","",N($G851)+N($H851)+N($I851)+IF('設定'!$B$9="税込",0,$J851+$K851))</f>
        <v/>
      </c>
      <c r="M851" s="29">
        <f>IF(OR($A851="",NOT(ISNUMBER($W851)),NOT(ISNUMBER($X851))),"",IF(OR(INDEX('得意先'!$D$5:$D$104,$W851)="",INDEX('得意先'!$E$5:$E$104,$W851)="",INDEX('得意先'!$F$5:$F$104,$W851)=""),"",IF(INDEX('得意先'!$F$5:$F$104,$W851)="末",DATE(YEAR($X851),(MONTH($X851)+IF(INDEX('得意先'!$D$5:$D$104,$W851)="末",0,IF(DAY($X851)&lt;=INDEX('得意先'!$D$5:$D$104,$W851),0,1))+N(INDEX('得意先'!$E$5:$E$104,$W851)))+1,0),DATE(YEAR($X851),(MONTH($X851)+IF(INDEX('得意先'!$D$5:$D$104,$W851)="末",0,IF(DAY($X851)&lt;=INDEX('得意先'!$D$5:$D$104,$W851),0,1))+N(INDEX('得意先'!$E$5:$E$104,$W851))),MIN(INDEX('得意先'!$F$5:$F$104,$W851),DAY(DATE(YEAR($X851),(MONTH($X851)+IF(INDEX('得意先'!$D$5:$D$104,$W851)="末",0,IF(DAY($X851)&lt;=INDEX('得意先'!$D$5:$D$104,$W851),0,1))+N(INDEX('得意先'!$E$5:$E$104,$W851)))+1,0)))))))</f>
        <v/>
      </c>
      <c r="N851" s="26" t="n"/>
      <c r="O851" s="29">
        <f>IF($A851="","",IF(ISNUMBER($N851),$N851,$M851))</f>
        <v/>
      </c>
      <c r="P851" s="28">
        <f>IF($A851="","",SUMIF('入金消込'!$F$5:$F$1004,$A851,'入金消込'!$G$5:$G$1004))</f>
        <v/>
      </c>
      <c r="Q851" s="28">
        <f>IF($A851="","",SUMIF('入金消込'!$F$5:$F$1004,$A851,'入金消込'!$H$5:$H$1004)+SUMIF('入金消込'!$F$5:$F$1004,$A851,'入金消込'!$I$5:$I$1004))</f>
        <v/>
      </c>
      <c r="R851" s="28">
        <f>IF($A851="","",$L851-$P851-$Q851)</f>
        <v/>
      </c>
      <c r="S851" s="30">
        <f>IF($A851="","",IF($R851=0,IF($L851=0,"請求額0","回収済"),IF($L851&lt;0,IF($R851&lt;0,"差し引き待ち","差し引きすぎ"),IF($R851&lt;0,"入金が多い",IF($P851+$Q851=0,"未入金","一部入金")))))</f>
        <v/>
      </c>
      <c r="T851" s="31">
        <f>IF(OR($A851="",N($R851)&lt;=0,NOT(ISNUMBER($O851))),"",IF($O851&lt;'設定'!$B$7,'設定'!$B$7-$O851,""))</f>
        <v/>
      </c>
      <c r="U851" s="30">
        <f>IF(OR($A851="",N($R851)&lt;=0),"",IF(NOT(ISNUMBER($O851)),'設定'!$B$22,IF($O851&gt;='設定'!$B$7,'設定'!$B$17,IF('設定'!$B$7-$O851&lt;='設定'!$B$12,'設定'!$B$18,IF('設定'!$B$7-$O851&lt;='設定'!$B$13,'設定'!$B$19,IF('設定'!$B$7-$O851&lt;='設定'!$B$14,'設定'!$B$20,'設定'!$B$21))))))</f>
        <v/>
      </c>
      <c r="V851" s="56" t="n"/>
      <c r="W851" s="32">
        <f>IF($C851="","",IFERROR(MATCH($C851,'得意先'!$B$5:$B$104,0),"なし"))</f>
        <v/>
      </c>
      <c r="X851" s="33">
        <f>IF($A851="","",IF(ISNUMBER($E851),$E851,IF(ISNUMBER($B851),$B851,"")))</f>
        <v/>
      </c>
      <c r="Y851" s="34">
        <f>IF($T851="","",$O851+ROW()/1000000)</f>
        <v/>
      </c>
      <c r="Z851" s="35">
        <f>IF(OR($A851="",$C851="",$C851&lt;&gt;'売掛帳'!$B$3,NOT(ISNUMBER($X851))),"",IF(AND($X851&gt;='売掛帳'!$Q$3,$X851&lt;='売掛帳'!$Q$4),$X851+ROW()/10000000,""))</f>
        <v/>
      </c>
    </row>
    <row r="852" ht="18" customHeight="1">
      <c r="A852" s="18" t="n"/>
      <c r="B852" s="26" t="n"/>
      <c r="C852" s="18" t="n"/>
      <c r="D852" s="20">
        <f>IF($W852="","",IF($W852="なし","※得意先にないコード",INDEX('得意先'!$C$5:$C$104,$W852)&amp;""))</f>
        <v/>
      </c>
      <c r="E852" s="26" t="n"/>
      <c r="F852" s="19" t="n"/>
      <c r="G852" s="27" t="n"/>
      <c r="H852" s="27" t="n"/>
      <c r="I852" s="27" t="n"/>
      <c r="J852" s="28">
        <f>IF($A852="","",IF('設定'!$B$10="四捨五入",ROUND(IF('設定'!$B$9="税込",N($G852)*10/110,N($G852)*10/100),0),IF('設定'!$B$10="切り上げ",ROUNDUP(IF('設定'!$B$9="税込",N($G852)*10/110,N($G852)*10/100),0),ROUNDDOWN(IF('設定'!$B$9="税込",N($G852)*10/110,N($G852)*10/100),0))))</f>
        <v/>
      </c>
      <c r="K852" s="28">
        <f>IF($A852="","",IF('設定'!$B$10="四捨五入",ROUND(IF('設定'!$B$9="税込",N($H852)*8/108,N($H852)*8/100),0),IF('設定'!$B$10="切り上げ",ROUNDUP(IF('設定'!$B$9="税込",N($H852)*8/108,N($H852)*8/100),0),ROUNDDOWN(IF('設定'!$B$9="税込",N($H852)*8/108,N($H852)*8/100),0))))</f>
        <v/>
      </c>
      <c r="L852" s="28">
        <f>IF($A852="","",N($G852)+N($H852)+N($I852)+IF('設定'!$B$9="税込",0,$J852+$K852))</f>
        <v/>
      </c>
      <c r="M852" s="29">
        <f>IF(OR($A852="",NOT(ISNUMBER($W852)),NOT(ISNUMBER($X852))),"",IF(OR(INDEX('得意先'!$D$5:$D$104,$W852)="",INDEX('得意先'!$E$5:$E$104,$W852)="",INDEX('得意先'!$F$5:$F$104,$W852)=""),"",IF(INDEX('得意先'!$F$5:$F$104,$W852)="末",DATE(YEAR($X852),(MONTH($X852)+IF(INDEX('得意先'!$D$5:$D$104,$W852)="末",0,IF(DAY($X852)&lt;=INDEX('得意先'!$D$5:$D$104,$W852),0,1))+N(INDEX('得意先'!$E$5:$E$104,$W852)))+1,0),DATE(YEAR($X852),(MONTH($X852)+IF(INDEX('得意先'!$D$5:$D$104,$W852)="末",0,IF(DAY($X852)&lt;=INDEX('得意先'!$D$5:$D$104,$W852),0,1))+N(INDEX('得意先'!$E$5:$E$104,$W852))),MIN(INDEX('得意先'!$F$5:$F$104,$W852),DAY(DATE(YEAR($X852),(MONTH($X852)+IF(INDEX('得意先'!$D$5:$D$104,$W852)="末",0,IF(DAY($X852)&lt;=INDEX('得意先'!$D$5:$D$104,$W852),0,1))+N(INDEX('得意先'!$E$5:$E$104,$W852)))+1,0)))))))</f>
        <v/>
      </c>
      <c r="N852" s="26" t="n"/>
      <c r="O852" s="29">
        <f>IF($A852="","",IF(ISNUMBER($N852),$N852,$M852))</f>
        <v/>
      </c>
      <c r="P852" s="28">
        <f>IF($A852="","",SUMIF('入金消込'!$F$5:$F$1004,$A852,'入金消込'!$G$5:$G$1004))</f>
        <v/>
      </c>
      <c r="Q852" s="28">
        <f>IF($A852="","",SUMIF('入金消込'!$F$5:$F$1004,$A852,'入金消込'!$H$5:$H$1004)+SUMIF('入金消込'!$F$5:$F$1004,$A852,'入金消込'!$I$5:$I$1004))</f>
        <v/>
      </c>
      <c r="R852" s="28">
        <f>IF($A852="","",$L852-$P852-$Q852)</f>
        <v/>
      </c>
      <c r="S852" s="30">
        <f>IF($A852="","",IF($R852=0,IF($L852=0,"請求額0","回収済"),IF($L852&lt;0,IF($R852&lt;0,"差し引き待ち","差し引きすぎ"),IF($R852&lt;0,"入金が多い",IF($P852+$Q852=0,"未入金","一部入金")))))</f>
        <v/>
      </c>
      <c r="T852" s="31">
        <f>IF(OR($A852="",N($R852)&lt;=0,NOT(ISNUMBER($O852))),"",IF($O852&lt;'設定'!$B$7,'設定'!$B$7-$O852,""))</f>
        <v/>
      </c>
      <c r="U852" s="30">
        <f>IF(OR($A852="",N($R852)&lt;=0),"",IF(NOT(ISNUMBER($O852)),'設定'!$B$22,IF($O852&gt;='設定'!$B$7,'設定'!$B$17,IF('設定'!$B$7-$O852&lt;='設定'!$B$12,'設定'!$B$18,IF('設定'!$B$7-$O852&lt;='設定'!$B$13,'設定'!$B$19,IF('設定'!$B$7-$O852&lt;='設定'!$B$14,'設定'!$B$20,'設定'!$B$21))))))</f>
        <v/>
      </c>
      <c r="V852" s="56" t="n"/>
      <c r="W852" s="32">
        <f>IF($C852="","",IFERROR(MATCH($C852,'得意先'!$B$5:$B$104,0),"なし"))</f>
        <v/>
      </c>
      <c r="X852" s="33">
        <f>IF($A852="","",IF(ISNUMBER($E852),$E852,IF(ISNUMBER($B852),$B852,"")))</f>
        <v/>
      </c>
      <c r="Y852" s="34">
        <f>IF($T852="","",$O852+ROW()/1000000)</f>
        <v/>
      </c>
      <c r="Z852" s="35">
        <f>IF(OR($A852="",$C852="",$C852&lt;&gt;'売掛帳'!$B$3,NOT(ISNUMBER($X852))),"",IF(AND($X852&gt;='売掛帳'!$Q$3,$X852&lt;='売掛帳'!$Q$4),$X852+ROW()/10000000,""))</f>
        <v/>
      </c>
    </row>
    <row r="853" ht="18" customHeight="1">
      <c r="A853" s="18" t="n"/>
      <c r="B853" s="26" t="n"/>
      <c r="C853" s="18" t="n"/>
      <c r="D853" s="20">
        <f>IF($W853="","",IF($W853="なし","※得意先にないコード",INDEX('得意先'!$C$5:$C$104,$W853)&amp;""))</f>
        <v/>
      </c>
      <c r="E853" s="26" t="n"/>
      <c r="F853" s="19" t="n"/>
      <c r="G853" s="27" t="n"/>
      <c r="H853" s="27" t="n"/>
      <c r="I853" s="27" t="n"/>
      <c r="J853" s="28">
        <f>IF($A853="","",IF('設定'!$B$10="四捨五入",ROUND(IF('設定'!$B$9="税込",N($G853)*10/110,N($G853)*10/100),0),IF('設定'!$B$10="切り上げ",ROUNDUP(IF('設定'!$B$9="税込",N($G853)*10/110,N($G853)*10/100),0),ROUNDDOWN(IF('設定'!$B$9="税込",N($G853)*10/110,N($G853)*10/100),0))))</f>
        <v/>
      </c>
      <c r="K853" s="28">
        <f>IF($A853="","",IF('設定'!$B$10="四捨五入",ROUND(IF('設定'!$B$9="税込",N($H853)*8/108,N($H853)*8/100),0),IF('設定'!$B$10="切り上げ",ROUNDUP(IF('設定'!$B$9="税込",N($H853)*8/108,N($H853)*8/100),0),ROUNDDOWN(IF('設定'!$B$9="税込",N($H853)*8/108,N($H853)*8/100),0))))</f>
        <v/>
      </c>
      <c r="L853" s="28">
        <f>IF($A853="","",N($G853)+N($H853)+N($I853)+IF('設定'!$B$9="税込",0,$J853+$K853))</f>
        <v/>
      </c>
      <c r="M853" s="29">
        <f>IF(OR($A853="",NOT(ISNUMBER($W853)),NOT(ISNUMBER($X853))),"",IF(OR(INDEX('得意先'!$D$5:$D$104,$W853)="",INDEX('得意先'!$E$5:$E$104,$W853)="",INDEX('得意先'!$F$5:$F$104,$W853)=""),"",IF(INDEX('得意先'!$F$5:$F$104,$W853)="末",DATE(YEAR($X853),(MONTH($X853)+IF(INDEX('得意先'!$D$5:$D$104,$W853)="末",0,IF(DAY($X853)&lt;=INDEX('得意先'!$D$5:$D$104,$W853),0,1))+N(INDEX('得意先'!$E$5:$E$104,$W853)))+1,0),DATE(YEAR($X853),(MONTH($X853)+IF(INDEX('得意先'!$D$5:$D$104,$W853)="末",0,IF(DAY($X853)&lt;=INDEX('得意先'!$D$5:$D$104,$W853),0,1))+N(INDEX('得意先'!$E$5:$E$104,$W853))),MIN(INDEX('得意先'!$F$5:$F$104,$W853),DAY(DATE(YEAR($X853),(MONTH($X853)+IF(INDEX('得意先'!$D$5:$D$104,$W853)="末",0,IF(DAY($X853)&lt;=INDEX('得意先'!$D$5:$D$104,$W853),0,1))+N(INDEX('得意先'!$E$5:$E$104,$W853)))+1,0)))))))</f>
        <v/>
      </c>
      <c r="N853" s="26" t="n"/>
      <c r="O853" s="29">
        <f>IF($A853="","",IF(ISNUMBER($N853),$N853,$M853))</f>
        <v/>
      </c>
      <c r="P853" s="28">
        <f>IF($A853="","",SUMIF('入金消込'!$F$5:$F$1004,$A853,'入金消込'!$G$5:$G$1004))</f>
        <v/>
      </c>
      <c r="Q853" s="28">
        <f>IF($A853="","",SUMIF('入金消込'!$F$5:$F$1004,$A853,'入金消込'!$H$5:$H$1004)+SUMIF('入金消込'!$F$5:$F$1004,$A853,'入金消込'!$I$5:$I$1004))</f>
        <v/>
      </c>
      <c r="R853" s="28">
        <f>IF($A853="","",$L853-$P853-$Q853)</f>
        <v/>
      </c>
      <c r="S853" s="30">
        <f>IF($A853="","",IF($R853=0,IF($L853=0,"請求額0","回収済"),IF($L853&lt;0,IF($R853&lt;0,"差し引き待ち","差し引きすぎ"),IF($R853&lt;0,"入金が多い",IF($P853+$Q853=0,"未入金","一部入金")))))</f>
        <v/>
      </c>
      <c r="T853" s="31">
        <f>IF(OR($A853="",N($R853)&lt;=0,NOT(ISNUMBER($O853))),"",IF($O853&lt;'設定'!$B$7,'設定'!$B$7-$O853,""))</f>
        <v/>
      </c>
      <c r="U853" s="30">
        <f>IF(OR($A853="",N($R853)&lt;=0),"",IF(NOT(ISNUMBER($O853)),'設定'!$B$22,IF($O853&gt;='設定'!$B$7,'設定'!$B$17,IF('設定'!$B$7-$O853&lt;='設定'!$B$12,'設定'!$B$18,IF('設定'!$B$7-$O853&lt;='設定'!$B$13,'設定'!$B$19,IF('設定'!$B$7-$O853&lt;='設定'!$B$14,'設定'!$B$20,'設定'!$B$21))))))</f>
        <v/>
      </c>
      <c r="V853" s="56" t="n"/>
      <c r="W853" s="32">
        <f>IF($C853="","",IFERROR(MATCH($C853,'得意先'!$B$5:$B$104,0),"なし"))</f>
        <v/>
      </c>
      <c r="X853" s="33">
        <f>IF($A853="","",IF(ISNUMBER($E853),$E853,IF(ISNUMBER($B853),$B853,"")))</f>
        <v/>
      </c>
      <c r="Y853" s="34">
        <f>IF($T853="","",$O853+ROW()/1000000)</f>
        <v/>
      </c>
      <c r="Z853" s="35">
        <f>IF(OR($A853="",$C853="",$C853&lt;&gt;'売掛帳'!$B$3,NOT(ISNUMBER($X853))),"",IF(AND($X853&gt;='売掛帳'!$Q$3,$X853&lt;='売掛帳'!$Q$4),$X853+ROW()/10000000,""))</f>
        <v/>
      </c>
    </row>
    <row r="854" ht="18" customHeight="1">
      <c r="A854" s="18" t="n"/>
      <c r="B854" s="26" t="n"/>
      <c r="C854" s="18" t="n"/>
      <c r="D854" s="20">
        <f>IF($W854="","",IF($W854="なし","※得意先にないコード",INDEX('得意先'!$C$5:$C$104,$W854)&amp;""))</f>
        <v/>
      </c>
      <c r="E854" s="26" t="n"/>
      <c r="F854" s="19" t="n"/>
      <c r="G854" s="27" t="n"/>
      <c r="H854" s="27" t="n"/>
      <c r="I854" s="27" t="n"/>
      <c r="J854" s="28">
        <f>IF($A854="","",IF('設定'!$B$10="四捨五入",ROUND(IF('設定'!$B$9="税込",N($G854)*10/110,N($G854)*10/100),0),IF('設定'!$B$10="切り上げ",ROUNDUP(IF('設定'!$B$9="税込",N($G854)*10/110,N($G854)*10/100),0),ROUNDDOWN(IF('設定'!$B$9="税込",N($G854)*10/110,N($G854)*10/100),0))))</f>
        <v/>
      </c>
      <c r="K854" s="28">
        <f>IF($A854="","",IF('設定'!$B$10="四捨五入",ROUND(IF('設定'!$B$9="税込",N($H854)*8/108,N($H854)*8/100),0),IF('設定'!$B$10="切り上げ",ROUNDUP(IF('設定'!$B$9="税込",N($H854)*8/108,N($H854)*8/100),0),ROUNDDOWN(IF('設定'!$B$9="税込",N($H854)*8/108,N($H854)*8/100),0))))</f>
        <v/>
      </c>
      <c r="L854" s="28">
        <f>IF($A854="","",N($G854)+N($H854)+N($I854)+IF('設定'!$B$9="税込",0,$J854+$K854))</f>
        <v/>
      </c>
      <c r="M854" s="29">
        <f>IF(OR($A854="",NOT(ISNUMBER($W854)),NOT(ISNUMBER($X854))),"",IF(OR(INDEX('得意先'!$D$5:$D$104,$W854)="",INDEX('得意先'!$E$5:$E$104,$W854)="",INDEX('得意先'!$F$5:$F$104,$W854)=""),"",IF(INDEX('得意先'!$F$5:$F$104,$W854)="末",DATE(YEAR($X854),(MONTH($X854)+IF(INDEX('得意先'!$D$5:$D$104,$W854)="末",0,IF(DAY($X854)&lt;=INDEX('得意先'!$D$5:$D$104,$W854),0,1))+N(INDEX('得意先'!$E$5:$E$104,$W854)))+1,0),DATE(YEAR($X854),(MONTH($X854)+IF(INDEX('得意先'!$D$5:$D$104,$W854)="末",0,IF(DAY($X854)&lt;=INDEX('得意先'!$D$5:$D$104,$W854),0,1))+N(INDEX('得意先'!$E$5:$E$104,$W854))),MIN(INDEX('得意先'!$F$5:$F$104,$W854),DAY(DATE(YEAR($X854),(MONTH($X854)+IF(INDEX('得意先'!$D$5:$D$104,$W854)="末",0,IF(DAY($X854)&lt;=INDEX('得意先'!$D$5:$D$104,$W854),0,1))+N(INDEX('得意先'!$E$5:$E$104,$W854)))+1,0)))))))</f>
        <v/>
      </c>
      <c r="N854" s="26" t="n"/>
      <c r="O854" s="29">
        <f>IF($A854="","",IF(ISNUMBER($N854),$N854,$M854))</f>
        <v/>
      </c>
      <c r="P854" s="28">
        <f>IF($A854="","",SUMIF('入金消込'!$F$5:$F$1004,$A854,'入金消込'!$G$5:$G$1004))</f>
        <v/>
      </c>
      <c r="Q854" s="28">
        <f>IF($A854="","",SUMIF('入金消込'!$F$5:$F$1004,$A854,'入金消込'!$H$5:$H$1004)+SUMIF('入金消込'!$F$5:$F$1004,$A854,'入金消込'!$I$5:$I$1004))</f>
        <v/>
      </c>
      <c r="R854" s="28">
        <f>IF($A854="","",$L854-$P854-$Q854)</f>
        <v/>
      </c>
      <c r="S854" s="30">
        <f>IF($A854="","",IF($R854=0,IF($L854=0,"請求額0","回収済"),IF($L854&lt;0,IF($R854&lt;0,"差し引き待ち","差し引きすぎ"),IF($R854&lt;0,"入金が多い",IF($P854+$Q854=0,"未入金","一部入金")))))</f>
        <v/>
      </c>
      <c r="T854" s="31">
        <f>IF(OR($A854="",N($R854)&lt;=0,NOT(ISNUMBER($O854))),"",IF($O854&lt;'設定'!$B$7,'設定'!$B$7-$O854,""))</f>
        <v/>
      </c>
      <c r="U854" s="30">
        <f>IF(OR($A854="",N($R854)&lt;=0),"",IF(NOT(ISNUMBER($O854)),'設定'!$B$22,IF($O854&gt;='設定'!$B$7,'設定'!$B$17,IF('設定'!$B$7-$O854&lt;='設定'!$B$12,'設定'!$B$18,IF('設定'!$B$7-$O854&lt;='設定'!$B$13,'設定'!$B$19,IF('設定'!$B$7-$O854&lt;='設定'!$B$14,'設定'!$B$20,'設定'!$B$21))))))</f>
        <v/>
      </c>
      <c r="V854" s="56" t="n"/>
      <c r="W854" s="32">
        <f>IF($C854="","",IFERROR(MATCH($C854,'得意先'!$B$5:$B$104,0),"なし"))</f>
        <v/>
      </c>
      <c r="X854" s="33">
        <f>IF($A854="","",IF(ISNUMBER($E854),$E854,IF(ISNUMBER($B854),$B854,"")))</f>
        <v/>
      </c>
      <c r="Y854" s="34">
        <f>IF($T854="","",$O854+ROW()/1000000)</f>
        <v/>
      </c>
      <c r="Z854" s="35">
        <f>IF(OR($A854="",$C854="",$C854&lt;&gt;'売掛帳'!$B$3,NOT(ISNUMBER($X854))),"",IF(AND($X854&gt;='売掛帳'!$Q$3,$X854&lt;='売掛帳'!$Q$4),$X854+ROW()/10000000,""))</f>
        <v/>
      </c>
    </row>
    <row r="855" ht="18" customHeight="1">
      <c r="A855" s="18" t="n"/>
      <c r="B855" s="26" t="n"/>
      <c r="C855" s="18" t="n"/>
      <c r="D855" s="20">
        <f>IF($W855="","",IF($W855="なし","※得意先にないコード",INDEX('得意先'!$C$5:$C$104,$W855)&amp;""))</f>
        <v/>
      </c>
      <c r="E855" s="26" t="n"/>
      <c r="F855" s="19" t="n"/>
      <c r="G855" s="27" t="n"/>
      <c r="H855" s="27" t="n"/>
      <c r="I855" s="27" t="n"/>
      <c r="J855" s="28">
        <f>IF($A855="","",IF('設定'!$B$10="四捨五入",ROUND(IF('設定'!$B$9="税込",N($G855)*10/110,N($G855)*10/100),0),IF('設定'!$B$10="切り上げ",ROUNDUP(IF('設定'!$B$9="税込",N($G855)*10/110,N($G855)*10/100),0),ROUNDDOWN(IF('設定'!$B$9="税込",N($G855)*10/110,N($G855)*10/100),0))))</f>
        <v/>
      </c>
      <c r="K855" s="28">
        <f>IF($A855="","",IF('設定'!$B$10="四捨五入",ROUND(IF('設定'!$B$9="税込",N($H855)*8/108,N($H855)*8/100),0),IF('設定'!$B$10="切り上げ",ROUNDUP(IF('設定'!$B$9="税込",N($H855)*8/108,N($H855)*8/100),0),ROUNDDOWN(IF('設定'!$B$9="税込",N($H855)*8/108,N($H855)*8/100),0))))</f>
        <v/>
      </c>
      <c r="L855" s="28">
        <f>IF($A855="","",N($G855)+N($H855)+N($I855)+IF('設定'!$B$9="税込",0,$J855+$K855))</f>
        <v/>
      </c>
      <c r="M855" s="29">
        <f>IF(OR($A855="",NOT(ISNUMBER($W855)),NOT(ISNUMBER($X855))),"",IF(OR(INDEX('得意先'!$D$5:$D$104,$W855)="",INDEX('得意先'!$E$5:$E$104,$W855)="",INDEX('得意先'!$F$5:$F$104,$W855)=""),"",IF(INDEX('得意先'!$F$5:$F$104,$W855)="末",DATE(YEAR($X855),(MONTH($X855)+IF(INDEX('得意先'!$D$5:$D$104,$W855)="末",0,IF(DAY($X855)&lt;=INDEX('得意先'!$D$5:$D$104,$W855),0,1))+N(INDEX('得意先'!$E$5:$E$104,$W855)))+1,0),DATE(YEAR($X855),(MONTH($X855)+IF(INDEX('得意先'!$D$5:$D$104,$W855)="末",0,IF(DAY($X855)&lt;=INDEX('得意先'!$D$5:$D$104,$W855),0,1))+N(INDEX('得意先'!$E$5:$E$104,$W855))),MIN(INDEX('得意先'!$F$5:$F$104,$W855),DAY(DATE(YEAR($X855),(MONTH($X855)+IF(INDEX('得意先'!$D$5:$D$104,$W855)="末",0,IF(DAY($X855)&lt;=INDEX('得意先'!$D$5:$D$104,$W855),0,1))+N(INDEX('得意先'!$E$5:$E$104,$W855)))+1,0)))))))</f>
        <v/>
      </c>
      <c r="N855" s="26" t="n"/>
      <c r="O855" s="29">
        <f>IF($A855="","",IF(ISNUMBER($N855),$N855,$M855))</f>
        <v/>
      </c>
      <c r="P855" s="28">
        <f>IF($A855="","",SUMIF('入金消込'!$F$5:$F$1004,$A855,'入金消込'!$G$5:$G$1004))</f>
        <v/>
      </c>
      <c r="Q855" s="28">
        <f>IF($A855="","",SUMIF('入金消込'!$F$5:$F$1004,$A855,'入金消込'!$H$5:$H$1004)+SUMIF('入金消込'!$F$5:$F$1004,$A855,'入金消込'!$I$5:$I$1004))</f>
        <v/>
      </c>
      <c r="R855" s="28">
        <f>IF($A855="","",$L855-$P855-$Q855)</f>
        <v/>
      </c>
      <c r="S855" s="30">
        <f>IF($A855="","",IF($R855=0,IF($L855=0,"請求額0","回収済"),IF($L855&lt;0,IF($R855&lt;0,"差し引き待ち","差し引きすぎ"),IF($R855&lt;0,"入金が多い",IF($P855+$Q855=0,"未入金","一部入金")))))</f>
        <v/>
      </c>
      <c r="T855" s="31">
        <f>IF(OR($A855="",N($R855)&lt;=0,NOT(ISNUMBER($O855))),"",IF($O855&lt;'設定'!$B$7,'設定'!$B$7-$O855,""))</f>
        <v/>
      </c>
      <c r="U855" s="30">
        <f>IF(OR($A855="",N($R855)&lt;=0),"",IF(NOT(ISNUMBER($O855)),'設定'!$B$22,IF($O855&gt;='設定'!$B$7,'設定'!$B$17,IF('設定'!$B$7-$O855&lt;='設定'!$B$12,'設定'!$B$18,IF('設定'!$B$7-$O855&lt;='設定'!$B$13,'設定'!$B$19,IF('設定'!$B$7-$O855&lt;='設定'!$B$14,'設定'!$B$20,'設定'!$B$21))))))</f>
        <v/>
      </c>
      <c r="V855" s="56" t="n"/>
      <c r="W855" s="32">
        <f>IF($C855="","",IFERROR(MATCH($C855,'得意先'!$B$5:$B$104,0),"なし"))</f>
        <v/>
      </c>
      <c r="X855" s="33">
        <f>IF($A855="","",IF(ISNUMBER($E855),$E855,IF(ISNUMBER($B855),$B855,"")))</f>
        <v/>
      </c>
      <c r="Y855" s="34">
        <f>IF($T855="","",$O855+ROW()/1000000)</f>
        <v/>
      </c>
      <c r="Z855" s="35">
        <f>IF(OR($A855="",$C855="",$C855&lt;&gt;'売掛帳'!$B$3,NOT(ISNUMBER($X855))),"",IF(AND($X855&gt;='売掛帳'!$Q$3,$X855&lt;='売掛帳'!$Q$4),$X855+ROW()/10000000,""))</f>
        <v/>
      </c>
    </row>
    <row r="856" ht="18" customHeight="1">
      <c r="A856" s="18" t="n"/>
      <c r="B856" s="26" t="n"/>
      <c r="C856" s="18" t="n"/>
      <c r="D856" s="20">
        <f>IF($W856="","",IF($W856="なし","※得意先にないコード",INDEX('得意先'!$C$5:$C$104,$W856)&amp;""))</f>
        <v/>
      </c>
      <c r="E856" s="26" t="n"/>
      <c r="F856" s="19" t="n"/>
      <c r="G856" s="27" t="n"/>
      <c r="H856" s="27" t="n"/>
      <c r="I856" s="27" t="n"/>
      <c r="J856" s="28">
        <f>IF($A856="","",IF('設定'!$B$10="四捨五入",ROUND(IF('設定'!$B$9="税込",N($G856)*10/110,N($G856)*10/100),0),IF('設定'!$B$10="切り上げ",ROUNDUP(IF('設定'!$B$9="税込",N($G856)*10/110,N($G856)*10/100),0),ROUNDDOWN(IF('設定'!$B$9="税込",N($G856)*10/110,N($G856)*10/100),0))))</f>
        <v/>
      </c>
      <c r="K856" s="28">
        <f>IF($A856="","",IF('設定'!$B$10="四捨五入",ROUND(IF('設定'!$B$9="税込",N($H856)*8/108,N($H856)*8/100),0),IF('設定'!$B$10="切り上げ",ROUNDUP(IF('設定'!$B$9="税込",N($H856)*8/108,N($H856)*8/100),0),ROUNDDOWN(IF('設定'!$B$9="税込",N($H856)*8/108,N($H856)*8/100),0))))</f>
        <v/>
      </c>
      <c r="L856" s="28">
        <f>IF($A856="","",N($G856)+N($H856)+N($I856)+IF('設定'!$B$9="税込",0,$J856+$K856))</f>
        <v/>
      </c>
      <c r="M856" s="29">
        <f>IF(OR($A856="",NOT(ISNUMBER($W856)),NOT(ISNUMBER($X856))),"",IF(OR(INDEX('得意先'!$D$5:$D$104,$W856)="",INDEX('得意先'!$E$5:$E$104,$W856)="",INDEX('得意先'!$F$5:$F$104,$W856)=""),"",IF(INDEX('得意先'!$F$5:$F$104,$W856)="末",DATE(YEAR($X856),(MONTH($X856)+IF(INDEX('得意先'!$D$5:$D$104,$W856)="末",0,IF(DAY($X856)&lt;=INDEX('得意先'!$D$5:$D$104,$W856),0,1))+N(INDEX('得意先'!$E$5:$E$104,$W856)))+1,0),DATE(YEAR($X856),(MONTH($X856)+IF(INDEX('得意先'!$D$5:$D$104,$W856)="末",0,IF(DAY($X856)&lt;=INDEX('得意先'!$D$5:$D$104,$W856),0,1))+N(INDEX('得意先'!$E$5:$E$104,$W856))),MIN(INDEX('得意先'!$F$5:$F$104,$W856),DAY(DATE(YEAR($X856),(MONTH($X856)+IF(INDEX('得意先'!$D$5:$D$104,$W856)="末",0,IF(DAY($X856)&lt;=INDEX('得意先'!$D$5:$D$104,$W856),0,1))+N(INDEX('得意先'!$E$5:$E$104,$W856)))+1,0)))))))</f>
        <v/>
      </c>
      <c r="N856" s="26" t="n"/>
      <c r="O856" s="29">
        <f>IF($A856="","",IF(ISNUMBER($N856),$N856,$M856))</f>
        <v/>
      </c>
      <c r="P856" s="28">
        <f>IF($A856="","",SUMIF('入金消込'!$F$5:$F$1004,$A856,'入金消込'!$G$5:$G$1004))</f>
        <v/>
      </c>
      <c r="Q856" s="28">
        <f>IF($A856="","",SUMIF('入金消込'!$F$5:$F$1004,$A856,'入金消込'!$H$5:$H$1004)+SUMIF('入金消込'!$F$5:$F$1004,$A856,'入金消込'!$I$5:$I$1004))</f>
        <v/>
      </c>
      <c r="R856" s="28">
        <f>IF($A856="","",$L856-$P856-$Q856)</f>
        <v/>
      </c>
      <c r="S856" s="30">
        <f>IF($A856="","",IF($R856=0,IF($L856=0,"請求額0","回収済"),IF($L856&lt;0,IF($R856&lt;0,"差し引き待ち","差し引きすぎ"),IF($R856&lt;0,"入金が多い",IF($P856+$Q856=0,"未入金","一部入金")))))</f>
        <v/>
      </c>
      <c r="T856" s="31">
        <f>IF(OR($A856="",N($R856)&lt;=0,NOT(ISNUMBER($O856))),"",IF($O856&lt;'設定'!$B$7,'設定'!$B$7-$O856,""))</f>
        <v/>
      </c>
      <c r="U856" s="30">
        <f>IF(OR($A856="",N($R856)&lt;=0),"",IF(NOT(ISNUMBER($O856)),'設定'!$B$22,IF($O856&gt;='設定'!$B$7,'設定'!$B$17,IF('設定'!$B$7-$O856&lt;='設定'!$B$12,'設定'!$B$18,IF('設定'!$B$7-$O856&lt;='設定'!$B$13,'設定'!$B$19,IF('設定'!$B$7-$O856&lt;='設定'!$B$14,'設定'!$B$20,'設定'!$B$21))))))</f>
        <v/>
      </c>
      <c r="V856" s="56" t="n"/>
      <c r="W856" s="32">
        <f>IF($C856="","",IFERROR(MATCH($C856,'得意先'!$B$5:$B$104,0),"なし"))</f>
        <v/>
      </c>
      <c r="X856" s="33">
        <f>IF($A856="","",IF(ISNUMBER($E856),$E856,IF(ISNUMBER($B856),$B856,"")))</f>
        <v/>
      </c>
      <c r="Y856" s="34">
        <f>IF($T856="","",$O856+ROW()/1000000)</f>
        <v/>
      </c>
      <c r="Z856" s="35">
        <f>IF(OR($A856="",$C856="",$C856&lt;&gt;'売掛帳'!$B$3,NOT(ISNUMBER($X856))),"",IF(AND($X856&gt;='売掛帳'!$Q$3,$X856&lt;='売掛帳'!$Q$4),$X856+ROW()/10000000,""))</f>
        <v/>
      </c>
    </row>
    <row r="857" ht="18" customHeight="1">
      <c r="A857" s="18" t="n"/>
      <c r="B857" s="26" t="n"/>
      <c r="C857" s="18" t="n"/>
      <c r="D857" s="20">
        <f>IF($W857="","",IF($W857="なし","※得意先にないコード",INDEX('得意先'!$C$5:$C$104,$W857)&amp;""))</f>
        <v/>
      </c>
      <c r="E857" s="26" t="n"/>
      <c r="F857" s="19" t="n"/>
      <c r="G857" s="27" t="n"/>
      <c r="H857" s="27" t="n"/>
      <c r="I857" s="27" t="n"/>
      <c r="J857" s="28">
        <f>IF($A857="","",IF('設定'!$B$10="四捨五入",ROUND(IF('設定'!$B$9="税込",N($G857)*10/110,N($G857)*10/100),0),IF('設定'!$B$10="切り上げ",ROUNDUP(IF('設定'!$B$9="税込",N($G857)*10/110,N($G857)*10/100),0),ROUNDDOWN(IF('設定'!$B$9="税込",N($G857)*10/110,N($G857)*10/100),0))))</f>
        <v/>
      </c>
      <c r="K857" s="28">
        <f>IF($A857="","",IF('設定'!$B$10="四捨五入",ROUND(IF('設定'!$B$9="税込",N($H857)*8/108,N($H857)*8/100),0),IF('設定'!$B$10="切り上げ",ROUNDUP(IF('設定'!$B$9="税込",N($H857)*8/108,N($H857)*8/100),0),ROUNDDOWN(IF('設定'!$B$9="税込",N($H857)*8/108,N($H857)*8/100),0))))</f>
        <v/>
      </c>
      <c r="L857" s="28">
        <f>IF($A857="","",N($G857)+N($H857)+N($I857)+IF('設定'!$B$9="税込",0,$J857+$K857))</f>
        <v/>
      </c>
      <c r="M857" s="29">
        <f>IF(OR($A857="",NOT(ISNUMBER($W857)),NOT(ISNUMBER($X857))),"",IF(OR(INDEX('得意先'!$D$5:$D$104,$W857)="",INDEX('得意先'!$E$5:$E$104,$W857)="",INDEX('得意先'!$F$5:$F$104,$W857)=""),"",IF(INDEX('得意先'!$F$5:$F$104,$W857)="末",DATE(YEAR($X857),(MONTH($X857)+IF(INDEX('得意先'!$D$5:$D$104,$W857)="末",0,IF(DAY($X857)&lt;=INDEX('得意先'!$D$5:$D$104,$W857),0,1))+N(INDEX('得意先'!$E$5:$E$104,$W857)))+1,0),DATE(YEAR($X857),(MONTH($X857)+IF(INDEX('得意先'!$D$5:$D$104,$W857)="末",0,IF(DAY($X857)&lt;=INDEX('得意先'!$D$5:$D$104,$W857),0,1))+N(INDEX('得意先'!$E$5:$E$104,$W857))),MIN(INDEX('得意先'!$F$5:$F$104,$W857),DAY(DATE(YEAR($X857),(MONTH($X857)+IF(INDEX('得意先'!$D$5:$D$104,$W857)="末",0,IF(DAY($X857)&lt;=INDEX('得意先'!$D$5:$D$104,$W857),0,1))+N(INDEX('得意先'!$E$5:$E$104,$W857)))+1,0)))))))</f>
        <v/>
      </c>
      <c r="N857" s="26" t="n"/>
      <c r="O857" s="29">
        <f>IF($A857="","",IF(ISNUMBER($N857),$N857,$M857))</f>
        <v/>
      </c>
      <c r="P857" s="28">
        <f>IF($A857="","",SUMIF('入金消込'!$F$5:$F$1004,$A857,'入金消込'!$G$5:$G$1004))</f>
        <v/>
      </c>
      <c r="Q857" s="28">
        <f>IF($A857="","",SUMIF('入金消込'!$F$5:$F$1004,$A857,'入金消込'!$H$5:$H$1004)+SUMIF('入金消込'!$F$5:$F$1004,$A857,'入金消込'!$I$5:$I$1004))</f>
        <v/>
      </c>
      <c r="R857" s="28">
        <f>IF($A857="","",$L857-$P857-$Q857)</f>
        <v/>
      </c>
      <c r="S857" s="30">
        <f>IF($A857="","",IF($R857=0,IF($L857=0,"請求額0","回収済"),IF($L857&lt;0,IF($R857&lt;0,"差し引き待ち","差し引きすぎ"),IF($R857&lt;0,"入金が多い",IF($P857+$Q857=0,"未入金","一部入金")))))</f>
        <v/>
      </c>
      <c r="T857" s="31">
        <f>IF(OR($A857="",N($R857)&lt;=0,NOT(ISNUMBER($O857))),"",IF($O857&lt;'設定'!$B$7,'設定'!$B$7-$O857,""))</f>
        <v/>
      </c>
      <c r="U857" s="30">
        <f>IF(OR($A857="",N($R857)&lt;=0),"",IF(NOT(ISNUMBER($O857)),'設定'!$B$22,IF($O857&gt;='設定'!$B$7,'設定'!$B$17,IF('設定'!$B$7-$O857&lt;='設定'!$B$12,'設定'!$B$18,IF('設定'!$B$7-$O857&lt;='設定'!$B$13,'設定'!$B$19,IF('設定'!$B$7-$O857&lt;='設定'!$B$14,'設定'!$B$20,'設定'!$B$21))))))</f>
        <v/>
      </c>
      <c r="V857" s="56" t="n"/>
      <c r="W857" s="32">
        <f>IF($C857="","",IFERROR(MATCH($C857,'得意先'!$B$5:$B$104,0),"なし"))</f>
        <v/>
      </c>
      <c r="X857" s="33">
        <f>IF($A857="","",IF(ISNUMBER($E857),$E857,IF(ISNUMBER($B857),$B857,"")))</f>
        <v/>
      </c>
      <c r="Y857" s="34">
        <f>IF($T857="","",$O857+ROW()/1000000)</f>
        <v/>
      </c>
      <c r="Z857" s="35">
        <f>IF(OR($A857="",$C857="",$C857&lt;&gt;'売掛帳'!$B$3,NOT(ISNUMBER($X857))),"",IF(AND($X857&gt;='売掛帳'!$Q$3,$X857&lt;='売掛帳'!$Q$4),$X857+ROW()/10000000,""))</f>
        <v/>
      </c>
    </row>
    <row r="858" ht="18" customHeight="1">
      <c r="A858" s="18" t="n"/>
      <c r="B858" s="26" t="n"/>
      <c r="C858" s="18" t="n"/>
      <c r="D858" s="20">
        <f>IF($W858="","",IF($W858="なし","※得意先にないコード",INDEX('得意先'!$C$5:$C$104,$W858)&amp;""))</f>
        <v/>
      </c>
      <c r="E858" s="26" t="n"/>
      <c r="F858" s="19" t="n"/>
      <c r="G858" s="27" t="n"/>
      <c r="H858" s="27" t="n"/>
      <c r="I858" s="27" t="n"/>
      <c r="J858" s="28">
        <f>IF($A858="","",IF('設定'!$B$10="四捨五入",ROUND(IF('設定'!$B$9="税込",N($G858)*10/110,N($G858)*10/100),0),IF('設定'!$B$10="切り上げ",ROUNDUP(IF('設定'!$B$9="税込",N($G858)*10/110,N($G858)*10/100),0),ROUNDDOWN(IF('設定'!$B$9="税込",N($G858)*10/110,N($G858)*10/100),0))))</f>
        <v/>
      </c>
      <c r="K858" s="28">
        <f>IF($A858="","",IF('設定'!$B$10="四捨五入",ROUND(IF('設定'!$B$9="税込",N($H858)*8/108,N($H858)*8/100),0),IF('設定'!$B$10="切り上げ",ROUNDUP(IF('設定'!$B$9="税込",N($H858)*8/108,N($H858)*8/100),0),ROUNDDOWN(IF('設定'!$B$9="税込",N($H858)*8/108,N($H858)*8/100),0))))</f>
        <v/>
      </c>
      <c r="L858" s="28">
        <f>IF($A858="","",N($G858)+N($H858)+N($I858)+IF('設定'!$B$9="税込",0,$J858+$K858))</f>
        <v/>
      </c>
      <c r="M858" s="29">
        <f>IF(OR($A858="",NOT(ISNUMBER($W858)),NOT(ISNUMBER($X858))),"",IF(OR(INDEX('得意先'!$D$5:$D$104,$W858)="",INDEX('得意先'!$E$5:$E$104,$W858)="",INDEX('得意先'!$F$5:$F$104,$W858)=""),"",IF(INDEX('得意先'!$F$5:$F$104,$W858)="末",DATE(YEAR($X858),(MONTH($X858)+IF(INDEX('得意先'!$D$5:$D$104,$W858)="末",0,IF(DAY($X858)&lt;=INDEX('得意先'!$D$5:$D$104,$W858),0,1))+N(INDEX('得意先'!$E$5:$E$104,$W858)))+1,0),DATE(YEAR($X858),(MONTH($X858)+IF(INDEX('得意先'!$D$5:$D$104,$W858)="末",0,IF(DAY($X858)&lt;=INDEX('得意先'!$D$5:$D$104,$W858),0,1))+N(INDEX('得意先'!$E$5:$E$104,$W858))),MIN(INDEX('得意先'!$F$5:$F$104,$W858),DAY(DATE(YEAR($X858),(MONTH($X858)+IF(INDEX('得意先'!$D$5:$D$104,$W858)="末",0,IF(DAY($X858)&lt;=INDEX('得意先'!$D$5:$D$104,$W858),0,1))+N(INDEX('得意先'!$E$5:$E$104,$W858)))+1,0)))))))</f>
        <v/>
      </c>
      <c r="N858" s="26" t="n"/>
      <c r="O858" s="29">
        <f>IF($A858="","",IF(ISNUMBER($N858),$N858,$M858))</f>
        <v/>
      </c>
      <c r="P858" s="28">
        <f>IF($A858="","",SUMIF('入金消込'!$F$5:$F$1004,$A858,'入金消込'!$G$5:$G$1004))</f>
        <v/>
      </c>
      <c r="Q858" s="28">
        <f>IF($A858="","",SUMIF('入金消込'!$F$5:$F$1004,$A858,'入金消込'!$H$5:$H$1004)+SUMIF('入金消込'!$F$5:$F$1004,$A858,'入金消込'!$I$5:$I$1004))</f>
        <v/>
      </c>
      <c r="R858" s="28">
        <f>IF($A858="","",$L858-$P858-$Q858)</f>
        <v/>
      </c>
      <c r="S858" s="30">
        <f>IF($A858="","",IF($R858=0,IF($L858=0,"請求額0","回収済"),IF($L858&lt;0,IF($R858&lt;0,"差し引き待ち","差し引きすぎ"),IF($R858&lt;0,"入金が多い",IF($P858+$Q858=0,"未入金","一部入金")))))</f>
        <v/>
      </c>
      <c r="T858" s="31">
        <f>IF(OR($A858="",N($R858)&lt;=0,NOT(ISNUMBER($O858))),"",IF($O858&lt;'設定'!$B$7,'設定'!$B$7-$O858,""))</f>
        <v/>
      </c>
      <c r="U858" s="30">
        <f>IF(OR($A858="",N($R858)&lt;=0),"",IF(NOT(ISNUMBER($O858)),'設定'!$B$22,IF($O858&gt;='設定'!$B$7,'設定'!$B$17,IF('設定'!$B$7-$O858&lt;='設定'!$B$12,'設定'!$B$18,IF('設定'!$B$7-$O858&lt;='設定'!$B$13,'設定'!$B$19,IF('設定'!$B$7-$O858&lt;='設定'!$B$14,'設定'!$B$20,'設定'!$B$21))))))</f>
        <v/>
      </c>
      <c r="V858" s="56" t="n"/>
      <c r="W858" s="32">
        <f>IF($C858="","",IFERROR(MATCH($C858,'得意先'!$B$5:$B$104,0),"なし"))</f>
        <v/>
      </c>
      <c r="X858" s="33">
        <f>IF($A858="","",IF(ISNUMBER($E858),$E858,IF(ISNUMBER($B858),$B858,"")))</f>
        <v/>
      </c>
      <c r="Y858" s="34">
        <f>IF($T858="","",$O858+ROW()/1000000)</f>
        <v/>
      </c>
      <c r="Z858" s="35">
        <f>IF(OR($A858="",$C858="",$C858&lt;&gt;'売掛帳'!$B$3,NOT(ISNUMBER($X858))),"",IF(AND($X858&gt;='売掛帳'!$Q$3,$X858&lt;='売掛帳'!$Q$4),$X858+ROW()/10000000,""))</f>
        <v/>
      </c>
    </row>
    <row r="859" ht="18" customHeight="1">
      <c r="A859" s="18" t="n"/>
      <c r="B859" s="26" t="n"/>
      <c r="C859" s="18" t="n"/>
      <c r="D859" s="20">
        <f>IF($W859="","",IF($W859="なし","※得意先にないコード",INDEX('得意先'!$C$5:$C$104,$W859)&amp;""))</f>
        <v/>
      </c>
      <c r="E859" s="26" t="n"/>
      <c r="F859" s="19" t="n"/>
      <c r="G859" s="27" t="n"/>
      <c r="H859" s="27" t="n"/>
      <c r="I859" s="27" t="n"/>
      <c r="J859" s="28">
        <f>IF($A859="","",IF('設定'!$B$10="四捨五入",ROUND(IF('設定'!$B$9="税込",N($G859)*10/110,N($G859)*10/100),0),IF('設定'!$B$10="切り上げ",ROUNDUP(IF('設定'!$B$9="税込",N($G859)*10/110,N($G859)*10/100),0),ROUNDDOWN(IF('設定'!$B$9="税込",N($G859)*10/110,N($G859)*10/100),0))))</f>
        <v/>
      </c>
      <c r="K859" s="28">
        <f>IF($A859="","",IF('設定'!$B$10="四捨五入",ROUND(IF('設定'!$B$9="税込",N($H859)*8/108,N($H859)*8/100),0),IF('設定'!$B$10="切り上げ",ROUNDUP(IF('設定'!$B$9="税込",N($H859)*8/108,N($H859)*8/100),0),ROUNDDOWN(IF('設定'!$B$9="税込",N($H859)*8/108,N($H859)*8/100),0))))</f>
        <v/>
      </c>
      <c r="L859" s="28">
        <f>IF($A859="","",N($G859)+N($H859)+N($I859)+IF('設定'!$B$9="税込",0,$J859+$K859))</f>
        <v/>
      </c>
      <c r="M859" s="29">
        <f>IF(OR($A859="",NOT(ISNUMBER($W859)),NOT(ISNUMBER($X859))),"",IF(OR(INDEX('得意先'!$D$5:$D$104,$W859)="",INDEX('得意先'!$E$5:$E$104,$W859)="",INDEX('得意先'!$F$5:$F$104,$W859)=""),"",IF(INDEX('得意先'!$F$5:$F$104,$W859)="末",DATE(YEAR($X859),(MONTH($X859)+IF(INDEX('得意先'!$D$5:$D$104,$W859)="末",0,IF(DAY($X859)&lt;=INDEX('得意先'!$D$5:$D$104,$W859),0,1))+N(INDEX('得意先'!$E$5:$E$104,$W859)))+1,0),DATE(YEAR($X859),(MONTH($X859)+IF(INDEX('得意先'!$D$5:$D$104,$W859)="末",0,IF(DAY($X859)&lt;=INDEX('得意先'!$D$5:$D$104,$W859),0,1))+N(INDEX('得意先'!$E$5:$E$104,$W859))),MIN(INDEX('得意先'!$F$5:$F$104,$W859),DAY(DATE(YEAR($X859),(MONTH($X859)+IF(INDEX('得意先'!$D$5:$D$104,$W859)="末",0,IF(DAY($X859)&lt;=INDEX('得意先'!$D$5:$D$104,$W859),0,1))+N(INDEX('得意先'!$E$5:$E$104,$W859)))+1,0)))))))</f>
        <v/>
      </c>
      <c r="N859" s="26" t="n"/>
      <c r="O859" s="29">
        <f>IF($A859="","",IF(ISNUMBER($N859),$N859,$M859))</f>
        <v/>
      </c>
      <c r="P859" s="28">
        <f>IF($A859="","",SUMIF('入金消込'!$F$5:$F$1004,$A859,'入金消込'!$G$5:$G$1004))</f>
        <v/>
      </c>
      <c r="Q859" s="28">
        <f>IF($A859="","",SUMIF('入金消込'!$F$5:$F$1004,$A859,'入金消込'!$H$5:$H$1004)+SUMIF('入金消込'!$F$5:$F$1004,$A859,'入金消込'!$I$5:$I$1004))</f>
        <v/>
      </c>
      <c r="R859" s="28">
        <f>IF($A859="","",$L859-$P859-$Q859)</f>
        <v/>
      </c>
      <c r="S859" s="30">
        <f>IF($A859="","",IF($R859=0,IF($L859=0,"請求額0","回収済"),IF($L859&lt;0,IF($R859&lt;0,"差し引き待ち","差し引きすぎ"),IF($R859&lt;0,"入金が多い",IF($P859+$Q859=0,"未入金","一部入金")))))</f>
        <v/>
      </c>
      <c r="T859" s="31">
        <f>IF(OR($A859="",N($R859)&lt;=0,NOT(ISNUMBER($O859))),"",IF($O859&lt;'設定'!$B$7,'設定'!$B$7-$O859,""))</f>
        <v/>
      </c>
      <c r="U859" s="30">
        <f>IF(OR($A859="",N($R859)&lt;=0),"",IF(NOT(ISNUMBER($O859)),'設定'!$B$22,IF($O859&gt;='設定'!$B$7,'設定'!$B$17,IF('設定'!$B$7-$O859&lt;='設定'!$B$12,'設定'!$B$18,IF('設定'!$B$7-$O859&lt;='設定'!$B$13,'設定'!$B$19,IF('設定'!$B$7-$O859&lt;='設定'!$B$14,'設定'!$B$20,'設定'!$B$21))))))</f>
        <v/>
      </c>
      <c r="V859" s="56" t="n"/>
      <c r="W859" s="32">
        <f>IF($C859="","",IFERROR(MATCH($C859,'得意先'!$B$5:$B$104,0),"なし"))</f>
        <v/>
      </c>
      <c r="X859" s="33">
        <f>IF($A859="","",IF(ISNUMBER($E859),$E859,IF(ISNUMBER($B859),$B859,"")))</f>
        <v/>
      </c>
      <c r="Y859" s="34">
        <f>IF($T859="","",$O859+ROW()/1000000)</f>
        <v/>
      </c>
      <c r="Z859" s="35">
        <f>IF(OR($A859="",$C859="",$C859&lt;&gt;'売掛帳'!$B$3,NOT(ISNUMBER($X859))),"",IF(AND($X859&gt;='売掛帳'!$Q$3,$X859&lt;='売掛帳'!$Q$4),$X859+ROW()/10000000,""))</f>
        <v/>
      </c>
    </row>
    <row r="860" ht="18" customHeight="1">
      <c r="A860" s="18" t="n"/>
      <c r="B860" s="26" t="n"/>
      <c r="C860" s="18" t="n"/>
      <c r="D860" s="20">
        <f>IF($W860="","",IF($W860="なし","※得意先にないコード",INDEX('得意先'!$C$5:$C$104,$W860)&amp;""))</f>
        <v/>
      </c>
      <c r="E860" s="26" t="n"/>
      <c r="F860" s="19" t="n"/>
      <c r="G860" s="27" t="n"/>
      <c r="H860" s="27" t="n"/>
      <c r="I860" s="27" t="n"/>
      <c r="J860" s="28">
        <f>IF($A860="","",IF('設定'!$B$10="四捨五入",ROUND(IF('設定'!$B$9="税込",N($G860)*10/110,N($G860)*10/100),0),IF('設定'!$B$10="切り上げ",ROUNDUP(IF('設定'!$B$9="税込",N($G860)*10/110,N($G860)*10/100),0),ROUNDDOWN(IF('設定'!$B$9="税込",N($G860)*10/110,N($G860)*10/100),0))))</f>
        <v/>
      </c>
      <c r="K860" s="28">
        <f>IF($A860="","",IF('設定'!$B$10="四捨五入",ROUND(IF('設定'!$B$9="税込",N($H860)*8/108,N($H860)*8/100),0),IF('設定'!$B$10="切り上げ",ROUNDUP(IF('設定'!$B$9="税込",N($H860)*8/108,N($H860)*8/100),0),ROUNDDOWN(IF('設定'!$B$9="税込",N($H860)*8/108,N($H860)*8/100),0))))</f>
        <v/>
      </c>
      <c r="L860" s="28">
        <f>IF($A860="","",N($G860)+N($H860)+N($I860)+IF('設定'!$B$9="税込",0,$J860+$K860))</f>
        <v/>
      </c>
      <c r="M860" s="29">
        <f>IF(OR($A860="",NOT(ISNUMBER($W860)),NOT(ISNUMBER($X860))),"",IF(OR(INDEX('得意先'!$D$5:$D$104,$W860)="",INDEX('得意先'!$E$5:$E$104,$W860)="",INDEX('得意先'!$F$5:$F$104,$W860)=""),"",IF(INDEX('得意先'!$F$5:$F$104,$W860)="末",DATE(YEAR($X860),(MONTH($X860)+IF(INDEX('得意先'!$D$5:$D$104,$W860)="末",0,IF(DAY($X860)&lt;=INDEX('得意先'!$D$5:$D$104,$W860),0,1))+N(INDEX('得意先'!$E$5:$E$104,$W860)))+1,0),DATE(YEAR($X860),(MONTH($X860)+IF(INDEX('得意先'!$D$5:$D$104,$W860)="末",0,IF(DAY($X860)&lt;=INDEX('得意先'!$D$5:$D$104,$W860),0,1))+N(INDEX('得意先'!$E$5:$E$104,$W860))),MIN(INDEX('得意先'!$F$5:$F$104,$W860),DAY(DATE(YEAR($X860),(MONTH($X860)+IF(INDEX('得意先'!$D$5:$D$104,$W860)="末",0,IF(DAY($X860)&lt;=INDEX('得意先'!$D$5:$D$104,$W860),0,1))+N(INDEX('得意先'!$E$5:$E$104,$W860)))+1,0)))))))</f>
        <v/>
      </c>
      <c r="N860" s="26" t="n"/>
      <c r="O860" s="29">
        <f>IF($A860="","",IF(ISNUMBER($N860),$N860,$M860))</f>
        <v/>
      </c>
      <c r="P860" s="28">
        <f>IF($A860="","",SUMIF('入金消込'!$F$5:$F$1004,$A860,'入金消込'!$G$5:$G$1004))</f>
        <v/>
      </c>
      <c r="Q860" s="28">
        <f>IF($A860="","",SUMIF('入金消込'!$F$5:$F$1004,$A860,'入金消込'!$H$5:$H$1004)+SUMIF('入金消込'!$F$5:$F$1004,$A860,'入金消込'!$I$5:$I$1004))</f>
        <v/>
      </c>
      <c r="R860" s="28">
        <f>IF($A860="","",$L860-$P860-$Q860)</f>
        <v/>
      </c>
      <c r="S860" s="30">
        <f>IF($A860="","",IF($R860=0,IF($L860=0,"請求額0","回収済"),IF($L860&lt;0,IF($R860&lt;0,"差し引き待ち","差し引きすぎ"),IF($R860&lt;0,"入金が多い",IF($P860+$Q860=0,"未入金","一部入金")))))</f>
        <v/>
      </c>
      <c r="T860" s="31">
        <f>IF(OR($A860="",N($R860)&lt;=0,NOT(ISNUMBER($O860))),"",IF($O860&lt;'設定'!$B$7,'設定'!$B$7-$O860,""))</f>
        <v/>
      </c>
      <c r="U860" s="30">
        <f>IF(OR($A860="",N($R860)&lt;=0),"",IF(NOT(ISNUMBER($O860)),'設定'!$B$22,IF($O860&gt;='設定'!$B$7,'設定'!$B$17,IF('設定'!$B$7-$O860&lt;='設定'!$B$12,'設定'!$B$18,IF('設定'!$B$7-$O860&lt;='設定'!$B$13,'設定'!$B$19,IF('設定'!$B$7-$O860&lt;='設定'!$B$14,'設定'!$B$20,'設定'!$B$21))))))</f>
        <v/>
      </c>
      <c r="V860" s="56" t="n"/>
      <c r="W860" s="32">
        <f>IF($C860="","",IFERROR(MATCH($C860,'得意先'!$B$5:$B$104,0),"なし"))</f>
        <v/>
      </c>
      <c r="X860" s="33">
        <f>IF($A860="","",IF(ISNUMBER($E860),$E860,IF(ISNUMBER($B860),$B860,"")))</f>
        <v/>
      </c>
      <c r="Y860" s="34">
        <f>IF($T860="","",$O860+ROW()/1000000)</f>
        <v/>
      </c>
      <c r="Z860" s="35">
        <f>IF(OR($A860="",$C860="",$C860&lt;&gt;'売掛帳'!$B$3,NOT(ISNUMBER($X860))),"",IF(AND($X860&gt;='売掛帳'!$Q$3,$X860&lt;='売掛帳'!$Q$4),$X860+ROW()/10000000,""))</f>
        <v/>
      </c>
    </row>
    <row r="861" ht="18" customHeight="1">
      <c r="A861" s="18" t="n"/>
      <c r="B861" s="26" t="n"/>
      <c r="C861" s="18" t="n"/>
      <c r="D861" s="20">
        <f>IF($W861="","",IF($W861="なし","※得意先にないコード",INDEX('得意先'!$C$5:$C$104,$W861)&amp;""))</f>
        <v/>
      </c>
      <c r="E861" s="26" t="n"/>
      <c r="F861" s="19" t="n"/>
      <c r="G861" s="27" t="n"/>
      <c r="H861" s="27" t="n"/>
      <c r="I861" s="27" t="n"/>
      <c r="J861" s="28">
        <f>IF($A861="","",IF('設定'!$B$10="四捨五入",ROUND(IF('設定'!$B$9="税込",N($G861)*10/110,N($G861)*10/100),0),IF('設定'!$B$10="切り上げ",ROUNDUP(IF('設定'!$B$9="税込",N($G861)*10/110,N($G861)*10/100),0),ROUNDDOWN(IF('設定'!$B$9="税込",N($G861)*10/110,N($G861)*10/100),0))))</f>
        <v/>
      </c>
      <c r="K861" s="28">
        <f>IF($A861="","",IF('設定'!$B$10="四捨五入",ROUND(IF('設定'!$B$9="税込",N($H861)*8/108,N($H861)*8/100),0),IF('設定'!$B$10="切り上げ",ROUNDUP(IF('設定'!$B$9="税込",N($H861)*8/108,N($H861)*8/100),0),ROUNDDOWN(IF('設定'!$B$9="税込",N($H861)*8/108,N($H861)*8/100),0))))</f>
        <v/>
      </c>
      <c r="L861" s="28">
        <f>IF($A861="","",N($G861)+N($H861)+N($I861)+IF('設定'!$B$9="税込",0,$J861+$K861))</f>
        <v/>
      </c>
      <c r="M861" s="29">
        <f>IF(OR($A861="",NOT(ISNUMBER($W861)),NOT(ISNUMBER($X861))),"",IF(OR(INDEX('得意先'!$D$5:$D$104,$W861)="",INDEX('得意先'!$E$5:$E$104,$W861)="",INDEX('得意先'!$F$5:$F$104,$W861)=""),"",IF(INDEX('得意先'!$F$5:$F$104,$W861)="末",DATE(YEAR($X861),(MONTH($X861)+IF(INDEX('得意先'!$D$5:$D$104,$W861)="末",0,IF(DAY($X861)&lt;=INDEX('得意先'!$D$5:$D$104,$W861),0,1))+N(INDEX('得意先'!$E$5:$E$104,$W861)))+1,0),DATE(YEAR($X861),(MONTH($X861)+IF(INDEX('得意先'!$D$5:$D$104,$W861)="末",0,IF(DAY($X861)&lt;=INDEX('得意先'!$D$5:$D$104,$W861),0,1))+N(INDEX('得意先'!$E$5:$E$104,$W861))),MIN(INDEX('得意先'!$F$5:$F$104,$W861),DAY(DATE(YEAR($X861),(MONTH($X861)+IF(INDEX('得意先'!$D$5:$D$104,$W861)="末",0,IF(DAY($X861)&lt;=INDEX('得意先'!$D$5:$D$104,$W861),0,1))+N(INDEX('得意先'!$E$5:$E$104,$W861)))+1,0)))))))</f>
        <v/>
      </c>
      <c r="N861" s="26" t="n"/>
      <c r="O861" s="29">
        <f>IF($A861="","",IF(ISNUMBER($N861),$N861,$M861))</f>
        <v/>
      </c>
      <c r="P861" s="28">
        <f>IF($A861="","",SUMIF('入金消込'!$F$5:$F$1004,$A861,'入金消込'!$G$5:$G$1004))</f>
        <v/>
      </c>
      <c r="Q861" s="28">
        <f>IF($A861="","",SUMIF('入金消込'!$F$5:$F$1004,$A861,'入金消込'!$H$5:$H$1004)+SUMIF('入金消込'!$F$5:$F$1004,$A861,'入金消込'!$I$5:$I$1004))</f>
        <v/>
      </c>
      <c r="R861" s="28">
        <f>IF($A861="","",$L861-$P861-$Q861)</f>
        <v/>
      </c>
      <c r="S861" s="30">
        <f>IF($A861="","",IF($R861=0,IF($L861=0,"請求額0","回収済"),IF($L861&lt;0,IF($R861&lt;0,"差し引き待ち","差し引きすぎ"),IF($R861&lt;0,"入金が多い",IF($P861+$Q861=0,"未入金","一部入金")))))</f>
        <v/>
      </c>
      <c r="T861" s="31">
        <f>IF(OR($A861="",N($R861)&lt;=0,NOT(ISNUMBER($O861))),"",IF($O861&lt;'設定'!$B$7,'設定'!$B$7-$O861,""))</f>
        <v/>
      </c>
      <c r="U861" s="30">
        <f>IF(OR($A861="",N($R861)&lt;=0),"",IF(NOT(ISNUMBER($O861)),'設定'!$B$22,IF($O861&gt;='設定'!$B$7,'設定'!$B$17,IF('設定'!$B$7-$O861&lt;='設定'!$B$12,'設定'!$B$18,IF('設定'!$B$7-$O861&lt;='設定'!$B$13,'設定'!$B$19,IF('設定'!$B$7-$O861&lt;='設定'!$B$14,'設定'!$B$20,'設定'!$B$21))))))</f>
        <v/>
      </c>
      <c r="V861" s="56" t="n"/>
      <c r="W861" s="32">
        <f>IF($C861="","",IFERROR(MATCH($C861,'得意先'!$B$5:$B$104,0),"なし"))</f>
        <v/>
      </c>
      <c r="X861" s="33">
        <f>IF($A861="","",IF(ISNUMBER($E861),$E861,IF(ISNUMBER($B861),$B861,"")))</f>
        <v/>
      </c>
      <c r="Y861" s="34">
        <f>IF($T861="","",$O861+ROW()/1000000)</f>
        <v/>
      </c>
      <c r="Z861" s="35">
        <f>IF(OR($A861="",$C861="",$C861&lt;&gt;'売掛帳'!$B$3,NOT(ISNUMBER($X861))),"",IF(AND($X861&gt;='売掛帳'!$Q$3,$X861&lt;='売掛帳'!$Q$4),$X861+ROW()/10000000,""))</f>
        <v/>
      </c>
    </row>
    <row r="862" ht="18" customHeight="1">
      <c r="A862" s="18" t="n"/>
      <c r="B862" s="26" t="n"/>
      <c r="C862" s="18" t="n"/>
      <c r="D862" s="20">
        <f>IF($W862="","",IF($W862="なし","※得意先にないコード",INDEX('得意先'!$C$5:$C$104,$W862)&amp;""))</f>
        <v/>
      </c>
      <c r="E862" s="26" t="n"/>
      <c r="F862" s="19" t="n"/>
      <c r="G862" s="27" t="n"/>
      <c r="H862" s="27" t="n"/>
      <c r="I862" s="27" t="n"/>
      <c r="J862" s="28">
        <f>IF($A862="","",IF('設定'!$B$10="四捨五入",ROUND(IF('設定'!$B$9="税込",N($G862)*10/110,N($G862)*10/100),0),IF('設定'!$B$10="切り上げ",ROUNDUP(IF('設定'!$B$9="税込",N($G862)*10/110,N($G862)*10/100),0),ROUNDDOWN(IF('設定'!$B$9="税込",N($G862)*10/110,N($G862)*10/100),0))))</f>
        <v/>
      </c>
      <c r="K862" s="28">
        <f>IF($A862="","",IF('設定'!$B$10="四捨五入",ROUND(IF('設定'!$B$9="税込",N($H862)*8/108,N($H862)*8/100),0),IF('設定'!$B$10="切り上げ",ROUNDUP(IF('設定'!$B$9="税込",N($H862)*8/108,N($H862)*8/100),0),ROUNDDOWN(IF('設定'!$B$9="税込",N($H862)*8/108,N($H862)*8/100),0))))</f>
        <v/>
      </c>
      <c r="L862" s="28">
        <f>IF($A862="","",N($G862)+N($H862)+N($I862)+IF('設定'!$B$9="税込",0,$J862+$K862))</f>
        <v/>
      </c>
      <c r="M862" s="29">
        <f>IF(OR($A862="",NOT(ISNUMBER($W862)),NOT(ISNUMBER($X862))),"",IF(OR(INDEX('得意先'!$D$5:$D$104,$W862)="",INDEX('得意先'!$E$5:$E$104,$W862)="",INDEX('得意先'!$F$5:$F$104,$W862)=""),"",IF(INDEX('得意先'!$F$5:$F$104,$W862)="末",DATE(YEAR($X862),(MONTH($X862)+IF(INDEX('得意先'!$D$5:$D$104,$W862)="末",0,IF(DAY($X862)&lt;=INDEX('得意先'!$D$5:$D$104,$W862),0,1))+N(INDEX('得意先'!$E$5:$E$104,$W862)))+1,0),DATE(YEAR($X862),(MONTH($X862)+IF(INDEX('得意先'!$D$5:$D$104,$W862)="末",0,IF(DAY($X862)&lt;=INDEX('得意先'!$D$5:$D$104,$W862),0,1))+N(INDEX('得意先'!$E$5:$E$104,$W862))),MIN(INDEX('得意先'!$F$5:$F$104,$W862),DAY(DATE(YEAR($X862),(MONTH($X862)+IF(INDEX('得意先'!$D$5:$D$104,$W862)="末",0,IF(DAY($X862)&lt;=INDEX('得意先'!$D$5:$D$104,$W862),0,1))+N(INDEX('得意先'!$E$5:$E$104,$W862)))+1,0)))))))</f>
        <v/>
      </c>
      <c r="N862" s="26" t="n"/>
      <c r="O862" s="29">
        <f>IF($A862="","",IF(ISNUMBER($N862),$N862,$M862))</f>
        <v/>
      </c>
      <c r="P862" s="28">
        <f>IF($A862="","",SUMIF('入金消込'!$F$5:$F$1004,$A862,'入金消込'!$G$5:$G$1004))</f>
        <v/>
      </c>
      <c r="Q862" s="28">
        <f>IF($A862="","",SUMIF('入金消込'!$F$5:$F$1004,$A862,'入金消込'!$H$5:$H$1004)+SUMIF('入金消込'!$F$5:$F$1004,$A862,'入金消込'!$I$5:$I$1004))</f>
        <v/>
      </c>
      <c r="R862" s="28">
        <f>IF($A862="","",$L862-$P862-$Q862)</f>
        <v/>
      </c>
      <c r="S862" s="30">
        <f>IF($A862="","",IF($R862=0,IF($L862=0,"請求額0","回収済"),IF($L862&lt;0,IF($R862&lt;0,"差し引き待ち","差し引きすぎ"),IF($R862&lt;0,"入金が多い",IF($P862+$Q862=0,"未入金","一部入金")))))</f>
        <v/>
      </c>
      <c r="T862" s="31">
        <f>IF(OR($A862="",N($R862)&lt;=0,NOT(ISNUMBER($O862))),"",IF($O862&lt;'設定'!$B$7,'設定'!$B$7-$O862,""))</f>
        <v/>
      </c>
      <c r="U862" s="30">
        <f>IF(OR($A862="",N($R862)&lt;=0),"",IF(NOT(ISNUMBER($O862)),'設定'!$B$22,IF($O862&gt;='設定'!$B$7,'設定'!$B$17,IF('設定'!$B$7-$O862&lt;='設定'!$B$12,'設定'!$B$18,IF('設定'!$B$7-$O862&lt;='設定'!$B$13,'設定'!$B$19,IF('設定'!$B$7-$O862&lt;='設定'!$B$14,'設定'!$B$20,'設定'!$B$21))))))</f>
        <v/>
      </c>
      <c r="V862" s="56" t="n"/>
      <c r="W862" s="32">
        <f>IF($C862="","",IFERROR(MATCH($C862,'得意先'!$B$5:$B$104,0),"なし"))</f>
        <v/>
      </c>
      <c r="X862" s="33">
        <f>IF($A862="","",IF(ISNUMBER($E862),$E862,IF(ISNUMBER($B862),$B862,"")))</f>
        <v/>
      </c>
      <c r="Y862" s="34">
        <f>IF($T862="","",$O862+ROW()/1000000)</f>
        <v/>
      </c>
      <c r="Z862" s="35">
        <f>IF(OR($A862="",$C862="",$C862&lt;&gt;'売掛帳'!$B$3,NOT(ISNUMBER($X862))),"",IF(AND($X862&gt;='売掛帳'!$Q$3,$X862&lt;='売掛帳'!$Q$4),$X862+ROW()/10000000,""))</f>
        <v/>
      </c>
    </row>
    <row r="863" ht="18" customHeight="1">
      <c r="A863" s="18" t="n"/>
      <c r="B863" s="26" t="n"/>
      <c r="C863" s="18" t="n"/>
      <c r="D863" s="20">
        <f>IF($W863="","",IF($W863="なし","※得意先にないコード",INDEX('得意先'!$C$5:$C$104,$W863)&amp;""))</f>
        <v/>
      </c>
      <c r="E863" s="26" t="n"/>
      <c r="F863" s="19" t="n"/>
      <c r="G863" s="27" t="n"/>
      <c r="H863" s="27" t="n"/>
      <c r="I863" s="27" t="n"/>
      <c r="J863" s="28">
        <f>IF($A863="","",IF('設定'!$B$10="四捨五入",ROUND(IF('設定'!$B$9="税込",N($G863)*10/110,N($G863)*10/100),0),IF('設定'!$B$10="切り上げ",ROUNDUP(IF('設定'!$B$9="税込",N($G863)*10/110,N($G863)*10/100),0),ROUNDDOWN(IF('設定'!$B$9="税込",N($G863)*10/110,N($G863)*10/100),0))))</f>
        <v/>
      </c>
      <c r="K863" s="28">
        <f>IF($A863="","",IF('設定'!$B$10="四捨五入",ROUND(IF('設定'!$B$9="税込",N($H863)*8/108,N($H863)*8/100),0),IF('設定'!$B$10="切り上げ",ROUNDUP(IF('設定'!$B$9="税込",N($H863)*8/108,N($H863)*8/100),0),ROUNDDOWN(IF('設定'!$B$9="税込",N($H863)*8/108,N($H863)*8/100),0))))</f>
        <v/>
      </c>
      <c r="L863" s="28">
        <f>IF($A863="","",N($G863)+N($H863)+N($I863)+IF('設定'!$B$9="税込",0,$J863+$K863))</f>
        <v/>
      </c>
      <c r="M863" s="29">
        <f>IF(OR($A863="",NOT(ISNUMBER($W863)),NOT(ISNUMBER($X863))),"",IF(OR(INDEX('得意先'!$D$5:$D$104,$W863)="",INDEX('得意先'!$E$5:$E$104,$W863)="",INDEX('得意先'!$F$5:$F$104,$W863)=""),"",IF(INDEX('得意先'!$F$5:$F$104,$W863)="末",DATE(YEAR($X863),(MONTH($X863)+IF(INDEX('得意先'!$D$5:$D$104,$W863)="末",0,IF(DAY($X863)&lt;=INDEX('得意先'!$D$5:$D$104,$W863),0,1))+N(INDEX('得意先'!$E$5:$E$104,$W863)))+1,0),DATE(YEAR($X863),(MONTH($X863)+IF(INDEX('得意先'!$D$5:$D$104,$W863)="末",0,IF(DAY($X863)&lt;=INDEX('得意先'!$D$5:$D$104,$W863),0,1))+N(INDEX('得意先'!$E$5:$E$104,$W863))),MIN(INDEX('得意先'!$F$5:$F$104,$W863),DAY(DATE(YEAR($X863),(MONTH($X863)+IF(INDEX('得意先'!$D$5:$D$104,$W863)="末",0,IF(DAY($X863)&lt;=INDEX('得意先'!$D$5:$D$104,$W863),0,1))+N(INDEX('得意先'!$E$5:$E$104,$W863)))+1,0)))))))</f>
        <v/>
      </c>
      <c r="N863" s="26" t="n"/>
      <c r="O863" s="29">
        <f>IF($A863="","",IF(ISNUMBER($N863),$N863,$M863))</f>
        <v/>
      </c>
      <c r="P863" s="28">
        <f>IF($A863="","",SUMIF('入金消込'!$F$5:$F$1004,$A863,'入金消込'!$G$5:$G$1004))</f>
        <v/>
      </c>
      <c r="Q863" s="28">
        <f>IF($A863="","",SUMIF('入金消込'!$F$5:$F$1004,$A863,'入金消込'!$H$5:$H$1004)+SUMIF('入金消込'!$F$5:$F$1004,$A863,'入金消込'!$I$5:$I$1004))</f>
        <v/>
      </c>
      <c r="R863" s="28">
        <f>IF($A863="","",$L863-$P863-$Q863)</f>
        <v/>
      </c>
      <c r="S863" s="30">
        <f>IF($A863="","",IF($R863=0,IF($L863=0,"請求額0","回収済"),IF($L863&lt;0,IF($R863&lt;0,"差し引き待ち","差し引きすぎ"),IF($R863&lt;0,"入金が多い",IF($P863+$Q863=0,"未入金","一部入金")))))</f>
        <v/>
      </c>
      <c r="T863" s="31">
        <f>IF(OR($A863="",N($R863)&lt;=0,NOT(ISNUMBER($O863))),"",IF($O863&lt;'設定'!$B$7,'設定'!$B$7-$O863,""))</f>
        <v/>
      </c>
      <c r="U863" s="30">
        <f>IF(OR($A863="",N($R863)&lt;=0),"",IF(NOT(ISNUMBER($O863)),'設定'!$B$22,IF($O863&gt;='設定'!$B$7,'設定'!$B$17,IF('設定'!$B$7-$O863&lt;='設定'!$B$12,'設定'!$B$18,IF('設定'!$B$7-$O863&lt;='設定'!$B$13,'設定'!$B$19,IF('設定'!$B$7-$O863&lt;='設定'!$B$14,'設定'!$B$20,'設定'!$B$21))))))</f>
        <v/>
      </c>
      <c r="V863" s="56" t="n"/>
      <c r="W863" s="32">
        <f>IF($C863="","",IFERROR(MATCH($C863,'得意先'!$B$5:$B$104,0),"なし"))</f>
        <v/>
      </c>
      <c r="X863" s="33">
        <f>IF($A863="","",IF(ISNUMBER($E863),$E863,IF(ISNUMBER($B863),$B863,"")))</f>
        <v/>
      </c>
      <c r="Y863" s="34">
        <f>IF($T863="","",$O863+ROW()/1000000)</f>
        <v/>
      </c>
      <c r="Z863" s="35">
        <f>IF(OR($A863="",$C863="",$C863&lt;&gt;'売掛帳'!$B$3,NOT(ISNUMBER($X863))),"",IF(AND($X863&gt;='売掛帳'!$Q$3,$X863&lt;='売掛帳'!$Q$4),$X863+ROW()/10000000,""))</f>
        <v/>
      </c>
    </row>
    <row r="864" ht="18" customHeight="1">
      <c r="A864" s="18" t="n"/>
      <c r="B864" s="26" t="n"/>
      <c r="C864" s="18" t="n"/>
      <c r="D864" s="20">
        <f>IF($W864="","",IF($W864="なし","※得意先にないコード",INDEX('得意先'!$C$5:$C$104,$W864)&amp;""))</f>
        <v/>
      </c>
      <c r="E864" s="26" t="n"/>
      <c r="F864" s="19" t="n"/>
      <c r="G864" s="27" t="n"/>
      <c r="H864" s="27" t="n"/>
      <c r="I864" s="27" t="n"/>
      <c r="J864" s="28">
        <f>IF($A864="","",IF('設定'!$B$10="四捨五入",ROUND(IF('設定'!$B$9="税込",N($G864)*10/110,N($G864)*10/100),0),IF('設定'!$B$10="切り上げ",ROUNDUP(IF('設定'!$B$9="税込",N($G864)*10/110,N($G864)*10/100),0),ROUNDDOWN(IF('設定'!$B$9="税込",N($G864)*10/110,N($G864)*10/100),0))))</f>
        <v/>
      </c>
      <c r="K864" s="28">
        <f>IF($A864="","",IF('設定'!$B$10="四捨五入",ROUND(IF('設定'!$B$9="税込",N($H864)*8/108,N($H864)*8/100),0),IF('設定'!$B$10="切り上げ",ROUNDUP(IF('設定'!$B$9="税込",N($H864)*8/108,N($H864)*8/100),0),ROUNDDOWN(IF('設定'!$B$9="税込",N($H864)*8/108,N($H864)*8/100),0))))</f>
        <v/>
      </c>
      <c r="L864" s="28">
        <f>IF($A864="","",N($G864)+N($H864)+N($I864)+IF('設定'!$B$9="税込",0,$J864+$K864))</f>
        <v/>
      </c>
      <c r="M864" s="29">
        <f>IF(OR($A864="",NOT(ISNUMBER($W864)),NOT(ISNUMBER($X864))),"",IF(OR(INDEX('得意先'!$D$5:$D$104,$W864)="",INDEX('得意先'!$E$5:$E$104,$W864)="",INDEX('得意先'!$F$5:$F$104,$W864)=""),"",IF(INDEX('得意先'!$F$5:$F$104,$W864)="末",DATE(YEAR($X864),(MONTH($X864)+IF(INDEX('得意先'!$D$5:$D$104,$W864)="末",0,IF(DAY($X864)&lt;=INDEX('得意先'!$D$5:$D$104,$W864),0,1))+N(INDEX('得意先'!$E$5:$E$104,$W864)))+1,0),DATE(YEAR($X864),(MONTH($X864)+IF(INDEX('得意先'!$D$5:$D$104,$W864)="末",0,IF(DAY($X864)&lt;=INDEX('得意先'!$D$5:$D$104,$W864),0,1))+N(INDEX('得意先'!$E$5:$E$104,$W864))),MIN(INDEX('得意先'!$F$5:$F$104,$W864),DAY(DATE(YEAR($X864),(MONTH($X864)+IF(INDEX('得意先'!$D$5:$D$104,$W864)="末",0,IF(DAY($X864)&lt;=INDEX('得意先'!$D$5:$D$104,$W864),0,1))+N(INDEX('得意先'!$E$5:$E$104,$W864)))+1,0)))))))</f>
        <v/>
      </c>
      <c r="N864" s="26" t="n"/>
      <c r="O864" s="29">
        <f>IF($A864="","",IF(ISNUMBER($N864),$N864,$M864))</f>
        <v/>
      </c>
      <c r="P864" s="28">
        <f>IF($A864="","",SUMIF('入金消込'!$F$5:$F$1004,$A864,'入金消込'!$G$5:$G$1004))</f>
        <v/>
      </c>
      <c r="Q864" s="28">
        <f>IF($A864="","",SUMIF('入金消込'!$F$5:$F$1004,$A864,'入金消込'!$H$5:$H$1004)+SUMIF('入金消込'!$F$5:$F$1004,$A864,'入金消込'!$I$5:$I$1004))</f>
        <v/>
      </c>
      <c r="R864" s="28">
        <f>IF($A864="","",$L864-$P864-$Q864)</f>
        <v/>
      </c>
      <c r="S864" s="30">
        <f>IF($A864="","",IF($R864=0,IF($L864=0,"請求額0","回収済"),IF($L864&lt;0,IF($R864&lt;0,"差し引き待ち","差し引きすぎ"),IF($R864&lt;0,"入金が多い",IF($P864+$Q864=0,"未入金","一部入金")))))</f>
        <v/>
      </c>
      <c r="T864" s="31">
        <f>IF(OR($A864="",N($R864)&lt;=0,NOT(ISNUMBER($O864))),"",IF($O864&lt;'設定'!$B$7,'設定'!$B$7-$O864,""))</f>
        <v/>
      </c>
      <c r="U864" s="30">
        <f>IF(OR($A864="",N($R864)&lt;=0),"",IF(NOT(ISNUMBER($O864)),'設定'!$B$22,IF($O864&gt;='設定'!$B$7,'設定'!$B$17,IF('設定'!$B$7-$O864&lt;='設定'!$B$12,'設定'!$B$18,IF('設定'!$B$7-$O864&lt;='設定'!$B$13,'設定'!$B$19,IF('設定'!$B$7-$O864&lt;='設定'!$B$14,'設定'!$B$20,'設定'!$B$21))))))</f>
        <v/>
      </c>
      <c r="V864" s="56" t="n"/>
      <c r="W864" s="32">
        <f>IF($C864="","",IFERROR(MATCH($C864,'得意先'!$B$5:$B$104,0),"なし"))</f>
        <v/>
      </c>
      <c r="X864" s="33">
        <f>IF($A864="","",IF(ISNUMBER($E864),$E864,IF(ISNUMBER($B864),$B864,"")))</f>
        <v/>
      </c>
      <c r="Y864" s="34">
        <f>IF($T864="","",$O864+ROW()/1000000)</f>
        <v/>
      </c>
      <c r="Z864" s="35">
        <f>IF(OR($A864="",$C864="",$C864&lt;&gt;'売掛帳'!$B$3,NOT(ISNUMBER($X864))),"",IF(AND($X864&gt;='売掛帳'!$Q$3,$X864&lt;='売掛帳'!$Q$4),$X864+ROW()/10000000,""))</f>
        <v/>
      </c>
    </row>
    <row r="865" ht="18" customHeight="1">
      <c r="A865" s="18" t="n"/>
      <c r="B865" s="26" t="n"/>
      <c r="C865" s="18" t="n"/>
      <c r="D865" s="20">
        <f>IF($W865="","",IF($W865="なし","※得意先にないコード",INDEX('得意先'!$C$5:$C$104,$W865)&amp;""))</f>
        <v/>
      </c>
      <c r="E865" s="26" t="n"/>
      <c r="F865" s="19" t="n"/>
      <c r="G865" s="27" t="n"/>
      <c r="H865" s="27" t="n"/>
      <c r="I865" s="27" t="n"/>
      <c r="J865" s="28">
        <f>IF($A865="","",IF('設定'!$B$10="四捨五入",ROUND(IF('設定'!$B$9="税込",N($G865)*10/110,N($G865)*10/100),0),IF('設定'!$B$10="切り上げ",ROUNDUP(IF('設定'!$B$9="税込",N($G865)*10/110,N($G865)*10/100),0),ROUNDDOWN(IF('設定'!$B$9="税込",N($G865)*10/110,N($G865)*10/100),0))))</f>
        <v/>
      </c>
      <c r="K865" s="28">
        <f>IF($A865="","",IF('設定'!$B$10="四捨五入",ROUND(IF('設定'!$B$9="税込",N($H865)*8/108,N($H865)*8/100),0),IF('設定'!$B$10="切り上げ",ROUNDUP(IF('設定'!$B$9="税込",N($H865)*8/108,N($H865)*8/100),0),ROUNDDOWN(IF('設定'!$B$9="税込",N($H865)*8/108,N($H865)*8/100),0))))</f>
        <v/>
      </c>
      <c r="L865" s="28">
        <f>IF($A865="","",N($G865)+N($H865)+N($I865)+IF('設定'!$B$9="税込",0,$J865+$K865))</f>
        <v/>
      </c>
      <c r="M865" s="29">
        <f>IF(OR($A865="",NOT(ISNUMBER($W865)),NOT(ISNUMBER($X865))),"",IF(OR(INDEX('得意先'!$D$5:$D$104,$W865)="",INDEX('得意先'!$E$5:$E$104,$W865)="",INDEX('得意先'!$F$5:$F$104,$W865)=""),"",IF(INDEX('得意先'!$F$5:$F$104,$W865)="末",DATE(YEAR($X865),(MONTH($X865)+IF(INDEX('得意先'!$D$5:$D$104,$W865)="末",0,IF(DAY($X865)&lt;=INDEX('得意先'!$D$5:$D$104,$W865),0,1))+N(INDEX('得意先'!$E$5:$E$104,$W865)))+1,0),DATE(YEAR($X865),(MONTH($X865)+IF(INDEX('得意先'!$D$5:$D$104,$W865)="末",0,IF(DAY($X865)&lt;=INDEX('得意先'!$D$5:$D$104,$W865),0,1))+N(INDEX('得意先'!$E$5:$E$104,$W865))),MIN(INDEX('得意先'!$F$5:$F$104,$W865),DAY(DATE(YEAR($X865),(MONTH($X865)+IF(INDEX('得意先'!$D$5:$D$104,$W865)="末",0,IF(DAY($X865)&lt;=INDEX('得意先'!$D$5:$D$104,$W865),0,1))+N(INDEX('得意先'!$E$5:$E$104,$W865)))+1,0)))))))</f>
        <v/>
      </c>
      <c r="N865" s="26" t="n"/>
      <c r="O865" s="29">
        <f>IF($A865="","",IF(ISNUMBER($N865),$N865,$M865))</f>
        <v/>
      </c>
      <c r="P865" s="28">
        <f>IF($A865="","",SUMIF('入金消込'!$F$5:$F$1004,$A865,'入金消込'!$G$5:$G$1004))</f>
        <v/>
      </c>
      <c r="Q865" s="28">
        <f>IF($A865="","",SUMIF('入金消込'!$F$5:$F$1004,$A865,'入金消込'!$H$5:$H$1004)+SUMIF('入金消込'!$F$5:$F$1004,$A865,'入金消込'!$I$5:$I$1004))</f>
        <v/>
      </c>
      <c r="R865" s="28">
        <f>IF($A865="","",$L865-$P865-$Q865)</f>
        <v/>
      </c>
      <c r="S865" s="30">
        <f>IF($A865="","",IF($R865=0,IF($L865=0,"請求額0","回収済"),IF($L865&lt;0,IF($R865&lt;0,"差し引き待ち","差し引きすぎ"),IF($R865&lt;0,"入金が多い",IF($P865+$Q865=0,"未入金","一部入金")))))</f>
        <v/>
      </c>
      <c r="T865" s="31">
        <f>IF(OR($A865="",N($R865)&lt;=0,NOT(ISNUMBER($O865))),"",IF($O865&lt;'設定'!$B$7,'設定'!$B$7-$O865,""))</f>
        <v/>
      </c>
      <c r="U865" s="30">
        <f>IF(OR($A865="",N($R865)&lt;=0),"",IF(NOT(ISNUMBER($O865)),'設定'!$B$22,IF($O865&gt;='設定'!$B$7,'設定'!$B$17,IF('設定'!$B$7-$O865&lt;='設定'!$B$12,'設定'!$B$18,IF('設定'!$B$7-$O865&lt;='設定'!$B$13,'設定'!$B$19,IF('設定'!$B$7-$O865&lt;='設定'!$B$14,'設定'!$B$20,'設定'!$B$21))))))</f>
        <v/>
      </c>
      <c r="V865" s="56" t="n"/>
      <c r="W865" s="32">
        <f>IF($C865="","",IFERROR(MATCH($C865,'得意先'!$B$5:$B$104,0),"なし"))</f>
        <v/>
      </c>
      <c r="X865" s="33">
        <f>IF($A865="","",IF(ISNUMBER($E865),$E865,IF(ISNUMBER($B865),$B865,"")))</f>
        <v/>
      </c>
      <c r="Y865" s="34">
        <f>IF($T865="","",$O865+ROW()/1000000)</f>
        <v/>
      </c>
      <c r="Z865" s="35">
        <f>IF(OR($A865="",$C865="",$C865&lt;&gt;'売掛帳'!$B$3,NOT(ISNUMBER($X865))),"",IF(AND($X865&gt;='売掛帳'!$Q$3,$X865&lt;='売掛帳'!$Q$4),$X865+ROW()/10000000,""))</f>
        <v/>
      </c>
    </row>
    <row r="866" ht="18" customHeight="1">
      <c r="A866" s="18" t="n"/>
      <c r="B866" s="26" t="n"/>
      <c r="C866" s="18" t="n"/>
      <c r="D866" s="20">
        <f>IF($W866="","",IF($W866="なし","※得意先にないコード",INDEX('得意先'!$C$5:$C$104,$W866)&amp;""))</f>
        <v/>
      </c>
      <c r="E866" s="26" t="n"/>
      <c r="F866" s="19" t="n"/>
      <c r="G866" s="27" t="n"/>
      <c r="H866" s="27" t="n"/>
      <c r="I866" s="27" t="n"/>
      <c r="J866" s="28">
        <f>IF($A866="","",IF('設定'!$B$10="四捨五入",ROUND(IF('設定'!$B$9="税込",N($G866)*10/110,N($G866)*10/100),0),IF('設定'!$B$10="切り上げ",ROUNDUP(IF('設定'!$B$9="税込",N($G866)*10/110,N($G866)*10/100),0),ROUNDDOWN(IF('設定'!$B$9="税込",N($G866)*10/110,N($G866)*10/100),0))))</f>
        <v/>
      </c>
      <c r="K866" s="28">
        <f>IF($A866="","",IF('設定'!$B$10="四捨五入",ROUND(IF('設定'!$B$9="税込",N($H866)*8/108,N($H866)*8/100),0),IF('設定'!$B$10="切り上げ",ROUNDUP(IF('設定'!$B$9="税込",N($H866)*8/108,N($H866)*8/100),0),ROUNDDOWN(IF('設定'!$B$9="税込",N($H866)*8/108,N($H866)*8/100),0))))</f>
        <v/>
      </c>
      <c r="L866" s="28">
        <f>IF($A866="","",N($G866)+N($H866)+N($I866)+IF('設定'!$B$9="税込",0,$J866+$K866))</f>
        <v/>
      </c>
      <c r="M866" s="29">
        <f>IF(OR($A866="",NOT(ISNUMBER($W866)),NOT(ISNUMBER($X866))),"",IF(OR(INDEX('得意先'!$D$5:$D$104,$W866)="",INDEX('得意先'!$E$5:$E$104,$W866)="",INDEX('得意先'!$F$5:$F$104,$W866)=""),"",IF(INDEX('得意先'!$F$5:$F$104,$W866)="末",DATE(YEAR($X866),(MONTH($X866)+IF(INDEX('得意先'!$D$5:$D$104,$W866)="末",0,IF(DAY($X866)&lt;=INDEX('得意先'!$D$5:$D$104,$W866),0,1))+N(INDEX('得意先'!$E$5:$E$104,$W866)))+1,0),DATE(YEAR($X866),(MONTH($X866)+IF(INDEX('得意先'!$D$5:$D$104,$W866)="末",0,IF(DAY($X866)&lt;=INDEX('得意先'!$D$5:$D$104,$W866),0,1))+N(INDEX('得意先'!$E$5:$E$104,$W866))),MIN(INDEX('得意先'!$F$5:$F$104,$W866),DAY(DATE(YEAR($X866),(MONTH($X866)+IF(INDEX('得意先'!$D$5:$D$104,$W866)="末",0,IF(DAY($X866)&lt;=INDEX('得意先'!$D$5:$D$104,$W866),0,1))+N(INDEX('得意先'!$E$5:$E$104,$W866)))+1,0)))))))</f>
        <v/>
      </c>
      <c r="N866" s="26" t="n"/>
      <c r="O866" s="29">
        <f>IF($A866="","",IF(ISNUMBER($N866),$N866,$M866))</f>
        <v/>
      </c>
      <c r="P866" s="28">
        <f>IF($A866="","",SUMIF('入金消込'!$F$5:$F$1004,$A866,'入金消込'!$G$5:$G$1004))</f>
        <v/>
      </c>
      <c r="Q866" s="28">
        <f>IF($A866="","",SUMIF('入金消込'!$F$5:$F$1004,$A866,'入金消込'!$H$5:$H$1004)+SUMIF('入金消込'!$F$5:$F$1004,$A866,'入金消込'!$I$5:$I$1004))</f>
        <v/>
      </c>
      <c r="R866" s="28">
        <f>IF($A866="","",$L866-$P866-$Q866)</f>
        <v/>
      </c>
      <c r="S866" s="30">
        <f>IF($A866="","",IF($R866=0,IF($L866=0,"請求額0","回収済"),IF($L866&lt;0,IF($R866&lt;0,"差し引き待ち","差し引きすぎ"),IF($R866&lt;0,"入金が多い",IF($P866+$Q866=0,"未入金","一部入金")))))</f>
        <v/>
      </c>
      <c r="T866" s="31">
        <f>IF(OR($A866="",N($R866)&lt;=0,NOT(ISNUMBER($O866))),"",IF($O866&lt;'設定'!$B$7,'設定'!$B$7-$O866,""))</f>
        <v/>
      </c>
      <c r="U866" s="30">
        <f>IF(OR($A866="",N($R866)&lt;=0),"",IF(NOT(ISNUMBER($O866)),'設定'!$B$22,IF($O866&gt;='設定'!$B$7,'設定'!$B$17,IF('設定'!$B$7-$O866&lt;='設定'!$B$12,'設定'!$B$18,IF('設定'!$B$7-$O866&lt;='設定'!$B$13,'設定'!$B$19,IF('設定'!$B$7-$O866&lt;='設定'!$B$14,'設定'!$B$20,'設定'!$B$21))))))</f>
        <v/>
      </c>
      <c r="V866" s="56" t="n"/>
      <c r="W866" s="32">
        <f>IF($C866="","",IFERROR(MATCH($C866,'得意先'!$B$5:$B$104,0),"なし"))</f>
        <v/>
      </c>
      <c r="X866" s="33">
        <f>IF($A866="","",IF(ISNUMBER($E866),$E866,IF(ISNUMBER($B866),$B866,"")))</f>
        <v/>
      </c>
      <c r="Y866" s="34">
        <f>IF($T866="","",$O866+ROW()/1000000)</f>
        <v/>
      </c>
      <c r="Z866" s="35">
        <f>IF(OR($A866="",$C866="",$C866&lt;&gt;'売掛帳'!$B$3,NOT(ISNUMBER($X866))),"",IF(AND($X866&gt;='売掛帳'!$Q$3,$X866&lt;='売掛帳'!$Q$4),$X866+ROW()/10000000,""))</f>
        <v/>
      </c>
    </row>
    <row r="867" ht="18" customHeight="1">
      <c r="A867" s="18" t="n"/>
      <c r="B867" s="26" t="n"/>
      <c r="C867" s="18" t="n"/>
      <c r="D867" s="20">
        <f>IF($W867="","",IF($W867="なし","※得意先にないコード",INDEX('得意先'!$C$5:$C$104,$W867)&amp;""))</f>
        <v/>
      </c>
      <c r="E867" s="26" t="n"/>
      <c r="F867" s="19" t="n"/>
      <c r="G867" s="27" t="n"/>
      <c r="H867" s="27" t="n"/>
      <c r="I867" s="27" t="n"/>
      <c r="J867" s="28">
        <f>IF($A867="","",IF('設定'!$B$10="四捨五入",ROUND(IF('設定'!$B$9="税込",N($G867)*10/110,N($G867)*10/100),0),IF('設定'!$B$10="切り上げ",ROUNDUP(IF('設定'!$B$9="税込",N($G867)*10/110,N($G867)*10/100),0),ROUNDDOWN(IF('設定'!$B$9="税込",N($G867)*10/110,N($G867)*10/100),0))))</f>
        <v/>
      </c>
      <c r="K867" s="28">
        <f>IF($A867="","",IF('設定'!$B$10="四捨五入",ROUND(IF('設定'!$B$9="税込",N($H867)*8/108,N($H867)*8/100),0),IF('設定'!$B$10="切り上げ",ROUNDUP(IF('設定'!$B$9="税込",N($H867)*8/108,N($H867)*8/100),0),ROUNDDOWN(IF('設定'!$B$9="税込",N($H867)*8/108,N($H867)*8/100),0))))</f>
        <v/>
      </c>
      <c r="L867" s="28">
        <f>IF($A867="","",N($G867)+N($H867)+N($I867)+IF('設定'!$B$9="税込",0,$J867+$K867))</f>
        <v/>
      </c>
      <c r="M867" s="29">
        <f>IF(OR($A867="",NOT(ISNUMBER($W867)),NOT(ISNUMBER($X867))),"",IF(OR(INDEX('得意先'!$D$5:$D$104,$W867)="",INDEX('得意先'!$E$5:$E$104,$W867)="",INDEX('得意先'!$F$5:$F$104,$W867)=""),"",IF(INDEX('得意先'!$F$5:$F$104,$W867)="末",DATE(YEAR($X867),(MONTH($X867)+IF(INDEX('得意先'!$D$5:$D$104,$W867)="末",0,IF(DAY($X867)&lt;=INDEX('得意先'!$D$5:$D$104,$W867),0,1))+N(INDEX('得意先'!$E$5:$E$104,$W867)))+1,0),DATE(YEAR($X867),(MONTH($X867)+IF(INDEX('得意先'!$D$5:$D$104,$W867)="末",0,IF(DAY($X867)&lt;=INDEX('得意先'!$D$5:$D$104,$W867),0,1))+N(INDEX('得意先'!$E$5:$E$104,$W867))),MIN(INDEX('得意先'!$F$5:$F$104,$W867),DAY(DATE(YEAR($X867),(MONTH($X867)+IF(INDEX('得意先'!$D$5:$D$104,$W867)="末",0,IF(DAY($X867)&lt;=INDEX('得意先'!$D$5:$D$104,$W867),0,1))+N(INDEX('得意先'!$E$5:$E$104,$W867)))+1,0)))))))</f>
        <v/>
      </c>
      <c r="N867" s="26" t="n"/>
      <c r="O867" s="29">
        <f>IF($A867="","",IF(ISNUMBER($N867),$N867,$M867))</f>
        <v/>
      </c>
      <c r="P867" s="28">
        <f>IF($A867="","",SUMIF('入金消込'!$F$5:$F$1004,$A867,'入金消込'!$G$5:$G$1004))</f>
        <v/>
      </c>
      <c r="Q867" s="28">
        <f>IF($A867="","",SUMIF('入金消込'!$F$5:$F$1004,$A867,'入金消込'!$H$5:$H$1004)+SUMIF('入金消込'!$F$5:$F$1004,$A867,'入金消込'!$I$5:$I$1004))</f>
        <v/>
      </c>
      <c r="R867" s="28">
        <f>IF($A867="","",$L867-$P867-$Q867)</f>
        <v/>
      </c>
      <c r="S867" s="30">
        <f>IF($A867="","",IF($R867=0,IF($L867=0,"請求額0","回収済"),IF($L867&lt;0,IF($R867&lt;0,"差し引き待ち","差し引きすぎ"),IF($R867&lt;0,"入金が多い",IF($P867+$Q867=0,"未入金","一部入金")))))</f>
        <v/>
      </c>
      <c r="T867" s="31">
        <f>IF(OR($A867="",N($R867)&lt;=0,NOT(ISNUMBER($O867))),"",IF($O867&lt;'設定'!$B$7,'設定'!$B$7-$O867,""))</f>
        <v/>
      </c>
      <c r="U867" s="30">
        <f>IF(OR($A867="",N($R867)&lt;=0),"",IF(NOT(ISNUMBER($O867)),'設定'!$B$22,IF($O867&gt;='設定'!$B$7,'設定'!$B$17,IF('設定'!$B$7-$O867&lt;='設定'!$B$12,'設定'!$B$18,IF('設定'!$B$7-$O867&lt;='設定'!$B$13,'設定'!$B$19,IF('設定'!$B$7-$O867&lt;='設定'!$B$14,'設定'!$B$20,'設定'!$B$21))))))</f>
        <v/>
      </c>
      <c r="V867" s="56" t="n"/>
      <c r="W867" s="32">
        <f>IF($C867="","",IFERROR(MATCH($C867,'得意先'!$B$5:$B$104,0),"なし"))</f>
        <v/>
      </c>
      <c r="X867" s="33">
        <f>IF($A867="","",IF(ISNUMBER($E867),$E867,IF(ISNUMBER($B867),$B867,"")))</f>
        <v/>
      </c>
      <c r="Y867" s="34">
        <f>IF($T867="","",$O867+ROW()/1000000)</f>
        <v/>
      </c>
      <c r="Z867" s="35">
        <f>IF(OR($A867="",$C867="",$C867&lt;&gt;'売掛帳'!$B$3,NOT(ISNUMBER($X867))),"",IF(AND($X867&gt;='売掛帳'!$Q$3,$X867&lt;='売掛帳'!$Q$4),$X867+ROW()/10000000,""))</f>
        <v/>
      </c>
    </row>
    <row r="868" ht="18" customHeight="1">
      <c r="A868" s="18" t="n"/>
      <c r="B868" s="26" t="n"/>
      <c r="C868" s="18" t="n"/>
      <c r="D868" s="20">
        <f>IF($W868="","",IF($W868="なし","※得意先にないコード",INDEX('得意先'!$C$5:$C$104,$W868)&amp;""))</f>
        <v/>
      </c>
      <c r="E868" s="26" t="n"/>
      <c r="F868" s="19" t="n"/>
      <c r="G868" s="27" t="n"/>
      <c r="H868" s="27" t="n"/>
      <c r="I868" s="27" t="n"/>
      <c r="J868" s="28">
        <f>IF($A868="","",IF('設定'!$B$10="四捨五入",ROUND(IF('設定'!$B$9="税込",N($G868)*10/110,N($G868)*10/100),0),IF('設定'!$B$10="切り上げ",ROUNDUP(IF('設定'!$B$9="税込",N($G868)*10/110,N($G868)*10/100),0),ROUNDDOWN(IF('設定'!$B$9="税込",N($G868)*10/110,N($G868)*10/100),0))))</f>
        <v/>
      </c>
      <c r="K868" s="28">
        <f>IF($A868="","",IF('設定'!$B$10="四捨五入",ROUND(IF('設定'!$B$9="税込",N($H868)*8/108,N($H868)*8/100),0),IF('設定'!$B$10="切り上げ",ROUNDUP(IF('設定'!$B$9="税込",N($H868)*8/108,N($H868)*8/100),0),ROUNDDOWN(IF('設定'!$B$9="税込",N($H868)*8/108,N($H868)*8/100),0))))</f>
        <v/>
      </c>
      <c r="L868" s="28">
        <f>IF($A868="","",N($G868)+N($H868)+N($I868)+IF('設定'!$B$9="税込",0,$J868+$K868))</f>
        <v/>
      </c>
      <c r="M868" s="29">
        <f>IF(OR($A868="",NOT(ISNUMBER($W868)),NOT(ISNUMBER($X868))),"",IF(OR(INDEX('得意先'!$D$5:$D$104,$W868)="",INDEX('得意先'!$E$5:$E$104,$W868)="",INDEX('得意先'!$F$5:$F$104,$W868)=""),"",IF(INDEX('得意先'!$F$5:$F$104,$W868)="末",DATE(YEAR($X868),(MONTH($X868)+IF(INDEX('得意先'!$D$5:$D$104,$W868)="末",0,IF(DAY($X868)&lt;=INDEX('得意先'!$D$5:$D$104,$W868),0,1))+N(INDEX('得意先'!$E$5:$E$104,$W868)))+1,0),DATE(YEAR($X868),(MONTH($X868)+IF(INDEX('得意先'!$D$5:$D$104,$W868)="末",0,IF(DAY($X868)&lt;=INDEX('得意先'!$D$5:$D$104,$W868),0,1))+N(INDEX('得意先'!$E$5:$E$104,$W868))),MIN(INDEX('得意先'!$F$5:$F$104,$W868),DAY(DATE(YEAR($X868),(MONTH($X868)+IF(INDEX('得意先'!$D$5:$D$104,$W868)="末",0,IF(DAY($X868)&lt;=INDEX('得意先'!$D$5:$D$104,$W868),0,1))+N(INDEX('得意先'!$E$5:$E$104,$W868)))+1,0)))))))</f>
        <v/>
      </c>
      <c r="N868" s="26" t="n"/>
      <c r="O868" s="29">
        <f>IF($A868="","",IF(ISNUMBER($N868),$N868,$M868))</f>
        <v/>
      </c>
      <c r="P868" s="28">
        <f>IF($A868="","",SUMIF('入金消込'!$F$5:$F$1004,$A868,'入金消込'!$G$5:$G$1004))</f>
        <v/>
      </c>
      <c r="Q868" s="28">
        <f>IF($A868="","",SUMIF('入金消込'!$F$5:$F$1004,$A868,'入金消込'!$H$5:$H$1004)+SUMIF('入金消込'!$F$5:$F$1004,$A868,'入金消込'!$I$5:$I$1004))</f>
        <v/>
      </c>
      <c r="R868" s="28">
        <f>IF($A868="","",$L868-$P868-$Q868)</f>
        <v/>
      </c>
      <c r="S868" s="30">
        <f>IF($A868="","",IF($R868=0,IF($L868=0,"請求額0","回収済"),IF($L868&lt;0,IF($R868&lt;0,"差し引き待ち","差し引きすぎ"),IF($R868&lt;0,"入金が多い",IF($P868+$Q868=0,"未入金","一部入金")))))</f>
        <v/>
      </c>
      <c r="T868" s="31">
        <f>IF(OR($A868="",N($R868)&lt;=0,NOT(ISNUMBER($O868))),"",IF($O868&lt;'設定'!$B$7,'設定'!$B$7-$O868,""))</f>
        <v/>
      </c>
      <c r="U868" s="30">
        <f>IF(OR($A868="",N($R868)&lt;=0),"",IF(NOT(ISNUMBER($O868)),'設定'!$B$22,IF($O868&gt;='設定'!$B$7,'設定'!$B$17,IF('設定'!$B$7-$O868&lt;='設定'!$B$12,'設定'!$B$18,IF('設定'!$B$7-$O868&lt;='設定'!$B$13,'設定'!$B$19,IF('設定'!$B$7-$O868&lt;='設定'!$B$14,'設定'!$B$20,'設定'!$B$21))))))</f>
        <v/>
      </c>
      <c r="V868" s="56" t="n"/>
      <c r="W868" s="32">
        <f>IF($C868="","",IFERROR(MATCH($C868,'得意先'!$B$5:$B$104,0),"なし"))</f>
        <v/>
      </c>
      <c r="X868" s="33">
        <f>IF($A868="","",IF(ISNUMBER($E868),$E868,IF(ISNUMBER($B868),$B868,"")))</f>
        <v/>
      </c>
      <c r="Y868" s="34">
        <f>IF($T868="","",$O868+ROW()/1000000)</f>
        <v/>
      </c>
      <c r="Z868" s="35">
        <f>IF(OR($A868="",$C868="",$C868&lt;&gt;'売掛帳'!$B$3,NOT(ISNUMBER($X868))),"",IF(AND($X868&gt;='売掛帳'!$Q$3,$X868&lt;='売掛帳'!$Q$4),$X868+ROW()/10000000,""))</f>
        <v/>
      </c>
    </row>
    <row r="869" ht="18" customHeight="1">
      <c r="A869" s="18" t="n"/>
      <c r="B869" s="26" t="n"/>
      <c r="C869" s="18" t="n"/>
      <c r="D869" s="20">
        <f>IF($W869="","",IF($W869="なし","※得意先にないコード",INDEX('得意先'!$C$5:$C$104,$W869)&amp;""))</f>
        <v/>
      </c>
      <c r="E869" s="26" t="n"/>
      <c r="F869" s="19" t="n"/>
      <c r="G869" s="27" t="n"/>
      <c r="H869" s="27" t="n"/>
      <c r="I869" s="27" t="n"/>
      <c r="J869" s="28">
        <f>IF($A869="","",IF('設定'!$B$10="四捨五入",ROUND(IF('設定'!$B$9="税込",N($G869)*10/110,N($G869)*10/100),0),IF('設定'!$B$10="切り上げ",ROUNDUP(IF('設定'!$B$9="税込",N($G869)*10/110,N($G869)*10/100),0),ROUNDDOWN(IF('設定'!$B$9="税込",N($G869)*10/110,N($G869)*10/100),0))))</f>
        <v/>
      </c>
      <c r="K869" s="28">
        <f>IF($A869="","",IF('設定'!$B$10="四捨五入",ROUND(IF('設定'!$B$9="税込",N($H869)*8/108,N($H869)*8/100),0),IF('設定'!$B$10="切り上げ",ROUNDUP(IF('設定'!$B$9="税込",N($H869)*8/108,N($H869)*8/100),0),ROUNDDOWN(IF('設定'!$B$9="税込",N($H869)*8/108,N($H869)*8/100),0))))</f>
        <v/>
      </c>
      <c r="L869" s="28">
        <f>IF($A869="","",N($G869)+N($H869)+N($I869)+IF('設定'!$B$9="税込",0,$J869+$K869))</f>
        <v/>
      </c>
      <c r="M869" s="29">
        <f>IF(OR($A869="",NOT(ISNUMBER($W869)),NOT(ISNUMBER($X869))),"",IF(OR(INDEX('得意先'!$D$5:$D$104,$W869)="",INDEX('得意先'!$E$5:$E$104,$W869)="",INDEX('得意先'!$F$5:$F$104,$W869)=""),"",IF(INDEX('得意先'!$F$5:$F$104,$W869)="末",DATE(YEAR($X869),(MONTH($X869)+IF(INDEX('得意先'!$D$5:$D$104,$W869)="末",0,IF(DAY($X869)&lt;=INDEX('得意先'!$D$5:$D$104,$W869),0,1))+N(INDEX('得意先'!$E$5:$E$104,$W869)))+1,0),DATE(YEAR($X869),(MONTH($X869)+IF(INDEX('得意先'!$D$5:$D$104,$W869)="末",0,IF(DAY($X869)&lt;=INDEX('得意先'!$D$5:$D$104,$W869),0,1))+N(INDEX('得意先'!$E$5:$E$104,$W869))),MIN(INDEX('得意先'!$F$5:$F$104,$W869),DAY(DATE(YEAR($X869),(MONTH($X869)+IF(INDEX('得意先'!$D$5:$D$104,$W869)="末",0,IF(DAY($X869)&lt;=INDEX('得意先'!$D$5:$D$104,$W869),0,1))+N(INDEX('得意先'!$E$5:$E$104,$W869)))+1,0)))))))</f>
        <v/>
      </c>
      <c r="N869" s="26" t="n"/>
      <c r="O869" s="29">
        <f>IF($A869="","",IF(ISNUMBER($N869),$N869,$M869))</f>
        <v/>
      </c>
      <c r="P869" s="28">
        <f>IF($A869="","",SUMIF('入金消込'!$F$5:$F$1004,$A869,'入金消込'!$G$5:$G$1004))</f>
        <v/>
      </c>
      <c r="Q869" s="28">
        <f>IF($A869="","",SUMIF('入金消込'!$F$5:$F$1004,$A869,'入金消込'!$H$5:$H$1004)+SUMIF('入金消込'!$F$5:$F$1004,$A869,'入金消込'!$I$5:$I$1004))</f>
        <v/>
      </c>
      <c r="R869" s="28">
        <f>IF($A869="","",$L869-$P869-$Q869)</f>
        <v/>
      </c>
      <c r="S869" s="30">
        <f>IF($A869="","",IF($R869=0,IF($L869=0,"請求額0","回収済"),IF($L869&lt;0,IF($R869&lt;0,"差し引き待ち","差し引きすぎ"),IF($R869&lt;0,"入金が多い",IF($P869+$Q869=0,"未入金","一部入金")))))</f>
        <v/>
      </c>
      <c r="T869" s="31">
        <f>IF(OR($A869="",N($R869)&lt;=0,NOT(ISNUMBER($O869))),"",IF($O869&lt;'設定'!$B$7,'設定'!$B$7-$O869,""))</f>
        <v/>
      </c>
      <c r="U869" s="30">
        <f>IF(OR($A869="",N($R869)&lt;=0),"",IF(NOT(ISNUMBER($O869)),'設定'!$B$22,IF($O869&gt;='設定'!$B$7,'設定'!$B$17,IF('設定'!$B$7-$O869&lt;='設定'!$B$12,'設定'!$B$18,IF('設定'!$B$7-$O869&lt;='設定'!$B$13,'設定'!$B$19,IF('設定'!$B$7-$O869&lt;='設定'!$B$14,'設定'!$B$20,'設定'!$B$21))))))</f>
        <v/>
      </c>
      <c r="V869" s="56" t="n"/>
      <c r="W869" s="32">
        <f>IF($C869="","",IFERROR(MATCH($C869,'得意先'!$B$5:$B$104,0),"なし"))</f>
        <v/>
      </c>
      <c r="X869" s="33">
        <f>IF($A869="","",IF(ISNUMBER($E869),$E869,IF(ISNUMBER($B869),$B869,"")))</f>
        <v/>
      </c>
      <c r="Y869" s="34">
        <f>IF($T869="","",$O869+ROW()/1000000)</f>
        <v/>
      </c>
      <c r="Z869" s="35">
        <f>IF(OR($A869="",$C869="",$C869&lt;&gt;'売掛帳'!$B$3,NOT(ISNUMBER($X869))),"",IF(AND($X869&gt;='売掛帳'!$Q$3,$X869&lt;='売掛帳'!$Q$4),$X869+ROW()/10000000,""))</f>
        <v/>
      </c>
    </row>
    <row r="870" ht="18" customHeight="1">
      <c r="A870" s="18" t="n"/>
      <c r="B870" s="26" t="n"/>
      <c r="C870" s="18" t="n"/>
      <c r="D870" s="20">
        <f>IF($W870="","",IF($W870="なし","※得意先にないコード",INDEX('得意先'!$C$5:$C$104,$W870)&amp;""))</f>
        <v/>
      </c>
      <c r="E870" s="26" t="n"/>
      <c r="F870" s="19" t="n"/>
      <c r="G870" s="27" t="n"/>
      <c r="H870" s="27" t="n"/>
      <c r="I870" s="27" t="n"/>
      <c r="J870" s="28">
        <f>IF($A870="","",IF('設定'!$B$10="四捨五入",ROUND(IF('設定'!$B$9="税込",N($G870)*10/110,N($G870)*10/100),0),IF('設定'!$B$10="切り上げ",ROUNDUP(IF('設定'!$B$9="税込",N($G870)*10/110,N($G870)*10/100),0),ROUNDDOWN(IF('設定'!$B$9="税込",N($G870)*10/110,N($G870)*10/100),0))))</f>
        <v/>
      </c>
      <c r="K870" s="28">
        <f>IF($A870="","",IF('設定'!$B$10="四捨五入",ROUND(IF('設定'!$B$9="税込",N($H870)*8/108,N($H870)*8/100),0),IF('設定'!$B$10="切り上げ",ROUNDUP(IF('設定'!$B$9="税込",N($H870)*8/108,N($H870)*8/100),0),ROUNDDOWN(IF('設定'!$B$9="税込",N($H870)*8/108,N($H870)*8/100),0))))</f>
        <v/>
      </c>
      <c r="L870" s="28">
        <f>IF($A870="","",N($G870)+N($H870)+N($I870)+IF('設定'!$B$9="税込",0,$J870+$K870))</f>
        <v/>
      </c>
      <c r="M870" s="29">
        <f>IF(OR($A870="",NOT(ISNUMBER($W870)),NOT(ISNUMBER($X870))),"",IF(OR(INDEX('得意先'!$D$5:$D$104,$W870)="",INDEX('得意先'!$E$5:$E$104,$W870)="",INDEX('得意先'!$F$5:$F$104,$W870)=""),"",IF(INDEX('得意先'!$F$5:$F$104,$W870)="末",DATE(YEAR($X870),(MONTH($X870)+IF(INDEX('得意先'!$D$5:$D$104,$W870)="末",0,IF(DAY($X870)&lt;=INDEX('得意先'!$D$5:$D$104,$W870),0,1))+N(INDEX('得意先'!$E$5:$E$104,$W870)))+1,0),DATE(YEAR($X870),(MONTH($X870)+IF(INDEX('得意先'!$D$5:$D$104,$W870)="末",0,IF(DAY($X870)&lt;=INDEX('得意先'!$D$5:$D$104,$W870),0,1))+N(INDEX('得意先'!$E$5:$E$104,$W870))),MIN(INDEX('得意先'!$F$5:$F$104,$W870),DAY(DATE(YEAR($X870),(MONTH($X870)+IF(INDEX('得意先'!$D$5:$D$104,$W870)="末",0,IF(DAY($X870)&lt;=INDEX('得意先'!$D$5:$D$104,$W870),0,1))+N(INDEX('得意先'!$E$5:$E$104,$W870)))+1,0)))))))</f>
        <v/>
      </c>
      <c r="N870" s="26" t="n"/>
      <c r="O870" s="29">
        <f>IF($A870="","",IF(ISNUMBER($N870),$N870,$M870))</f>
        <v/>
      </c>
      <c r="P870" s="28">
        <f>IF($A870="","",SUMIF('入金消込'!$F$5:$F$1004,$A870,'入金消込'!$G$5:$G$1004))</f>
        <v/>
      </c>
      <c r="Q870" s="28">
        <f>IF($A870="","",SUMIF('入金消込'!$F$5:$F$1004,$A870,'入金消込'!$H$5:$H$1004)+SUMIF('入金消込'!$F$5:$F$1004,$A870,'入金消込'!$I$5:$I$1004))</f>
        <v/>
      </c>
      <c r="R870" s="28">
        <f>IF($A870="","",$L870-$P870-$Q870)</f>
        <v/>
      </c>
      <c r="S870" s="30">
        <f>IF($A870="","",IF($R870=0,IF($L870=0,"請求額0","回収済"),IF($L870&lt;0,IF($R870&lt;0,"差し引き待ち","差し引きすぎ"),IF($R870&lt;0,"入金が多い",IF($P870+$Q870=0,"未入金","一部入金")))))</f>
        <v/>
      </c>
      <c r="T870" s="31">
        <f>IF(OR($A870="",N($R870)&lt;=0,NOT(ISNUMBER($O870))),"",IF($O870&lt;'設定'!$B$7,'設定'!$B$7-$O870,""))</f>
        <v/>
      </c>
      <c r="U870" s="30">
        <f>IF(OR($A870="",N($R870)&lt;=0),"",IF(NOT(ISNUMBER($O870)),'設定'!$B$22,IF($O870&gt;='設定'!$B$7,'設定'!$B$17,IF('設定'!$B$7-$O870&lt;='設定'!$B$12,'設定'!$B$18,IF('設定'!$B$7-$O870&lt;='設定'!$B$13,'設定'!$B$19,IF('設定'!$B$7-$O870&lt;='設定'!$B$14,'設定'!$B$20,'設定'!$B$21))))))</f>
        <v/>
      </c>
      <c r="V870" s="56" t="n"/>
      <c r="W870" s="32">
        <f>IF($C870="","",IFERROR(MATCH($C870,'得意先'!$B$5:$B$104,0),"なし"))</f>
        <v/>
      </c>
      <c r="X870" s="33">
        <f>IF($A870="","",IF(ISNUMBER($E870),$E870,IF(ISNUMBER($B870),$B870,"")))</f>
        <v/>
      </c>
      <c r="Y870" s="34">
        <f>IF($T870="","",$O870+ROW()/1000000)</f>
        <v/>
      </c>
      <c r="Z870" s="35">
        <f>IF(OR($A870="",$C870="",$C870&lt;&gt;'売掛帳'!$B$3,NOT(ISNUMBER($X870))),"",IF(AND($X870&gt;='売掛帳'!$Q$3,$X870&lt;='売掛帳'!$Q$4),$X870+ROW()/10000000,""))</f>
        <v/>
      </c>
    </row>
    <row r="871" ht="18" customHeight="1">
      <c r="A871" s="18" t="n"/>
      <c r="B871" s="26" t="n"/>
      <c r="C871" s="18" t="n"/>
      <c r="D871" s="20">
        <f>IF($W871="","",IF($W871="なし","※得意先にないコード",INDEX('得意先'!$C$5:$C$104,$W871)&amp;""))</f>
        <v/>
      </c>
      <c r="E871" s="26" t="n"/>
      <c r="F871" s="19" t="n"/>
      <c r="G871" s="27" t="n"/>
      <c r="H871" s="27" t="n"/>
      <c r="I871" s="27" t="n"/>
      <c r="J871" s="28">
        <f>IF($A871="","",IF('設定'!$B$10="四捨五入",ROUND(IF('設定'!$B$9="税込",N($G871)*10/110,N($G871)*10/100),0),IF('設定'!$B$10="切り上げ",ROUNDUP(IF('設定'!$B$9="税込",N($G871)*10/110,N($G871)*10/100),0),ROUNDDOWN(IF('設定'!$B$9="税込",N($G871)*10/110,N($G871)*10/100),0))))</f>
        <v/>
      </c>
      <c r="K871" s="28">
        <f>IF($A871="","",IF('設定'!$B$10="四捨五入",ROUND(IF('設定'!$B$9="税込",N($H871)*8/108,N($H871)*8/100),0),IF('設定'!$B$10="切り上げ",ROUNDUP(IF('設定'!$B$9="税込",N($H871)*8/108,N($H871)*8/100),0),ROUNDDOWN(IF('設定'!$B$9="税込",N($H871)*8/108,N($H871)*8/100),0))))</f>
        <v/>
      </c>
      <c r="L871" s="28">
        <f>IF($A871="","",N($G871)+N($H871)+N($I871)+IF('設定'!$B$9="税込",0,$J871+$K871))</f>
        <v/>
      </c>
      <c r="M871" s="29">
        <f>IF(OR($A871="",NOT(ISNUMBER($W871)),NOT(ISNUMBER($X871))),"",IF(OR(INDEX('得意先'!$D$5:$D$104,$W871)="",INDEX('得意先'!$E$5:$E$104,$W871)="",INDEX('得意先'!$F$5:$F$104,$W871)=""),"",IF(INDEX('得意先'!$F$5:$F$104,$W871)="末",DATE(YEAR($X871),(MONTH($X871)+IF(INDEX('得意先'!$D$5:$D$104,$W871)="末",0,IF(DAY($X871)&lt;=INDEX('得意先'!$D$5:$D$104,$W871),0,1))+N(INDEX('得意先'!$E$5:$E$104,$W871)))+1,0),DATE(YEAR($X871),(MONTH($X871)+IF(INDEX('得意先'!$D$5:$D$104,$W871)="末",0,IF(DAY($X871)&lt;=INDEX('得意先'!$D$5:$D$104,$W871),0,1))+N(INDEX('得意先'!$E$5:$E$104,$W871))),MIN(INDEX('得意先'!$F$5:$F$104,$W871),DAY(DATE(YEAR($X871),(MONTH($X871)+IF(INDEX('得意先'!$D$5:$D$104,$W871)="末",0,IF(DAY($X871)&lt;=INDEX('得意先'!$D$5:$D$104,$W871),0,1))+N(INDEX('得意先'!$E$5:$E$104,$W871)))+1,0)))))))</f>
        <v/>
      </c>
      <c r="N871" s="26" t="n"/>
      <c r="O871" s="29">
        <f>IF($A871="","",IF(ISNUMBER($N871),$N871,$M871))</f>
        <v/>
      </c>
      <c r="P871" s="28">
        <f>IF($A871="","",SUMIF('入金消込'!$F$5:$F$1004,$A871,'入金消込'!$G$5:$G$1004))</f>
        <v/>
      </c>
      <c r="Q871" s="28">
        <f>IF($A871="","",SUMIF('入金消込'!$F$5:$F$1004,$A871,'入金消込'!$H$5:$H$1004)+SUMIF('入金消込'!$F$5:$F$1004,$A871,'入金消込'!$I$5:$I$1004))</f>
        <v/>
      </c>
      <c r="R871" s="28">
        <f>IF($A871="","",$L871-$P871-$Q871)</f>
        <v/>
      </c>
      <c r="S871" s="30">
        <f>IF($A871="","",IF($R871=0,IF($L871=0,"請求額0","回収済"),IF($L871&lt;0,IF($R871&lt;0,"差し引き待ち","差し引きすぎ"),IF($R871&lt;0,"入金が多い",IF($P871+$Q871=0,"未入金","一部入金")))))</f>
        <v/>
      </c>
      <c r="T871" s="31">
        <f>IF(OR($A871="",N($R871)&lt;=0,NOT(ISNUMBER($O871))),"",IF($O871&lt;'設定'!$B$7,'設定'!$B$7-$O871,""))</f>
        <v/>
      </c>
      <c r="U871" s="30">
        <f>IF(OR($A871="",N($R871)&lt;=0),"",IF(NOT(ISNUMBER($O871)),'設定'!$B$22,IF($O871&gt;='設定'!$B$7,'設定'!$B$17,IF('設定'!$B$7-$O871&lt;='設定'!$B$12,'設定'!$B$18,IF('設定'!$B$7-$O871&lt;='設定'!$B$13,'設定'!$B$19,IF('設定'!$B$7-$O871&lt;='設定'!$B$14,'設定'!$B$20,'設定'!$B$21))))))</f>
        <v/>
      </c>
      <c r="V871" s="56" t="n"/>
      <c r="W871" s="32">
        <f>IF($C871="","",IFERROR(MATCH($C871,'得意先'!$B$5:$B$104,0),"なし"))</f>
        <v/>
      </c>
      <c r="X871" s="33">
        <f>IF($A871="","",IF(ISNUMBER($E871),$E871,IF(ISNUMBER($B871),$B871,"")))</f>
        <v/>
      </c>
      <c r="Y871" s="34">
        <f>IF($T871="","",$O871+ROW()/1000000)</f>
        <v/>
      </c>
      <c r="Z871" s="35">
        <f>IF(OR($A871="",$C871="",$C871&lt;&gt;'売掛帳'!$B$3,NOT(ISNUMBER($X871))),"",IF(AND($X871&gt;='売掛帳'!$Q$3,$X871&lt;='売掛帳'!$Q$4),$X871+ROW()/10000000,""))</f>
        <v/>
      </c>
    </row>
    <row r="872" ht="18" customHeight="1">
      <c r="A872" s="18" t="n"/>
      <c r="B872" s="26" t="n"/>
      <c r="C872" s="18" t="n"/>
      <c r="D872" s="20">
        <f>IF($W872="","",IF($W872="なし","※得意先にないコード",INDEX('得意先'!$C$5:$C$104,$W872)&amp;""))</f>
        <v/>
      </c>
      <c r="E872" s="26" t="n"/>
      <c r="F872" s="19" t="n"/>
      <c r="G872" s="27" t="n"/>
      <c r="H872" s="27" t="n"/>
      <c r="I872" s="27" t="n"/>
      <c r="J872" s="28">
        <f>IF($A872="","",IF('設定'!$B$10="四捨五入",ROUND(IF('設定'!$B$9="税込",N($G872)*10/110,N($G872)*10/100),0),IF('設定'!$B$10="切り上げ",ROUNDUP(IF('設定'!$B$9="税込",N($G872)*10/110,N($G872)*10/100),0),ROUNDDOWN(IF('設定'!$B$9="税込",N($G872)*10/110,N($G872)*10/100),0))))</f>
        <v/>
      </c>
      <c r="K872" s="28">
        <f>IF($A872="","",IF('設定'!$B$10="四捨五入",ROUND(IF('設定'!$B$9="税込",N($H872)*8/108,N($H872)*8/100),0),IF('設定'!$B$10="切り上げ",ROUNDUP(IF('設定'!$B$9="税込",N($H872)*8/108,N($H872)*8/100),0),ROUNDDOWN(IF('設定'!$B$9="税込",N($H872)*8/108,N($H872)*8/100),0))))</f>
        <v/>
      </c>
      <c r="L872" s="28">
        <f>IF($A872="","",N($G872)+N($H872)+N($I872)+IF('設定'!$B$9="税込",0,$J872+$K872))</f>
        <v/>
      </c>
      <c r="M872" s="29">
        <f>IF(OR($A872="",NOT(ISNUMBER($W872)),NOT(ISNUMBER($X872))),"",IF(OR(INDEX('得意先'!$D$5:$D$104,$W872)="",INDEX('得意先'!$E$5:$E$104,$W872)="",INDEX('得意先'!$F$5:$F$104,$W872)=""),"",IF(INDEX('得意先'!$F$5:$F$104,$W872)="末",DATE(YEAR($X872),(MONTH($X872)+IF(INDEX('得意先'!$D$5:$D$104,$W872)="末",0,IF(DAY($X872)&lt;=INDEX('得意先'!$D$5:$D$104,$W872),0,1))+N(INDEX('得意先'!$E$5:$E$104,$W872)))+1,0),DATE(YEAR($X872),(MONTH($X872)+IF(INDEX('得意先'!$D$5:$D$104,$W872)="末",0,IF(DAY($X872)&lt;=INDEX('得意先'!$D$5:$D$104,$W872),0,1))+N(INDEX('得意先'!$E$5:$E$104,$W872))),MIN(INDEX('得意先'!$F$5:$F$104,$W872),DAY(DATE(YEAR($X872),(MONTH($X872)+IF(INDEX('得意先'!$D$5:$D$104,$W872)="末",0,IF(DAY($X872)&lt;=INDEX('得意先'!$D$5:$D$104,$W872),0,1))+N(INDEX('得意先'!$E$5:$E$104,$W872)))+1,0)))))))</f>
        <v/>
      </c>
      <c r="N872" s="26" t="n"/>
      <c r="O872" s="29">
        <f>IF($A872="","",IF(ISNUMBER($N872),$N872,$M872))</f>
        <v/>
      </c>
      <c r="P872" s="28">
        <f>IF($A872="","",SUMIF('入金消込'!$F$5:$F$1004,$A872,'入金消込'!$G$5:$G$1004))</f>
        <v/>
      </c>
      <c r="Q872" s="28">
        <f>IF($A872="","",SUMIF('入金消込'!$F$5:$F$1004,$A872,'入金消込'!$H$5:$H$1004)+SUMIF('入金消込'!$F$5:$F$1004,$A872,'入金消込'!$I$5:$I$1004))</f>
        <v/>
      </c>
      <c r="R872" s="28">
        <f>IF($A872="","",$L872-$P872-$Q872)</f>
        <v/>
      </c>
      <c r="S872" s="30">
        <f>IF($A872="","",IF($R872=0,IF($L872=0,"請求額0","回収済"),IF($L872&lt;0,IF($R872&lt;0,"差し引き待ち","差し引きすぎ"),IF($R872&lt;0,"入金が多い",IF($P872+$Q872=0,"未入金","一部入金")))))</f>
        <v/>
      </c>
      <c r="T872" s="31">
        <f>IF(OR($A872="",N($R872)&lt;=0,NOT(ISNUMBER($O872))),"",IF($O872&lt;'設定'!$B$7,'設定'!$B$7-$O872,""))</f>
        <v/>
      </c>
      <c r="U872" s="30">
        <f>IF(OR($A872="",N($R872)&lt;=0),"",IF(NOT(ISNUMBER($O872)),'設定'!$B$22,IF($O872&gt;='設定'!$B$7,'設定'!$B$17,IF('設定'!$B$7-$O872&lt;='設定'!$B$12,'設定'!$B$18,IF('設定'!$B$7-$O872&lt;='設定'!$B$13,'設定'!$B$19,IF('設定'!$B$7-$O872&lt;='設定'!$B$14,'設定'!$B$20,'設定'!$B$21))))))</f>
        <v/>
      </c>
      <c r="V872" s="56" t="n"/>
      <c r="W872" s="32">
        <f>IF($C872="","",IFERROR(MATCH($C872,'得意先'!$B$5:$B$104,0),"なし"))</f>
        <v/>
      </c>
      <c r="X872" s="33">
        <f>IF($A872="","",IF(ISNUMBER($E872),$E872,IF(ISNUMBER($B872),$B872,"")))</f>
        <v/>
      </c>
      <c r="Y872" s="34">
        <f>IF($T872="","",$O872+ROW()/1000000)</f>
        <v/>
      </c>
      <c r="Z872" s="35">
        <f>IF(OR($A872="",$C872="",$C872&lt;&gt;'売掛帳'!$B$3,NOT(ISNUMBER($X872))),"",IF(AND($X872&gt;='売掛帳'!$Q$3,$X872&lt;='売掛帳'!$Q$4),$X872+ROW()/10000000,""))</f>
        <v/>
      </c>
    </row>
    <row r="873" ht="18" customHeight="1">
      <c r="A873" s="18" t="n"/>
      <c r="B873" s="26" t="n"/>
      <c r="C873" s="18" t="n"/>
      <c r="D873" s="20">
        <f>IF($W873="","",IF($W873="なし","※得意先にないコード",INDEX('得意先'!$C$5:$C$104,$W873)&amp;""))</f>
        <v/>
      </c>
      <c r="E873" s="26" t="n"/>
      <c r="F873" s="19" t="n"/>
      <c r="G873" s="27" t="n"/>
      <c r="H873" s="27" t="n"/>
      <c r="I873" s="27" t="n"/>
      <c r="J873" s="28">
        <f>IF($A873="","",IF('設定'!$B$10="四捨五入",ROUND(IF('設定'!$B$9="税込",N($G873)*10/110,N($G873)*10/100),0),IF('設定'!$B$10="切り上げ",ROUNDUP(IF('設定'!$B$9="税込",N($G873)*10/110,N($G873)*10/100),0),ROUNDDOWN(IF('設定'!$B$9="税込",N($G873)*10/110,N($G873)*10/100),0))))</f>
        <v/>
      </c>
      <c r="K873" s="28">
        <f>IF($A873="","",IF('設定'!$B$10="四捨五入",ROUND(IF('設定'!$B$9="税込",N($H873)*8/108,N($H873)*8/100),0),IF('設定'!$B$10="切り上げ",ROUNDUP(IF('設定'!$B$9="税込",N($H873)*8/108,N($H873)*8/100),0),ROUNDDOWN(IF('設定'!$B$9="税込",N($H873)*8/108,N($H873)*8/100),0))))</f>
        <v/>
      </c>
      <c r="L873" s="28">
        <f>IF($A873="","",N($G873)+N($H873)+N($I873)+IF('設定'!$B$9="税込",0,$J873+$K873))</f>
        <v/>
      </c>
      <c r="M873" s="29">
        <f>IF(OR($A873="",NOT(ISNUMBER($W873)),NOT(ISNUMBER($X873))),"",IF(OR(INDEX('得意先'!$D$5:$D$104,$W873)="",INDEX('得意先'!$E$5:$E$104,$W873)="",INDEX('得意先'!$F$5:$F$104,$W873)=""),"",IF(INDEX('得意先'!$F$5:$F$104,$W873)="末",DATE(YEAR($X873),(MONTH($X873)+IF(INDEX('得意先'!$D$5:$D$104,$W873)="末",0,IF(DAY($X873)&lt;=INDEX('得意先'!$D$5:$D$104,$W873),0,1))+N(INDEX('得意先'!$E$5:$E$104,$W873)))+1,0),DATE(YEAR($X873),(MONTH($X873)+IF(INDEX('得意先'!$D$5:$D$104,$W873)="末",0,IF(DAY($X873)&lt;=INDEX('得意先'!$D$5:$D$104,$W873),0,1))+N(INDEX('得意先'!$E$5:$E$104,$W873))),MIN(INDEX('得意先'!$F$5:$F$104,$W873),DAY(DATE(YEAR($X873),(MONTH($X873)+IF(INDEX('得意先'!$D$5:$D$104,$W873)="末",0,IF(DAY($X873)&lt;=INDEX('得意先'!$D$5:$D$104,$W873),0,1))+N(INDEX('得意先'!$E$5:$E$104,$W873)))+1,0)))))))</f>
        <v/>
      </c>
      <c r="N873" s="26" t="n"/>
      <c r="O873" s="29">
        <f>IF($A873="","",IF(ISNUMBER($N873),$N873,$M873))</f>
        <v/>
      </c>
      <c r="P873" s="28">
        <f>IF($A873="","",SUMIF('入金消込'!$F$5:$F$1004,$A873,'入金消込'!$G$5:$G$1004))</f>
        <v/>
      </c>
      <c r="Q873" s="28">
        <f>IF($A873="","",SUMIF('入金消込'!$F$5:$F$1004,$A873,'入金消込'!$H$5:$H$1004)+SUMIF('入金消込'!$F$5:$F$1004,$A873,'入金消込'!$I$5:$I$1004))</f>
        <v/>
      </c>
      <c r="R873" s="28">
        <f>IF($A873="","",$L873-$P873-$Q873)</f>
        <v/>
      </c>
      <c r="S873" s="30">
        <f>IF($A873="","",IF($R873=0,IF($L873=0,"請求額0","回収済"),IF($L873&lt;0,IF($R873&lt;0,"差し引き待ち","差し引きすぎ"),IF($R873&lt;0,"入金が多い",IF($P873+$Q873=0,"未入金","一部入金")))))</f>
        <v/>
      </c>
      <c r="T873" s="31">
        <f>IF(OR($A873="",N($R873)&lt;=0,NOT(ISNUMBER($O873))),"",IF($O873&lt;'設定'!$B$7,'設定'!$B$7-$O873,""))</f>
        <v/>
      </c>
      <c r="U873" s="30">
        <f>IF(OR($A873="",N($R873)&lt;=0),"",IF(NOT(ISNUMBER($O873)),'設定'!$B$22,IF($O873&gt;='設定'!$B$7,'設定'!$B$17,IF('設定'!$B$7-$O873&lt;='設定'!$B$12,'設定'!$B$18,IF('設定'!$B$7-$O873&lt;='設定'!$B$13,'設定'!$B$19,IF('設定'!$B$7-$O873&lt;='設定'!$B$14,'設定'!$B$20,'設定'!$B$21))))))</f>
        <v/>
      </c>
      <c r="V873" s="56" t="n"/>
      <c r="W873" s="32">
        <f>IF($C873="","",IFERROR(MATCH($C873,'得意先'!$B$5:$B$104,0),"なし"))</f>
        <v/>
      </c>
      <c r="X873" s="33">
        <f>IF($A873="","",IF(ISNUMBER($E873),$E873,IF(ISNUMBER($B873),$B873,"")))</f>
        <v/>
      </c>
      <c r="Y873" s="34">
        <f>IF($T873="","",$O873+ROW()/1000000)</f>
        <v/>
      </c>
      <c r="Z873" s="35">
        <f>IF(OR($A873="",$C873="",$C873&lt;&gt;'売掛帳'!$B$3,NOT(ISNUMBER($X873))),"",IF(AND($X873&gt;='売掛帳'!$Q$3,$X873&lt;='売掛帳'!$Q$4),$X873+ROW()/10000000,""))</f>
        <v/>
      </c>
    </row>
    <row r="874" ht="18" customHeight="1">
      <c r="A874" s="18" t="n"/>
      <c r="B874" s="26" t="n"/>
      <c r="C874" s="18" t="n"/>
      <c r="D874" s="20">
        <f>IF($W874="","",IF($W874="なし","※得意先にないコード",INDEX('得意先'!$C$5:$C$104,$W874)&amp;""))</f>
        <v/>
      </c>
      <c r="E874" s="26" t="n"/>
      <c r="F874" s="19" t="n"/>
      <c r="G874" s="27" t="n"/>
      <c r="H874" s="27" t="n"/>
      <c r="I874" s="27" t="n"/>
      <c r="J874" s="28">
        <f>IF($A874="","",IF('設定'!$B$10="四捨五入",ROUND(IF('設定'!$B$9="税込",N($G874)*10/110,N($G874)*10/100),0),IF('設定'!$B$10="切り上げ",ROUNDUP(IF('設定'!$B$9="税込",N($G874)*10/110,N($G874)*10/100),0),ROUNDDOWN(IF('設定'!$B$9="税込",N($G874)*10/110,N($G874)*10/100),0))))</f>
        <v/>
      </c>
      <c r="K874" s="28">
        <f>IF($A874="","",IF('設定'!$B$10="四捨五入",ROUND(IF('設定'!$B$9="税込",N($H874)*8/108,N($H874)*8/100),0),IF('設定'!$B$10="切り上げ",ROUNDUP(IF('設定'!$B$9="税込",N($H874)*8/108,N($H874)*8/100),0),ROUNDDOWN(IF('設定'!$B$9="税込",N($H874)*8/108,N($H874)*8/100),0))))</f>
        <v/>
      </c>
      <c r="L874" s="28">
        <f>IF($A874="","",N($G874)+N($H874)+N($I874)+IF('設定'!$B$9="税込",0,$J874+$K874))</f>
        <v/>
      </c>
      <c r="M874" s="29">
        <f>IF(OR($A874="",NOT(ISNUMBER($W874)),NOT(ISNUMBER($X874))),"",IF(OR(INDEX('得意先'!$D$5:$D$104,$W874)="",INDEX('得意先'!$E$5:$E$104,$W874)="",INDEX('得意先'!$F$5:$F$104,$W874)=""),"",IF(INDEX('得意先'!$F$5:$F$104,$W874)="末",DATE(YEAR($X874),(MONTH($X874)+IF(INDEX('得意先'!$D$5:$D$104,$W874)="末",0,IF(DAY($X874)&lt;=INDEX('得意先'!$D$5:$D$104,$W874),0,1))+N(INDEX('得意先'!$E$5:$E$104,$W874)))+1,0),DATE(YEAR($X874),(MONTH($X874)+IF(INDEX('得意先'!$D$5:$D$104,$W874)="末",0,IF(DAY($X874)&lt;=INDEX('得意先'!$D$5:$D$104,$W874),0,1))+N(INDEX('得意先'!$E$5:$E$104,$W874))),MIN(INDEX('得意先'!$F$5:$F$104,$W874),DAY(DATE(YEAR($X874),(MONTH($X874)+IF(INDEX('得意先'!$D$5:$D$104,$W874)="末",0,IF(DAY($X874)&lt;=INDEX('得意先'!$D$5:$D$104,$W874),0,1))+N(INDEX('得意先'!$E$5:$E$104,$W874)))+1,0)))))))</f>
        <v/>
      </c>
      <c r="N874" s="26" t="n"/>
      <c r="O874" s="29">
        <f>IF($A874="","",IF(ISNUMBER($N874),$N874,$M874))</f>
        <v/>
      </c>
      <c r="P874" s="28">
        <f>IF($A874="","",SUMIF('入金消込'!$F$5:$F$1004,$A874,'入金消込'!$G$5:$G$1004))</f>
        <v/>
      </c>
      <c r="Q874" s="28">
        <f>IF($A874="","",SUMIF('入金消込'!$F$5:$F$1004,$A874,'入金消込'!$H$5:$H$1004)+SUMIF('入金消込'!$F$5:$F$1004,$A874,'入金消込'!$I$5:$I$1004))</f>
        <v/>
      </c>
      <c r="R874" s="28">
        <f>IF($A874="","",$L874-$P874-$Q874)</f>
        <v/>
      </c>
      <c r="S874" s="30">
        <f>IF($A874="","",IF($R874=0,IF($L874=0,"請求額0","回収済"),IF($L874&lt;0,IF($R874&lt;0,"差し引き待ち","差し引きすぎ"),IF($R874&lt;0,"入金が多い",IF($P874+$Q874=0,"未入金","一部入金")))))</f>
        <v/>
      </c>
      <c r="T874" s="31">
        <f>IF(OR($A874="",N($R874)&lt;=0,NOT(ISNUMBER($O874))),"",IF($O874&lt;'設定'!$B$7,'設定'!$B$7-$O874,""))</f>
        <v/>
      </c>
      <c r="U874" s="30">
        <f>IF(OR($A874="",N($R874)&lt;=0),"",IF(NOT(ISNUMBER($O874)),'設定'!$B$22,IF($O874&gt;='設定'!$B$7,'設定'!$B$17,IF('設定'!$B$7-$O874&lt;='設定'!$B$12,'設定'!$B$18,IF('設定'!$B$7-$O874&lt;='設定'!$B$13,'設定'!$B$19,IF('設定'!$B$7-$O874&lt;='設定'!$B$14,'設定'!$B$20,'設定'!$B$21))))))</f>
        <v/>
      </c>
      <c r="V874" s="56" t="n"/>
      <c r="W874" s="32">
        <f>IF($C874="","",IFERROR(MATCH($C874,'得意先'!$B$5:$B$104,0),"なし"))</f>
        <v/>
      </c>
      <c r="X874" s="33">
        <f>IF($A874="","",IF(ISNUMBER($E874),$E874,IF(ISNUMBER($B874),$B874,"")))</f>
        <v/>
      </c>
      <c r="Y874" s="34">
        <f>IF($T874="","",$O874+ROW()/1000000)</f>
        <v/>
      </c>
      <c r="Z874" s="35">
        <f>IF(OR($A874="",$C874="",$C874&lt;&gt;'売掛帳'!$B$3,NOT(ISNUMBER($X874))),"",IF(AND($X874&gt;='売掛帳'!$Q$3,$X874&lt;='売掛帳'!$Q$4),$X874+ROW()/10000000,""))</f>
        <v/>
      </c>
    </row>
    <row r="875" ht="18" customHeight="1">
      <c r="A875" s="18" t="n"/>
      <c r="B875" s="26" t="n"/>
      <c r="C875" s="18" t="n"/>
      <c r="D875" s="20">
        <f>IF($W875="","",IF($W875="なし","※得意先にないコード",INDEX('得意先'!$C$5:$C$104,$W875)&amp;""))</f>
        <v/>
      </c>
      <c r="E875" s="26" t="n"/>
      <c r="F875" s="19" t="n"/>
      <c r="G875" s="27" t="n"/>
      <c r="H875" s="27" t="n"/>
      <c r="I875" s="27" t="n"/>
      <c r="J875" s="28">
        <f>IF($A875="","",IF('設定'!$B$10="四捨五入",ROUND(IF('設定'!$B$9="税込",N($G875)*10/110,N($G875)*10/100),0),IF('設定'!$B$10="切り上げ",ROUNDUP(IF('設定'!$B$9="税込",N($G875)*10/110,N($G875)*10/100),0),ROUNDDOWN(IF('設定'!$B$9="税込",N($G875)*10/110,N($G875)*10/100),0))))</f>
        <v/>
      </c>
      <c r="K875" s="28">
        <f>IF($A875="","",IF('設定'!$B$10="四捨五入",ROUND(IF('設定'!$B$9="税込",N($H875)*8/108,N($H875)*8/100),0),IF('設定'!$B$10="切り上げ",ROUNDUP(IF('設定'!$B$9="税込",N($H875)*8/108,N($H875)*8/100),0),ROUNDDOWN(IF('設定'!$B$9="税込",N($H875)*8/108,N($H875)*8/100),0))))</f>
        <v/>
      </c>
      <c r="L875" s="28">
        <f>IF($A875="","",N($G875)+N($H875)+N($I875)+IF('設定'!$B$9="税込",0,$J875+$K875))</f>
        <v/>
      </c>
      <c r="M875" s="29">
        <f>IF(OR($A875="",NOT(ISNUMBER($W875)),NOT(ISNUMBER($X875))),"",IF(OR(INDEX('得意先'!$D$5:$D$104,$W875)="",INDEX('得意先'!$E$5:$E$104,$W875)="",INDEX('得意先'!$F$5:$F$104,$W875)=""),"",IF(INDEX('得意先'!$F$5:$F$104,$W875)="末",DATE(YEAR($X875),(MONTH($X875)+IF(INDEX('得意先'!$D$5:$D$104,$W875)="末",0,IF(DAY($X875)&lt;=INDEX('得意先'!$D$5:$D$104,$W875),0,1))+N(INDEX('得意先'!$E$5:$E$104,$W875)))+1,0),DATE(YEAR($X875),(MONTH($X875)+IF(INDEX('得意先'!$D$5:$D$104,$W875)="末",0,IF(DAY($X875)&lt;=INDEX('得意先'!$D$5:$D$104,$W875),0,1))+N(INDEX('得意先'!$E$5:$E$104,$W875))),MIN(INDEX('得意先'!$F$5:$F$104,$W875),DAY(DATE(YEAR($X875),(MONTH($X875)+IF(INDEX('得意先'!$D$5:$D$104,$W875)="末",0,IF(DAY($X875)&lt;=INDEX('得意先'!$D$5:$D$104,$W875),0,1))+N(INDEX('得意先'!$E$5:$E$104,$W875)))+1,0)))))))</f>
        <v/>
      </c>
      <c r="N875" s="26" t="n"/>
      <c r="O875" s="29">
        <f>IF($A875="","",IF(ISNUMBER($N875),$N875,$M875))</f>
        <v/>
      </c>
      <c r="P875" s="28">
        <f>IF($A875="","",SUMIF('入金消込'!$F$5:$F$1004,$A875,'入金消込'!$G$5:$G$1004))</f>
        <v/>
      </c>
      <c r="Q875" s="28">
        <f>IF($A875="","",SUMIF('入金消込'!$F$5:$F$1004,$A875,'入金消込'!$H$5:$H$1004)+SUMIF('入金消込'!$F$5:$F$1004,$A875,'入金消込'!$I$5:$I$1004))</f>
        <v/>
      </c>
      <c r="R875" s="28">
        <f>IF($A875="","",$L875-$P875-$Q875)</f>
        <v/>
      </c>
      <c r="S875" s="30">
        <f>IF($A875="","",IF($R875=0,IF($L875=0,"請求額0","回収済"),IF($L875&lt;0,IF($R875&lt;0,"差し引き待ち","差し引きすぎ"),IF($R875&lt;0,"入金が多い",IF($P875+$Q875=0,"未入金","一部入金")))))</f>
        <v/>
      </c>
      <c r="T875" s="31">
        <f>IF(OR($A875="",N($R875)&lt;=0,NOT(ISNUMBER($O875))),"",IF($O875&lt;'設定'!$B$7,'設定'!$B$7-$O875,""))</f>
        <v/>
      </c>
      <c r="U875" s="30">
        <f>IF(OR($A875="",N($R875)&lt;=0),"",IF(NOT(ISNUMBER($O875)),'設定'!$B$22,IF($O875&gt;='設定'!$B$7,'設定'!$B$17,IF('設定'!$B$7-$O875&lt;='設定'!$B$12,'設定'!$B$18,IF('設定'!$B$7-$O875&lt;='設定'!$B$13,'設定'!$B$19,IF('設定'!$B$7-$O875&lt;='設定'!$B$14,'設定'!$B$20,'設定'!$B$21))))))</f>
        <v/>
      </c>
      <c r="V875" s="56" t="n"/>
      <c r="W875" s="32">
        <f>IF($C875="","",IFERROR(MATCH($C875,'得意先'!$B$5:$B$104,0),"なし"))</f>
        <v/>
      </c>
      <c r="X875" s="33">
        <f>IF($A875="","",IF(ISNUMBER($E875),$E875,IF(ISNUMBER($B875),$B875,"")))</f>
        <v/>
      </c>
      <c r="Y875" s="34">
        <f>IF($T875="","",$O875+ROW()/1000000)</f>
        <v/>
      </c>
      <c r="Z875" s="35">
        <f>IF(OR($A875="",$C875="",$C875&lt;&gt;'売掛帳'!$B$3,NOT(ISNUMBER($X875))),"",IF(AND($X875&gt;='売掛帳'!$Q$3,$X875&lt;='売掛帳'!$Q$4),$X875+ROW()/10000000,""))</f>
        <v/>
      </c>
    </row>
    <row r="876" ht="18" customHeight="1">
      <c r="A876" s="18" t="n"/>
      <c r="B876" s="26" t="n"/>
      <c r="C876" s="18" t="n"/>
      <c r="D876" s="20">
        <f>IF($W876="","",IF($W876="なし","※得意先にないコード",INDEX('得意先'!$C$5:$C$104,$W876)&amp;""))</f>
        <v/>
      </c>
      <c r="E876" s="26" t="n"/>
      <c r="F876" s="19" t="n"/>
      <c r="G876" s="27" t="n"/>
      <c r="H876" s="27" t="n"/>
      <c r="I876" s="27" t="n"/>
      <c r="J876" s="28">
        <f>IF($A876="","",IF('設定'!$B$10="四捨五入",ROUND(IF('設定'!$B$9="税込",N($G876)*10/110,N($G876)*10/100),0),IF('設定'!$B$10="切り上げ",ROUNDUP(IF('設定'!$B$9="税込",N($G876)*10/110,N($G876)*10/100),0),ROUNDDOWN(IF('設定'!$B$9="税込",N($G876)*10/110,N($G876)*10/100),0))))</f>
        <v/>
      </c>
      <c r="K876" s="28">
        <f>IF($A876="","",IF('設定'!$B$10="四捨五入",ROUND(IF('設定'!$B$9="税込",N($H876)*8/108,N($H876)*8/100),0),IF('設定'!$B$10="切り上げ",ROUNDUP(IF('設定'!$B$9="税込",N($H876)*8/108,N($H876)*8/100),0),ROUNDDOWN(IF('設定'!$B$9="税込",N($H876)*8/108,N($H876)*8/100),0))))</f>
        <v/>
      </c>
      <c r="L876" s="28">
        <f>IF($A876="","",N($G876)+N($H876)+N($I876)+IF('設定'!$B$9="税込",0,$J876+$K876))</f>
        <v/>
      </c>
      <c r="M876" s="29">
        <f>IF(OR($A876="",NOT(ISNUMBER($W876)),NOT(ISNUMBER($X876))),"",IF(OR(INDEX('得意先'!$D$5:$D$104,$W876)="",INDEX('得意先'!$E$5:$E$104,$W876)="",INDEX('得意先'!$F$5:$F$104,$W876)=""),"",IF(INDEX('得意先'!$F$5:$F$104,$W876)="末",DATE(YEAR($X876),(MONTH($X876)+IF(INDEX('得意先'!$D$5:$D$104,$W876)="末",0,IF(DAY($X876)&lt;=INDEX('得意先'!$D$5:$D$104,$W876),0,1))+N(INDEX('得意先'!$E$5:$E$104,$W876)))+1,0),DATE(YEAR($X876),(MONTH($X876)+IF(INDEX('得意先'!$D$5:$D$104,$W876)="末",0,IF(DAY($X876)&lt;=INDEX('得意先'!$D$5:$D$104,$W876),0,1))+N(INDEX('得意先'!$E$5:$E$104,$W876))),MIN(INDEX('得意先'!$F$5:$F$104,$W876),DAY(DATE(YEAR($X876),(MONTH($X876)+IF(INDEX('得意先'!$D$5:$D$104,$W876)="末",0,IF(DAY($X876)&lt;=INDEX('得意先'!$D$5:$D$104,$W876),0,1))+N(INDEX('得意先'!$E$5:$E$104,$W876)))+1,0)))))))</f>
        <v/>
      </c>
      <c r="N876" s="26" t="n"/>
      <c r="O876" s="29">
        <f>IF($A876="","",IF(ISNUMBER($N876),$N876,$M876))</f>
        <v/>
      </c>
      <c r="P876" s="28">
        <f>IF($A876="","",SUMIF('入金消込'!$F$5:$F$1004,$A876,'入金消込'!$G$5:$G$1004))</f>
        <v/>
      </c>
      <c r="Q876" s="28">
        <f>IF($A876="","",SUMIF('入金消込'!$F$5:$F$1004,$A876,'入金消込'!$H$5:$H$1004)+SUMIF('入金消込'!$F$5:$F$1004,$A876,'入金消込'!$I$5:$I$1004))</f>
        <v/>
      </c>
      <c r="R876" s="28">
        <f>IF($A876="","",$L876-$P876-$Q876)</f>
        <v/>
      </c>
      <c r="S876" s="30">
        <f>IF($A876="","",IF($R876=0,IF($L876=0,"請求額0","回収済"),IF($L876&lt;0,IF($R876&lt;0,"差し引き待ち","差し引きすぎ"),IF($R876&lt;0,"入金が多い",IF($P876+$Q876=0,"未入金","一部入金")))))</f>
        <v/>
      </c>
      <c r="T876" s="31">
        <f>IF(OR($A876="",N($R876)&lt;=0,NOT(ISNUMBER($O876))),"",IF($O876&lt;'設定'!$B$7,'設定'!$B$7-$O876,""))</f>
        <v/>
      </c>
      <c r="U876" s="30">
        <f>IF(OR($A876="",N($R876)&lt;=0),"",IF(NOT(ISNUMBER($O876)),'設定'!$B$22,IF($O876&gt;='設定'!$B$7,'設定'!$B$17,IF('設定'!$B$7-$O876&lt;='設定'!$B$12,'設定'!$B$18,IF('設定'!$B$7-$O876&lt;='設定'!$B$13,'設定'!$B$19,IF('設定'!$B$7-$O876&lt;='設定'!$B$14,'設定'!$B$20,'設定'!$B$21))))))</f>
        <v/>
      </c>
      <c r="V876" s="56" t="n"/>
      <c r="W876" s="32">
        <f>IF($C876="","",IFERROR(MATCH($C876,'得意先'!$B$5:$B$104,0),"なし"))</f>
        <v/>
      </c>
      <c r="X876" s="33">
        <f>IF($A876="","",IF(ISNUMBER($E876),$E876,IF(ISNUMBER($B876),$B876,"")))</f>
        <v/>
      </c>
      <c r="Y876" s="34">
        <f>IF($T876="","",$O876+ROW()/1000000)</f>
        <v/>
      </c>
      <c r="Z876" s="35">
        <f>IF(OR($A876="",$C876="",$C876&lt;&gt;'売掛帳'!$B$3,NOT(ISNUMBER($X876))),"",IF(AND($X876&gt;='売掛帳'!$Q$3,$X876&lt;='売掛帳'!$Q$4),$X876+ROW()/10000000,""))</f>
        <v/>
      </c>
    </row>
    <row r="877" ht="18" customHeight="1">
      <c r="A877" s="18" t="n"/>
      <c r="B877" s="26" t="n"/>
      <c r="C877" s="18" t="n"/>
      <c r="D877" s="20">
        <f>IF($W877="","",IF($W877="なし","※得意先にないコード",INDEX('得意先'!$C$5:$C$104,$W877)&amp;""))</f>
        <v/>
      </c>
      <c r="E877" s="26" t="n"/>
      <c r="F877" s="19" t="n"/>
      <c r="G877" s="27" t="n"/>
      <c r="H877" s="27" t="n"/>
      <c r="I877" s="27" t="n"/>
      <c r="J877" s="28">
        <f>IF($A877="","",IF('設定'!$B$10="四捨五入",ROUND(IF('設定'!$B$9="税込",N($G877)*10/110,N($G877)*10/100),0),IF('設定'!$B$10="切り上げ",ROUNDUP(IF('設定'!$B$9="税込",N($G877)*10/110,N($G877)*10/100),0),ROUNDDOWN(IF('設定'!$B$9="税込",N($G877)*10/110,N($G877)*10/100),0))))</f>
        <v/>
      </c>
      <c r="K877" s="28">
        <f>IF($A877="","",IF('設定'!$B$10="四捨五入",ROUND(IF('設定'!$B$9="税込",N($H877)*8/108,N($H877)*8/100),0),IF('設定'!$B$10="切り上げ",ROUNDUP(IF('設定'!$B$9="税込",N($H877)*8/108,N($H877)*8/100),0),ROUNDDOWN(IF('設定'!$B$9="税込",N($H877)*8/108,N($H877)*8/100),0))))</f>
        <v/>
      </c>
      <c r="L877" s="28">
        <f>IF($A877="","",N($G877)+N($H877)+N($I877)+IF('設定'!$B$9="税込",0,$J877+$K877))</f>
        <v/>
      </c>
      <c r="M877" s="29">
        <f>IF(OR($A877="",NOT(ISNUMBER($W877)),NOT(ISNUMBER($X877))),"",IF(OR(INDEX('得意先'!$D$5:$D$104,$W877)="",INDEX('得意先'!$E$5:$E$104,$W877)="",INDEX('得意先'!$F$5:$F$104,$W877)=""),"",IF(INDEX('得意先'!$F$5:$F$104,$W877)="末",DATE(YEAR($X877),(MONTH($X877)+IF(INDEX('得意先'!$D$5:$D$104,$W877)="末",0,IF(DAY($X877)&lt;=INDEX('得意先'!$D$5:$D$104,$W877),0,1))+N(INDEX('得意先'!$E$5:$E$104,$W877)))+1,0),DATE(YEAR($X877),(MONTH($X877)+IF(INDEX('得意先'!$D$5:$D$104,$W877)="末",0,IF(DAY($X877)&lt;=INDEX('得意先'!$D$5:$D$104,$W877),0,1))+N(INDEX('得意先'!$E$5:$E$104,$W877))),MIN(INDEX('得意先'!$F$5:$F$104,$W877),DAY(DATE(YEAR($X877),(MONTH($X877)+IF(INDEX('得意先'!$D$5:$D$104,$W877)="末",0,IF(DAY($X877)&lt;=INDEX('得意先'!$D$5:$D$104,$W877),0,1))+N(INDEX('得意先'!$E$5:$E$104,$W877)))+1,0)))))))</f>
        <v/>
      </c>
      <c r="N877" s="26" t="n"/>
      <c r="O877" s="29">
        <f>IF($A877="","",IF(ISNUMBER($N877),$N877,$M877))</f>
        <v/>
      </c>
      <c r="P877" s="28">
        <f>IF($A877="","",SUMIF('入金消込'!$F$5:$F$1004,$A877,'入金消込'!$G$5:$G$1004))</f>
        <v/>
      </c>
      <c r="Q877" s="28">
        <f>IF($A877="","",SUMIF('入金消込'!$F$5:$F$1004,$A877,'入金消込'!$H$5:$H$1004)+SUMIF('入金消込'!$F$5:$F$1004,$A877,'入金消込'!$I$5:$I$1004))</f>
        <v/>
      </c>
      <c r="R877" s="28">
        <f>IF($A877="","",$L877-$P877-$Q877)</f>
        <v/>
      </c>
      <c r="S877" s="30">
        <f>IF($A877="","",IF($R877=0,IF($L877=0,"請求額0","回収済"),IF($L877&lt;0,IF($R877&lt;0,"差し引き待ち","差し引きすぎ"),IF($R877&lt;0,"入金が多い",IF($P877+$Q877=0,"未入金","一部入金")))))</f>
        <v/>
      </c>
      <c r="T877" s="31">
        <f>IF(OR($A877="",N($R877)&lt;=0,NOT(ISNUMBER($O877))),"",IF($O877&lt;'設定'!$B$7,'設定'!$B$7-$O877,""))</f>
        <v/>
      </c>
      <c r="U877" s="30">
        <f>IF(OR($A877="",N($R877)&lt;=0),"",IF(NOT(ISNUMBER($O877)),'設定'!$B$22,IF($O877&gt;='設定'!$B$7,'設定'!$B$17,IF('設定'!$B$7-$O877&lt;='設定'!$B$12,'設定'!$B$18,IF('設定'!$B$7-$O877&lt;='設定'!$B$13,'設定'!$B$19,IF('設定'!$B$7-$O877&lt;='設定'!$B$14,'設定'!$B$20,'設定'!$B$21))))))</f>
        <v/>
      </c>
      <c r="V877" s="56" t="n"/>
      <c r="W877" s="32">
        <f>IF($C877="","",IFERROR(MATCH($C877,'得意先'!$B$5:$B$104,0),"なし"))</f>
        <v/>
      </c>
      <c r="X877" s="33">
        <f>IF($A877="","",IF(ISNUMBER($E877),$E877,IF(ISNUMBER($B877),$B877,"")))</f>
        <v/>
      </c>
      <c r="Y877" s="34">
        <f>IF($T877="","",$O877+ROW()/1000000)</f>
        <v/>
      </c>
      <c r="Z877" s="35">
        <f>IF(OR($A877="",$C877="",$C877&lt;&gt;'売掛帳'!$B$3,NOT(ISNUMBER($X877))),"",IF(AND($X877&gt;='売掛帳'!$Q$3,$X877&lt;='売掛帳'!$Q$4),$X877+ROW()/10000000,""))</f>
        <v/>
      </c>
    </row>
    <row r="878" ht="18" customHeight="1">
      <c r="A878" s="18" t="n"/>
      <c r="B878" s="26" t="n"/>
      <c r="C878" s="18" t="n"/>
      <c r="D878" s="20">
        <f>IF($W878="","",IF($W878="なし","※得意先にないコード",INDEX('得意先'!$C$5:$C$104,$W878)&amp;""))</f>
        <v/>
      </c>
      <c r="E878" s="26" t="n"/>
      <c r="F878" s="19" t="n"/>
      <c r="G878" s="27" t="n"/>
      <c r="H878" s="27" t="n"/>
      <c r="I878" s="27" t="n"/>
      <c r="J878" s="28">
        <f>IF($A878="","",IF('設定'!$B$10="四捨五入",ROUND(IF('設定'!$B$9="税込",N($G878)*10/110,N($G878)*10/100),0),IF('設定'!$B$10="切り上げ",ROUNDUP(IF('設定'!$B$9="税込",N($G878)*10/110,N($G878)*10/100),0),ROUNDDOWN(IF('設定'!$B$9="税込",N($G878)*10/110,N($G878)*10/100),0))))</f>
        <v/>
      </c>
      <c r="K878" s="28">
        <f>IF($A878="","",IF('設定'!$B$10="四捨五入",ROUND(IF('設定'!$B$9="税込",N($H878)*8/108,N($H878)*8/100),0),IF('設定'!$B$10="切り上げ",ROUNDUP(IF('設定'!$B$9="税込",N($H878)*8/108,N($H878)*8/100),0),ROUNDDOWN(IF('設定'!$B$9="税込",N($H878)*8/108,N($H878)*8/100),0))))</f>
        <v/>
      </c>
      <c r="L878" s="28">
        <f>IF($A878="","",N($G878)+N($H878)+N($I878)+IF('設定'!$B$9="税込",0,$J878+$K878))</f>
        <v/>
      </c>
      <c r="M878" s="29">
        <f>IF(OR($A878="",NOT(ISNUMBER($W878)),NOT(ISNUMBER($X878))),"",IF(OR(INDEX('得意先'!$D$5:$D$104,$W878)="",INDEX('得意先'!$E$5:$E$104,$W878)="",INDEX('得意先'!$F$5:$F$104,$W878)=""),"",IF(INDEX('得意先'!$F$5:$F$104,$W878)="末",DATE(YEAR($X878),(MONTH($X878)+IF(INDEX('得意先'!$D$5:$D$104,$W878)="末",0,IF(DAY($X878)&lt;=INDEX('得意先'!$D$5:$D$104,$W878),0,1))+N(INDEX('得意先'!$E$5:$E$104,$W878)))+1,0),DATE(YEAR($X878),(MONTH($X878)+IF(INDEX('得意先'!$D$5:$D$104,$W878)="末",0,IF(DAY($X878)&lt;=INDEX('得意先'!$D$5:$D$104,$W878),0,1))+N(INDEX('得意先'!$E$5:$E$104,$W878))),MIN(INDEX('得意先'!$F$5:$F$104,$W878),DAY(DATE(YEAR($X878),(MONTH($X878)+IF(INDEX('得意先'!$D$5:$D$104,$W878)="末",0,IF(DAY($X878)&lt;=INDEX('得意先'!$D$5:$D$104,$W878),0,1))+N(INDEX('得意先'!$E$5:$E$104,$W878)))+1,0)))))))</f>
        <v/>
      </c>
      <c r="N878" s="26" t="n"/>
      <c r="O878" s="29">
        <f>IF($A878="","",IF(ISNUMBER($N878),$N878,$M878))</f>
        <v/>
      </c>
      <c r="P878" s="28">
        <f>IF($A878="","",SUMIF('入金消込'!$F$5:$F$1004,$A878,'入金消込'!$G$5:$G$1004))</f>
        <v/>
      </c>
      <c r="Q878" s="28">
        <f>IF($A878="","",SUMIF('入金消込'!$F$5:$F$1004,$A878,'入金消込'!$H$5:$H$1004)+SUMIF('入金消込'!$F$5:$F$1004,$A878,'入金消込'!$I$5:$I$1004))</f>
        <v/>
      </c>
      <c r="R878" s="28">
        <f>IF($A878="","",$L878-$P878-$Q878)</f>
        <v/>
      </c>
      <c r="S878" s="30">
        <f>IF($A878="","",IF($R878=0,IF($L878=0,"請求額0","回収済"),IF($L878&lt;0,IF($R878&lt;0,"差し引き待ち","差し引きすぎ"),IF($R878&lt;0,"入金が多い",IF($P878+$Q878=0,"未入金","一部入金")))))</f>
        <v/>
      </c>
      <c r="T878" s="31">
        <f>IF(OR($A878="",N($R878)&lt;=0,NOT(ISNUMBER($O878))),"",IF($O878&lt;'設定'!$B$7,'設定'!$B$7-$O878,""))</f>
        <v/>
      </c>
      <c r="U878" s="30">
        <f>IF(OR($A878="",N($R878)&lt;=0),"",IF(NOT(ISNUMBER($O878)),'設定'!$B$22,IF($O878&gt;='設定'!$B$7,'設定'!$B$17,IF('設定'!$B$7-$O878&lt;='設定'!$B$12,'設定'!$B$18,IF('設定'!$B$7-$O878&lt;='設定'!$B$13,'設定'!$B$19,IF('設定'!$B$7-$O878&lt;='設定'!$B$14,'設定'!$B$20,'設定'!$B$21))))))</f>
        <v/>
      </c>
      <c r="V878" s="56" t="n"/>
      <c r="W878" s="32">
        <f>IF($C878="","",IFERROR(MATCH($C878,'得意先'!$B$5:$B$104,0),"なし"))</f>
        <v/>
      </c>
      <c r="X878" s="33">
        <f>IF($A878="","",IF(ISNUMBER($E878),$E878,IF(ISNUMBER($B878),$B878,"")))</f>
        <v/>
      </c>
      <c r="Y878" s="34">
        <f>IF($T878="","",$O878+ROW()/1000000)</f>
        <v/>
      </c>
      <c r="Z878" s="35">
        <f>IF(OR($A878="",$C878="",$C878&lt;&gt;'売掛帳'!$B$3,NOT(ISNUMBER($X878))),"",IF(AND($X878&gt;='売掛帳'!$Q$3,$X878&lt;='売掛帳'!$Q$4),$X878+ROW()/10000000,""))</f>
        <v/>
      </c>
    </row>
    <row r="879" ht="18" customHeight="1">
      <c r="A879" s="18" t="n"/>
      <c r="B879" s="26" t="n"/>
      <c r="C879" s="18" t="n"/>
      <c r="D879" s="20">
        <f>IF($W879="","",IF($W879="なし","※得意先にないコード",INDEX('得意先'!$C$5:$C$104,$W879)&amp;""))</f>
        <v/>
      </c>
      <c r="E879" s="26" t="n"/>
      <c r="F879" s="19" t="n"/>
      <c r="G879" s="27" t="n"/>
      <c r="H879" s="27" t="n"/>
      <c r="I879" s="27" t="n"/>
      <c r="J879" s="28">
        <f>IF($A879="","",IF('設定'!$B$10="四捨五入",ROUND(IF('設定'!$B$9="税込",N($G879)*10/110,N($G879)*10/100),0),IF('設定'!$B$10="切り上げ",ROUNDUP(IF('設定'!$B$9="税込",N($G879)*10/110,N($G879)*10/100),0),ROUNDDOWN(IF('設定'!$B$9="税込",N($G879)*10/110,N($G879)*10/100),0))))</f>
        <v/>
      </c>
      <c r="K879" s="28">
        <f>IF($A879="","",IF('設定'!$B$10="四捨五入",ROUND(IF('設定'!$B$9="税込",N($H879)*8/108,N($H879)*8/100),0),IF('設定'!$B$10="切り上げ",ROUNDUP(IF('設定'!$B$9="税込",N($H879)*8/108,N($H879)*8/100),0),ROUNDDOWN(IF('設定'!$B$9="税込",N($H879)*8/108,N($H879)*8/100),0))))</f>
        <v/>
      </c>
      <c r="L879" s="28">
        <f>IF($A879="","",N($G879)+N($H879)+N($I879)+IF('設定'!$B$9="税込",0,$J879+$K879))</f>
        <v/>
      </c>
      <c r="M879" s="29">
        <f>IF(OR($A879="",NOT(ISNUMBER($W879)),NOT(ISNUMBER($X879))),"",IF(OR(INDEX('得意先'!$D$5:$D$104,$W879)="",INDEX('得意先'!$E$5:$E$104,$W879)="",INDEX('得意先'!$F$5:$F$104,$W879)=""),"",IF(INDEX('得意先'!$F$5:$F$104,$W879)="末",DATE(YEAR($X879),(MONTH($X879)+IF(INDEX('得意先'!$D$5:$D$104,$W879)="末",0,IF(DAY($X879)&lt;=INDEX('得意先'!$D$5:$D$104,$W879),0,1))+N(INDEX('得意先'!$E$5:$E$104,$W879)))+1,0),DATE(YEAR($X879),(MONTH($X879)+IF(INDEX('得意先'!$D$5:$D$104,$W879)="末",0,IF(DAY($X879)&lt;=INDEX('得意先'!$D$5:$D$104,$W879),0,1))+N(INDEX('得意先'!$E$5:$E$104,$W879))),MIN(INDEX('得意先'!$F$5:$F$104,$W879),DAY(DATE(YEAR($X879),(MONTH($X879)+IF(INDEX('得意先'!$D$5:$D$104,$W879)="末",0,IF(DAY($X879)&lt;=INDEX('得意先'!$D$5:$D$104,$W879),0,1))+N(INDEX('得意先'!$E$5:$E$104,$W879)))+1,0)))))))</f>
        <v/>
      </c>
      <c r="N879" s="26" t="n"/>
      <c r="O879" s="29">
        <f>IF($A879="","",IF(ISNUMBER($N879),$N879,$M879))</f>
        <v/>
      </c>
      <c r="P879" s="28">
        <f>IF($A879="","",SUMIF('入金消込'!$F$5:$F$1004,$A879,'入金消込'!$G$5:$G$1004))</f>
        <v/>
      </c>
      <c r="Q879" s="28">
        <f>IF($A879="","",SUMIF('入金消込'!$F$5:$F$1004,$A879,'入金消込'!$H$5:$H$1004)+SUMIF('入金消込'!$F$5:$F$1004,$A879,'入金消込'!$I$5:$I$1004))</f>
        <v/>
      </c>
      <c r="R879" s="28">
        <f>IF($A879="","",$L879-$P879-$Q879)</f>
        <v/>
      </c>
      <c r="S879" s="30">
        <f>IF($A879="","",IF($R879=0,IF($L879=0,"請求額0","回収済"),IF($L879&lt;0,IF($R879&lt;0,"差し引き待ち","差し引きすぎ"),IF($R879&lt;0,"入金が多い",IF($P879+$Q879=0,"未入金","一部入金")))))</f>
        <v/>
      </c>
      <c r="T879" s="31">
        <f>IF(OR($A879="",N($R879)&lt;=0,NOT(ISNUMBER($O879))),"",IF($O879&lt;'設定'!$B$7,'設定'!$B$7-$O879,""))</f>
        <v/>
      </c>
      <c r="U879" s="30">
        <f>IF(OR($A879="",N($R879)&lt;=0),"",IF(NOT(ISNUMBER($O879)),'設定'!$B$22,IF($O879&gt;='設定'!$B$7,'設定'!$B$17,IF('設定'!$B$7-$O879&lt;='設定'!$B$12,'設定'!$B$18,IF('設定'!$B$7-$O879&lt;='設定'!$B$13,'設定'!$B$19,IF('設定'!$B$7-$O879&lt;='設定'!$B$14,'設定'!$B$20,'設定'!$B$21))))))</f>
        <v/>
      </c>
      <c r="V879" s="56" t="n"/>
      <c r="W879" s="32">
        <f>IF($C879="","",IFERROR(MATCH($C879,'得意先'!$B$5:$B$104,0),"なし"))</f>
        <v/>
      </c>
      <c r="X879" s="33">
        <f>IF($A879="","",IF(ISNUMBER($E879),$E879,IF(ISNUMBER($B879),$B879,"")))</f>
        <v/>
      </c>
      <c r="Y879" s="34">
        <f>IF($T879="","",$O879+ROW()/1000000)</f>
        <v/>
      </c>
      <c r="Z879" s="35">
        <f>IF(OR($A879="",$C879="",$C879&lt;&gt;'売掛帳'!$B$3,NOT(ISNUMBER($X879))),"",IF(AND($X879&gt;='売掛帳'!$Q$3,$X879&lt;='売掛帳'!$Q$4),$X879+ROW()/10000000,""))</f>
        <v/>
      </c>
    </row>
    <row r="880" ht="18" customHeight="1">
      <c r="A880" s="18" t="n"/>
      <c r="B880" s="26" t="n"/>
      <c r="C880" s="18" t="n"/>
      <c r="D880" s="20">
        <f>IF($W880="","",IF($W880="なし","※得意先にないコード",INDEX('得意先'!$C$5:$C$104,$W880)&amp;""))</f>
        <v/>
      </c>
      <c r="E880" s="26" t="n"/>
      <c r="F880" s="19" t="n"/>
      <c r="G880" s="27" t="n"/>
      <c r="H880" s="27" t="n"/>
      <c r="I880" s="27" t="n"/>
      <c r="J880" s="28">
        <f>IF($A880="","",IF('設定'!$B$10="四捨五入",ROUND(IF('設定'!$B$9="税込",N($G880)*10/110,N($G880)*10/100),0),IF('設定'!$B$10="切り上げ",ROUNDUP(IF('設定'!$B$9="税込",N($G880)*10/110,N($G880)*10/100),0),ROUNDDOWN(IF('設定'!$B$9="税込",N($G880)*10/110,N($G880)*10/100),0))))</f>
        <v/>
      </c>
      <c r="K880" s="28">
        <f>IF($A880="","",IF('設定'!$B$10="四捨五入",ROUND(IF('設定'!$B$9="税込",N($H880)*8/108,N($H880)*8/100),0),IF('設定'!$B$10="切り上げ",ROUNDUP(IF('設定'!$B$9="税込",N($H880)*8/108,N($H880)*8/100),0),ROUNDDOWN(IF('設定'!$B$9="税込",N($H880)*8/108,N($H880)*8/100),0))))</f>
        <v/>
      </c>
      <c r="L880" s="28">
        <f>IF($A880="","",N($G880)+N($H880)+N($I880)+IF('設定'!$B$9="税込",0,$J880+$K880))</f>
        <v/>
      </c>
      <c r="M880" s="29">
        <f>IF(OR($A880="",NOT(ISNUMBER($W880)),NOT(ISNUMBER($X880))),"",IF(OR(INDEX('得意先'!$D$5:$D$104,$W880)="",INDEX('得意先'!$E$5:$E$104,$W880)="",INDEX('得意先'!$F$5:$F$104,$W880)=""),"",IF(INDEX('得意先'!$F$5:$F$104,$W880)="末",DATE(YEAR($X880),(MONTH($X880)+IF(INDEX('得意先'!$D$5:$D$104,$W880)="末",0,IF(DAY($X880)&lt;=INDEX('得意先'!$D$5:$D$104,$W880),0,1))+N(INDEX('得意先'!$E$5:$E$104,$W880)))+1,0),DATE(YEAR($X880),(MONTH($X880)+IF(INDEX('得意先'!$D$5:$D$104,$W880)="末",0,IF(DAY($X880)&lt;=INDEX('得意先'!$D$5:$D$104,$W880),0,1))+N(INDEX('得意先'!$E$5:$E$104,$W880))),MIN(INDEX('得意先'!$F$5:$F$104,$W880),DAY(DATE(YEAR($X880),(MONTH($X880)+IF(INDEX('得意先'!$D$5:$D$104,$W880)="末",0,IF(DAY($X880)&lt;=INDEX('得意先'!$D$5:$D$104,$W880),0,1))+N(INDEX('得意先'!$E$5:$E$104,$W880)))+1,0)))))))</f>
        <v/>
      </c>
      <c r="N880" s="26" t="n"/>
      <c r="O880" s="29">
        <f>IF($A880="","",IF(ISNUMBER($N880),$N880,$M880))</f>
        <v/>
      </c>
      <c r="P880" s="28">
        <f>IF($A880="","",SUMIF('入金消込'!$F$5:$F$1004,$A880,'入金消込'!$G$5:$G$1004))</f>
        <v/>
      </c>
      <c r="Q880" s="28">
        <f>IF($A880="","",SUMIF('入金消込'!$F$5:$F$1004,$A880,'入金消込'!$H$5:$H$1004)+SUMIF('入金消込'!$F$5:$F$1004,$A880,'入金消込'!$I$5:$I$1004))</f>
        <v/>
      </c>
      <c r="R880" s="28">
        <f>IF($A880="","",$L880-$P880-$Q880)</f>
        <v/>
      </c>
      <c r="S880" s="30">
        <f>IF($A880="","",IF($R880=0,IF($L880=0,"請求額0","回収済"),IF($L880&lt;0,IF($R880&lt;0,"差し引き待ち","差し引きすぎ"),IF($R880&lt;0,"入金が多い",IF($P880+$Q880=0,"未入金","一部入金")))))</f>
        <v/>
      </c>
      <c r="T880" s="31">
        <f>IF(OR($A880="",N($R880)&lt;=0,NOT(ISNUMBER($O880))),"",IF($O880&lt;'設定'!$B$7,'設定'!$B$7-$O880,""))</f>
        <v/>
      </c>
      <c r="U880" s="30">
        <f>IF(OR($A880="",N($R880)&lt;=0),"",IF(NOT(ISNUMBER($O880)),'設定'!$B$22,IF($O880&gt;='設定'!$B$7,'設定'!$B$17,IF('設定'!$B$7-$O880&lt;='設定'!$B$12,'設定'!$B$18,IF('設定'!$B$7-$O880&lt;='設定'!$B$13,'設定'!$B$19,IF('設定'!$B$7-$O880&lt;='設定'!$B$14,'設定'!$B$20,'設定'!$B$21))))))</f>
        <v/>
      </c>
      <c r="V880" s="56" t="n"/>
      <c r="W880" s="32">
        <f>IF($C880="","",IFERROR(MATCH($C880,'得意先'!$B$5:$B$104,0),"なし"))</f>
        <v/>
      </c>
      <c r="X880" s="33">
        <f>IF($A880="","",IF(ISNUMBER($E880),$E880,IF(ISNUMBER($B880),$B880,"")))</f>
        <v/>
      </c>
      <c r="Y880" s="34">
        <f>IF($T880="","",$O880+ROW()/1000000)</f>
        <v/>
      </c>
      <c r="Z880" s="35">
        <f>IF(OR($A880="",$C880="",$C880&lt;&gt;'売掛帳'!$B$3,NOT(ISNUMBER($X880))),"",IF(AND($X880&gt;='売掛帳'!$Q$3,$X880&lt;='売掛帳'!$Q$4),$X880+ROW()/10000000,""))</f>
        <v/>
      </c>
    </row>
    <row r="881" ht="18" customHeight="1">
      <c r="A881" s="18" t="n"/>
      <c r="B881" s="26" t="n"/>
      <c r="C881" s="18" t="n"/>
      <c r="D881" s="20">
        <f>IF($W881="","",IF($W881="なし","※得意先にないコード",INDEX('得意先'!$C$5:$C$104,$W881)&amp;""))</f>
        <v/>
      </c>
      <c r="E881" s="26" t="n"/>
      <c r="F881" s="19" t="n"/>
      <c r="G881" s="27" t="n"/>
      <c r="H881" s="27" t="n"/>
      <c r="I881" s="27" t="n"/>
      <c r="J881" s="28">
        <f>IF($A881="","",IF('設定'!$B$10="四捨五入",ROUND(IF('設定'!$B$9="税込",N($G881)*10/110,N($G881)*10/100),0),IF('設定'!$B$10="切り上げ",ROUNDUP(IF('設定'!$B$9="税込",N($G881)*10/110,N($G881)*10/100),0),ROUNDDOWN(IF('設定'!$B$9="税込",N($G881)*10/110,N($G881)*10/100),0))))</f>
        <v/>
      </c>
      <c r="K881" s="28">
        <f>IF($A881="","",IF('設定'!$B$10="四捨五入",ROUND(IF('設定'!$B$9="税込",N($H881)*8/108,N($H881)*8/100),0),IF('設定'!$B$10="切り上げ",ROUNDUP(IF('設定'!$B$9="税込",N($H881)*8/108,N($H881)*8/100),0),ROUNDDOWN(IF('設定'!$B$9="税込",N($H881)*8/108,N($H881)*8/100),0))))</f>
        <v/>
      </c>
      <c r="L881" s="28">
        <f>IF($A881="","",N($G881)+N($H881)+N($I881)+IF('設定'!$B$9="税込",0,$J881+$K881))</f>
        <v/>
      </c>
      <c r="M881" s="29">
        <f>IF(OR($A881="",NOT(ISNUMBER($W881)),NOT(ISNUMBER($X881))),"",IF(OR(INDEX('得意先'!$D$5:$D$104,$W881)="",INDEX('得意先'!$E$5:$E$104,$W881)="",INDEX('得意先'!$F$5:$F$104,$W881)=""),"",IF(INDEX('得意先'!$F$5:$F$104,$W881)="末",DATE(YEAR($X881),(MONTH($X881)+IF(INDEX('得意先'!$D$5:$D$104,$W881)="末",0,IF(DAY($X881)&lt;=INDEX('得意先'!$D$5:$D$104,$W881),0,1))+N(INDEX('得意先'!$E$5:$E$104,$W881)))+1,0),DATE(YEAR($X881),(MONTH($X881)+IF(INDEX('得意先'!$D$5:$D$104,$W881)="末",0,IF(DAY($X881)&lt;=INDEX('得意先'!$D$5:$D$104,$W881),0,1))+N(INDEX('得意先'!$E$5:$E$104,$W881))),MIN(INDEX('得意先'!$F$5:$F$104,$W881),DAY(DATE(YEAR($X881),(MONTH($X881)+IF(INDEX('得意先'!$D$5:$D$104,$W881)="末",0,IF(DAY($X881)&lt;=INDEX('得意先'!$D$5:$D$104,$W881),0,1))+N(INDEX('得意先'!$E$5:$E$104,$W881)))+1,0)))))))</f>
        <v/>
      </c>
      <c r="N881" s="26" t="n"/>
      <c r="O881" s="29">
        <f>IF($A881="","",IF(ISNUMBER($N881),$N881,$M881))</f>
        <v/>
      </c>
      <c r="P881" s="28">
        <f>IF($A881="","",SUMIF('入金消込'!$F$5:$F$1004,$A881,'入金消込'!$G$5:$G$1004))</f>
        <v/>
      </c>
      <c r="Q881" s="28">
        <f>IF($A881="","",SUMIF('入金消込'!$F$5:$F$1004,$A881,'入金消込'!$H$5:$H$1004)+SUMIF('入金消込'!$F$5:$F$1004,$A881,'入金消込'!$I$5:$I$1004))</f>
        <v/>
      </c>
      <c r="R881" s="28">
        <f>IF($A881="","",$L881-$P881-$Q881)</f>
        <v/>
      </c>
      <c r="S881" s="30">
        <f>IF($A881="","",IF($R881=0,IF($L881=0,"請求額0","回収済"),IF($L881&lt;0,IF($R881&lt;0,"差し引き待ち","差し引きすぎ"),IF($R881&lt;0,"入金が多い",IF($P881+$Q881=0,"未入金","一部入金")))))</f>
        <v/>
      </c>
      <c r="T881" s="31">
        <f>IF(OR($A881="",N($R881)&lt;=0,NOT(ISNUMBER($O881))),"",IF($O881&lt;'設定'!$B$7,'設定'!$B$7-$O881,""))</f>
        <v/>
      </c>
      <c r="U881" s="30">
        <f>IF(OR($A881="",N($R881)&lt;=0),"",IF(NOT(ISNUMBER($O881)),'設定'!$B$22,IF($O881&gt;='設定'!$B$7,'設定'!$B$17,IF('設定'!$B$7-$O881&lt;='設定'!$B$12,'設定'!$B$18,IF('設定'!$B$7-$O881&lt;='設定'!$B$13,'設定'!$B$19,IF('設定'!$B$7-$O881&lt;='設定'!$B$14,'設定'!$B$20,'設定'!$B$21))))))</f>
        <v/>
      </c>
      <c r="V881" s="56" t="n"/>
      <c r="W881" s="32">
        <f>IF($C881="","",IFERROR(MATCH($C881,'得意先'!$B$5:$B$104,0),"なし"))</f>
        <v/>
      </c>
      <c r="X881" s="33">
        <f>IF($A881="","",IF(ISNUMBER($E881),$E881,IF(ISNUMBER($B881),$B881,"")))</f>
        <v/>
      </c>
      <c r="Y881" s="34">
        <f>IF($T881="","",$O881+ROW()/1000000)</f>
        <v/>
      </c>
      <c r="Z881" s="35">
        <f>IF(OR($A881="",$C881="",$C881&lt;&gt;'売掛帳'!$B$3,NOT(ISNUMBER($X881))),"",IF(AND($X881&gt;='売掛帳'!$Q$3,$X881&lt;='売掛帳'!$Q$4),$X881+ROW()/10000000,""))</f>
        <v/>
      </c>
    </row>
    <row r="882" ht="18" customHeight="1">
      <c r="A882" s="18" t="n"/>
      <c r="B882" s="26" t="n"/>
      <c r="C882" s="18" t="n"/>
      <c r="D882" s="20">
        <f>IF($W882="","",IF($W882="なし","※得意先にないコード",INDEX('得意先'!$C$5:$C$104,$W882)&amp;""))</f>
        <v/>
      </c>
      <c r="E882" s="26" t="n"/>
      <c r="F882" s="19" t="n"/>
      <c r="G882" s="27" t="n"/>
      <c r="H882" s="27" t="n"/>
      <c r="I882" s="27" t="n"/>
      <c r="J882" s="28">
        <f>IF($A882="","",IF('設定'!$B$10="四捨五入",ROUND(IF('設定'!$B$9="税込",N($G882)*10/110,N($G882)*10/100),0),IF('設定'!$B$10="切り上げ",ROUNDUP(IF('設定'!$B$9="税込",N($G882)*10/110,N($G882)*10/100),0),ROUNDDOWN(IF('設定'!$B$9="税込",N($G882)*10/110,N($G882)*10/100),0))))</f>
        <v/>
      </c>
      <c r="K882" s="28">
        <f>IF($A882="","",IF('設定'!$B$10="四捨五入",ROUND(IF('設定'!$B$9="税込",N($H882)*8/108,N($H882)*8/100),0),IF('設定'!$B$10="切り上げ",ROUNDUP(IF('設定'!$B$9="税込",N($H882)*8/108,N($H882)*8/100),0),ROUNDDOWN(IF('設定'!$B$9="税込",N($H882)*8/108,N($H882)*8/100),0))))</f>
        <v/>
      </c>
      <c r="L882" s="28">
        <f>IF($A882="","",N($G882)+N($H882)+N($I882)+IF('設定'!$B$9="税込",0,$J882+$K882))</f>
        <v/>
      </c>
      <c r="M882" s="29">
        <f>IF(OR($A882="",NOT(ISNUMBER($W882)),NOT(ISNUMBER($X882))),"",IF(OR(INDEX('得意先'!$D$5:$D$104,$W882)="",INDEX('得意先'!$E$5:$E$104,$W882)="",INDEX('得意先'!$F$5:$F$104,$W882)=""),"",IF(INDEX('得意先'!$F$5:$F$104,$W882)="末",DATE(YEAR($X882),(MONTH($X882)+IF(INDEX('得意先'!$D$5:$D$104,$W882)="末",0,IF(DAY($X882)&lt;=INDEX('得意先'!$D$5:$D$104,$W882),0,1))+N(INDEX('得意先'!$E$5:$E$104,$W882)))+1,0),DATE(YEAR($X882),(MONTH($X882)+IF(INDEX('得意先'!$D$5:$D$104,$W882)="末",0,IF(DAY($X882)&lt;=INDEX('得意先'!$D$5:$D$104,$W882),0,1))+N(INDEX('得意先'!$E$5:$E$104,$W882))),MIN(INDEX('得意先'!$F$5:$F$104,$W882),DAY(DATE(YEAR($X882),(MONTH($X882)+IF(INDEX('得意先'!$D$5:$D$104,$W882)="末",0,IF(DAY($X882)&lt;=INDEX('得意先'!$D$5:$D$104,$W882),0,1))+N(INDEX('得意先'!$E$5:$E$104,$W882)))+1,0)))))))</f>
        <v/>
      </c>
      <c r="N882" s="26" t="n"/>
      <c r="O882" s="29">
        <f>IF($A882="","",IF(ISNUMBER($N882),$N882,$M882))</f>
        <v/>
      </c>
      <c r="P882" s="28">
        <f>IF($A882="","",SUMIF('入金消込'!$F$5:$F$1004,$A882,'入金消込'!$G$5:$G$1004))</f>
        <v/>
      </c>
      <c r="Q882" s="28">
        <f>IF($A882="","",SUMIF('入金消込'!$F$5:$F$1004,$A882,'入金消込'!$H$5:$H$1004)+SUMIF('入金消込'!$F$5:$F$1004,$A882,'入金消込'!$I$5:$I$1004))</f>
        <v/>
      </c>
      <c r="R882" s="28">
        <f>IF($A882="","",$L882-$P882-$Q882)</f>
        <v/>
      </c>
      <c r="S882" s="30">
        <f>IF($A882="","",IF($R882=0,IF($L882=0,"請求額0","回収済"),IF($L882&lt;0,IF($R882&lt;0,"差し引き待ち","差し引きすぎ"),IF($R882&lt;0,"入金が多い",IF($P882+$Q882=0,"未入金","一部入金")))))</f>
        <v/>
      </c>
      <c r="T882" s="31">
        <f>IF(OR($A882="",N($R882)&lt;=0,NOT(ISNUMBER($O882))),"",IF($O882&lt;'設定'!$B$7,'設定'!$B$7-$O882,""))</f>
        <v/>
      </c>
      <c r="U882" s="30">
        <f>IF(OR($A882="",N($R882)&lt;=0),"",IF(NOT(ISNUMBER($O882)),'設定'!$B$22,IF($O882&gt;='設定'!$B$7,'設定'!$B$17,IF('設定'!$B$7-$O882&lt;='設定'!$B$12,'設定'!$B$18,IF('設定'!$B$7-$O882&lt;='設定'!$B$13,'設定'!$B$19,IF('設定'!$B$7-$O882&lt;='設定'!$B$14,'設定'!$B$20,'設定'!$B$21))))))</f>
        <v/>
      </c>
      <c r="V882" s="56" t="n"/>
      <c r="W882" s="32">
        <f>IF($C882="","",IFERROR(MATCH($C882,'得意先'!$B$5:$B$104,0),"なし"))</f>
        <v/>
      </c>
      <c r="X882" s="33">
        <f>IF($A882="","",IF(ISNUMBER($E882),$E882,IF(ISNUMBER($B882),$B882,"")))</f>
        <v/>
      </c>
      <c r="Y882" s="34">
        <f>IF($T882="","",$O882+ROW()/1000000)</f>
        <v/>
      </c>
      <c r="Z882" s="35">
        <f>IF(OR($A882="",$C882="",$C882&lt;&gt;'売掛帳'!$B$3,NOT(ISNUMBER($X882))),"",IF(AND($X882&gt;='売掛帳'!$Q$3,$X882&lt;='売掛帳'!$Q$4),$X882+ROW()/10000000,""))</f>
        <v/>
      </c>
    </row>
    <row r="883" ht="18" customHeight="1">
      <c r="A883" s="18" t="n"/>
      <c r="B883" s="26" t="n"/>
      <c r="C883" s="18" t="n"/>
      <c r="D883" s="20">
        <f>IF($W883="","",IF($W883="なし","※得意先にないコード",INDEX('得意先'!$C$5:$C$104,$W883)&amp;""))</f>
        <v/>
      </c>
      <c r="E883" s="26" t="n"/>
      <c r="F883" s="19" t="n"/>
      <c r="G883" s="27" t="n"/>
      <c r="H883" s="27" t="n"/>
      <c r="I883" s="27" t="n"/>
      <c r="J883" s="28">
        <f>IF($A883="","",IF('設定'!$B$10="四捨五入",ROUND(IF('設定'!$B$9="税込",N($G883)*10/110,N($G883)*10/100),0),IF('設定'!$B$10="切り上げ",ROUNDUP(IF('設定'!$B$9="税込",N($G883)*10/110,N($G883)*10/100),0),ROUNDDOWN(IF('設定'!$B$9="税込",N($G883)*10/110,N($G883)*10/100),0))))</f>
        <v/>
      </c>
      <c r="K883" s="28">
        <f>IF($A883="","",IF('設定'!$B$10="四捨五入",ROUND(IF('設定'!$B$9="税込",N($H883)*8/108,N($H883)*8/100),0),IF('設定'!$B$10="切り上げ",ROUNDUP(IF('設定'!$B$9="税込",N($H883)*8/108,N($H883)*8/100),0),ROUNDDOWN(IF('設定'!$B$9="税込",N($H883)*8/108,N($H883)*8/100),0))))</f>
        <v/>
      </c>
      <c r="L883" s="28">
        <f>IF($A883="","",N($G883)+N($H883)+N($I883)+IF('設定'!$B$9="税込",0,$J883+$K883))</f>
        <v/>
      </c>
      <c r="M883" s="29">
        <f>IF(OR($A883="",NOT(ISNUMBER($W883)),NOT(ISNUMBER($X883))),"",IF(OR(INDEX('得意先'!$D$5:$D$104,$W883)="",INDEX('得意先'!$E$5:$E$104,$W883)="",INDEX('得意先'!$F$5:$F$104,$W883)=""),"",IF(INDEX('得意先'!$F$5:$F$104,$W883)="末",DATE(YEAR($X883),(MONTH($X883)+IF(INDEX('得意先'!$D$5:$D$104,$W883)="末",0,IF(DAY($X883)&lt;=INDEX('得意先'!$D$5:$D$104,$W883),0,1))+N(INDEX('得意先'!$E$5:$E$104,$W883)))+1,0),DATE(YEAR($X883),(MONTH($X883)+IF(INDEX('得意先'!$D$5:$D$104,$W883)="末",0,IF(DAY($X883)&lt;=INDEX('得意先'!$D$5:$D$104,$W883),0,1))+N(INDEX('得意先'!$E$5:$E$104,$W883))),MIN(INDEX('得意先'!$F$5:$F$104,$W883),DAY(DATE(YEAR($X883),(MONTH($X883)+IF(INDEX('得意先'!$D$5:$D$104,$W883)="末",0,IF(DAY($X883)&lt;=INDEX('得意先'!$D$5:$D$104,$W883),0,1))+N(INDEX('得意先'!$E$5:$E$104,$W883)))+1,0)))))))</f>
        <v/>
      </c>
      <c r="N883" s="26" t="n"/>
      <c r="O883" s="29">
        <f>IF($A883="","",IF(ISNUMBER($N883),$N883,$M883))</f>
        <v/>
      </c>
      <c r="P883" s="28">
        <f>IF($A883="","",SUMIF('入金消込'!$F$5:$F$1004,$A883,'入金消込'!$G$5:$G$1004))</f>
        <v/>
      </c>
      <c r="Q883" s="28">
        <f>IF($A883="","",SUMIF('入金消込'!$F$5:$F$1004,$A883,'入金消込'!$H$5:$H$1004)+SUMIF('入金消込'!$F$5:$F$1004,$A883,'入金消込'!$I$5:$I$1004))</f>
        <v/>
      </c>
      <c r="R883" s="28">
        <f>IF($A883="","",$L883-$P883-$Q883)</f>
        <v/>
      </c>
      <c r="S883" s="30">
        <f>IF($A883="","",IF($R883=0,IF($L883=0,"請求額0","回収済"),IF($L883&lt;0,IF($R883&lt;0,"差し引き待ち","差し引きすぎ"),IF($R883&lt;0,"入金が多い",IF($P883+$Q883=0,"未入金","一部入金")))))</f>
        <v/>
      </c>
      <c r="T883" s="31">
        <f>IF(OR($A883="",N($R883)&lt;=0,NOT(ISNUMBER($O883))),"",IF($O883&lt;'設定'!$B$7,'設定'!$B$7-$O883,""))</f>
        <v/>
      </c>
      <c r="U883" s="30">
        <f>IF(OR($A883="",N($R883)&lt;=0),"",IF(NOT(ISNUMBER($O883)),'設定'!$B$22,IF($O883&gt;='設定'!$B$7,'設定'!$B$17,IF('設定'!$B$7-$O883&lt;='設定'!$B$12,'設定'!$B$18,IF('設定'!$B$7-$O883&lt;='設定'!$B$13,'設定'!$B$19,IF('設定'!$B$7-$O883&lt;='設定'!$B$14,'設定'!$B$20,'設定'!$B$21))))))</f>
        <v/>
      </c>
      <c r="V883" s="56" t="n"/>
      <c r="W883" s="32">
        <f>IF($C883="","",IFERROR(MATCH($C883,'得意先'!$B$5:$B$104,0),"なし"))</f>
        <v/>
      </c>
      <c r="X883" s="33">
        <f>IF($A883="","",IF(ISNUMBER($E883),$E883,IF(ISNUMBER($B883),$B883,"")))</f>
        <v/>
      </c>
      <c r="Y883" s="34">
        <f>IF($T883="","",$O883+ROW()/1000000)</f>
        <v/>
      </c>
      <c r="Z883" s="35">
        <f>IF(OR($A883="",$C883="",$C883&lt;&gt;'売掛帳'!$B$3,NOT(ISNUMBER($X883))),"",IF(AND($X883&gt;='売掛帳'!$Q$3,$X883&lt;='売掛帳'!$Q$4),$X883+ROW()/10000000,""))</f>
        <v/>
      </c>
    </row>
    <row r="884" ht="18" customHeight="1">
      <c r="A884" s="18" t="n"/>
      <c r="B884" s="26" t="n"/>
      <c r="C884" s="18" t="n"/>
      <c r="D884" s="20">
        <f>IF($W884="","",IF($W884="なし","※得意先にないコード",INDEX('得意先'!$C$5:$C$104,$W884)&amp;""))</f>
        <v/>
      </c>
      <c r="E884" s="26" t="n"/>
      <c r="F884" s="19" t="n"/>
      <c r="G884" s="27" t="n"/>
      <c r="H884" s="27" t="n"/>
      <c r="I884" s="27" t="n"/>
      <c r="J884" s="28">
        <f>IF($A884="","",IF('設定'!$B$10="四捨五入",ROUND(IF('設定'!$B$9="税込",N($G884)*10/110,N($G884)*10/100),0),IF('設定'!$B$10="切り上げ",ROUNDUP(IF('設定'!$B$9="税込",N($G884)*10/110,N($G884)*10/100),0),ROUNDDOWN(IF('設定'!$B$9="税込",N($G884)*10/110,N($G884)*10/100),0))))</f>
        <v/>
      </c>
      <c r="K884" s="28">
        <f>IF($A884="","",IF('設定'!$B$10="四捨五入",ROUND(IF('設定'!$B$9="税込",N($H884)*8/108,N($H884)*8/100),0),IF('設定'!$B$10="切り上げ",ROUNDUP(IF('設定'!$B$9="税込",N($H884)*8/108,N($H884)*8/100),0),ROUNDDOWN(IF('設定'!$B$9="税込",N($H884)*8/108,N($H884)*8/100),0))))</f>
        <v/>
      </c>
      <c r="L884" s="28">
        <f>IF($A884="","",N($G884)+N($H884)+N($I884)+IF('設定'!$B$9="税込",0,$J884+$K884))</f>
        <v/>
      </c>
      <c r="M884" s="29">
        <f>IF(OR($A884="",NOT(ISNUMBER($W884)),NOT(ISNUMBER($X884))),"",IF(OR(INDEX('得意先'!$D$5:$D$104,$W884)="",INDEX('得意先'!$E$5:$E$104,$W884)="",INDEX('得意先'!$F$5:$F$104,$W884)=""),"",IF(INDEX('得意先'!$F$5:$F$104,$W884)="末",DATE(YEAR($X884),(MONTH($X884)+IF(INDEX('得意先'!$D$5:$D$104,$W884)="末",0,IF(DAY($X884)&lt;=INDEX('得意先'!$D$5:$D$104,$W884),0,1))+N(INDEX('得意先'!$E$5:$E$104,$W884)))+1,0),DATE(YEAR($X884),(MONTH($X884)+IF(INDEX('得意先'!$D$5:$D$104,$W884)="末",0,IF(DAY($X884)&lt;=INDEX('得意先'!$D$5:$D$104,$W884),0,1))+N(INDEX('得意先'!$E$5:$E$104,$W884))),MIN(INDEX('得意先'!$F$5:$F$104,$W884),DAY(DATE(YEAR($X884),(MONTH($X884)+IF(INDEX('得意先'!$D$5:$D$104,$W884)="末",0,IF(DAY($X884)&lt;=INDEX('得意先'!$D$5:$D$104,$W884),0,1))+N(INDEX('得意先'!$E$5:$E$104,$W884)))+1,0)))))))</f>
        <v/>
      </c>
      <c r="N884" s="26" t="n"/>
      <c r="O884" s="29">
        <f>IF($A884="","",IF(ISNUMBER($N884),$N884,$M884))</f>
        <v/>
      </c>
      <c r="P884" s="28">
        <f>IF($A884="","",SUMIF('入金消込'!$F$5:$F$1004,$A884,'入金消込'!$G$5:$G$1004))</f>
        <v/>
      </c>
      <c r="Q884" s="28">
        <f>IF($A884="","",SUMIF('入金消込'!$F$5:$F$1004,$A884,'入金消込'!$H$5:$H$1004)+SUMIF('入金消込'!$F$5:$F$1004,$A884,'入金消込'!$I$5:$I$1004))</f>
        <v/>
      </c>
      <c r="R884" s="28">
        <f>IF($A884="","",$L884-$P884-$Q884)</f>
        <v/>
      </c>
      <c r="S884" s="30">
        <f>IF($A884="","",IF($R884=0,IF($L884=0,"請求額0","回収済"),IF($L884&lt;0,IF($R884&lt;0,"差し引き待ち","差し引きすぎ"),IF($R884&lt;0,"入金が多い",IF($P884+$Q884=0,"未入金","一部入金")))))</f>
        <v/>
      </c>
      <c r="T884" s="31">
        <f>IF(OR($A884="",N($R884)&lt;=0,NOT(ISNUMBER($O884))),"",IF($O884&lt;'設定'!$B$7,'設定'!$B$7-$O884,""))</f>
        <v/>
      </c>
      <c r="U884" s="30">
        <f>IF(OR($A884="",N($R884)&lt;=0),"",IF(NOT(ISNUMBER($O884)),'設定'!$B$22,IF($O884&gt;='設定'!$B$7,'設定'!$B$17,IF('設定'!$B$7-$O884&lt;='設定'!$B$12,'設定'!$B$18,IF('設定'!$B$7-$O884&lt;='設定'!$B$13,'設定'!$B$19,IF('設定'!$B$7-$O884&lt;='設定'!$B$14,'設定'!$B$20,'設定'!$B$21))))))</f>
        <v/>
      </c>
      <c r="V884" s="56" t="n"/>
      <c r="W884" s="32">
        <f>IF($C884="","",IFERROR(MATCH($C884,'得意先'!$B$5:$B$104,0),"なし"))</f>
        <v/>
      </c>
      <c r="X884" s="33">
        <f>IF($A884="","",IF(ISNUMBER($E884),$E884,IF(ISNUMBER($B884),$B884,"")))</f>
        <v/>
      </c>
      <c r="Y884" s="34">
        <f>IF($T884="","",$O884+ROW()/1000000)</f>
        <v/>
      </c>
      <c r="Z884" s="35">
        <f>IF(OR($A884="",$C884="",$C884&lt;&gt;'売掛帳'!$B$3,NOT(ISNUMBER($X884))),"",IF(AND($X884&gt;='売掛帳'!$Q$3,$X884&lt;='売掛帳'!$Q$4),$X884+ROW()/10000000,""))</f>
        <v/>
      </c>
    </row>
    <row r="885" ht="18" customHeight="1">
      <c r="A885" s="18" t="n"/>
      <c r="B885" s="26" t="n"/>
      <c r="C885" s="18" t="n"/>
      <c r="D885" s="20">
        <f>IF($W885="","",IF($W885="なし","※得意先にないコード",INDEX('得意先'!$C$5:$C$104,$W885)&amp;""))</f>
        <v/>
      </c>
      <c r="E885" s="26" t="n"/>
      <c r="F885" s="19" t="n"/>
      <c r="G885" s="27" t="n"/>
      <c r="H885" s="27" t="n"/>
      <c r="I885" s="27" t="n"/>
      <c r="J885" s="28">
        <f>IF($A885="","",IF('設定'!$B$10="四捨五入",ROUND(IF('設定'!$B$9="税込",N($G885)*10/110,N($G885)*10/100),0),IF('設定'!$B$10="切り上げ",ROUNDUP(IF('設定'!$B$9="税込",N($G885)*10/110,N($G885)*10/100),0),ROUNDDOWN(IF('設定'!$B$9="税込",N($G885)*10/110,N($G885)*10/100),0))))</f>
        <v/>
      </c>
      <c r="K885" s="28">
        <f>IF($A885="","",IF('設定'!$B$10="四捨五入",ROUND(IF('設定'!$B$9="税込",N($H885)*8/108,N($H885)*8/100),0),IF('設定'!$B$10="切り上げ",ROUNDUP(IF('設定'!$B$9="税込",N($H885)*8/108,N($H885)*8/100),0),ROUNDDOWN(IF('設定'!$B$9="税込",N($H885)*8/108,N($H885)*8/100),0))))</f>
        <v/>
      </c>
      <c r="L885" s="28">
        <f>IF($A885="","",N($G885)+N($H885)+N($I885)+IF('設定'!$B$9="税込",0,$J885+$K885))</f>
        <v/>
      </c>
      <c r="M885" s="29">
        <f>IF(OR($A885="",NOT(ISNUMBER($W885)),NOT(ISNUMBER($X885))),"",IF(OR(INDEX('得意先'!$D$5:$D$104,$W885)="",INDEX('得意先'!$E$5:$E$104,$W885)="",INDEX('得意先'!$F$5:$F$104,$W885)=""),"",IF(INDEX('得意先'!$F$5:$F$104,$W885)="末",DATE(YEAR($X885),(MONTH($X885)+IF(INDEX('得意先'!$D$5:$D$104,$W885)="末",0,IF(DAY($X885)&lt;=INDEX('得意先'!$D$5:$D$104,$W885),0,1))+N(INDEX('得意先'!$E$5:$E$104,$W885)))+1,0),DATE(YEAR($X885),(MONTH($X885)+IF(INDEX('得意先'!$D$5:$D$104,$W885)="末",0,IF(DAY($X885)&lt;=INDEX('得意先'!$D$5:$D$104,$W885),0,1))+N(INDEX('得意先'!$E$5:$E$104,$W885))),MIN(INDEX('得意先'!$F$5:$F$104,$W885),DAY(DATE(YEAR($X885),(MONTH($X885)+IF(INDEX('得意先'!$D$5:$D$104,$W885)="末",0,IF(DAY($X885)&lt;=INDEX('得意先'!$D$5:$D$104,$W885),0,1))+N(INDEX('得意先'!$E$5:$E$104,$W885)))+1,0)))))))</f>
        <v/>
      </c>
      <c r="N885" s="26" t="n"/>
      <c r="O885" s="29">
        <f>IF($A885="","",IF(ISNUMBER($N885),$N885,$M885))</f>
        <v/>
      </c>
      <c r="P885" s="28">
        <f>IF($A885="","",SUMIF('入金消込'!$F$5:$F$1004,$A885,'入金消込'!$G$5:$G$1004))</f>
        <v/>
      </c>
      <c r="Q885" s="28">
        <f>IF($A885="","",SUMIF('入金消込'!$F$5:$F$1004,$A885,'入金消込'!$H$5:$H$1004)+SUMIF('入金消込'!$F$5:$F$1004,$A885,'入金消込'!$I$5:$I$1004))</f>
        <v/>
      </c>
      <c r="R885" s="28">
        <f>IF($A885="","",$L885-$P885-$Q885)</f>
        <v/>
      </c>
      <c r="S885" s="30">
        <f>IF($A885="","",IF($R885=0,IF($L885=0,"請求額0","回収済"),IF($L885&lt;0,IF($R885&lt;0,"差し引き待ち","差し引きすぎ"),IF($R885&lt;0,"入金が多い",IF($P885+$Q885=0,"未入金","一部入金")))))</f>
        <v/>
      </c>
      <c r="T885" s="31">
        <f>IF(OR($A885="",N($R885)&lt;=0,NOT(ISNUMBER($O885))),"",IF($O885&lt;'設定'!$B$7,'設定'!$B$7-$O885,""))</f>
        <v/>
      </c>
      <c r="U885" s="30">
        <f>IF(OR($A885="",N($R885)&lt;=0),"",IF(NOT(ISNUMBER($O885)),'設定'!$B$22,IF($O885&gt;='設定'!$B$7,'設定'!$B$17,IF('設定'!$B$7-$O885&lt;='設定'!$B$12,'設定'!$B$18,IF('設定'!$B$7-$O885&lt;='設定'!$B$13,'設定'!$B$19,IF('設定'!$B$7-$O885&lt;='設定'!$B$14,'設定'!$B$20,'設定'!$B$21))))))</f>
        <v/>
      </c>
      <c r="V885" s="56" t="n"/>
      <c r="W885" s="32">
        <f>IF($C885="","",IFERROR(MATCH($C885,'得意先'!$B$5:$B$104,0),"なし"))</f>
        <v/>
      </c>
      <c r="X885" s="33">
        <f>IF($A885="","",IF(ISNUMBER($E885),$E885,IF(ISNUMBER($B885),$B885,"")))</f>
        <v/>
      </c>
      <c r="Y885" s="34">
        <f>IF($T885="","",$O885+ROW()/1000000)</f>
        <v/>
      </c>
      <c r="Z885" s="35">
        <f>IF(OR($A885="",$C885="",$C885&lt;&gt;'売掛帳'!$B$3,NOT(ISNUMBER($X885))),"",IF(AND($X885&gt;='売掛帳'!$Q$3,$X885&lt;='売掛帳'!$Q$4),$X885+ROW()/10000000,""))</f>
        <v/>
      </c>
    </row>
    <row r="886" ht="18" customHeight="1">
      <c r="A886" s="18" t="n"/>
      <c r="B886" s="26" t="n"/>
      <c r="C886" s="18" t="n"/>
      <c r="D886" s="20">
        <f>IF($W886="","",IF($W886="なし","※得意先にないコード",INDEX('得意先'!$C$5:$C$104,$W886)&amp;""))</f>
        <v/>
      </c>
      <c r="E886" s="26" t="n"/>
      <c r="F886" s="19" t="n"/>
      <c r="G886" s="27" t="n"/>
      <c r="H886" s="27" t="n"/>
      <c r="I886" s="27" t="n"/>
      <c r="J886" s="28">
        <f>IF($A886="","",IF('設定'!$B$10="四捨五入",ROUND(IF('設定'!$B$9="税込",N($G886)*10/110,N($G886)*10/100),0),IF('設定'!$B$10="切り上げ",ROUNDUP(IF('設定'!$B$9="税込",N($G886)*10/110,N($G886)*10/100),0),ROUNDDOWN(IF('設定'!$B$9="税込",N($G886)*10/110,N($G886)*10/100),0))))</f>
        <v/>
      </c>
      <c r="K886" s="28">
        <f>IF($A886="","",IF('設定'!$B$10="四捨五入",ROUND(IF('設定'!$B$9="税込",N($H886)*8/108,N($H886)*8/100),0),IF('設定'!$B$10="切り上げ",ROUNDUP(IF('設定'!$B$9="税込",N($H886)*8/108,N($H886)*8/100),0),ROUNDDOWN(IF('設定'!$B$9="税込",N($H886)*8/108,N($H886)*8/100),0))))</f>
        <v/>
      </c>
      <c r="L886" s="28">
        <f>IF($A886="","",N($G886)+N($H886)+N($I886)+IF('設定'!$B$9="税込",0,$J886+$K886))</f>
        <v/>
      </c>
      <c r="M886" s="29">
        <f>IF(OR($A886="",NOT(ISNUMBER($W886)),NOT(ISNUMBER($X886))),"",IF(OR(INDEX('得意先'!$D$5:$D$104,$W886)="",INDEX('得意先'!$E$5:$E$104,$W886)="",INDEX('得意先'!$F$5:$F$104,$W886)=""),"",IF(INDEX('得意先'!$F$5:$F$104,$W886)="末",DATE(YEAR($X886),(MONTH($X886)+IF(INDEX('得意先'!$D$5:$D$104,$W886)="末",0,IF(DAY($X886)&lt;=INDEX('得意先'!$D$5:$D$104,$W886),0,1))+N(INDEX('得意先'!$E$5:$E$104,$W886)))+1,0),DATE(YEAR($X886),(MONTH($X886)+IF(INDEX('得意先'!$D$5:$D$104,$W886)="末",0,IF(DAY($X886)&lt;=INDEX('得意先'!$D$5:$D$104,$W886),0,1))+N(INDEX('得意先'!$E$5:$E$104,$W886))),MIN(INDEX('得意先'!$F$5:$F$104,$W886),DAY(DATE(YEAR($X886),(MONTH($X886)+IF(INDEX('得意先'!$D$5:$D$104,$W886)="末",0,IF(DAY($X886)&lt;=INDEX('得意先'!$D$5:$D$104,$W886),0,1))+N(INDEX('得意先'!$E$5:$E$104,$W886)))+1,0)))))))</f>
        <v/>
      </c>
      <c r="N886" s="26" t="n"/>
      <c r="O886" s="29">
        <f>IF($A886="","",IF(ISNUMBER($N886),$N886,$M886))</f>
        <v/>
      </c>
      <c r="P886" s="28">
        <f>IF($A886="","",SUMIF('入金消込'!$F$5:$F$1004,$A886,'入金消込'!$G$5:$G$1004))</f>
        <v/>
      </c>
      <c r="Q886" s="28">
        <f>IF($A886="","",SUMIF('入金消込'!$F$5:$F$1004,$A886,'入金消込'!$H$5:$H$1004)+SUMIF('入金消込'!$F$5:$F$1004,$A886,'入金消込'!$I$5:$I$1004))</f>
        <v/>
      </c>
      <c r="R886" s="28">
        <f>IF($A886="","",$L886-$P886-$Q886)</f>
        <v/>
      </c>
      <c r="S886" s="30">
        <f>IF($A886="","",IF($R886=0,IF($L886=0,"請求額0","回収済"),IF($L886&lt;0,IF($R886&lt;0,"差し引き待ち","差し引きすぎ"),IF($R886&lt;0,"入金が多い",IF($P886+$Q886=0,"未入金","一部入金")))))</f>
        <v/>
      </c>
      <c r="T886" s="31">
        <f>IF(OR($A886="",N($R886)&lt;=0,NOT(ISNUMBER($O886))),"",IF($O886&lt;'設定'!$B$7,'設定'!$B$7-$O886,""))</f>
        <v/>
      </c>
      <c r="U886" s="30">
        <f>IF(OR($A886="",N($R886)&lt;=0),"",IF(NOT(ISNUMBER($O886)),'設定'!$B$22,IF($O886&gt;='設定'!$B$7,'設定'!$B$17,IF('設定'!$B$7-$O886&lt;='設定'!$B$12,'設定'!$B$18,IF('設定'!$B$7-$O886&lt;='設定'!$B$13,'設定'!$B$19,IF('設定'!$B$7-$O886&lt;='設定'!$B$14,'設定'!$B$20,'設定'!$B$21))))))</f>
        <v/>
      </c>
      <c r="V886" s="56" t="n"/>
      <c r="W886" s="32">
        <f>IF($C886="","",IFERROR(MATCH($C886,'得意先'!$B$5:$B$104,0),"なし"))</f>
        <v/>
      </c>
      <c r="X886" s="33">
        <f>IF($A886="","",IF(ISNUMBER($E886),$E886,IF(ISNUMBER($B886),$B886,"")))</f>
        <v/>
      </c>
      <c r="Y886" s="34">
        <f>IF($T886="","",$O886+ROW()/1000000)</f>
        <v/>
      </c>
      <c r="Z886" s="35">
        <f>IF(OR($A886="",$C886="",$C886&lt;&gt;'売掛帳'!$B$3,NOT(ISNUMBER($X886))),"",IF(AND($X886&gt;='売掛帳'!$Q$3,$X886&lt;='売掛帳'!$Q$4),$X886+ROW()/10000000,""))</f>
        <v/>
      </c>
    </row>
    <row r="887" ht="18" customHeight="1">
      <c r="A887" s="18" t="n"/>
      <c r="B887" s="26" t="n"/>
      <c r="C887" s="18" t="n"/>
      <c r="D887" s="20">
        <f>IF($W887="","",IF($W887="なし","※得意先にないコード",INDEX('得意先'!$C$5:$C$104,$W887)&amp;""))</f>
        <v/>
      </c>
      <c r="E887" s="26" t="n"/>
      <c r="F887" s="19" t="n"/>
      <c r="G887" s="27" t="n"/>
      <c r="H887" s="27" t="n"/>
      <c r="I887" s="27" t="n"/>
      <c r="J887" s="28">
        <f>IF($A887="","",IF('設定'!$B$10="四捨五入",ROUND(IF('設定'!$B$9="税込",N($G887)*10/110,N($G887)*10/100),0),IF('設定'!$B$10="切り上げ",ROUNDUP(IF('設定'!$B$9="税込",N($G887)*10/110,N($G887)*10/100),0),ROUNDDOWN(IF('設定'!$B$9="税込",N($G887)*10/110,N($G887)*10/100),0))))</f>
        <v/>
      </c>
      <c r="K887" s="28">
        <f>IF($A887="","",IF('設定'!$B$10="四捨五入",ROUND(IF('設定'!$B$9="税込",N($H887)*8/108,N($H887)*8/100),0),IF('設定'!$B$10="切り上げ",ROUNDUP(IF('設定'!$B$9="税込",N($H887)*8/108,N($H887)*8/100),0),ROUNDDOWN(IF('設定'!$B$9="税込",N($H887)*8/108,N($H887)*8/100),0))))</f>
        <v/>
      </c>
      <c r="L887" s="28">
        <f>IF($A887="","",N($G887)+N($H887)+N($I887)+IF('設定'!$B$9="税込",0,$J887+$K887))</f>
        <v/>
      </c>
      <c r="M887" s="29">
        <f>IF(OR($A887="",NOT(ISNUMBER($W887)),NOT(ISNUMBER($X887))),"",IF(OR(INDEX('得意先'!$D$5:$D$104,$W887)="",INDEX('得意先'!$E$5:$E$104,$W887)="",INDEX('得意先'!$F$5:$F$104,$W887)=""),"",IF(INDEX('得意先'!$F$5:$F$104,$W887)="末",DATE(YEAR($X887),(MONTH($X887)+IF(INDEX('得意先'!$D$5:$D$104,$W887)="末",0,IF(DAY($X887)&lt;=INDEX('得意先'!$D$5:$D$104,$W887),0,1))+N(INDEX('得意先'!$E$5:$E$104,$W887)))+1,0),DATE(YEAR($X887),(MONTH($X887)+IF(INDEX('得意先'!$D$5:$D$104,$W887)="末",0,IF(DAY($X887)&lt;=INDEX('得意先'!$D$5:$D$104,$W887),0,1))+N(INDEX('得意先'!$E$5:$E$104,$W887))),MIN(INDEX('得意先'!$F$5:$F$104,$W887),DAY(DATE(YEAR($X887),(MONTH($X887)+IF(INDEX('得意先'!$D$5:$D$104,$W887)="末",0,IF(DAY($X887)&lt;=INDEX('得意先'!$D$5:$D$104,$W887),0,1))+N(INDEX('得意先'!$E$5:$E$104,$W887)))+1,0)))))))</f>
        <v/>
      </c>
      <c r="N887" s="26" t="n"/>
      <c r="O887" s="29">
        <f>IF($A887="","",IF(ISNUMBER($N887),$N887,$M887))</f>
        <v/>
      </c>
      <c r="P887" s="28">
        <f>IF($A887="","",SUMIF('入金消込'!$F$5:$F$1004,$A887,'入金消込'!$G$5:$G$1004))</f>
        <v/>
      </c>
      <c r="Q887" s="28">
        <f>IF($A887="","",SUMIF('入金消込'!$F$5:$F$1004,$A887,'入金消込'!$H$5:$H$1004)+SUMIF('入金消込'!$F$5:$F$1004,$A887,'入金消込'!$I$5:$I$1004))</f>
        <v/>
      </c>
      <c r="R887" s="28">
        <f>IF($A887="","",$L887-$P887-$Q887)</f>
        <v/>
      </c>
      <c r="S887" s="30">
        <f>IF($A887="","",IF($R887=0,IF($L887=0,"請求額0","回収済"),IF($L887&lt;0,IF($R887&lt;0,"差し引き待ち","差し引きすぎ"),IF($R887&lt;0,"入金が多い",IF($P887+$Q887=0,"未入金","一部入金")))))</f>
        <v/>
      </c>
      <c r="T887" s="31">
        <f>IF(OR($A887="",N($R887)&lt;=0,NOT(ISNUMBER($O887))),"",IF($O887&lt;'設定'!$B$7,'設定'!$B$7-$O887,""))</f>
        <v/>
      </c>
      <c r="U887" s="30">
        <f>IF(OR($A887="",N($R887)&lt;=0),"",IF(NOT(ISNUMBER($O887)),'設定'!$B$22,IF($O887&gt;='設定'!$B$7,'設定'!$B$17,IF('設定'!$B$7-$O887&lt;='設定'!$B$12,'設定'!$B$18,IF('設定'!$B$7-$O887&lt;='設定'!$B$13,'設定'!$B$19,IF('設定'!$B$7-$O887&lt;='設定'!$B$14,'設定'!$B$20,'設定'!$B$21))))))</f>
        <v/>
      </c>
      <c r="V887" s="56" t="n"/>
      <c r="W887" s="32">
        <f>IF($C887="","",IFERROR(MATCH($C887,'得意先'!$B$5:$B$104,0),"なし"))</f>
        <v/>
      </c>
      <c r="X887" s="33">
        <f>IF($A887="","",IF(ISNUMBER($E887),$E887,IF(ISNUMBER($B887),$B887,"")))</f>
        <v/>
      </c>
      <c r="Y887" s="34">
        <f>IF($T887="","",$O887+ROW()/1000000)</f>
        <v/>
      </c>
      <c r="Z887" s="35">
        <f>IF(OR($A887="",$C887="",$C887&lt;&gt;'売掛帳'!$B$3,NOT(ISNUMBER($X887))),"",IF(AND($X887&gt;='売掛帳'!$Q$3,$X887&lt;='売掛帳'!$Q$4),$X887+ROW()/10000000,""))</f>
        <v/>
      </c>
    </row>
    <row r="888" ht="18" customHeight="1">
      <c r="A888" s="18" t="n"/>
      <c r="B888" s="26" t="n"/>
      <c r="C888" s="18" t="n"/>
      <c r="D888" s="20">
        <f>IF($W888="","",IF($W888="なし","※得意先にないコード",INDEX('得意先'!$C$5:$C$104,$W888)&amp;""))</f>
        <v/>
      </c>
      <c r="E888" s="26" t="n"/>
      <c r="F888" s="19" t="n"/>
      <c r="G888" s="27" t="n"/>
      <c r="H888" s="27" t="n"/>
      <c r="I888" s="27" t="n"/>
      <c r="J888" s="28">
        <f>IF($A888="","",IF('設定'!$B$10="四捨五入",ROUND(IF('設定'!$B$9="税込",N($G888)*10/110,N($G888)*10/100),0),IF('設定'!$B$10="切り上げ",ROUNDUP(IF('設定'!$B$9="税込",N($G888)*10/110,N($G888)*10/100),0),ROUNDDOWN(IF('設定'!$B$9="税込",N($G888)*10/110,N($G888)*10/100),0))))</f>
        <v/>
      </c>
      <c r="K888" s="28">
        <f>IF($A888="","",IF('設定'!$B$10="四捨五入",ROUND(IF('設定'!$B$9="税込",N($H888)*8/108,N($H888)*8/100),0),IF('設定'!$B$10="切り上げ",ROUNDUP(IF('設定'!$B$9="税込",N($H888)*8/108,N($H888)*8/100),0),ROUNDDOWN(IF('設定'!$B$9="税込",N($H888)*8/108,N($H888)*8/100),0))))</f>
        <v/>
      </c>
      <c r="L888" s="28">
        <f>IF($A888="","",N($G888)+N($H888)+N($I888)+IF('設定'!$B$9="税込",0,$J888+$K888))</f>
        <v/>
      </c>
      <c r="M888" s="29">
        <f>IF(OR($A888="",NOT(ISNUMBER($W888)),NOT(ISNUMBER($X888))),"",IF(OR(INDEX('得意先'!$D$5:$D$104,$W888)="",INDEX('得意先'!$E$5:$E$104,$W888)="",INDEX('得意先'!$F$5:$F$104,$W888)=""),"",IF(INDEX('得意先'!$F$5:$F$104,$W888)="末",DATE(YEAR($X888),(MONTH($X888)+IF(INDEX('得意先'!$D$5:$D$104,$W888)="末",0,IF(DAY($X888)&lt;=INDEX('得意先'!$D$5:$D$104,$W888),0,1))+N(INDEX('得意先'!$E$5:$E$104,$W888)))+1,0),DATE(YEAR($X888),(MONTH($X888)+IF(INDEX('得意先'!$D$5:$D$104,$W888)="末",0,IF(DAY($X888)&lt;=INDEX('得意先'!$D$5:$D$104,$W888),0,1))+N(INDEX('得意先'!$E$5:$E$104,$W888))),MIN(INDEX('得意先'!$F$5:$F$104,$W888),DAY(DATE(YEAR($X888),(MONTH($X888)+IF(INDEX('得意先'!$D$5:$D$104,$W888)="末",0,IF(DAY($X888)&lt;=INDEX('得意先'!$D$5:$D$104,$W888),0,1))+N(INDEX('得意先'!$E$5:$E$104,$W888)))+1,0)))))))</f>
        <v/>
      </c>
      <c r="N888" s="26" t="n"/>
      <c r="O888" s="29">
        <f>IF($A888="","",IF(ISNUMBER($N888),$N888,$M888))</f>
        <v/>
      </c>
      <c r="P888" s="28">
        <f>IF($A888="","",SUMIF('入金消込'!$F$5:$F$1004,$A888,'入金消込'!$G$5:$G$1004))</f>
        <v/>
      </c>
      <c r="Q888" s="28">
        <f>IF($A888="","",SUMIF('入金消込'!$F$5:$F$1004,$A888,'入金消込'!$H$5:$H$1004)+SUMIF('入金消込'!$F$5:$F$1004,$A888,'入金消込'!$I$5:$I$1004))</f>
        <v/>
      </c>
      <c r="R888" s="28">
        <f>IF($A888="","",$L888-$P888-$Q888)</f>
        <v/>
      </c>
      <c r="S888" s="30">
        <f>IF($A888="","",IF($R888=0,IF($L888=0,"請求額0","回収済"),IF($L888&lt;0,IF($R888&lt;0,"差し引き待ち","差し引きすぎ"),IF($R888&lt;0,"入金が多い",IF($P888+$Q888=0,"未入金","一部入金")))))</f>
        <v/>
      </c>
      <c r="T888" s="31">
        <f>IF(OR($A888="",N($R888)&lt;=0,NOT(ISNUMBER($O888))),"",IF($O888&lt;'設定'!$B$7,'設定'!$B$7-$O888,""))</f>
        <v/>
      </c>
      <c r="U888" s="30">
        <f>IF(OR($A888="",N($R888)&lt;=0),"",IF(NOT(ISNUMBER($O888)),'設定'!$B$22,IF($O888&gt;='設定'!$B$7,'設定'!$B$17,IF('設定'!$B$7-$O888&lt;='設定'!$B$12,'設定'!$B$18,IF('設定'!$B$7-$O888&lt;='設定'!$B$13,'設定'!$B$19,IF('設定'!$B$7-$O888&lt;='設定'!$B$14,'設定'!$B$20,'設定'!$B$21))))))</f>
        <v/>
      </c>
      <c r="V888" s="56" t="n"/>
      <c r="W888" s="32">
        <f>IF($C888="","",IFERROR(MATCH($C888,'得意先'!$B$5:$B$104,0),"なし"))</f>
        <v/>
      </c>
      <c r="X888" s="33">
        <f>IF($A888="","",IF(ISNUMBER($E888),$E888,IF(ISNUMBER($B888),$B888,"")))</f>
        <v/>
      </c>
      <c r="Y888" s="34">
        <f>IF($T888="","",$O888+ROW()/1000000)</f>
        <v/>
      </c>
      <c r="Z888" s="35">
        <f>IF(OR($A888="",$C888="",$C888&lt;&gt;'売掛帳'!$B$3,NOT(ISNUMBER($X888))),"",IF(AND($X888&gt;='売掛帳'!$Q$3,$X888&lt;='売掛帳'!$Q$4),$X888+ROW()/10000000,""))</f>
        <v/>
      </c>
    </row>
    <row r="889" ht="18" customHeight="1">
      <c r="A889" s="18" t="n"/>
      <c r="B889" s="26" t="n"/>
      <c r="C889" s="18" t="n"/>
      <c r="D889" s="20">
        <f>IF($W889="","",IF($W889="なし","※得意先にないコード",INDEX('得意先'!$C$5:$C$104,$W889)&amp;""))</f>
        <v/>
      </c>
      <c r="E889" s="26" t="n"/>
      <c r="F889" s="19" t="n"/>
      <c r="G889" s="27" t="n"/>
      <c r="H889" s="27" t="n"/>
      <c r="I889" s="27" t="n"/>
      <c r="J889" s="28">
        <f>IF($A889="","",IF('設定'!$B$10="四捨五入",ROUND(IF('設定'!$B$9="税込",N($G889)*10/110,N($G889)*10/100),0),IF('設定'!$B$10="切り上げ",ROUNDUP(IF('設定'!$B$9="税込",N($G889)*10/110,N($G889)*10/100),0),ROUNDDOWN(IF('設定'!$B$9="税込",N($G889)*10/110,N($G889)*10/100),0))))</f>
        <v/>
      </c>
      <c r="K889" s="28">
        <f>IF($A889="","",IF('設定'!$B$10="四捨五入",ROUND(IF('設定'!$B$9="税込",N($H889)*8/108,N($H889)*8/100),0),IF('設定'!$B$10="切り上げ",ROUNDUP(IF('設定'!$B$9="税込",N($H889)*8/108,N($H889)*8/100),0),ROUNDDOWN(IF('設定'!$B$9="税込",N($H889)*8/108,N($H889)*8/100),0))))</f>
        <v/>
      </c>
      <c r="L889" s="28">
        <f>IF($A889="","",N($G889)+N($H889)+N($I889)+IF('設定'!$B$9="税込",0,$J889+$K889))</f>
        <v/>
      </c>
      <c r="M889" s="29">
        <f>IF(OR($A889="",NOT(ISNUMBER($W889)),NOT(ISNUMBER($X889))),"",IF(OR(INDEX('得意先'!$D$5:$D$104,$W889)="",INDEX('得意先'!$E$5:$E$104,$W889)="",INDEX('得意先'!$F$5:$F$104,$W889)=""),"",IF(INDEX('得意先'!$F$5:$F$104,$W889)="末",DATE(YEAR($X889),(MONTH($X889)+IF(INDEX('得意先'!$D$5:$D$104,$W889)="末",0,IF(DAY($X889)&lt;=INDEX('得意先'!$D$5:$D$104,$W889),0,1))+N(INDEX('得意先'!$E$5:$E$104,$W889)))+1,0),DATE(YEAR($X889),(MONTH($X889)+IF(INDEX('得意先'!$D$5:$D$104,$W889)="末",0,IF(DAY($X889)&lt;=INDEX('得意先'!$D$5:$D$104,$W889),0,1))+N(INDEX('得意先'!$E$5:$E$104,$W889))),MIN(INDEX('得意先'!$F$5:$F$104,$W889),DAY(DATE(YEAR($X889),(MONTH($X889)+IF(INDEX('得意先'!$D$5:$D$104,$W889)="末",0,IF(DAY($X889)&lt;=INDEX('得意先'!$D$5:$D$104,$W889),0,1))+N(INDEX('得意先'!$E$5:$E$104,$W889)))+1,0)))))))</f>
        <v/>
      </c>
      <c r="N889" s="26" t="n"/>
      <c r="O889" s="29">
        <f>IF($A889="","",IF(ISNUMBER($N889),$N889,$M889))</f>
        <v/>
      </c>
      <c r="P889" s="28">
        <f>IF($A889="","",SUMIF('入金消込'!$F$5:$F$1004,$A889,'入金消込'!$G$5:$G$1004))</f>
        <v/>
      </c>
      <c r="Q889" s="28">
        <f>IF($A889="","",SUMIF('入金消込'!$F$5:$F$1004,$A889,'入金消込'!$H$5:$H$1004)+SUMIF('入金消込'!$F$5:$F$1004,$A889,'入金消込'!$I$5:$I$1004))</f>
        <v/>
      </c>
      <c r="R889" s="28">
        <f>IF($A889="","",$L889-$P889-$Q889)</f>
        <v/>
      </c>
      <c r="S889" s="30">
        <f>IF($A889="","",IF($R889=0,IF($L889=0,"請求額0","回収済"),IF($L889&lt;0,IF($R889&lt;0,"差し引き待ち","差し引きすぎ"),IF($R889&lt;0,"入金が多い",IF($P889+$Q889=0,"未入金","一部入金")))))</f>
        <v/>
      </c>
      <c r="T889" s="31">
        <f>IF(OR($A889="",N($R889)&lt;=0,NOT(ISNUMBER($O889))),"",IF($O889&lt;'設定'!$B$7,'設定'!$B$7-$O889,""))</f>
        <v/>
      </c>
      <c r="U889" s="30">
        <f>IF(OR($A889="",N($R889)&lt;=0),"",IF(NOT(ISNUMBER($O889)),'設定'!$B$22,IF($O889&gt;='設定'!$B$7,'設定'!$B$17,IF('設定'!$B$7-$O889&lt;='設定'!$B$12,'設定'!$B$18,IF('設定'!$B$7-$O889&lt;='設定'!$B$13,'設定'!$B$19,IF('設定'!$B$7-$O889&lt;='設定'!$B$14,'設定'!$B$20,'設定'!$B$21))))))</f>
        <v/>
      </c>
      <c r="V889" s="56" t="n"/>
      <c r="W889" s="32">
        <f>IF($C889="","",IFERROR(MATCH($C889,'得意先'!$B$5:$B$104,0),"なし"))</f>
        <v/>
      </c>
      <c r="X889" s="33">
        <f>IF($A889="","",IF(ISNUMBER($E889),$E889,IF(ISNUMBER($B889),$B889,"")))</f>
        <v/>
      </c>
      <c r="Y889" s="34">
        <f>IF($T889="","",$O889+ROW()/1000000)</f>
        <v/>
      </c>
      <c r="Z889" s="35">
        <f>IF(OR($A889="",$C889="",$C889&lt;&gt;'売掛帳'!$B$3,NOT(ISNUMBER($X889))),"",IF(AND($X889&gt;='売掛帳'!$Q$3,$X889&lt;='売掛帳'!$Q$4),$X889+ROW()/10000000,""))</f>
        <v/>
      </c>
    </row>
    <row r="890" ht="18" customHeight="1">
      <c r="A890" s="18" t="n"/>
      <c r="B890" s="26" t="n"/>
      <c r="C890" s="18" t="n"/>
      <c r="D890" s="20">
        <f>IF($W890="","",IF($W890="なし","※得意先にないコード",INDEX('得意先'!$C$5:$C$104,$W890)&amp;""))</f>
        <v/>
      </c>
      <c r="E890" s="26" t="n"/>
      <c r="F890" s="19" t="n"/>
      <c r="G890" s="27" t="n"/>
      <c r="H890" s="27" t="n"/>
      <c r="I890" s="27" t="n"/>
      <c r="J890" s="28">
        <f>IF($A890="","",IF('設定'!$B$10="四捨五入",ROUND(IF('設定'!$B$9="税込",N($G890)*10/110,N($G890)*10/100),0),IF('設定'!$B$10="切り上げ",ROUNDUP(IF('設定'!$B$9="税込",N($G890)*10/110,N($G890)*10/100),0),ROUNDDOWN(IF('設定'!$B$9="税込",N($G890)*10/110,N($G890)*10/100),0))))</f>
        <v/>
      </c>
      <c r="K890" s="28">
        <f>IF($A890="","",IF('設定'!$B$10="四捨五入",ROUND(IF('設定'!$B$9="税込",N($H890)*8/108,N($H890)*8/100),0),IF('設定'!$B$10="切り上げ",ROUNDUP(IF('設定'!$B$9="税込",N($H890)*8/108,N($H890)*8/100),0),ROUNDDOWN(IF('設定'!$B$9="税込",N($H890)*8/108,N($H890)*8/100),0))))</f>
        <v/>
      </c>
      <c r="L890" s="28">
        <f>IF($A890="","",N($G890)+N($H890)+N($I890)+IF('設定'!$B$9="税込",0,$J890+$K890))</f>
        <v/>
      </c>
      <c r="M890" s="29">
        <f>IF(OR($A890="",NOT(ISNUMBER($W890)),NOT(ISNUMBER($X890))),"",IF(OR(INDEX('得意先'!$D$5:$D$104,$W890)="",INDEX('得意先'!$E$5:$E$104,$W890)="",INDEX('得意先'!$F$5:$F$104,$W890)=""),"",IF(INDEX('得意先'!$F$5:$F$104,$W890)="末",DATE(YEAR($X890),(MONTH($X890)+IF(INDEX('得意先'!$D$5:$D$104,$W890)="末",0,IF(DAY($X890)&lt;=INDEX('得意先'!$D$5:$D$104,$W890),0,1))+N(INDEX('得意先'!$E$5:$E$104,$W890)))+1,0),DATE(YEAR($X890),(MONTH($X890)+IF(INDEX('得意先'!$D$5:$D$104,$W890)="末",0,IF(DAY($X890)&lt;=INDEX('得意先'!$D$5:$D$104,$W890),0,1))+N(INDEX('得意先'!$E$5:$E$104,$W890))),MIN(INDEX('得意先'!$F$5:$F$104,$W890),DAY(DATE(YEAR($X890),(MONTH($X890)+IF(INDEX('得意先'!$D$5:$D$104,$W890)="末",0,IF(DAY($X890)&lt;=INDEX('得意先'!$D$5:$D$104,$W890),0,1))+N(INDEX('得意先'!$E$5:$E$104,$W890)))+1,0)))))))</f>
        <v/>
      </c>
      <c r="N890" s="26" t="n"/>
      <c r="O890" s="29">
        <f>IF($A890="","",IF(ISNUMBER($N890),$N890,$M890))</f>
        <v/>
      </c>
      <c r="P890" s="28">
        <f>IF($A890="","",SUMIF('入金消込'!$F$5:$F$1004,$A890,'入金消込'!$G$5:$G$1004))</f>
        <v/>
      </c>
      <c r="Q890" s="28">
        <f>IF($A890="","",SUMIF('入金消込'!$F$5:$F$1004,$A890,'入金消込'!$H$5:$H$1004)+SUMIF('入金消込'!$F$5:$F$1004,$A890,'入金消込'!$I$5:$I$1004))</f>
        <v/>
      </c>
      <c r="R890" s="28">
        <f>IF($A890="","",$L890-$P890-$Q890)</f>
        <v/>
      </c>
      <c r="S890" s="30">
        <f>IF($A890="","",IF($R890=0,IF($L890=0,"請求額0","回収済"),IF($L890&lt;0,IF($R890&lt;0,"差し引き待ち","差し引きすぎ"),IF($R890&lt;0,"入金が多い",IF($P890+$Q890=0,"未入金","一部入金")))))</f>
        <v/>
      </c>
      <c r="T890" s="31">
        <f>IF(OR($A890="",N($R890)&lt;=0,NOT(ISNUMBER($O890))),"",IF($O890&lt;'設定'!$B$7,'設定'!$B$7-$O890,""))</f>
        <v/>
      </c>
      <c r="U890" s="30">
        <f>IF(OR($A890="",N($R890)&lt;=0),"",IF(NOT(ISNUMBER($O890)),'設定'!$B$22,IF($O890&gt;='設定'!$B$7,'設定'!$B$17,IF('設定'!$B$7-$O890&lt;='設定'!$B$12,'設定'!$B$18,IF('設定'!$B$7-$O890&lt;='設定'!$B$13,'設定'!$B$19,IF('設定'!$B$7-$O890&lt;='設定'!$B$14,'設定'!$B$20,'設定'!$B$21))))))</f>
        <v/>
      </c>
      <c r="V890" s="56" t="n"/>
      <c r="W890" s="32">
        <f>IF($C890="","",IFERROR(MATCH($C890,'得意先'!$B$5:$B$104,0),"なし"))</f>
        <v/>
      </c>
      <c r="X890" s="33">
        <f>IF($A890="","",IF(ISNUMBER($E890),$E890,IF(ISNUMBER($B890),$B890,"")))</f>
        <v/>
      </c>
      <c r="Y890" s="34">
        <f>IF($T890="","",$O890+ROW()/1000000)</f>
        <v/>
      </c>
      <c r="Z890" s="35">
        <f>IF(OR($A890="",$C890="",$C890&lt;&gt;'売掛帳'!$B$3,NOT(ISNUMBER($X890))),"",IF(AND($X890&gt;='売掛帳'!$Q$3,$X890&lt;='売掛帳'!$Q$4),$X890+ROW()/10000000,""))</f>
        <v/>
      </c>
    </row>
    <row r="891" ht="18" customHeight="1">
      <c r="A891" s="18" t="n"/>
      <c r="B891" s="26" t="n"/>
      <c r="C891" s="18" t="n"/>
      <c r="D891" s="20">
        <f>IF($W891="","",IF($W891="なし","※得意先にないコード",INDEX('得意先'!$C$5:$C$104,$W891)&amp;""))</f>
        <v/>
      </c>
      <c r="E891" s="26" t="n"/>
      <c r="F891" s="19" t="n"/>
      <c r="G891" s="27" t="n"/>
      <c r="H891" s="27" t="n"/>
      <c r="I891" s="27" t="n"/>
      <c r="J891" s="28">
        <f>IF($A891="","",IF('設定'!$B$10="四捨五入",ROUND(IF('設定'!$B$9="税込",N($G891)*10/110,N($G891)*10/100),0),IF('設定'!$B$10="切り上げ",ROUNDUP(IF('設定'!$B$9="税込",N($G891)*10/110,N($G891)*10/100),0),ROUNDDOWN(IF('設定'!$B$9="税込",N($G891)*10/110,N($G891)*10/100),0))))</f>
        <v/>
      </c>
      <c r="K891" s="28">
        <f>IF($A891="","",IF('設定'!$B$10="四捨五入",ROUND(IF('設定'!$B$9="税込",N($H891)*8/108,N($H891)*8/100),0),IF('設定'!$B$10="切り上げ",ROUNDUP(IF('設定'!$B$9="税込",N($H891)*8/108,N($H891)*8/100),0),ROUNDDOWN(IF('設定'!$B$9="税込",N($H891)*8/108,N($H891)*8/100),0))))</f>
        <v/>
      </c>
      <c r="L891" s="28">
        <f>IF($A891="","",N($G891)+N($H891)+N($I891)+IF('設定'!$B$9="税込",0,$J891+$K891))</f>
        <v/>
      </c>
      <c r="M891" s="29">
        <f>IF(OR($A891="",NOT(ISNUMBER($W891)),NOT(ISNUMBER($X891))),"",IF(OR(INDEX('得意先'!$D$5:$D$104,$W891)="",INDEX('得意先'!$E$5:$E$104,$W891)="",INDEX('得意先'!$F$5:$F$104,$W891)=""),"",IF(INDEX('得意先'!$F$5:$F$104,$W891)="末",DATE(YEAR($X891),(MONTH($X891)+IF(INDEX('得意先'!$D$5:$D$104,$W891)="末",0,IF(DAY($X891)&lt;=INDEX('得意先'!$D$5:$D$104,$W891),0,1))+N(INDEX('得意先'!$E$5:$E$104,$W891)))+1,0),DATE(YEAR($X891),(MONTH($X891)+IF(INDEX('得意先'!$D$5:$D$104,$W891)="末",0,IF(DAY($X891)&lt;=INDEX('得意先'!$D$5:$D$104,$W891),0,1))+N(INDEX('得意先'!$E$5:$E$104,$W891))),MIN(INDEX('得意先'!$F$5:$F$104,$W891),DAY(DATE(YEAR($X891),(MONTH($X891)+IF(INDEX('得意先'!$D$5:$D$104,$W891)="末",0,IF(DAY($X891)&lt;=INDEX('得意先'!$D$5:$D$104,$W891),0,1))+N(INDEX('得意先'!$E$5:$E$104,$W891)))+1,0)))))))</f>
        <v/>
      </c>
      <c r="N891" s="26" t="n"/>
      <c r="O891" s="29">
        <f>IF($A891="","",IF(ISNUMBER($N891),$N891,$M891))</f>
        <v/>
      </c>
      <c r="P891" s="28">
        <f>IF($A891="","",SUMIF('入金消込'!$F$5:$F$1004,$A891,'入金消込'!$G$5:$G$1004))</f>
        <v/>
      </c>
      <c r="Q891" s="28">
        <f>IF($A891="","",SUMIF('入金消込'!$F$5:$F$1004,$A891,'入金消込'!$H$5:$H$1004)+SUMIF('入金消込'!$F$5:$F$1004,$A891,'入金消込'!$I$5:$I$1004))</f>
        <v/>
      </c>
      <c r="R891" s="28">
        <f>IF($A891="","",$L891-$P891-$Q891)</f>
        <v/>
      </c>
      <c r="S891" s="30">
        <f>IF($A891="","",IF($R891=0,IF($L891=0,"請求額0","回収済"),IF($L891&lt;0,IF($R891&lt;0,"差し引き待ち","差し引きすぎ"),IF($R891&lt;0,"入金が多い",IF($P891+$Q891=0,"未入金","一部入金")))))</f>
        <v/>
      </c>
      <c r="T891" s="31">
        <f>IF(OR($A891="",N($R891)&lt;=0,NOT(ISNUMBER($O891))),"",IF($O891&lt;'設定'!$B$7,'設定'!$B$7-$O891,""))</f>
        <v/>
      </c>
      <c r="U891" s="30">
        <f>IF(OR($A891="",N($R891)&lt;=0),"",IF(NOT(ISNUMBER($O891)),'設定'!$B$22,IF($O891&gt;='設定'!$B$7,'設定'!$B$17,IF('設定'!$B$7-$O891&lt;='設定'!$B$12,'設定'!$B$18,IF('設定'!$B$7-$O891&lt;='設定'!$B$13,'設定'!$B$19,IF('設定'!$B$7-$O891&lt;='設定'!$B$14,'設定'!$B$20,'設定'!$B$21))))))</f>
        <v/>
      </c>
      <c r="V891" s="56" t="n"/>
      <c r="W891" s="32">
        <f>IF($C891="","",IFERROR(MATCH($C891,'得意先'!$B$5:$B$104,0),"なし"))</f>
        <v/>
      </c>
      <c r="X891" s="33">
        <f>IF($A891="","",IF(ISNUMBER($E891),$E891,IF(ISNUMBER($B891),$B891,"")))</f>
        <v/>
      </c>
      <c r="Y891" s="34">
        <f>IF($T891="","",$O891+ROW()/1000000)</f>
        <v/>
      </c>
      <c r="Z891" s="35">
        <f>IF(OR($A891="",$C891="",$C891&lt;&gt;'売掛帳'!$B$3,NOT(ISNUMBER($X891))),"",IF(AND($X891&gt;='売掛帳'!$Q$3,$X891&lt;='売掛帳'!$Q$4),$X891+ROW()/10000000,""))</f>
        <v/>
      </c>
    </row>
    <row r="892" ht="18" customHeight="1">
      <c r="A892" s="18" t="n"/>
      <c r="B892" s="26" t="n"/>
      <c r="C892" s="18" t="n"/>
      <c r="D892" s="20">
        <f>IF($W892="","",IF($W892="なし","※得意先にないコード",INDEX('得意先'!$C$5:$C$104,$W892)&amp;""))</f>
        <v/>
      </c>
      <c r="E892" s="26" t="n"/>
      <c r="F892" s="19" t="n"/>
      <c r="G892" s="27" t="n"/>
      <c r="H892" s="27" t="n"/>
      <c r="I892" s="27" t="n"/>
      <c r="J892" s="28">
        <f>IF($A892="","",IF('設定'!$B$10="四捨五入",ROUND(IF('設定'!$B$9="税込",N($G892)*10/110,N($G892)*10/100),0),IF('設定'!$B$10="切り上げ",ROUNDUP(IF('設定'!$B$9="税込",N($G892)*10/110,N($G892)*10/100),0),ROUNDDOWN(IF('設定'!$B$9="税込",N($G892)*10/110,N($G892)*10/100),0))))</f>
        <v/>
      </c>
      <c r="K892" s="28">
        <f>IF($A892="","",IF('設定'!$B$10="四捨五入",ROUND(IF('設定'!$B$9="税込",N($H892)*8/108,N($H892)*8/100),0),IF('設定'!$B$10="切り上げ",ROUNDUP(IF('設定'!$B$9="税込",N($H892)*8/108,N($H892)*8/100),0),ROUNDDOWN(IF('設定'!$B$9="税込",N($H892)*8/108,N($H892)*8/100),0))))</f>
        <v/>
      </c>
      <c r="L892" s="28">
        <f>IF($A892="","",N($G892)+N($H892)+N($I892)+IF('設定'!$B$9="税込",0,$J892+$K892))</f>
        <v/>
      </c>
      <c r="M892" s="29">
        <f>IF(OR($A892="",NOT(ISNUMBER($W892)),NOT(ISNUMBER($X892))),"",IF(OR(INDEX('得意先'!$D$5:$D$104,$W892)="",INDEX('得意先'!$E$5:$E$104,$W892)="",INDEX('得意先'!$F$5:$F$104,$W892)=""),"",IF(INDEX('得意先'!$F$5:$F$104,$W892)="末",DATE(YEAR($X892),(MONTH($X892)+IF(INDEX('得意先'!$D$5:$D$104,$W892)="末",0,IF(DAY($X892)&lt;=INDEX('得意先'!$D$5:$D$104,$W892),0,1))+N(INDEX('得意先'!$E$5:$E$104,$W892)))+1,0),DATE(YEAR($X892),(MONTH($X892)+IF(INDEX('得意先'!$D$5:$D$104,$W892)="末",0,IF(DAY($X892)&lt;=INDEX('得意先'!$D$5:$D$104,$W892),0,1))+N(INDEX('得意先'!$E$5:$E$104,$W892))),MIN(INDEX('得意先'!$F$5:$F$104,$W892),DAY(DATE(YEAR($X892),(MONTH($X892)+IF(INDEX('得意先'!$D$5:$D$104,$W892)="末",0,IF(DAY($X892)&lt;=INDEX('得意先'!$D$5:$D$104,$W892),0,1))+N(INDEX('得意先'!$E$5:$E$104,$W892)))+1,0)))))))</f>
        <v/>
      </c>
      <c r="N892" s="26" t="n"/>
      <c r="O892" s="29">
        <f>IF($A892="","",IF(ISNUMBER($N892),$N892,$M892))</f>
        <v/>
      </c>
      <c r="P892" s="28">
        <f>IF($A892="","",SUMIF('入金消込'!$F$5:$F$1004,$A892,'入金消込'!$G$5:$G$1004))</f>
        <v/>
      </c>
      <c r="Q892" s="28">
        <f>IF($A892="","",SUMIF('入金消込'!$F$5:$F$1004,$A892,'入金消込'!$H$5:$H$1004)+SUMIF('入金消込'!$F$5:$F$1004,$A892,'入金消込'!$I$5:$I$1004))</f>
        <v/>
      </c>
      <c r="R892" s="28">
        <f>IF($A892="","",$L892-$P892-$Q892)</f>
        <v/>
      </c>
      <c r="S892" s="30">
        <f>IF($A892="","",IF($R892=0,IF($L892=0,"請求額0","回収済"),IF($L892&lt;0,IF($R892&lt;0,"差し引き待ち","差し引きすぎ"),IF($R892&lt;0,"入金が多い",IF($P892+$Q892=0,"未入金","一部入金")))))</f>
        <v/>
      </c>
      <c r="T892" s="31">
        <f>IF(OR($A892="",N($R892)&lt;=0,NOT(ISNUMBER($O892))),"",IF($O892&lt;'設定'!$B$7,'設定'!$B$7-$O892,""))</f>
        <v/>
      </c>
      <c r="U892" s="30">
        <f>IF(OR($A892="",N($R892)&lt;=0),"",IF(NOT(ISNUMBER($O892)),'設定'!$B$22,IF($O892&gt;='設定'!$B$7,'設定'!$B$17,IF('設定'!$B$7-$O892&lt;='設定'!$B$12,'設定'!$B$18,IF('設定'!$B$7-$O892&lt;='設定'!$B$13,'設定'!$B$19,IF('設定'!$B$7-$O892&lt;='設定'!$B$14,'設定'!$B$20,'設定'!$B$21))))))</f>
        <v/>
      </c>
      <c r="V892" s="56" t="n"/>
      <c r="W892" s="32">
        <f>IF($C892="","",IFERROR(MATCH($C892,'得意先'!$B$5:$B$104,0),"なし"))</f>
        <v/>
      </c>
      <c r="X892" s="33">
        <f>IF($A892="","",IF(ISNUMBER($E892),$E892,IF(ISNUMBER($B892),$B892,"")))</f>
        <v/>
      </c>
      <c r="Y892" s="34">
        <f>IF($T892="","",$O892+ROW()/1000000)</f>
        <v/>
      </c>
      <c r="Z892" s="35">
        <f>IF(OR($A892="",$C892="",$C892&lt;&gt;'売掛帳'!$B$3,NOT(ISNUMBER($X892))),"",IF(AND($X892&gt;='売掛帳'!$Q$3,$X892&lt;='売掛帳'!$Q$4),$X892+ROW()/10000000,""))</f>
        <v/>
      </c>
    </row>
    <row r="893" ht="18" customHeight="1">
      <c r="A893" s="18" t="n"/>
      <c r="B893" s="26" t="n"/>
      <c r="C893" s="18" t="n"/>
      <c r="D893" s="20">
        <f>IF($W893="","",IF($W893="なし","※得意先にないコード",INDEX('得意先'!$C$5:$C$104,$W893)&amp;""))</f>
        <v/>
      </c>
      <c r="E893" s="26" t="n"/>
      <c r="F893" s="19" t="n"/>
      <c r="G893" s="27" t="n"/>
      <c r="H893" s="27" t="n"/>
      <c r="I893" s="27" t="n"/>
      <c r="J893" s="28">
        <f>IF($A893="","",IF('設定'!$B$10="四捨五入",ROUND(IF('設定'!$B$9="税込",N($G893)*10/110,N($G893)*10/100),0),IF('設定'!$B$10="切り上げ",ROUNDUP(IF('設定'!$B$9="税込",N($G893)*10/110,N($G893)*10/100),0),ROUNDDOWN(IF('設定'!$B$9="税込",N($G893)*10/110,N($G893)*10/100),0))))</f>
        <v/>
      </c>
      <c r="K893" s="28">
        <f>IF($A893="","",IF('設定'!$B$10="四捨五入",ROUND(IF('設定'!$B$9="税込",N($H893)*8/108,N($H893)*8/100),0),IF('設定'!$B$10="切り上げ",ROUNDUP(IF('設定'!$B$9="税込",N($H893)*8/108,N($H893)*8/100),0),ROUNDDOWN(IF('設定'!$B$9="税込",N($H893)*8/108,N($H893)*8/100),0))))</f>
        <v/>
      </c>
      <c r="L893" s="28">
        <f>IF($A893="","",N($G893)+N($H893)+N($I893)+IF('設定'!$B$9="税込",0,$J893+$K893))</f>
        <v/>
      </c>
      <c r="M893" s="29">
        <f>IF(OR($A893="",NOT(ISNUMBER($W893)),NOT(ISNUMBER($X893))),"",IF(OR(INDEX('得意先'!$D$5:$D$104,$W893)="",INDEX('得意先'!$E$5:$E$104,$W893)="",INDEX('得意先'!$F$5:$F$104,$W893)=""),"",IF(INDEX('得意先'!$F$5:$F$104,$W893)="末",DATE(YEAR($X893),(MONTH($X893)+IF(INDEX('得意先'!$D$5:$D$104,$W893)="末",0,IF(DAY($X893)&lt;=INDEX('得意先'!$D$5:$D$104,$W893),0,1))+N(INDEX('得意先'!$E$5:$E$104,$W893)))+1,0),DATE(YEAR($X893),(MONTH($X893)+IF(INDEX('得意先'!$D$5:$D$104,$W893)="末",0,IF(DAY($X893)&lt;=INDEX('得意先'!$D$5:$D$104,$W893),0,1))+N(INDEX('得意先'!$E$5:$E$104,$W893))),MIN(INDEX('得意先'!$F$5:$F$104,$W893),DAY(DATE(YEAR($X893),(MONTH($X893)+IF(INDEX('得意先'!$D$5:$D$104,$W893)="末",0,IF(DAY($X893)&lt;=INDEX('得意先'!$D$5:$D$104,$W893),0,1))+N(INDEX('得意先'!$E$5:$E$104,$W893)))+1,0)))))))</f>
        <v/>
      </c>
      <c r="N893" s="26" t="n"/>
      <c r="O893" s="29">
        <f>IF($A893="","",IF(ISNUMBER($N893),$N893,$M893))</f>
        <v/>
      </c>
      <c r="P893" s="28">
        <f>IF($A893="","",SUMIF('入金消込'!$F$5:$F$1004,$A893,'入金消込'!$G$5:$G$1004))</f>
        <v/>
      </c>
      <c r="Q893" s="28">
        <f>IF($A893="","",SUMIF('入金消込'!$F$5:$F$1004,$A893,'入金消込'!$H$5:$H$1004)+SUMIF('入金消込'!$F$5:$F$1004,$A893,'入金消込'!$I$5:$I$1004))</f>
        <v/>
      </c>
      <c r="R893" s="28">
        <f>IF($A893="","",$L893-$P893-$Q893)</f>
        <v/>
      </c>
      <c r="S893" s="30">
        <f>IF($A893="","",IF($R893=0,IF($L893=0,"請求額0","回収済"),IF($L893&lt;0,IF($R893&lt;0,"差し引き待ち","差し引きすぎ"),IF($R893&lt;0,"入金が多い",IF($P893+$Q893=0,"未入金","一部入金")))))</f>
        <v/>
      </c>
      <c r="T893" s="31">
        <f>IF(OR($A893="",N($R893)&lt;=0,NOT(ISNUMBER($O893))),"",IF($O893&lt;'設定'!$B$7,'設定'!$B$7-$O893,""))</f>
        <v/>
      </c>
      <c r="U893" s="30">
        <f>IF(OR($A893="",N($R893)&lt;=0),"",IF(NOT(ISNUMBER($O893)),'設定'!$B$22,IF($O893&gt;='設定'!$B$7,'設定'!$B$17,IF('設定'!$B$7-$O893&lt;='設定'!$B$12,'設定'!$B$18,IF('設定'!$B$7-$O893&lt;='設定'!$B$13,'設定'!$B$19,IF('設定'!$B$7-$O893&lt;='設定'!$B$14,'設定'!$B$20,'設定'!$B$21))))))</f>
        <v/>
      </c>
      <c r="V893" s="56" t="n"/>
      <c r="W893" s="32">
        <f>IF($C893="","",IFERROR(MATCH($C893,'得意先'!$B$5:$B$104,0),"なし"))</f>
        <v/>
      </c>
      <c r="X893" s="33">
        <f>IF($A893="","",IF(ISNUMBER($E893),$E893,IF(ISNUMBER($B893),$B893,"")))</f>
        <v/>
      </c>
      <c r="Y893" s="34">
        <f>IF($T893="","",$O893+ROW()/1000000)</f>
        <v/>
      </c>
      <c r="Z893" s="35">
        <f>IF(OR($A893="",$C893="",$C893&lt;&gt;'売掛帳'!$B$3,NOT(ISNUMBER($X893))),"",IF(AND($X893&gt;='売掛帳'!$Q$3,$X893&lt;='売掛帳'!$Q$4),$X893+ROW()/10000000,""))</f>
        <v/>
      </c>
    </row>
    <row r="894" ht="18" customHeight="1">
      <c r="A894" s="18" t="n"/>
      <c r="B894" s="26" t="n"/>
      <c r="C894" s="18" t="n"/>
      <c r="D894" s="20">
        <f>IF($W894="","",IF($W894="なし","※得意先にないコード",INDEX('得意先'!$C$5:$C$104,$W894)&amp;""))</f>
        <v/>
      </c>
      <c r="E894" s="26" t="n"/>
      <c r="F894" s="19" t="n"/>
      <c r="G894" s="27" t="n"/>
      <c r="H894" s="27" t="n"/>
      <c r="I894" s="27" t="n"/>
      <c r="J894" s="28">
        <f>IF($A894="","",IF('設定'!$B$10="四捨五入",ROUND(IF('設定'!$B$9="税込",N($G894)*10/110,N($G894)*10/100),0),IF('設定'!$B$10="切り上げ",ROUNDUP(IF('設定'!$B$9="税込",N($G894)*10/110,N($G894)*10/100),0),ROUNDDOWN(IF('設定'!$B$9="税込",N($G894)*10/110,N($G894)*10/100),0))))</f>
        <v/>
      </c>
      <c r="K894" s="28">
        <f>IF($A894="","",IF('設定'!$B$10="四捨五入",ROUND(IF('設定'!$B$9="税込",N($H894)*8/108,N($H894)*8/100),0),IF('設定'!$B$10="切り上げ",ROUNDUP(IF('設定'!$B$9="税込",N($H894)*8/108,N($H894)*8/100),0),ROUNDDOWN(IF('設定'!$B$9="税込",N($H894)*8/108,N($H894)*8/100),0))))</f>
        <v/>
      </c>
      <c r="L894" s="28">
        <f>IF($A894="","",N($G894)+N($H894)+N($I894)+IF('設定'!$B$9="税込",0,$J894+$K894))</f>
        <v/>
      </c>
      <c r="M894" s="29">
        <f>IF(OR($A894="",NOT(ISNUMBER($W894)),NOT(ISNUMBER($X894))),"",IF(OR(INDEX('得意先'!$D$5:$D$104,$W894)="",INDEX('得意先'!$E$5:$E$104,$W894)="",INDEX('得意先'!$F$5:$F$104,$W894)=""),"",IF(INDEX('得意先'!$F$5:$F$104,$W894)="末",DATE(YEAR($X894),(MONTH($X894)+IF(INDEX('得意先'!$D$5:$D$104,$W894)="末",0,IF(DAY($X894)&lt;=INDEX('得意先'!$D$5:$D$104,$W894),0,1))+N(INDEX('得意先'!$E$5:$E$104,$W894)))+1,0),DATE(YEAR($X894),(MONTH($X894)+IF(INDEX('得意先'!$D$5:$D$104,$W894)="末",0,IF(DAY($X894)&lt;=INDEX('得意先'!$D$5:$D$104,$W894),0,1))+N(INDEX('得意先'!$E$5:$E$104,$W894))),MIN(INDEX('得意先'!$F$5:$F$104,$W894),DAY(DATE(YEAR($X894),(MONTH($X894)+IF(INDEX('得意先'!$D$5:$D$104,$W894)="末",0,IF(DAY($X894)&lt;=INDEX('得意先'!$D$5:$D$104,$W894),0,1))+N(INDEX('得意先'!$E$5:$E$104,$W894)))+1,0)))))))</f>
        <v/>
      </c>
      <c r="N894" s="26" t="n"/>
      <c r="O894" s="29">
        <f>IF($A894="","",IF(ISNUMBER($N894),$N894,$M894))</f>
        <v/>
      </c>
      <c r="P894" s="28">
        <f>IF($A894="","",SUMIF('入金消込'!$F$5:$F$1004,$A894,'入金消込'!$G$5:$G$1004))</f>
        <v/>
      </c>
      <c r="Q894" s="28">
        <f>IF($A894="","",SUMIF('入金消込'!$F$5:$F$1004,$A894,'入金消込'!$H$5:$H$1004)+SUMIF('入金消込'!$F$5:$F$1004,$A894,'入金消込'!$I$5:$I$1004))</f>
        <v/>
      </c>
      <c r="R894" s="28">
        <f>IF($A894="","",$L894-$P894-$Q894)</f>
        <v/>
      </c>
      <c r="S894" s="30">
        <f>IF($A894="","",IF($R894=0,IF($L894=0,"請求額0","回収済"),IF($L894&lt;0,IF($R894&lt;0,"差し引き待ち","差し引きすぎ"),IF($R894&lt;0,"入金が多い",IF($P894+$Q894=0,"未入金","一部入金")))))</f>
        <v/>
      </c>
      <c r="T894" s="31">
        <f>IF(OR($A894="",N($R894)&lt;=0,NOT(ISNUMBER($O894))),"",IF($O894&lt;'設定'!$B$7,'設定'!$B$7-$O894,""))</f>
        <v/>
      </c>
      <c r="U894" s="30">
        <f>IF(OR($A894="",N($R894)&lt;=0),"",IF(NOT(ISNUMBER($O894)),'設定'!$B$22,IF($O894&gt;='設定'!$B$7,'設定'!$B$17,IF('設定'!$B$7-$O894&lt;='設定'!$B$12,'設定'!$B$18,IF('設定'!$B$7-$O894&lt;='設定'!$B$13,'設定'!$B$19,IF('設定'!$B$7-$O894&lt;='設定'!$B$14,'設定'!$B$20,'設定'!$B$21))))))</f>
        <v/>
      </c>
      <c r="V894" s="56" t="n"/>
      <c r="W894" s="32">
        <f>IF($C894="","",IFERROR(MATCH($C894,'得意先'!$B$5:$B$104,0),"なし"))</f>
        <v/>
      </c>
      <c r="X894" s="33">
        <f>IF($A894="","",IF(ISNUMBER($E894),$E894,IF(ISNUMBER($B894),$B894,"")))</f>
        <v/>
      </c>
      <c r="Y894" s="34">
        <f>IF($T894="","",$O894+ROW()/1000000)</f>
        <v/>
      </c>
      <c r="Z894" s="35">
        <f>IF(OR($A894="",$C894="",$C894&lt;&gt;'売掛帳'!$B$3,NOT(ISNUMBER($X894))),"",IF(AND($X894&gt;='売掛帳'!$Q$3,$X894&lt;='売掛帳'!$Q$4),$X894+ROW()/10000000,""))</f>
        <v/>
      </c>
    </row>
    <row r="895" ht="18" customHeight="1">
      <c r="A895" s="18" t="n"/>
      <c r="B895" s="26" t="n"/>
      <c r="C895" s="18" t="n"/>
      <c r="D895" s="20">
        <f>IF($W895="","",IF($W895="なし","※得意先にないコード",INDEX('得意先'!$C$5:$C$104,$W895)&amp;""))</f>
        <v/>
      </c>
      <c r="E895" s="26" t="n"/>
      <c r="F895" s="19" t="n"/>
      <c r="G895" s="27" t="n"/>
      <c r="H895" s="27" t="n"/>
      <c r="I895" s="27" t="n"/>
      <c r="J895" s="28">
        <f>IF($A895="","",IF('設定'!$B$10="四捨五入",ROUND(IF('設定'!$B$9="税込",N($G895)*10/110,N($G895)*10/100),0),IF('設定'!$B$10="切り上げ",ROUNDUP(IF('設定'!$B$9="税込",N($G895)*10/110,N($G895)*10/100),0),ROUNDDOWN(IF('設定'!$B$9="税込",N($G895)*10/110,N($G895)*10/100),0))))</f>
        <v/>
      </c>
      <c r="K895" s="28">
        <f>IF($A895="","",IF('設定'!$B$10="四捨五入",ROUND(IF('設定'!$B$9="税込",N($H895)*8/108,N($H895)*8/100),0),IF('設定'!$B$10="切り上げ",ROUNDUP(IF('設定'!$B$9="税込",N($H895)*8/108,N($H895)*8/100),0),ROUNDDOWN(IF('設定'!$B$9="税込",N($H895)*8/108,N($H895)*8/100),0))))</f>
        <v/>
      </c>
      <c r="L895" s="28">
        <f>IF($A895="","",N($G895)+N($H895)+N($I895)+IF('設定'!$B$9="税込",0,$J895+$K895))</f>
        <v/>
      </c>
      <c r="M895" s="29">
        <f>IF(OR($A895="",NOT(ISNUMBER($W895)),NOT(ISNUMBER($X895))),"",IF(OR(INDEX('得意先'!$D$5:$D$104,$W895)="",INDEX('得意先'!$E$5:$E$104,$W895)="",INDEX('得意先'!$F$5:$F$104,$W895)=""),"",IF(INDEX('得意先'!$F$5:$F$104,$W895)="末",DATE(YEAR($X895),(MONTH($X895)+IF(INDEX('得意先'!$D$5:$D$104,$W895)="末",0,IF(DAY($X895)&lt;=INDEX('得意先'!$D$5:$D$104,$W895),0,1))+N(INDEX('得意先'!$E$5:$E$104,$W895)))+1,0),DATE(YEAR($X895),(MONTH($X895)+IF(INDEX('得意先'!$D$5:$D$104,$W895)="末",0,IF(DAY($X895)&lt;=INDEX('得意先'!$D$5:$D$104,$W895),0,1))+N(INDEX('得意先'!$E$5:$E$104,$W895))),MIN(INDEX('得意先'!$F$5:$F$104,$W895),DAY(DATE(YEAR($X895),(MONTH($X895)+IF(INDEX('得意先'!$D$5:$D$104,$W895)="末",0,IF(DAY($X895)&lt;=INDEX('得意先'!$D$5:$D$104,$W895),0,1))+N(INDEX('得意先'!$E$5:$E$104,$W895)))+1,0)))))))</f>
        <v/>
      </c>
      <c r="N895" s="26" t="n"/>
      <c r="O895" s="29">
        <f>IF($A895="","",IF(ISNUMBER($N895),$N895,$M895))</f>
        <v/>
      </c>
      <c r="P895" s="28">
        <f>IF($A895="","",SUMIF('入金消込'!$F$5:$F$1004,$A895,'入金消込'!$G$5:$G$1004))</f>
        <v/>
      </c>
      <c r="Q895" s="28">
        <f>IF($A895="","",SUMIF('入金消込'!$F$5:$F$1004,$A895,'入金消込'!$H$5:$H$1004)+SUMIF('入金消込'!$F$5:$F$1004,$A895,'入金消込'!$I$5:$I$1004))</f>
        <v/>
      </c>
      <c r="R895" s="28">
        <f>IF($A895="","",$L895-$P895-$Q895)</f>
        <v/>
      </c>
      <c r="S895" s="30">
        <f>IF($A895="","",IF($R895=0,IF($L895=0,"請求額0","回収済"),IF($L895&lt;0,IF($R895&lt;0,"差し引き待ち","差し引きすぎ"),IF($R895&lt;0,"入金が多い",IF($P895+$Q895=0,"未入金","一部入金")))))</f>
        <v/>
      </c>
      <c r="T895" s="31">
        <f>IF(OR($A895="",N($R895)&lt;=0,NOT(ISNUMBER($O895))),"",IF($O895&lt;'設定'!$B$7,'設定'!$B$7-$O895,""))</f>
        <v/>
      </c>
      <c r="U895" s="30">
        <f>IF(OR($A895="",N($R895)&lt;=0),"",IF(NOT(ISNUMBER($O895)),'設定'!$B$22,IF($O895&gt;='設定'!$B$7,'設定'!$B$17,IF('設定'!$B$7-$O895&lt;='設定'!$B$12,'設定'!$B$18,IF('設定'!$B$7-$O895&lt;='設定'!$B$13,'設定'!$B$19,IF('設定'!$B$7-$O895&lt;='設定'!$B$14,'設定'!$B$20,'設定'!$B$21))))))</f>
        <v/>
      </c>
      <c r="V895" s="56" t="n"/>
      <c r="W895" s="32">
        <f>IF($C895="","",IFERROR(MATCH($C895,'得意先'!$B$5:$B$104,0),"なし"))</f>
        <v/>
      </c>
      <c r="X895" s="33">
        <f>IF($A895="","",IF(ISNUMBER($E895),$E895,IF(ISNUMBER($B895),$B895,"")))</f>
        <v/>
      </c>
      <c r="Y895" s="34">
        <f>IF($T895="","",$O895+ROW()/1000000)</f>
        <v/>
      </c>
      <c r="Z895" s="35">
        <f>IF(OR($A895="",$C895="",$C895&lt;&gt;'売掛帳'!$B$3,NOT(ISNUMBER($X895))),"",IF(AND($X895&gt;='売掛帳'!$Q$3,$X895&lt;='売掛帳'!$Q$4),$X895+ROW()/10000000,""))</f>
        <v/>
      </c>
    </row>
    <row r="896" ht="18" customHeight="1">
      <c r="A896" s="18" t="n"/>
      <c r="B896" s="26" t="n"/>
      <c r="C896" s="18" t="n"/>
      <c r="D896" s="20">
        <f>IF($W896="","",IF($W896="なし","※得意先にないコード",INDEX('得意先'!$C$5:$C$104,$W896)&amp;""))</f>
        <v/>
      </c>
      <c r="E896" s="26" t="n"/>
      <c r="F896" s="19" t="n"/>
      <c r="G896" s="27" t="n"/>
      <c r="H896" s="27" t="n"/>
      <c r="I896" s="27" t="n"/>
      <c r="J896" s="28">
        <f>IF($A896="","",IF('設定'!$B$10="四捨五入",ROUND(IF('設定'!$B$9="税込",N($G896)*10/110,N($G896)*10/100),0),IF('設定'!$B$10="切り上げ",ROUNDUP(IF('設定'!$B$9="税込",N($G896)*10/110,N($G896)*10/100),0),ROUNDDOWN(IF('設定'!$B$9="税込",N($G896)*10/110,N($G896)*10/100),0))))</f>
        <v/>
      </c>
      <c r="K896" s="28">
        <f>IF($A896="","",IF('設定'!$B$10="四捨五入",ROUND(IF('設定'!$B$9="税込",N($H896)*8/108,N($H896)*8/100),0),IF('設定'!$B$10="切り上げ",ROUNDUP(IF('設定'!$B$9="税込",N($H896)*8/108,N($H896)*8/100),0),ROUNDDOWN(IF('設定'!$B$9="税込",N($H896)*8/108,N($H896)*8/100),0))))</f>
        <v/>
      </c>
      <c r="L896" s="28">
        <f>IF($A896="","",N($G896)+N($H896)+N($I896)+IF('設定'!$B$9="税込",0,$J896+$K896))</f>
        <v/>
      </c>
      <c r="M896" s="29">
        <f>IF(OR($A896="",NOT(ISNUMBER($W896)),NOT(ISNUMBER($X896))),"",IF(OR(INDEX('得意先'!$D$5:$D$104,$W896)="",INDEX('得意先'!$E$5:$E$104,$W896)="",INDEX('得意先'!$F$5:$F$104,$W896)=""),"",IF(INDEX('得意先'!$F$5:$F$104,$W896)="末",DATE(YEAR($X896),(MONTH($X896)+IF(INDEX('得意先'!$D$5:$D$104,$W896)="末",0,IF(DAY($X896)&lt;=INDEX('得意先'!$D$5:$D$104,$W896),0,1))+N(INDEX('得意先'!$E$5:$E$104,$W896)))+1,0),DATE(YEAR($X896),(MONTH($X896)+IF(INDEX('得意先'!$D$5:$D$104,$W896)="末",0,IF(DAY($X896)&lt;=INDEX('得意先'!$D$5:$D$104,$W896),0,1))+N(INDEX('得意先'!$E$5:$E$104,$W896))),MIN(INDEX('得意先'!$F$5:$F$104,$W896),DAY(DATE(YEAR($X896),(MONTH($X896)+IF(INDEX('得意先'!$D$5:$D$104,$W896)="末",0,IF(DAY($X896)&lt;=INDEX('得意先'!$D$5:$D$104,$W896),0,1))+N(INDEX('得意先'!$E$5:$E$104,$W896)))+1,0)))))))</f>
        <v/>
      </c>
      <c r="N896" s="26" t="n"/>
      <c r="O896" s="29">
        <f>IF($A896="","",IF(ISNUMBER($N896),$N896,$M896))</f>
        <v/>
      </c>
      <c r="P896" s="28">
        <f>IF($A896="","",SUMIF('入金消込'!$F$5:$F$1004,$A896,'入金消込'!$G$5:$G$1004))</f>
        <v/>
      </c>
      <c r="Q896" s="28">
        <f>IF($A896="","",SUMIF('入金消込'!$F$5:$F$1004,$A896,'入金消込'!$H$5:$H$1004)+SUMIF('入金消込'!$F$5:$F$1004,$A896,'入金消込'!$I$5:$I$1004))</f>
        <v/>
      </c>
      <c r="R896" s="28">
        <f>IF($A896="","",$L896-$P896-$Q896)</f>
        <v/>
      </c>
      <c r="S896" s="30">
        <f>IF($A896="","",IF($R896=0,IF($L896=0,"請求額0","回収済"),IF($L896&lt;0,IF($R896&lt;0,"差し引き待ち","差し引きすぎ"),IF($R896&lt;0,"入金が多い",IF($P896+$Q896=0,"未入金","一部入金")))))</f>
        <v/>
      </c>
      <c r="T896" s="31">
        <f>IF(OR($A896="",N($R896)&lt;=0,NOT(ISNUMBER($O896))),"",IF($O896&lt;'設定'!$B$7,'設定'!$B$7-$O896,""))</f>
        <v/>
      </c>
      <c r="U896" s="30">
        <f>IF(OR($A896="",N($R896)&lt;=0),"",IF(NOT(ISNUMBER($O896)),'設定'!$B$22,IF($O896&gt;='設定'!$B$7,'設定'!$B$17,IF('設定'!$B$7-$O896&lt;='設定'!$B$12,'設定'!$B$18,IF('設定'!$B$7-$O896&lt;='設定'!$B$13,'設定'!$B$19,IF('設定'!$B$7-$O896&lt;='設定'!$B$14,'設定'!$B$20,'設定'!$B$21))))))</f>
        <v/>
      </c>
      <c r="V896" s="56" t="n"/>
      <c r="W896" s="32">
        <f>IF($C896="","",IFERROR(MATCH($C896,'得意先'!$B$5:$B$104,0),"なし"))</f>
        <v/>
      </c>
      <c r="X896" s="33">
        <f>IF($A896="","",IF(ISNUMBER($E896),$E896,IF(ISNUMBER($B896),$B896,"")))</f>
        <v/>
      </c>
      <c r="Y896" s="34">
        <f>IF($T896="","",$O896+ROW()/1000000)</f>
        <v/>
      </c>
      <c r="Z896" s="35">
        <f>IF(OR($A896="",$C896="",$C896&lt;&gt;'売掛帳'!$B$3,NOT(ISNUMBER($X896))),"",IF(AND($X896&gt;='売掛帳'!$Q$3,$X896&lt;='売掛帳'!$Q$4),$X896+ROW()/10000000,""))</f>
        <v/>
      </c>
    </row>
    <row r="897" ht="18" customHeight="1">
      <c r="A897" s="18" t="n"/>
      <c r="B897" s="26" t="n"/>
      <c r="C897" s="18" t="n"/>
      <c r="D897" s="20">
        <f>IF($W897="","",IF($W897="なし","※得意先にないコード",INDEX('得意先'!$C$5:$C$104,$W897)&amp;""))</f>
        <v/>
      </c>
      <c r="E897" s="26" t="n"/>
      <c r="F897" s="19" t="n"/>
      <c r="G897" s="27" t="n"/>
      <c r="H897" s="27" t="n"/>
      <c r="I897" s="27" t="n"/>
      <c r="J897" s="28">
        <f>IF($A897="","",IF('設定'!$B$10="四捨五入",ROUND(IF('設定'!$B$9="税込",N($G897)*10/110,N($G897)*10/100),0),IF('設定'!$B$10="切り上げ",ROUNDUP(IF('設定'!$B$9="税込",N($G897)*10/110,N($G897)*10/100),0),ROUNDDOWN(IF('設定'!$B$9="税込",N($G897)*10/110,N($G897)*10/100),0))))</f>
        <v/>
      </c>
      <c r="K897" s="28">
        <f>IF($A897="","",IF('設定'!$B$10="四捨五入",ROUND(IF('設定'!$B$9="税込",N($H897)*8/108,N($H897)*8/100),0),IF('設定'!$B$10="切り上げ",ROUNDUP(IF('設定'!$B$9="税込",N($H897)*8/108,N($H897)*8/100),0),ROUNDDOWN(IF('設定'!$B$9="税込",N($H897)*8/108,N($H897)*8/100),0))))</f>
        <v/>
      </c>
      <c r="L897" s="28">
        <f>IF($A897="","",N($G897)+N($H897)+N($I897)+IF('設定'!$B$9="税込",0,$J897+$K897))</f>
        <v/>
      </c>
      <c r="M897" s="29">
        <f>IF(OR($A897="",NOT(ISNUMBER($W897)),NOT(ISNUMBER($X897))),"",IF(OR(INDEX('得意先'!$D$5:$D$104,$W897)="",INDEX('得意先'!$E$5:$E$104,$W897)="",INDEX('得意先'!$F$5:$F$104,$W897)=""),"",IF(INDEX('得意先'!$F$5:$F$104,$W897)="末",DATE(YEAR($X897),(MONTH($X897)+IF(INDEX('得意先'!$D$5:$D$104,$W897)="末",0,IF(DAY($X897)&lt;=INDEX('得意先'!$D$5:$D$104,$W897),0,1))+N(INDEX('得意先'!$E$5:$E$104,$W897)))+1,0),DATE(YEAR($X897),(MONTH($X897)+IF(INDEX('得意先'!$D$5:$D$104,$W897)="末",0,IF(DAY($X897)&lt;=INDEX('得意先'!$D$5:$D$104,$W897),0,1))+N(INDEX('得意先'!$E$5:$E$104,$W897))),MIN(INDEX('得意先'!$F$5:$F$104,$W897),DAY(DATE(YEAR($X897),(MONTH($X897)+IF(INDEX('得意先'!$D$5:$D$104,$W897)="末",0,IF(DAY($X897)&lt;=INDEX('得意先'!$D$5:$D$104,$W897),0,1))+N(INDEX('得意先'!$E$5:$E$104,$W897)))+1,0)))))))</f>
        <v/>
      </c>
      <c r="N897" s="26" t="n"/>
      <c r="O897" s="29">
        <f>IF($A897="","",IF(ISNUMBER($N897),$N897,$M897))</f>
        <v/>
      </c>
      <c r="P897" s="28">
        <f>IF($A897="","",SUMIF('入金消込'!$F$5:$F$1004,$A897,'入金消込'!$G$5:$G$1004))</f>
        <v/>
      </c>
      <c r="Q897" s="28">
        <f>IF($A897="","",SUMIF('入金消込'!$F$5:$F$1004,$A897,'入金消込'!$H$5:$H$1004)+SUMIF('入金消込'!$F$5:$F$1004,$A897,'入金消込'!$I$5:$I$1004))</f>
        <v/>
      </c>
      <c r="R897" s="28">
        <f>IF($A897="","",$L897-$P897-$Q897)</f>
        <v/>
      </c>
      <c r="S897" s="30">
        <f>IF($A897="","",IF($R897=0,IF($L897=0,"請求額0","回収済"),IF($L897&lt;0,IF($R897&lt;0,"差し引き待ち","差し引きすぎ"),IF($R897&lt;0,"入金が多い",IF($P897+$Q897=0,"未入金","一部入金")))))</f>
        <v/>
      </c>
      <c r="T897" s="31">
        <f>IF(OR($A897="",N($R897)&lt;=0,NOT(ISNUMBER($O897))),"",IF($O897&lt;'設定'!$B$7,'設定'!$B$7-$O897,""))</f>
        <v/>
      </c>
      <c r="U897" s="30">
        <f>IF(OR($A897="",N($R897)&lt;=0),"",IF(NOT(ISNUMBER($O897)),'設定'!$B$22,IF($O897&gt;='設定'!$B$7,'設定'!$B$17,IF('設定'!$B$7-$O897&lt;='設定'!$B$12,'設定'!$B$18,IF('設定'!$B$7-$O897&lt;='設定'!$B$13,'設定'!$B$19,IF('設定'!$B$7-$O897&lt;='設定'!$B$14,'設定'!$B$20,'設定'!$B$21))))))</f>
        <v/>
      </c>
      <c r="V897" s="56" t="n"/>
      <c r="W897" s="32">
        <f>IF($C897="","",IFERROR(MATCH($C897,'得意先'!$B$5:$B$104,0),"なし"))</f>
        <v/>
      </c>
      <c r="X897" s="33">
        <f>IF($A897="","",IF(ISNUMBER($E897),$E897,IF(ISNUMBER($B897),$B897,"")))</f>
        <v/>
      </c>
      <c r="Y897" s="34">
        <f>IF($T897="","",$O897+ROW()/1000000)</f>
        <v/>
      </c>
      <c r="Z897" s="35">
        <f>IF(OR($A897="",$C897="",$C897&lt;&gt;'売掛帳'!$B$3,NOT(ISNUMBER($X897))),"",IF(AND($X897&gt;='売掛帳'!$Q$3,$X897&lt;='売掛帳'!$Q$4),$X897+ROW()/10000000,""))</f>
        <v/>
      </c>
    </row>
    <row r="898" ht="18" customHeight="1">
      <c r="A898" s="18" t="n"/>
      <c r="B898" s="26" t="n"/>
      <c r="C898" s="18" t="n"/>
      <c r="D898" s="20">
        <f>IF($W898="","",IF($W898="なし","※得意先にないコード",INDEX('得意先'!$C$5:$C$104,$W898)&amp;""))</f>
        <v/>
      </c>
      <c r="E898" s="26" t="n"/>
      <c r="F898" s="19" t="n"/>
      <c r="G898" s="27" t="n"/>
      <c r="H898" s="27" t="n"/>
      <c r="I898" s="27" t="n"/>
      <c r="J898" s="28">
        <f>IF($A898="","",IF('設定'!$B$10="四捨五入",ROUND(IF('設定'!$B$9="税込",N($G898)*10/110,N($G898)*10/100),0),IF('設定'!$B$10="切り上げ",ROUNDUP(IF('設定'!$B$9="税込",N($G898)*10/110,N($G898)*10/100),0),ROUNDDOWN(IF('設定'!$B$9="税込",N($G898)*10/110,N($G898)*10/100),0))))</f>
        <v/>
      </c>
      <c r="K898" s="28">
        <f>IF($A898="","",IF('設定'!$B$10="四捨五入",ROUND(IF('設定'!$B$9="税込",N($H898)*8/108,N($H898)*8/100),0),IF('設定'!$B$10="切り上げ",ROUNDUP(IF('設定'!$B$9="税込",N($H898)*8/108,N($H898)*8/100),0),ROUNDDOWN(IF('設定'!$B$9="税込",N($H898)*8/108,N($H898)*8/100),0))))</f>
        <v/>
      </c>
      <c r="L898" s="28">
        <f>IF($A898="","",N($G898)+N($H898)+N($I898)+IF('設定'!$B$9="税込",0,$J898+$K898))</f>
        <v/>
      </c>
      <c r="M898" s="29">
        <f>IF(OR($A898="",NOT(ISNUMBER($W898)),NOT(ISNUMBER($X898))),"",IF(OR(INDEX('得意先'!$D$5:$D$104,$W898)="",INDEX('得意先'!$E$5:$E$104,$W898)="",INDEX('得意先'!$F$5:$F$104,$W898)=""),"",IF(INDEX('得意先'!$F$5:$F$104,$W898)="末",DATE(YEAR($X898),(MONTH($X898)+IF(INDEX('得意先'!$D$5:$D$104,$W898)="末",0,IF(DAY($X898)&lt;=INDEX('得意先'!$D$5:$D$104,$W898),0,1))+N(INDEX('得意先'!$E$5:$E$104,$W898)))+1,0),DATE(YEAR($X898),(MONTH($X898)+IF(INDEX('得意先'!$D$5:$D$104,$W898)="末",0,IF(DAY($X898)&lt;=INDEX('得意先'!$D$5:$D$104,$W898),0,1))+N(INDEX('得意先'!$E$5:$E$104,$W898))),MIN(INDEX('得意先'!$F$5:$F$104,$W898),DAY(DATE(YEAR($X898),(MONTH($X898)+IF(INDEX('得意先'!$D$5:$D$104,$W898)="末",0,IF(DAY($X898)&lt;=INDEX('得意先'!$D$5:$D$104,$W898),0,1))+N(INDEX('得意先'!$E$5:$E$104,$W898)))+1,0)))))))</f>
        <v/>
      </c>
      <c r="N898" s="26" t="n"/>
      <c r="O898" s="29">
        <f>IF($A898="","",IF(ISNUMBER($N898),$N898,$M898))</f>
        <v/>
      </c>
      <c r="P898" s="28">
        <f>IF($A898="","",SUMIF('入金消込'!$F$5:$F$1004,$A898,'入金消込'!$G$5:$G$1004))</f>
        <v/>
      </c>
      <c r="Q898" s="28">
        <f>IF($A898="","",SUMIF('入金消込'!$F$5:$F$1004,$A898,'入金消込'!$H$5:$H$1004)+SUMIF('入金消込'!$F$5:$F$1004,$A898,'入金消込'!$I$5:$I$1004))</f>
        <v/>
      </c>
      <c r="R898" s="28">
        <f>IF($A898="","",$L898-$P898-$Q898)</f>
        <v/>
      </c>
      <c r="S898" s="30">
        <f>IF($A898="","",IF($R898=0,IF($L898=0,"請求額0","回収済"),IF($L898&lt;0,IF($R898&lt;0,"差し引き待ち","差し引きすぎ"),IF($R898&lt;0,"入金が多い",IF($P898+$Q898=0,"未入金","一部入金")))))</f>
        <v/>
      </c>
      <c r="T898" s="31">
        <f>IF(OR($A898="",N($R898)&lt;=0,NOT(ISNUMBER($O898))),"",IF($O898&lt;'設定'!$B$7,'設定'!$B$7-$O898,""))</f>
        <v/>
      </c>
      <c r="U898" s="30">
        <f>IF(OR($A898="",N($R898)&lt;=0),"",IF(NOT(ISNUMBER($O898)),'設定'!$B$22,IF($O898&gt;='設定'!$B$7,'設定'!$B$17,IF('設定'!$B$7-$O898&lt;='設定'!$B$12,'設定'!$B$18,IF('設定'!$B$7-$O898&lt;='設定'!$B$13,'設定'!$B$19,IF('設定'!$B$7-$O898&lt;='設定'!$B$14,'設定'!$B$20,'設定'!$B$21))))))</f>
        <v/>
      </c>
      <c r="V898" s="56" t="n"/>
      <c r="W898" s="32">
        <f>IF($C898="","",IFERROR(MATCH($C898,'得意先'!$B$5:$B$104,0),"なし"))</f>
        <v/>
      </c>
      <c r="X898" s="33">
        <f>IF($A898="","",IF(ISNUMBER($E898),$E898,IF(ISNUMBER($B898),$B898,"")))</f>
        <v/>
      </c>
      <c r="Y898" s="34">
        <f>IF($T898="","",$O898+ROW()/1000000)</f>
        <v/>
      </c>
      <c r="Z898" s="35">
        <f>IF(OR($A898="",$C898="",$C898&lt;&gt;'売掛帳'!$B$3,NOT(ISNUMBER($X898))),"",IF(AND($X898&gt;='売掛帳'!$Q$3,$X898&lt;='売掛帳'!$Q$4),$X898+ROW()/10000000,""))</f>
        <v/>
      </c>
    </row>
    <row r="899" ht="18" customHeight="1">
      <c r="A899" s="18" t="n"/>
      <c r="B899" s="26" t="n"/>
      <c r="C899" s="18" t="n"/>
      <c r="D899" s="20">
        <f>IF($W899="","",IF($W899="なし","※得意先にないコード",INDEX('得意先'!$C$5:$C$104,$W899)&amp;""))</f>
        <v/>
      </c>
      <c r="E899" s="26" t="n"/>
      <c r="F899" s="19" t="n"/>
      <c r="G899" s="27" t="n"/>
      <c r="H899" s="27" t="n"/>
      <c r="I899" s="27" t="n"/>
      <c r="J899" s="28">
        <f>IF($A899="","",IF('設定'!$B$10="四捨五入",ROUND(IF('設定'!$B$9="税込",N($G899)*10/110,N($G899)*10/100),0),IF('設定'!$B$10="切り上げ",ROUNDUP(IF('設定'!$B$9="税込",N($G899)*10/110,N($G899)*10/100),0),ROUNDDOWN(IF('設定'!$B$9="税込",N($G899)*10/110,N($G899)*10/100),0))))</f>
        <v/>
      </c>
      <c r="K899" s="28">
        <f>IF($A899="","",IF('設定'!$B$10="四捨五入",ROUND(IF('設定'!$B$9="税込",N($H899)*8/108,N($H899)*8/100),0),IF('設定'!$B$10="切り上げ",ROUNDUP(IF('設定'!$B$9="税込",N($H899)*8/108,N($H899)*8/100),0),ROUNDDOWN(IF('設定'!$B$9="税込",N($H899)*8/108,N($H899)*8/100),0))))</f>
        <v/>
      </c>
      <c r="L899" s="28">
        <f>IF($A899="","",N($G899)+N($H899)+N($I899)+IF('設定'!$B$9="税込",0,$J899+$K899))</f>
        <v/>
      </c>
      <c r="M899" s="29">
        <f>IF(OR($A899="",NOT(ISNUMBER($W899)),NOT(ISNUMBER($X899))),"",IF(OR(INDEX('得意先'!$D$5:$D$104,$W899)="",INDEX('得意先'!$E$5:$E$104,$W899)="",INDEX('得意先'!$F$5:$F$104,$W899)=""),"",IF(INDEX('得意先'!$F$5:$F$104,$W899)="末",DATE(YEAR($X899),(MONTH($X899)+IF(INDEX('得意先'!$D$5:$D$104,$W899)="末",0,IF(DAY($X899)&lt;=INDEX('得意先'!$D$5:$D$104,$W899),0,1))+N(INDEX('得意先'!$E$5:$E$104,$W899)))+1,0),DATE(YEAR($X899),(MONTH($X899)+IF(INDEX('得意先'!$D$5:$D$104,$W899)="末",0,IF(DAY($X899)&lt;=INDEX('得意先'!$D$5:$D$104,$W899),0,1))+N(INDEX('得意先'!$E$5:$E$104,$W899))),MIN(INDEX('得意先'!$F$5:$F$104,$W899),DAY(DATE(YEAR($X899),(MONTH($X899)+IF(INDEX('得意先'!$D$5:$D$104,$W899)="末",0,IF(DAY($X899)&lt;=INDEX('得意先'!$D$5:$D$104,$W899),0,1))+N(INDEX('得意先'!$E$5:$E$104,$W899)))+1,0)))))))</f>
        <v/>
      </c>
      <c r="N899" s="26" t="n"/>
      <c r="O899" s="29">
        <f>IF($A899="","",IF(ISNUMBER($N899),$N899,$M899))</f>
        <v/>
      </c>
      <c r="P899" s="28">
        <f>IF($A899="","",SUMIF('入金消込'!$F$5:$F$1004,$A899,'入金消込'!$G$5:$G$1004))</f>
        <v/>
      </c>
      <c r="Q899" s="28">
        <f>IF($A899="","",SUMIF('入金消込'!$F$5:$F$1004,$A899,'入金消込'!$H$5:$H$1004)+SUMIF('入金消込'!$F$5:$F$1004,$A899,'入金消込'!$I$5:$I$1004))</f>
        <v/>
      </c>
      <c r="R899" s="28">
        <f>IF($A899="","",$L899-$P899-$Q899)</f>
        <v/>
      </c>
      <c r="S899" s="30">
        <f>IF($A899="","",IF($R899=0,IF($L899=0,"請求額0","回収済"),IF($L899&lt;0,IF($R899&lt;0,"差し引き待ち","差し引きすぎ"),IF($R899&lt;0,"入金が多い",IF($P899+$Q899=0,"未入金","一部入金")))))</f>
        <v/>
      </c>
      <c r="T899" s="31">
        <f>IF(OR($A899="",N($R899)&lt;=0,NOT(ISNUMBER($O899))),"",IF($O899&lt;'設定'!$B$7,'設定'!$B$7-$O899,""))</f>
        <v/>
      </c>
      <c r="U899" s="30">
        <f>IF(OR($A899="",N($R899)&lt;=0),"",IF(NOT(ISNUMBER($O899)),'設定'!$B$22,IF($O899&gt;='設定'!$B$7,'設定'!$B$17,IF('設定'!$B$7-$O899&lt;='設定'!$B$12,'設定'!$B$18,IF('設定'!$B$7-$O899&lt;='設定'!$B$13,'設定'!$B$19,IF('設定'!$B$7-$O899&lt;='設定'!$B$14,'設定'!$B$20,'設定'!$B$21))))))</f>
        <v/>
      </c>
      <c r="V899" s="56" t="n"/>
      <c r="W899" s="32">
        <f>IF($C899="","",IFERROR(MATCH($C899,'得意先'!$B$5:$B$104,0),"なし"))</f>
        <v/>
      </c>
      <c r="X899" s="33">
        <f>IF($A899="","",IF(ISNUMBER($E899),$E899,IF(ISNUMBER($B899),$B899,"")))</f>
        <v/>
      </c>
      <c r="Y899" s="34">
        <f>IF($T899="","",$O899+ROW()/1000000)</f>
        <v/>
      </c>
      <c r="Z899" s="35">
        <f>IF(OR($A899="",$C899="",$C899&lt;&gt;'売掛帳'!$B$3,NOT(ISNUMBER($X899))),"",IF(AND($X899&gt;='売掛帳'!$Q$3,$X899&lt;='売掛帳'!$Q$4),$X899+ROW()/10000000,""))</f>
        <v/>
      </c>
    </row>
    <row r="900" ht="18" customHeight="1">
      <c r="A900" s="18" t="n"/>
      <c r="B900" s="26" t="n"/>
      <c r="C900" s="18" t="n"/>
      <c r="D900" s="20">
        <f>IF($W900="","",IF($W900="なし","※得意先にないコード",INDEX('得意先'!$C$5:$C$104,$W900)&amp;""))</f>
        <v/>
      </c>
      <c r="E900" s="26" t="n"/>
      <c r="F900" s="19" t="n"/>
      <c r="G900" s="27" t="n"/>
      <c r="H900" s="27" t="n"/>
      <c r="I900" s="27" t="n"/>
      <c r="J900" s="28">
        <f>IF($A900="","",IF('設定'!$B$10="四捨五入",ROUND(IF('設定'!$B$9="税込",N($G900)*10/110,N($G900)*10/100),0),IF('設定'!$B$10="切り上げ",ROUNDUP(IF('設定'!$B$9="税込",N($G900)*10/110,N($G900)*10/100),0),ROUNDDOWN(IF('設定'!$B$9="税込",N($G900)*10/110,N($G900)*10/100),0))))</f>
        <v/>
      </c>
      <c r="K900" s="28">
        <f>IF($A900="","",IF('設定'!$B$10="四捨五入",ROUND(IF('設定'!$B$9="税込",N($H900)*8/108,N($H900)*8/100),0),IF('設定'!$B$10="切り上げ",ROUNDUP(IF('設定'!$B$9="税込",N($H900)*8/108,N($H900)*8/100),0),ROUNDDOWN(IF('設定'!$B$9="税込",N($H900)*8/108,N($H900)*8/100),0))))</f>
        <v/>
      </c>
      <c r="L900" s="28">
        <f>IF($A900="","",N($G900)+N($H900)+N($I900)+IF('設定'!$B$9="税込",0,$J900+$K900))</f>
        <v/>
      </c>
      <c r="M900" s="29">
        <f>IF(OR($A900="",NOT(ISNUMBER($W900)),NOT(ISNUMBER($X900))),"",IF(OR(INDEX('得意先'!$D$5:$D$104,$W900)="",INDEX('得意先'!$E$5:$E$104,$W900)="",INDEX('得意先'!$F$5:$F$104,$W900)=""),"",IF(INDEX('得意先'!$F$5:$F$104,$W900)="末",DATE(YEAR($X900),(MONTH($X900)+IF(INDEX('得意先'!$D$5:$D$104,$W900)="末",0,IF(DAY($X900)&lt;=INDEX('得意先'!$D$5:$D$104,$W900),0,1))+N(INDEX('得意先'!$E$5:$E$104,$W900)))+1,0),DATE(YEAR($X900),(MONTH($X900)+IF(INDEX('得意先'!$D$5:$D$104,$W900)="末",0,IF(DAY($X900)&lt;=INDEX('得意先'!$D$5:$D$104,$W900),0,1))+N(INDEX('得意先'!$E$5:$E$104,$W900))),MIN(INDEX('得意先'!$F$5:$F$104,$W900),DAY(DATE(YEAR($X900),(MONTH($X900)+IF(INDEX('得意先'!$D$5:$D$104,$W900)="末",0,IF(DAY($X900)&lt;=INDEX('得意先'!$D$5:$D$104,$W900),0,1))+N(INDEX('得意先'!$E$5:$E$104,$W900)))+1,0)))))))</f>
        <v/>
      </c>
      <c r="N900" s="26" t="n"/>
      <c r="O900" s="29">
        <f>IF($A900="","",IF(ISNUMBER($N900),$N900,$M900))</f>
        <v/>
      </c>
      <c r="P900" s="28">
        <f>IF($A900="","",SUMIF('入金消込'!$F$5:$F$1004,$A900,'入金消込'!$G$5:$G$1004))</f>
        <v/>
      </c>
      <c r="Q900" s="28">
        <f>IF($A900="","",SUMIF('入金消込'!$F$5:$F$1004,$A900,'入金消込'!$H$5:$H$1004)+SUMIF('入金消込'!$F$5:$F$1004,$A900,'入金消込'!$I$5:$I$1004))</f>
        <v/>
      </c>
      <c r="R900" s="28">
        <f>IF($A900="","",$L900-$P900-$Q900)</f>
        <v/>
      </c>
      <c r="S900" s="30">
        <f>IF($A900="","",IF($R900=0,IF($L900=0,"請求額0","回収済"),IF($L900&lt;0,IF($R900&lt;0,"差し引き待ち","差し引きすぎ"),IF($R900&lt;0,"入金が多い",IF($P900+$Q900=0,"未入金","一部入金")))))</f>
        <v/>
      </c>
      <c r="T900" s="31">
        <f>IF(OR($A900="",N($R900)&lt;=0,NOT(ISNUMBER($O900))),"",IF($O900&lt;'設定'!$B$7,'設定'!$B$7-$O900,""))</f>
        <v/>
      </c>
      <c r="U900" s="30">
        <f>IF(OR($A900="",N($R900)&lt;=0),"",IF(NOT(ISNUMBER($O900)),'設定'!$B$22,IF($O900&gt;='設定'!$B$7,'設定'!$B$17,IF('設定'!$B$7-$O900&lt;='設定'!$B$12,'設定'!$B$18,IF('設定'!$B$7-$O900&lt;='設定'!$B$13,'設定'!$B$19,IF('設定'!$B$7-$O900&lt;='設定'!$B$14,'設定'!$B$20,'設定'!$B$21))))))</f>
        <v/>
      </c>
      <c r="V900" s="56" t="n"/>
      <c r="W900" s="32">
        <f>IF($C900="","",IFERROR(MATCH($C900,'得意先'!$B$5:$B$104,0),"なし"))</f>
        <v/>
      </c>
      <c r="X900" s="33">
        <f>IF($A900="","",IF(ISNUMBER($E900),$E900,IF(ISNUMBER($B900),$B900,"")))</f>
        <v/>
      </c>
      <c r="Y900" s="34">
        <f>IF($T900="","",$O900+ROW()/1000000)</f>
        <v/>
      </c>
      <c r="Z900" s="35">
        <f>IF(OR($A900="",$C900="",$C900&lt;&gt;'売掛帳'!$B$3,NOT(ISNUMBER($X900))),"",IF(AND($X900&gt;='売掛帳'!$Q$3,$X900&lt;='売掛帳'!$Q$4),$X900+ROW()/10000000,""))</f>
        <v/>
      </c>
    </row>
    <row r="901" ht="18" customHeight="1">
      <c r="A901" s="18" t="n"/>
      <c r="B901" s="26" t="n"/>
      <c r="C901" s="18" t="n"/>
      <c r="D901" s="20">
        <f>IF($W901="","",IF($W901="なし","※得意先にないコード",INDEX('得意先'!$C$5:$C$104,$W901)&amp;""))</f>
        <v/>
      </c>
      <c r="E901" s="26" t="n"/>
      <c r="F901" s="19" t="n"/>
      <c r="G901" s="27" t="n"/>
      <c r="H901" s="27" t="n"/>
      <c r="I901" s="27" t="n"/>
      <c r="J901" s="28">
        <f>IF($A901="","",IF('設定'!$B$10="四捨五入",ROUND(IF('設定'!$B$9="税込",N($G901)*10/110,N($G901)*10/100),0),IF('設定'!$B$10="切り上げ",ROUNDUP(IF('設定'!$B$9="税込",N($G901)*10/110,N($G901)*10/100),0),ROUNDDOWN(IF('設定'!$B$9="税込",N($G901)*10/110,N($G901)*10/100),0))))</f>
        <v/>
      </c>
      <c r="K901" s="28">
        <f>IF($A901="","",IF('設定'!$B$10="四捨五入",ROUND(IF('設定'!$B$9="税込",N($H901)*8/108,N($H901)*8/100),0),IF('設定'!$B$10="切り上げ",ROUNDUP(IF('設定'!$B$9="税込",N($H901)*8/108,N($H901)*8/100),0),ROUNDDOWN(IF('設定'!$B$9="税込",N($H901)*8/108,N($H901)*8/100),0))))</f>
        <v/>
      </c>
      <c r="L901" s="28">
        <f>IF($A901="","",N($G901)+N($H901)+N($I901)+IF('設定'!$B$9="税込",0,$J901+$K901))</f>
        <v/>
      </c>
      <c r="M901" s="29">
        <f>IF(OR($A901="",NOT(ISNUMBER($W901)),NOT(ISNUMBER($X901))),"",IF(OR(INDEX('得意先'!$D$5:$D$104,$W901)="",INDEX('得意先'!$E$5:$E$104,$W901)="",INDEX('得意先'!$F$5:$F$104,$W901)=""),"",IF(INDEX('得意先'!$F$5:$F$104,$W901)="末",DATE(YEAR($X901),(MONTH($X901)+IF(INDEX('得意先'!$D$5:$D$104,$W901)="末",0,IF(DAY($X901)&lt;=INDEX('得意先'!$D$5:$D$104,$W901),0,1))+N(INDEX('得意先'!$E$5:$E$104,$W901)))+1,0),DATE(YEAR($X901),(MONTH($X901)+IF(INDEX('得意先'!$D$5:$D$104,$W901)="末",0,IF(DAY($X901)&lt;=INDEX('得意先'!$D$5:$D$104,$W901),0,1))+N(INDEX('得意先'!$E$5:$E$104,$W901))),MIN(INDEX('得意先'!$F$5:$F$104,$W901),DAY(DATE(YEAR($X901),(MONTH($X901)+IF(INDEX('得意先'!$D$5:$D$104,$W901)="末",0,IF(DAY($X901)&lt;=INDEX('得意先'!$D$5:$D$104,$W901),0,1))+N(INDEX('得意先'!$E$5:$E$104,$W901)))+1,0)))))))</f>
        <v/>
      </c>
      <c r="N901" s="26" t="n"/>
      <c r="O901" s="29">
        <f>IF($A901="","",IF(ISNUMBER($N901),$N901,$M901))</f>
        <v/>
      </c>
      <c r="P901" s="28">
        <f>IF($A901="","",SUMIF('入金消込'!$F$5:$F$1004,$A901,'入金消込'!$G$5:$G$1004))</f>
        <v/>
      </c>
      <c r="Q901" s="28">
        <f>IF($A901="","",SUMIF('入金消込'!$F$5:$F$1004,$A901,'入金消込'!$H$5:$H$1004)+SUMIF('入金消込'!$F$5:$F$1004,$A901,'入金消込'!$I$5:$I$1004))</f>
        <v/>
      </c>
      <c r="R901" s="28">
        <f>IF($A901="","",$L901-$P901-$Q901)</f>
        <v/>
      </c>
      <c r="S901" s="30">
        <f>IF($A901="","",IF($R901=0,IF($L901=0,"請求額0","回収済"),IF($L901&lt;0,IF($R901&lt;0,"差し引き待ち","差し引きすぎ"),IF($R901&lt;0,"入金が多い",IF($P901+$Q901=0,"未入金","一部入金")))))</f>
        <v/>
      </c>
      <c r="T901" s="31">
        <f>IF(OR($A901="",N($R901)&lt;=0,NOT(ISNUMBER($O901))),"",IF($O901&lt;'設定'!$B$7,'設定'!$B$7-$O901,""))</f>
        <v/>
      </c>
      <c r="U901" s="30">
        <f>IF(OR($A901="",N($R901)&lt;=0),"",IF(NOT(ISNUMBER($O901)),'設定'!$B$22,IF($O901&gt;='設定'!$B$7,'設定'!$B$17,IF('設定'!$B$7-$O901&lt;='設定'!$B$12,'設定'!$B$18,IF('設定'!$B$7-$O901&lt;='設定'!$B$13,'設定'!$B$19,IF('設定'!$B$7-$O901&lt;='設定'!$B$14,'設定'!$B$20,'設定'!$B$21))))))</f>
        <v/>
      </c>
      <c r="V901" s="56" t="n"/>
      <c r="W901" s="32">
        <f>IF($C901="","",IFERROR(MATCH($C901,'得意先'!$B$5:$B$104,0),"なし"))</f>
        <v/>
      </c>
      <c r="X901" s="33">
        <f>IF($A901="","",IF(ISNUMBER($E901),$E901,IF(ISNUMBER($B901),$B901,"")))</f>
        <v/>
      </c>
      <c r="Y901" s="34">
        <f>IF($T901="","",$O901+ROW()/1000000)</f>
        <v/>
      </c>
      <c r="Z901" s="35">
        <f>IF(OR($A901="",$C901="",$C901&lt;&gt;'売掛帳'!$B$3,NOT(ISNUMBER($X901))),"",IF(AND($X901&gt;='売掛帳'!$Q$3,$X901&lt;='売掛帳'!$Q$4),$X901+ROW()/10000000,""))</f>
        <v/>
      </c>
    </row>
    <row r="902" ht="18" customHeight="1">
      <c r="A902" s="18" t="n"/>
      <c r="B902" s="26" t="n"/>
      <c r="C902" s="18" t="n"/>
      <c r="D902" s="20">
        <f>IF($W902="","",IF($W902="なし","※得意先にないコード",INDEX('得意先'!$C$5:$C$104,$W902)&amp;""))</f>
        <v/>
      </c>
      <c r="E902" s="26" t="n"/>
      <c r="F902" s="19" t="n"/>
      <c r="G902" s="27" t="n"/>
      <c r="H902" s="27" t="n"/>
      <c r="I902" s="27" t="n"/>
      <c r="J902" s="28">
        <f>IF($A902="","",IF('設定'!$B$10="四捨五入",ROUND(IF('設定'!$B$9="税込",N($G902)*10/110,N($G902)*10/100),0),IF('設定'!$B$10="切り上げ",ROUNDUP(IF('設定'!$B$9="税込",N($G902)*10/110,N($G902)*10/100),0),ROUNDDOWN(IF('設定'!$B$9="税込",N($G902)*10/110,N($G902)*10/100),0))))</f>
        <v/>
      </c>
      <c r="K902" s="28">
        <f>IF($A902="","",IF('設定'!$B$10="四捨五入",ROUND(IF('設定'!$B$9="税込",N($H902)*8/108,N($H902)*8/100),0),IF('設定'!$B$10="切り上げ",ROUNDUP(IF('設定'!$B$9="税込",N($H902)*8/108,N($H902)*8/100),0),ROUNDDOWN(IF('設定'!$B$9="税込",N($H902)*8/108,N($H902)*8/100),0))))</f>
        <v/>
      </c>
      <c r="L902" s="28">
        <f>IF($A902="","",N($G902)+N($H902)+N($I902)+IF('設定'!$B$9="税込",0,$J902+$K902))</f>
        <v/>
      </c>
      <c r="M902" s="29">
        <f>IF(OR($A902="",NOT(ISNUMBER($W902)),NOT(ISNUMBER($X902))),"",IF(OR(INDEX('得意先'!$D$5:$D$104,$W902)="",INDEX('得意先'!$E$5:$E$104,$W902)="",INDEX('得意先'!$F$5:$F$104,$W902)=""),"",IF(INDEX('得意先'!$F$5:$F$104,$W902)="末",DATE(YEAR($X902),(MONTH($X902)+IF(INDEX('得意先'!$D$5:$D$104,$W902)="末",0,IF(DAY($X902)&lt;=INDEX('得意先'!$D$5:$D$104,$W902),0,1))+N(INDEX('得意先'!$E$5:$E$104,$W902)))+1,0),DATE(YEAR($X902),(MONTH($X902)+IF(INDEX('得意先'!$D$5:$D$104,$W902)="末",0,IF(DAY($X902)&lt;=INDEX('得意先'!$D$5:$D$104,$W902),0,1))+N(INDEX('得意先'!$E$5:$E$104,$W902))),MIN(INDEX('得意先'!$F$5:$F$104,$W902),DAY(DATE(YEAR($X902),(MONTH($X902)+IF(INDEX('得意先'!$D$5:$D$104,$W902)="末",0,IF(DAY($X902)&lt;=INDEX('得意先'!$D$5:$D$104,$W902),0,1))+N(INDEX('得意先'!$E$5:$E$104,$W902)))+1,0)))))))</f>
        <v/>
      </c>
      <c r="N902" s="26" t="n"/>
      <c r="O902" s="29">
        <f>IF($A902="","",IF(ISNUMBER($N902),$N902,$M902))</f>
        <v/>
      </c>
      <c r="P902" s="28">
        <f>IF($A902="","",SUMIF('入金消込'!$F$5:$F$1004,$A902,'入金消込'!$G$5:$G$1004))</f>
        <v/>
      </c>
      <c r="Q902" s="28">
        <f>IF($A902="","",SUMIF('入金消込'!$F$5:$F$1004,$A902,'入金消込'!$H$5:$H$1004)+SUMIF('入金消込'!$F$5:$F$1004,$A902,'入金消込'!$I$5:$I$1004))</f>
        <v/>
      </c>
      <c r="R902" s="28">
        <f>IF($A902="","",$L902-$P902-$Q902)</f>
        <v/>
      </c>
      <c r="S902" s="30">
        <f>IF($A902="","",IF($R902=0,IF($L902=0,"請求額0","回収済"),IF($L902&lt;0,IF($R902&lt;0,"差し引き待ち","差し引きすぎ"),IF($R902&lt;0,"入金が多い",IF($P902+$Q902=0,"未入金","一部入金")))))</f>
        <v/>
      </c>
      <c r="T902" s="31">
        <f>IF(OR($A902="",N($R902)&lt;=0,NOT(ISNUMBER($O902))),"",IF($O902&lt;'設定'!$B$7,'設定'!$B$7-$O902,""))</f>
        <v/>
      </c>
      <c r="U902" s="30">
        <f>IF(OR($A902="",N($R902)&lt;=0),"",IF(NOT(ISNUMBER($O902)),'設定'!$B$22,IF($O902&gt;='設定'!$B$7,'設定'!$B$17,IF('設定'!$B$7-$O902&lt;='設定'!$B$12,'設定'!$B$18,IF('設定'!$B$7-$O902&lt;='設定'!$B$13,'設定'!$B$19,IF('設定'!$B$7-$O902&lt;='設定'!$B$14,'設定'!$B$20,'設定'!$B$21))))))</f>
        <v/>
      </c>
      <c r="V902" s="56" t="n"/>
      <c r="W902" s="32">
        <f>IF($C902="","",IFERROR(MATCH($C902,'得意先'!$B$5:$B$104,0),"なし"))</f>
        <v/>
      </c>
      <c r="X902" s="33">
        <f>IF($A902="","",IF(ISNUMBER($E902),$E902,IF(ISNUMBER($B902),$B902,"")))</f>
        <v/>
      </c>
      <c r="Y902" s="34">
        <f>IF($T902="","",$O902+ROW()/1000000)</f>
        <v/>
      </c>
      <c r="Z902" s="35">
        <f>IF(OR($A902="",$C902="",$C902&lt;&gt;'売掛帳'!$B$3,NOT(ISNUMBER($X902))),"",IF(AND($X902&gt;='売掛帳'!$Q$3,$X902&lt;='売掛帳'!$Q$4),$X902+ROW()/10000000,""))</f>
        <v/>
      </c>
    </row>
    <row r="903" ht="18" customHeight="1">
      <c r="A903" s="18" t="n"/>
      <c r="B903" s="26" t="n"/>
      <c r="C903" s="18" t="n"/>
      <c r="D903" s="20">
        <f>IF($W903="","",IF($W903="なし","※得意先にないコード",INDEX('得意先'!$C$5:$C$104,$W903)&amp;""))</f>
        <v/>
      </c>
      <c r="E903" s="26" t="n"/>
      <c r="F903" s="19" t="n"/>
      <c r="G903" s="27" t="n"/>
      <c r="H903" s="27" t="n"/>
      <c r="I903" s="27" t="n"/>
      <c r="J903" s="28">
        <f>IF($A903="","",IF('設定'!$B$10="四捨五入",ROUND(IF('設定'!$B$9="税込",N($G903)*10/110,N($G903)*10/100),0),IF('設定'!$B$10="切り上げ",ROUNDUP(IF('設定'!$B$9="税込",N($G903)*10/110,N($G903)*10/100),0),ROUNDDOWN(IF('設定'!$B$9="税込",N($G903)*10/110,N($G903)*10/100),0))))</f>
        <v/>
      </c>
      <c r="K903" s="28">
        <f>IF($A903="","",IF('設定'!$B$10="四捨五入",ROUND(IF('設定'!$B$9="税込",N($H903)*8/108,N($H903)*8/100),0),IF('設定'!$B$10="切り上げ",ROUNDUP(IF('設定'!$B$9="税込",N($H903)*8/108,N($H903)*8/100),0),ROUNDDOWN(IF('設定'!$B$9="税込",N($H903)*8/108,N($H903)*8/100),0))))</f>
        <v/>
      </c>
      <c r="L903" s="28">
        <f>IF($A903="","",N($G903)+N($H903)+N($I903)+IF('設定'!$B$9="税込",0,$J903+$K903))</f>
        <v/>
      </c>
      <c r="M903" s="29">
        <f>IF(OR($A903="",NOT(ISNUMBER($W903)),NOT(ISNUMBER($X903))),"",IF(OR(INDEX('得意先'!$D$5:$D$104,$W903)="",INDEX('得意先'!$E$5:$E$104,$W903)="",INDEX('得意先'!$F$5:$F$104,$W903)=""),"",IF(INDEX('得意先'!$F$5:$F$104,$W903)="末",DATE(YEAR($X903),(MONTH($X903)+IF(INDEX('得意先'!$D$5:$D$104,$W903)="末",0,IF(DAY($X903)&lt;=INDEX('得意先'!$D$5:$D$104,$W903),0,1))+N(INDEX('得意先'!$E$5:$E$104,$W903)))+1,0),DATE(YEAR($X903),(MONTH($X903)+IF(INDEX('得意先'!$D$5:$D$104,$W903)="末",0,IF(DAY($X903)&lt;=INDEX('得意先'!$D$5:$D$104,$W903),0,1))+N(INDEX('得意先'!$E$5:$E$104,$W903))),MIN(INDEX('得意先'!$F$5:$F$104,$W903),DAY(DATE(YEAR($X903),(MONTH($X903)+IF(INDEX('得意先'!$D$5:$D$104,$W903)="末",0,IF(DAY($X903)&lt;=INDEX('得意先'!$D$5:$D$104,$W903),0,1))+N(INDEX('得意先'!$E$5:$E$104,$W903)))+1,0)))))))</f>
        <v/>
      </c>
      <c r="N903" s="26" t="n"/>
      <c r="O903" s="29">
        <f>IF($A903="","",IF(ISNUMBER($N903),$N903,$M903))</f>
        <v/>
      </c>
      <c r="P903" s="28">
        <f>IF($A903="","",SUMIF('入金消込'!$F$5:$F$1004,$A903,'入金消込'!$G$5:$G$1004))</f>
        <v/>
      </c>
      <c r="Q903" s="28">
        <f>IF($A903="","",SUMIF('入金消込'!$F$5:$F$1004,$A903,'入金消込'!$H$5:$H$1004)+SUMIF('入金消込'!$F$5:$F$1004,$A903,'入金消込'!$I$5:$I$1004))</f>
        <v/>
      </c>
      <c r="R903" s="28">
        <f>IF($A903="","",$L903-$P903-$Q903)</f>
        <v/>
      </c>
      <c r="S903" s="30">
        <f>IF($A903="","",IF($R903=0,IF($L903=0,"請求額0","回収済"),IF($L903&lt;0,IF($R903&lt;0,"差し引き待ち","差し引きすぎ"),IF($R903&lt;0,"入金が多い",IF($P903+$Q903=0,"未入金","一部入金")))))</f>
        <v/>
      </c>
      <c r="T903" s="31">
        <f>IF(OR($A903="",N($R903)&lt;=0,NOT(ISNUMBER($O903))),"",IF($O903&lt;'設定'!$B$7,'設定'!$B$7-$O903,""))</f>
        <v/>
      </c>
      <c r="U903" s="30">
        <f>IF(OR($A903="",N($R903)&lt;=0),"",IF(NOT(ISNUMBER($O903)),'設定'!$B$22,IF($O903&gt;='設定'!$B$7,'設定'!$B$17,IF('設定'!$B$7-$O903&lt;='設定'!$B$12,'設定'!$B$18,IF('設定'!$B$7-$O903&lt;='設定'!$B$13,'設定'!$B$19,IF('設定'!$B$7-$O903&lt;='設定'!$B$14,'設定'!$B$20,'設定'!$B$21))))))</f>
        <v/>
      </c>
      <c r="V903" s="56" t="n"/>
      <c r="W903" s="32">
        <f>IF($C903="","",IFERROR(MATCH($C903,'得意先'!$B$5:$B$104,0),"なし"))</f>
        <v/>
      </c>
      <c r="X903" s="33">
        <f>IF($A903="","",IF(ISNUMBER($E903),$E903,IF(ISNUMBER($B903),$B903,"")))</f>
        <v/>
      </c>
      <c r="Y903" s="34">
        <f>IF($T903="","",$O903+ROW()/1000000)</f>
        <v/>
      </c>
      <c r="Z903" s="35">
        <f>IF(OR($A903="",$C903="",$C903&lt;&gt;'売掛帳'!$B$3,NOT(ISNUMBER($X903))),"",IF(AND($X903&gt;='売掛帳'!$Q$3,$X903&lt;='売掛帳'!$Q$4),$X903+ROW()/10000000,""))</f>
        <v/>
      </c>
    </row>
    <row r="904" ht="18" customHeight="1">
      <c r="A904" s="18" t="n"/>
      <c r="B904" s="26" t="n"/>
      <c r="C904" s="18" t="n"/>
      <c r="D904" s="20">
        <f>IF($W904="","",IF($W904="なし","※得意先にないコード",INDEX('得意先'!$C$5:$C$104,$W904)&amp;""))</f>
        <v/>
      </c>
      <c r="E904" s="26" t="n"/>
      <c r="F904" s="19" t="n"/>
      <c r="G904" s="27" t="n"/>
      <c r="H904" s="27" t="n"/>
      <c r="I904" s="27" t="n"/>
      <c r="J904" s="28">
        <f>IF($A904="","",IF('設定'!$B$10="四捨五入",ROUND(IF('設定'!$B$9="税込",N($G904)*10/110,N($G904)*10/100),0),IF('設定'!$B$10="切り上げ",ROUNDUP(IF('設定'!$B$9="税込",N($G904)*10/110,N($G904)*10/100),0),ROUNDDOWN(IF('設定'!$B$9="税込",N($G904)*10/110,N($G904)*10/100),0))))</f>
        <v/>
      </c>
      <c r="K904" s="28">
        <f>IF($A904="","",IF('設定'!$B$10="四捨五入",ROUND(IF('設定'!$B$9="税込",N($H904)*8/108,N($H904)*8/100),0),IF('設定'!$B$10="切り上げ",ROUNDUP(IF('設定'!$B$9="税込",N($H904)*8/108,N($H904)*8/100),0),ROUNDDOWN(IF('設定'!$B$9="税込",N($H904)*8/108,N($H904)*8/100),0))))</f>
        <v/>
      </c>
      <c r="L904" s="28">
        <f>IF($A904="","",N($G904)+N($H904)+N($I904)+IF('設定'!$B$9="税込",0,$J904+$K904))</f>
        <v/>
      </c>
      <c r="M904" s="29">
        <f>IF(OR($A904="",NOT(ISNUMBER($W904)),NOT(ISNUMBER($X904))),"",IF(OR(INDEX('得意先'!$D$5:$D$104,$W904)="",INDEX('得意先'!$E$5:$E$104,$W904)="",INDEX('得意先'!$F$5:$F$104,$W904)=""),"",IF(INDEX('得意先'!$F$5:$F$104,$W904)="末",DATE(YEAR($X904),(MONTH($X904)+IF(INDEX('得意先'!$D$5:$D$104,$W904)="末",0,IF(DAY($X904)&lt;=INDEX('得意先'!$D$5:$D$104,$W904),0,1))+N(INDEX('得意先'!$E$5:$E$104,$W904)))+1,0),DATE(YEAR($X904),(MONTH($X904)+IF(INDEX('得意先'!$D$5:$D$104,$W904)="末",0,IF(DAY($X904)&lt;=INDEX('得意先'!$D$5:$D$104,$W904),0,1))+N(INDEX('得意先'!$E$5:$E$104,$W904))),MIN(INDEX('得意先'!$F$5:$F$104,$W904),DAY(DATE(YEAR($X904),(MONTH($X904)+IF(INDEX('得意先'!$D$5:$D$104,$W904)="末",0,IF(DAY($X904)&lt;=INDEX('得意先'!$D$5:$D$104,$W904),0,1))+N(INDEX('得意先'!$E$5:$E$104,$W904)))+1,0)))))))</f>
        <v/>
      </c>
      <c r="N904" s="26" t="n"/>
      <c r="O904" s="29">
        <f>IF($A904="","",IF(ISNUMBER($N904),$N904,$M904))</f>
        <v/>
      </c>
      <c r="P904" s="28">
        <f>IF($A904="","",SUMIF('入金消込'!$F$5:$F$1004,$A904,'入金消込'!$G$5:$G$1004))</f>
        <v/>
      </c>
      <c r="Q904" s="28">
        <f>IF($A904="","",SUMIF('入金消込'!$F$5:$F$1004,$A904,'入金消込'!$H$5:$H$1004)+SUMIF('入金消込'!$F$5:$F$1004,$A904,'入金消込'!$I$5:$I$1004))</f>
        <v/>
      </c>
      <c r="R904" s="28">
        <f>IF($A904="","",$L904-$P904-$Q904)</f>
        <v/>
      </c>
      <c r="S904" s="30">
        <f>IF($A904="","",IF($R904=0,IF($L904=0,"請求額0","回収済"),IF($L904&lt;0,IF($R904&lt;0,"差し引き待ち","差し引きすぎ"),IF($R904&lt;0,"入金が多い",IF($P904+$Q904=0,"未入金","一部入金")))))</f>
        <v/>
      </c>
      <c r="T904" s="31">
        <f>IF(OR($A904="",N($R904)&lt;=0,NOT(ISNUMBER($O904))),"",IF($O904&lt;'設定'!$B$7,'設定'!$B$7-$O904,""))</f>
        <v/>
      </c>
      <c r="U904" s="30">
        <f>IF(OR($A904="",N($R904)&lt;=0),"",IF(NOT(ISNUMBER($O904)),'設定'!$B$22,IF($O904&gt;='設定'!$B$7,'設定'!$B$17,IF('設定'!$B$7-$O904&lt;='設定'!$B$12,'設定'!$B$18,IF('設定'!$B$7-$O904&lt;='設定'!$B$13,'設定'!$B$19,IF('設定'!$B$7-$O904&lt;='設定'!$B$14,'設定'!$B$20,'設定'!$B$21))))))</f>
        <v/>
      </c>
      <c r="V904" s="56" t="n"/>
      <c r="W904" s="32">
        <f>IF($C904="","",IFERROR(MATCH($C904,'得意先'!$B$5:$B$104,0),"なし"))</f>
        <v/>
      </c>
      <c r="X904" s="33">
        <f>IF($A904="","",IF(ISNUMBER($E904),$E904,IF(ISNUMBER($B904),$B904,"")))</f>
        <v/>
      </c>
      <c r="Y904" s="34">
        <f>IF($T904="","",$O904+ROW()/1000000)</f>
        <v/>
      </c>
      <c r="Z904" s="35">
        <f>IF(OR($A904="",$C904="",$C904&lt;&gt;'売掛帳'!$B$3,NOT(ISNUMBER($X904))),"",IF(AND($X904&gt;='売掛帳'!$Q$3,$X904&lt;='売掛帳'!$Q$4),$X904+ROW()/10000000,""))</f>
        <v/>
      </c>
    </row>
    <row r="905" ht="18" customHeight="1">
      <c r="A905" s="18" t="n"/>
      <c r="B905" s="26" t="n"/>
      <c r="C905" s="18" t="n"/>
      <c r="D905" s="20">
        <f>IF($W905="","",IF($W905="なし","※得意先にないコード",INDEX('得意先'!$C$5:$C$104,$W905)&amp;""))</f>
        <v/>
      </c>
      <c r="E905" s="26" t="n"/>
      <c r="F905" s="19" t="n"/>
      <c r="G905" s="27" t="n"/>
      <c r="H905" s="27" t="n"/>
      <c r="I905" s="27" t="n"/>
      <c r="J905" s="28">
        <f>IF($A905="","",IF('設定'!$B$10="四捨五入",ROUND(IF('設定'!$B$9="税込",N($G905)*10/110,N($G905)*10/100),0),IF('設定'!$B$10="切り上げ",ROUNDUP(IF('設定'!$B$9="税込",N($G905)*10/110,N($G905)*10/100),0),ROUNDDOWN(IF('設定'!$B$9="税込",N($G905)*10/110,N($G905)*10/100),0))))</f>
        <v/>
      </c>
      <c r="K905" s="28">
        <f>IF($A905="","",IF('設定'!$B$10="四捨五入",ROUND(IF('設定'!$B$9="税込",N($H905)*8/108,N($H905)*8/100),0),IF('設定'!$B$10="切り上げ",ROUNDUP(IF('設定'!$B$9="税込",N($H905)*8/108,N($H905)*8/100),0),ROUNDDOWN(IF('設定'!$B$9="税込",N($H905)*8/108,N($H905)*8/100),0))))</f>
        <v/>
      </c>
      <c r="L905" s="28">
        <f>IF($A905="","",N($G905)+N($H905)+N($I905)+IF('設定'!$B$9="税込",0,$J905+$K905))</f>
        <v/>
      </c>
      <c r="M905" s="29">
        <f>IF(OR($A905="",NOT(ISNUMBER($W905)),NOT(ISNUMBER($X905))),"",IF(OR(INDEX('得意先'!$D$5:$D$104,$W905)="",INDEX('得意先'!$E$5:$E$104,$W905)="",INDEX('得意先'!$F$5:$F$104,$W905)=""),"",IF(INDEX('得意先'!$F$5:$F$104,$W905)="末",DATE(YEAR($X905),(MONTH($X905)+IF(INDEX('得意先'!$D$5:$D$104,$W905)="末",0,IF(DAY($X905)&lt;=INDEX('得意先'!$D$5:$D$104,$W905),0,1))+N(INDEX('得意先'!$E$5:$E$104,$W905)))+1,0),DATE(YEAR($X905),(MONTH($X905)+IF(INDEX('得意先'!$D$5:$D$104,$W905)="末",0,IF(DAY($X905)&lt;=INDEX('得意先'!$D$5:$D$104,$W905),0,1))+N(INDEX('得意先'!$E$5:$E$104,$W905))),MIN(INDEX('得意先'!$F$5:$F$104,$W905),DAY(DATE(YEAR($X905),(MONTH($X905)+IF(INDEX('得意先'!$D$5:$D$104,$W905)="末",0,IF(DAY($X905)&lt;=INDEX('得意先'!$D$5:$D$104,$W905),0,1))+N(INDEX('得意先'!$E$5:$E$104,$W905)))+1,0)))))))</f>
        <v/>
      </c>
      <c r="N905" s="26" t="n"/>
      <c r="O905" s="29">
        <f>IF($A905="","",IF(ISNUMBER($N905),$N905,$M905))</f>
        <v/>
      </c>
      <c r="P905" s="28">
        <f>IF($A905="","",SUMIF('入金消込'!$F$5:$F$1004,$A905,'入金消込'!$G$5:$G$1004))</f>
        <v/>
      </c>
      <c r="Q905" s="28">
        <f>IF($A905="","",SUMIF('入金消込'!$F$5:$F$1004,$A905,'入金消込'!$H$5:$H$1004)+SUMIF('入金消込'!$F$5:$F$1004,$A905,'入金消込'!$I$5:$I$1004))</f>
        <v/>
      </c>
      <c r="R905" s="28">
        <f>IF($A905="","",$L905-$P905-$Q905)</f>
        <v/>
      </c>
      <c r="S905" s="30">
        <f>IF($A905="","",IF($R905=0,IF($L905=0,"請求額0","回収済"),IF($L905&lt;0,IF($R905&lt;0,"差し引き待ち","差し引きすぎ"),IF($R905&lt;0,"入金が多い",IF($P905+$Q905=0,"未入金","一部入金")))))</f>
        <v/>
      </c>
      <c r="T905" s="31">
        <f>IF(OR($A905="",N($R905)&lt;=0,NOT(ISNUMBER($O905))),"",IF($O905&lt;'設定'!$B$7,'設定'!$B$7-$O905,""))</f>
        <v/>
      </c>
      <c r="U905" s="30">
        <f>IF(OR($A905="",N($R905)&lt;=0),"",IF(NOT(ISNUMBER($O905)),'設定'!$B$22,IF($O905&gt;='設定'!$B$7,'設定'!$B$17,IF('設定'!$B$7-$O905&lt;='設定'!$B$12,'設定'!$B$18,IF('設定'!$B$7-$O905&lt;='設定'!$B$13,'設定'!$B$19,IF('設定'!$B$7-$O905&lt;='設定'!$B$14,'設定'!$B$20,'設定'!$B$21))))))</f>
        <v/>
      </c>
      <c r="V905" s="56" t="n"/>
      <c r="W905" s="32">
        <f>IF($C905="","",IFERROR(MATCH($C905,'得意先'!$B$5:$B$104,0),"なし"))</f>
        <v/>
      </c>
      <c r="X905" s="33">
        <f>IF($A905="","",IF(ISNUMBER($E905),$E905,IF(ISNUMBER($B905),$B905,"")))</f>
        <v/>
      </c>
      <c r="Y905" s="34">
        <f>IF($T905="","",$O905+ROW()/1000000)</f>
        <v/>
      </c>
      <c r="Z905" s="35">
        <f>IF(OR($A905="",$C905="",$C905&lt;&gt;'売掛帳'!$B$3,NOT(ISNUMBER($X905))),"",IF(AND($X905&gt;='売掛帳'!$Q$3,$X905&lt;='売掛帳'!$Q$4),$X905+ROW()/10000000,""))</f>
        <v/>
      </c>
    </row>
    <row r="906" ht="18" customHeight="1">
      <c r="A906" s="18" t="n"/>
      <c r="B906" s="26" t="n"/>
      <c r="C906" s="18" t="n"/>
      <c r="D906" s="20">
        <f>IF($W906="","",IF($W906="なし","※得意先にないコード",INDEX('得意先'!$C$5:$C$104,$W906)&amp;""))</f>
        <v/>
      </c>
      <c r="E906" s="26" t="n"/>
      <c r="F906" s="19" t="n"/>
      <c r="G906" s="27" t="n"/>
      <c r="H906" s="27" t="n"/>
      <c r="I906" s="27" t="n"/>
      <c r="J906" s="28">
        <f>IF($A906="","",IF('設定'!$B$10="四捨五入",ROUND(IF('設定'!$B$9="税込",N($G906)*10/110,N($G906)*10/100),0),IF('設定'!$B$10="切り上げ",ROUNDUP(IF('設定'!$B$9="税込",N($G906)*10/110,N($G906)*10/100),0),ROUNDDOWN(IF('設定'!$B$9="税込",N($G906)*10/110,N($G906)*10/100),0))))</f>
        <v/>
      </c>
      <c r="K906" s="28">
        <f>IF($A906="","",IF('設定'!$B$10="四捨五入",ROUND(IF('設定'!$B$9="税込",N($H906)*8/108,N($H906)*8/100),0),IF('設定'!$B$10="切り上げ",ROUNDUP(IF('設定'!$B$9="税込",N($H906)*8/108,N($H906)*8/100),0),ROUNDDOWN(IF('設定'!$B$9="税込",N($H906)*8/108,N($H906)*8/100),0))))</f>
        <v/>
      </c>
      <c r="L906" s="28">
        <f>IF($A906="","",N($G906)+N($H906)+N($I906)+IF('設定'!$B$9="税込",0,$J906+$K906))</f>
        <v/>
      </c>
      <c r="M906" s="29">
        <f>IF(OR($A906="",NOT(ISNUMBER($W906)),NOT(ISNUMBER($X906))),"",IF(OR(INDEX('得意先'!$D$5:$D$104,$W906)="",INDEX('得意先'!$E$5:$E$104,$W906)="",INDEX('得意先'!$F$5:$F$104,$W906)=""),"",IF(INDEX('得意先'!$F$5:$F$104,$W906)="末",DATE(YEAR($X906),(MONTH($X906)+IF(INDEX('得意先'!$D$5:$D$104,$W906)="末",0,IF(DAY($X906)&lt;=INDEX('得意先'!$D$5:$D$104,$W906),0,1))+N(INDEX('得意先'!$E$5:$E$104,$W906)))+1,0),DATE(YEAR($X906),(MONTH($X906)+IF(INDEX('得意先'!$D$5:$D$104,$W906)="末",0,IF(DAY($X906)&lt;=INDEX('得意先'!$D$5:$D$104,$W906),0,1))+N(INDEX('得意先'!$E$5:$E$104,$W906))),MIN(INDEX('得意先'!$F$5:$F$104,$W906),DAY(DATE(YEAR($X906),(MONTH($X906)+IF(INDEX('得意先'!$D$5:$D$104,$W906)="末",0,IF(DAY($X906)&lt;=INDEX('得意先'!$D$5:$D$104,$W906),0,1))+N(INDEX('得意先'!$E$5:$E$104,$W906)))+1,0)))))))</f>
        <v/>
      </c>
      <c r="N906" s="26" t="n"/>
      <c r="O906" s="29">
        <f>IF($A906="","",IF(ISNUMBER($N906),$N906,$M906))</f>
        <v/>
      </c>
      <c r="P906" s="28">
        <f>IF($A906="","",SUMIF('入金消込'!$F$5:$F$1004,$A906,'入金消込'!$G$5:$G$1004))</f>
        <v/>
      </c>
      <c r="Q906" s="28">
        <f>IF($A906="","",SUMIF('入金消込'!$F$5:$F$1004,$A906,'入金消込'!$H$5:$H$1004)+SUMIF('入金消込'!$F$5:$F$1004,$A906,'入金消込'!$I$5:$I$1004))</f>
        <v/>
      </c>
      <c r="R906" s="28">
        <f>IF($A906="","",$L906-$P906-$Q906)</f>
        <v/>
      </c>
      <c r="S906" s="30">
        <f>IF($A906="","",IF($R906=0,IF($L906=0,"請求額0","回収済"),IF($L906&lt;0,IF($R906&lt;0,"差し引き待ち","差し引きすぎ"),IF($R906&lt;0,"入金が多い",IF($P906+$Q906=0,"未入金","一部入金")))))</f>
        <v/>
      </c>
      <c r="T906" s="31">
        <f>IF(OR($A906="",N($R906)&lt;=0,NOT(ISNUMBER($O906))),"",IF($O906&lt;'設定'!$B$7,'設定'!$B$7-$O906,""))</f>
        <v/>
      </c>
      <c r="U906" s="30">
        <f>IF(OR($A906="",N($R906)&lt;=0),"",IF(NOT(ISNUMBER($O906)),'設定'!$B$22,IF($O906&gt;='設定'!$B$7,'設定'!$B$17,IF('設定'!$B$7-$O906&lt;='設定'!$B$12,'設定'!$B$18,IF('設定'!$B$7-$O906&lt;='設定'!$B$13,'設定'!$B$19,IF('設定'!$B$7-$O906&lt;='設定'!$B$14,'設定'!$B$20,'設定'!$B$21))))))</f>
        <v/>
      </c>
      <c r="V906" s="56" t="n"/>
      <c r="W906" s="32">
        <f>IF($C906="","",IFERROR(MATCH($C906,'得意先'!$B$5:$B$104,0),"なし"))</f>
        <v/>
      </c>
      <c r="X906" s="33">
        <f>IF($A906="","",IF(ISNUMBER($E906),$E906,IF(ISNUMBER($B906),$B906,"")))</f>
        <v/>
      </c>
      <c r="Y906" s="34">
        <f>IF($T906="","",$O906+ROW()/1000000)</f>
        <v/>
      </c>
      <c r="Z906" s="35">
        <f>IF(OR($A906="",$C906="",$C906&lt;&gt;'売掛帳'!$B$3,NOT(ISNUMBER($X906))),"",IF(AND($X906&gt;='売掛帳'!$Q$3,$X906&lt;='売掛帳'!$Q$4),$X906+ROW()/10000000,""))</f>
        <v/>
      </c>
    </row>
    <row r="907" ht="18" customHeight="1">
      <c r="A907" s="18" t="n"/>
      <c r="B907" s="26" t="n"/>
      <c r="C907" s="18" t="n"/>
      <c r="D907" s="20">
        <f>IF($W907="","",IF($W907="なし","※得意先にないコード",INDEX('得意先'!$C$5:$C$104,$W907)&amp;""))</f>
        <v/>
      </c>
      <c r="E907" s="26" t="n"/>
      <c r="F907" s="19" t="n"/>
      <c r="G907" s="27" t="n"/>
      <c r="H907" s="27" t="n"/>
      <c r="I907" s="27" t="n"/>
      <c r="J907" s="28">
        <f>IF($A907="","",IF('設定'!$B$10="四捨五入",ROUND(IF('設定'!$B$9="税込",N($G907)*10/110,N($G907)*10/100),0),IF('設定'!$B$10="切り上げ",ROUNDUP(IF('設定'!$B$9="税込",N($G907)*10/110,N($G907)*10/100),0),ROUNDDOWN(IF('設定'!$B$9="税込",N($G907)*10/110,N($G907)*10/100),0))))</f>
        <v/>
      </c>
      <c r="K907" s="28">
        <f>IF($A907="","",IF('設定'!$B$10="四捨五入",ROUND(IF('設定'!$B$9="税込",N($H907)*8/108,N($H907)*8/100),0),IF('設定'!$B$10="切り上げ",ROUNDUP(IF('設定'!$B$9="税込",N($H907)*8/108,N($H907)*8/100),0),ROUNDDOWN(IF('設定'!$B$9="税込",N($H907)*8/108,N($H907)*8/100),0))))</f>
        <v/>
      </c>
      <c r="L907" s="28">
        <f>IF($A907="","",N($G907)+N($H907)+N($I907)+IF('設定'!$B$9="税込",0,$J907+$K907))</f>
        <v/>
      </c>
      <c r="M907" s="29">
        <f>IF(OR($A907="",NOT(ISNUMBER($W907)),NOT(ISNUMBER($X907))),"",IF(OR(INDEX('得意先'!$D$5:$D$104,$W907)="",INDEX('得意先'!$E$5:$E$104,$W907)="",INDEX('得意先'!$F$5:$F$104,$W907)=""),"",IF(INDEX('得意先'!$F$5:$F$104,$W907)="末",DATE(YEAR($X907),(MONTH($X907)+IF(INDEX('得意先'!$D$5:$D$104,$W907)="末",0,IF(DAY($X907)&lt;=INDEX('得意先'!$D$5:$D$104,$W907),0,1))+N(INDEX('得意先'!$E$5:$E$104,$W907)))+1,0),DATE(YEAR($X907),(MONTH($X907)+IF(INDEX('得意先'!$D$5:$D$104,$W907)="末",0,IF(DAY($X907)&lt;=INDEX('得意先'!$D$5:$D$104,$W907),0,1))+N(INDEX('得意先'!$E$5:$E$104,$W907))),MIN(INDEX('得意先'!$F$5:$F$104,$W907),DAY(DATE(YEAR($X907),(MONTH($X907)+IF(INDEX('得意先'!$D$5:$D$104,$W907)="末",0,IF(DAY($X907)&lt;=INDEX('得意先'!$D$5:$D$104,$W907),0,1))+N(INDEX('得意先'!$E$5:$E$104,$W907)))+1,0)))))))</f>
        <v/>
      </c>
      <c r="N907" s="26" t="n"/>
      <c r="O907" s="29">
        <f>IF($A907="","",IF(ISNUMBER($N907),$N907,$M907))</f>
        <v/>
      </c>
      <c r="P907" s="28">
        <f>IF($A907="","",SUMIF('入金消込'!$F$5:$F$1004,$A907,'入金消込'!$G$5:$G$1004))</f>
        <v/>
      </c>
      <c r="Q907" s="28">
        <f>IF($A907="","",SUMIF('入金消込'!$F$5:$F$1004,$A907,'入金消込'!$H$5:$H$1004)+SUMIF('入金消込'!$F$5:$F$1004,$A907,'入金消込'!$I$5:$I$1004))</f>
        <v/>
      </c>
      <c r="R907" s="28">
        <f>IF($A907="","",$L907-$P907-$Q907)</f>
        <v/>
      </c>
      <c r="S907" s="30">
        <f>IF($A907="","",IF($R907=0,IF($L907=0,"請求額0","回収済"),IF($L907&lt;0,IF($R907&lt;0,"差し引き待ち","差し引きすぎ"),IF($R907&lt;0,"入金が多い",IF($P907+$Q907=0,"未入金","一部入金")))))</f>
        <v/>
      </c>
      <c r="T907" s="31">
        <f>IF(OR($A907="",N($R907)&lt;=0,NOT(ISNUMBER($O907))),"",IF($O907&lt;'設定'!$B$7,'設定'!$B$7-$O907,""))</f>
        <v/>
      </c>
      <c r="U907" s="30">
        <f>IF(OR($A907="",N($R907)&lt;=0),"",IF(NOT(ISNUMBER($O907)),'設定'!$B$22,IF($O907&gt;='設定'!$B$7,'設定'!$B$17,IF('設定'!$B$7-$O907&lt;='設定'!$B$12,'設定'!$B$18,IF('設定'!$B$7-$O907&lt;='設定'!$B$13,'設定'!$B$19,IF('設定'!$B$7-$O907&lt;='設定'!$B$14,'設定'!$B$20,'設定'!$B$21))))))</f>
        <v/>
      </c>
      <c r="V907" s="56" t="n"/>
      <c r="W907" s="32">
        <f>IF($C907="","",IFERROR(MATCH($C907,'得意先'!$B$5:$B$104,0),"なし"))</f>
        <v/>
      </c>
      <c r="X907" s="33">
        <f>IF($A907="","",IF(ISNUMBER($E907),$E907,IF(ISNUMBER($B907),$B907,"")))</f>
        <v/>
      </c>
      <c r="Y907" s="34">
        <f>IF($T907="","",$O907+ROW()/1000000)</f>
        <v/>
      </c>
      <c r="Z907" s="35">
        <f>IF(OR($A907="",$C907="",$C907&lt;&gt;'売掛帳'!$B$3,NOT(ISNUMBER($X907))),"",IF(AND($X907&gt;='売掛帳'!$Q$3,$X907&lt;='売掛帳'!$Q$4),$X907+ROW()/10000000,""))</f>
        <v/>
      </c>
    </row>
    <row r="908" ht="18" customHeight="1">
      <c r="A908" s="18" t="n"/>
      <c r="B908" s="26" t="n"/>
      <c r="C908" s="18" t="n"/>
      <c r="D908" s="20">
        <f>IF($W908="","",IF($W908="なし","※得意先にないコード",INDEX('得意先'!$C$5:$C$104,$W908)&amp;""))</f>
        <v/>
      </c>
      <c r="E908" s="26" t="n"/>
      <c r="F908" s="19" t="n"/>
      <c r="G908" s="27" t="n"/>
      <c r="H908" s="27" t="n"/>
      <c r="I908" s="27" t="n"/>
      <c r="J908" s="28">
        <f>IF($A908="","",IF('設定'!$B$10="四捨五入",ROUND(IF('設定'!$B$9="税込",N($G908)*10/110,N($G908)*10/100),0),IF('設定'!$B$10="切り上げ",ROUNDUP(IF('設定'!$B$9="税込",N($G908)*10/110,N($G908)*10/100),0),ROUNDDOWN(IF('設定'!$B$9="税込",N($G908)*10/110,N($G908)*10/100),0))))</f>
        <v/>
      </c>
      <c r="K908" s="28">
        <f>IF($A908="","",IF('設定'!$B$10="四捨五入",ROUND(IF('設定'!$B$9="税込",N($H908)*8/108,N($H908)*8/100),0),IF('設定'!$B$10="切り上げ",ROUNDUP(IF('設定'!$B$9="税込",N($H908)*8/108,N($H908)*8/100),0),ROUNDDOWN(IF('設定'!$B$9="税込",N($H908)*8/108,N($H908)*8/100),0))))</f>
        <v/>
      </c>
      <c r="L908" s="28">
        <f>IF($A908="","",N($G908)+N($H908)+N($I908)+IF('設定'!$B$9="税込",0,$J908+$K908))</f>
        <v/>
      </c>
      <c r="M908" s="29">
        <f>IF(OR($A908="",NOT(ISNUMBER($W908)),NOT(ISNUMBER($X908))),"",IF(OR(INDEX('得意先'!$D$5:$D$104,$W908)="",INDEX('得意先'!$E$5:$E$104,$W908)="",INDEX('得意先'!$F$5:$F$104,$W908)=""),"",IF(INDEX('得意先'!$F$5:$F$104,$W908)="末",DATE(YEAR($X908),(MONTH($X908)+IF(INDEX('得意先'!$D$5:$D$104,$W908)="末",0,IF(DAY($X908)&lt;=INDEX('得意先'!$D$5:$D$104,$W908),0,1))+N(INDEX('得意先'!$E$5:$E$104,$W908)))+1,0),DATE(YEAR($X908),(MONTH($X908)+IF(INDEX('得意先'!$D$5:$D$104,$W908)="末",0,IF(DAY($X908)&lt;=INDEX('得意先'!$D$5:$D$104,$W908),0,1))+N(INDEX('得意先'!$E$5:$E$104,$W908))),MIN(INDEX('得意先'!$F$5:$F$104,$W908),DAY(DATE(YEAR($X908),(MONTH($X908)+IF(INDEX('得意先'!$D$5:$D$104,$W908)="末",0,IF(DAY($X908)&lt;=INDEX('得意先'!$D$5:$D$104,$W908),0,1))+N(INDEX('得意先'!$E$5:$E$104,$W908)))+1,0)))))))</f>
        <v/>
      </c>
      <c r="N908" s="26" t="n"/>
      <c r="O908" s="29">
        <f>IF($A908="","",IF(ISNUMBER($N908),$N908,$M908))</f>
        <v/>
      </c>
      <c r="P908" s="28">
        <f>IF($A908="","",SUMIF('入金消込'!$F$5:$F$1004,$A908,'入金消込'!$G$5:$G$1004))</f>
        <v/>
      </c>
      <c r="Q908" s="28">
        <f>IF($A908="","",SUMIF('入金消込'!$F$5:$F$1004,$A908,'入金消込'!$H$5:$H$1004)+SUMIF('入金消込'!$F$5:$F$1004,$A908,'入金消込'!$I$5:$I$1004))</f>
        <v/>
      </c>
      <c r="R908" s="28">
        <f>IF($A908="","",$L908-$P908-$Q908)</f>
        <v/>
      </c>
      <c r="S908" s="30">
        <f>IF($A908="","",IF($R908=0,IF($L908=0,"請求額0","回収済"),IF($L908&lt;0,IF($R908&lt;0,"差し引き待ち","差し引きすぎ"),IF($R908&lt;0,"入金が多い",IF($P908+$Q908=0,"未入金","一部入金")))))</f>
        <v/>
      </c>
      <c r="T908" s="31">
        <f>IF(OR($A908="",N($R908)&lt;=0,NOT(ISNUMBER($O908))),"",IF($O908&lt;'設定'!$B$7,'設定'!$B$7-$O908,""))</f>
        <v/>
      </c>
      <c r="U908" s="30">
        <f>IF(OR($A908="",N($R908)&lt;=0),"",IF(NOT(ISNUMBER($O908)),'設定'!$B$22,IF($O908&gt;='設定'!$B$7,'設定'!$B$17,IF('設定'!$B$7-$O908&lt;='設定'!$B$12,'設定'!$B$18,IF('設定'!$B$7-$O908&lt;='設定'!$B$13,'設定'!$B$19,IF('設定'!$B$7-$O908&lt;='設定'!$B$14,'設定'!$B$20,'設定'!$B$21))))))</f>
        <v/>
      </c>
      <c r="V908" s="56" t="n"/>
      <c r="W908" s="32">
        <f>IF($C908="","",IFERROR(MATCH($C908,'得意先'!$B$5:$B$104,0),"なし"))</f>
        <v/>
      </c>
      <c r="X908" s="33">
        <f>IF($A908="","",IF(ISNUMBER($E908),$E908,IF(ISNUMBER($B908),$B908,"")))</f>
        <v/>
      </c>
      <c r="Y908" s="34">
        <f>IF($T908="","",$O908+ROW()/1000000)</f>
        <v/>
      </c>
      <c r="Z908" s="35">
        <f>IF(OR($A908="",$C908="",$C908&lt;&gt;'売掛帳'!$B$3,NOT(ISNUMBER($X908))),"",IF(AND($X908&gt;='売掛帳'!$Q$3,$X908&lt;='売掛帳'!$Q$4),$X908+ROW()/10000000,""))</f>
        <v/>
      </c>
    </row>
    <row r="909" ht="18" customHeight="1">
      <c r="A909" s="18" t="n"/>
      <c r="B909" s="26" t="n"/>
      <c r="C909" s="18" t="n"/>
      <c r="D909" s="20">
        <f>IF($W909="","",IF($W909="なし","※得意先にないコード",INDEX('得意先'!$C$5:$C$104,$W909)&amp;""))</f>
        <v/>
      </c>
      <c r="E909" s="26" t="n"/>
      <c r="F909" s="19" t="n"/>
      <c r="G909" s="27" t="n"/>
      <c r="H909" s="27" t="n"/>
      <c r="I909" s="27" t="n"/>
      <c r="J909" s="28">
        <f>IF($A909="","",IF('設定'!$B$10="四捨五入",ROUND(IF('設定'!$B$9="税込",N($G909)*10/110,N($G909)*10/100),0),IF('設定'!$B$10="切り上げ",ROUNDUP(IF('設定'!$B$9="税込",N($G909)*10/110,N($G909)*10/100),0),ROUNDDOWN(IF('設定'!$B$9="税込",N($G909)*10/110,N($G909)*10/100),0))))</f>
        <v/>
      </c>
      <c r="K909" s="28">
        <f>IF($A909="","",IF('設定'!$B$10="四捨五入",ROUND(IF('設定'!$B$9="税込",N($H909)*8/108,N($H909)*8/100),0),IF('設定'!$B$10="切り上げ",ROUNDUP(IF('設定'!$B$9="税込",N($H909)*8/108,N($H909)*8/100),0),ROUNDDOWN(IF('設定'!$B$9="税込",N($H909)*8/108,N($H909)*8/100),0))))</f>
        <v/>
      </c>
      <c r="L909" s="28">
        <f>IF($A909="","",N($G909)+N($H909)+N($I909)+IF('設定'!$B$9="税込",0,$J909+$K909))</f>
        <v/>
      </c>
      <c r="M909" s="29">
        <f>IF(OR($A909="",NOT(ISNUMBER($W909)),NOT(ISNUMBER($X909))),"",IF(OR(INDEX('得意先'!$D$5:$D$104,$W909)="",INDEX('得意先'!$E$5:$E$104,$W909)="",INDEX('得意先'!$F$5:$F$104,$W909)=""),"",IF(INDEX('得意先'!$F$5:$F$104,$W909)="末",DATE(YEAR($X909),(MONTH($X909)+IF(INDEX('得意先'!$D$5:$D$104,$W909)="末",0,IF(DAY($X909)&lt;=INDEX('得意先'!$D$5:$D$104,$W909),0,1))+N(INDEX('得意先'!$E$5:$E$104,$W909)))+1,0),DATE(YEAR($X909),(MONTH($X909)+IF(INDEX('得意先'!$D$5:$D$104,$W909)="末",0,IF(DAY($X909)&lt;=INDEX('得意先'!$D$5:$D$104,$W909),0,1))+N(INDEX('得意先'!$E$5:$E$104,$W909))),MIN(INDEX('得意先'!$F$5:$F$104,$W909),DAY(DATE(YEAR($X909),(MONTH($X909)+IF(INDEX('得意先'!$D$5:$D$104,$W909)="末",0,IF(DAY($X909)&lt;=INDEX('得意先'!$D$5:$D$104,$W909),0,1))+N(INDEX('得意先'!$E$5:$E$104,$W909)))+1,0)))))))</f>
        <v/>
      </c>
      <c r="N909" s="26" t="n"/>
      <c r="O909" s="29">
        <f>IF($A909="","",IF(ISNUMBER($N909),$N909,$M909))</f>
        <v/>
      </c>
      <c r="P909" s="28">
        <f>IF($A909="","",SUMIF('入金消込'!$F$5:$F$1004,$A909,'入金消込'!$G$5:$G$1004))</f>
        <v/>
      </c>
      <c r="Q909" s="28">
        <f>IF($A909="","",SUMIF('入金消込'!$F$5:$F$1004,$A909,'入金消込'!$H$5:$H$1004)+SUMIF('入金消込'!$F$5:$F$1004,$A909,'入金消込'!$I$5:$I$1004))</f>
        <v/>
      </c>
      <c r="R909" s="28">
        <f>IF($A909="","",$L909-$P909-$Q909)</f>
        <v/>
      </c>
      <c r="S909" s="30">
        <f>IF($A909="","",IF($R909=0,IF($L909=0,"請求額0","回収済"),IF($L909&lt;0,IF($R909&lt;0,"差し引き待ち","差し引きすぎ"),IF($R909&lt;0,"入金が多い",IF($P909+$Q909=0,"未入金","一部入金")))))</f>
        <v/>
      </c>
      <c r="T909" s="31">
        <f>IF(OR($A909="",N($R909)&lt;=0,NOT(ISNUMBER($O909))),"",IF($O909&lt;'設定'!$B$7,'設定'!$B$7-$O909,""))</f>
        <v/>
      </c>
      <c r="U909" s="30">
        <f>IF(OR($A909="",N($R909)&lt;=0),"",IF(NOT(ISNUMBER($O909)),'設定'!$B$22,IF($O909&gt;='設定'!$B$7,'設定'!$B$17,IF('設定'!$B$7-$O909&lt;='設定'!$B$12,'設定'!$B$18,IF('設定'!$B$7-$O909&lt;='設定'!$B$13,'設定'!$B$19,IF('設定'!$B$7-$O909&lt;='設定'!$B$14,'設定'!$B$20,'設定'!$B$21))))))</f>
        <v/>
      </c>
      <c r="V909" s="56" t="n"/>
      <c r="W909" s="32">
        <f>IF($C909="","",IFERROR(MATCH($C909,'得意先'!$B$5:$B$104,0),"なし"))</f>
        <v/>
      </c>
      <c r="X909" s="33">
        <f>IF($A909="","",IF(ISNUMBER($E909),$E909,IF(ISNUMBER($B909),$B909,"")))</f>
        <v/>
      </c>
      <c r="Y909" s="34">
        <f>IF($T909="","",$O909+ROW()/1000000)</f>
        <v/>
      </c>
      <c r="Z909" s="35">
        <f>IF(OR($A909="",$C909="",$C909&lt;&gt;'売掛帳'!$B$3,NOT(ISNUMBER($X909))),"",IF(AND($X909&gt;='売掛帳'!$Q$3,$X909&lt;='売掛帳'!$Q$4),$X909+ROW()/10000000,""))</f>
        <v/>
      </c>
    </row>
    <row r="910" ht="18" customHeight="1">
      <c r="A910" s="18" t="n"/>
      <c r="B910" s="26" t="n"/>
      <c r="C910" s="18" t="n"/>
      <c r="D910" s="20">
        <f>IF($W910="","",IF($W910="なし","※得意先にないコード",INDEX('得意先'!$C$5:$C$104,$W910)&amp;""))</f>
        <v/>
      </c>
      <c r="E910" s="26" t="n"/>
      <c r="F910" s="19" t="n"/>
      <c r="G910" s="27" t="n"/>
      <c r="H910" s="27" t="n"/>
      <c r="I910" s="27" t="n"/>
      <c r="J910" s="28">
        <f>IF($A910="","",IF('設定'!$B$10="四捨五入",ROUND(IF('設定'!$B$9="税込",N($G910)*10/110,N($G910)*10/100),0),IF('設定'!$B$10="切り上げ",ROUNDUP(IF('設定'!$B$9="税込",N($G910)*10/110,N($G910)*10/100),0),ROUNDDOWN(IF('設定'!$B$9="税込",N($G910)*10/110,N($G910)*10/100),0))))</f>
        <v/>
      </c>
      <c r="K910" s="28">
        <f>IF($A910="","",IF('設定'!$B$10="四捨五入",ROUND(IF('設定'!$B$9="税込",N($H910)*8/108,N($H910)*8/100),0),IF('設定'!$B$10="切り上げ",ROUNDUP(IF('設定'!$B$9="税込",N($H910)*8/108,N($H910)*8/100),0),ROUNDDOWN(IF('設定'!$B$9="税込",N($H910)*8/108,N($H910)*8/100),0))))</f>
        <v/>
      </c>
      <c r="L910" s="28">
        <f>IF($A910="","",N($G910)+N($H910)+N($I910)+IF('設定'!$B$9="税込",0,$J910+$K910))</f>
        <v/>
      </c>
      <c r="M910" s="29">
        <f>IF(OR($A910="",NOT(ISNUMBER($W910)),NOT(ISNUMBER($X910))),"",IF(OR(INDEX('得意先'!$D$5:$D$104,$W910)="",INDEX('得意先'!$E$5:$E$104,$W910)="",INDEX('得意先'!$F$5:$F$104,$W910)=""),"",IF(INDEX('得意先'!$F$5:$F$104,$W910)="末",DATE(YEAR($X910),(MONTH($X910)+IF(INDEX('得意先'!$D$5:$D$104,$W910)="末",0,IF(DAY($X910)&lt;=INDEX('得意先'!$D$5:$D$104,$W910),0,1))+N(INDEX('得意先'!$E$5:$E$104,$W910)))+1,0),DATE(YEAR($X910),(MONTH($X910)+IF(INDEX('得意先'!$D$5:$D$104,$W910)="末",0,IF(DAY($X910)&lt;=INDEX('得意先'!$D$5:$D$104,$W910),0,1))+N(INDEX('得意先'!$E$5:$E$104,$W910))),MIN(INDEX('得意先'!$F$5:$F$104,$W910),DAY(DATE(YEAR($X910),(MONTH($X910)+IF(INDEX('得意先'!$D$5:$D$104,$W910)="末",0,IF(DAY($X910)&lt;=INDEX('得意先'!$D$5:$D$104,$W910),0,1))+N(INDEX('得意先'!$E$5:$E$104,$W910)))+1,0)))))))</f>
        <v/>
      </c>
      <c r="N910" s="26" t="n"/>
      <c r="O910" s="29">
        <f>IF($A910="","",IF(ISNUMBER($N910),$N910,$M910))</f>
        <v/>
      </c>
      <c r="P910" s="28">
        <f>IF($A910="","",SUMIF('入金消込'!$F$5:$F$1004,$A910,'入金消込'!$G$5:$G$1004))</f>
        <v/>
      </c>
      <c r="Q910" s="28">
        <f>IF($A910="","",SUMIF('入金消込'!$F$5:$F$1004,$A910,'入金消込'!$H$5:$H$1004)+SUMIF('入金消込'!$F$5:$F$1004,$A910,'入金消込'!$I$5:$I$1004))</f>
        <v/>
      </c>
      <c r="R910" s="28">
        <f>IF($A910="","",$L910-$P910-$Q910)</f>
        <v/>
      </c>
      <c r="S910" s="30">
        <f>IF($A910="","",IF($R910=0,IF($L910=0,"請求額0","回収済"),IF($L910&lt;0,IF($R910&lt;0,"差し引き待ち","差し引きすぎ"),IF($R910&lt;0,"入金が多い",IF($P910+$Q910=0,"未入金","一部入金")))))</f>
        <v/>
      </c>
      <c r="T910" s="31">
        <f>IF(OR($A910="",N($R910)&lt;=0,NOT(ISNUMBER($O910))),"",IF($O910&lt;'設定'!$B$7,'設定'!$B$7-$O910,""))</f>
        <v/>
      </c>
      <c r="U910" s="30">
        <f>IF(OR($A910="",N($R910)&lt;=0),"",IF(NOT(ISNUMBER($O910)),'設定'!$B$22,IF($O910&gt;='設定'!$B$7,'設定'!$B$17,IF('設定'!$B$7-$O910&lt;='設定'!$B$12,'設定'!$B$18,IF('設定'!$B$7-$O910&lt;='設定'!$B$13,'設定'!$B$19,IF('設定'!$B$7-$O910&lt;='設定'!$B$14,'設定'!$B$20,'設定'!$B$21))))))</f>
        <v/>
      </c>
      <c r="V910" s="56" t="n"/>
      <c r="W910" s="32">
        <f>IF($C910="","",IFERROR(MATCH($C910,'得意先'!$B$5:$B$104,0),"なし"))</f>
        <v/>
      </c>
      <c r="X910" s="33">
        <f>IF($A910="","",IF(ISNUMBER($E910),$E910,IF(ISNUMBER($B910),$B910,"")))</f>
        <v/>
      </c>
      <c r="Y910" s="34">
        <f>IF($T910="","",$O910+ROW()/1000000)</f>
        <v/>
      </c>
      <c r="Z910" s="35">
        <f>IF(OR($A910="",$C910="",$C910&lt;&gt;'売掛帳'!$B$3,NOT(ISNUMBER($X910))),"",IF(AND($X910&gt;='売掛帳'!$Q$3,$X910&lt;='売掛帳'!$Q$4),$X910+ROW()/10000000,""))</f>
        <v/>
      </c>
    </row>
    <row r="911" ht="18" customHeight="1">
      <c r="A911" s="18" t="n"/>
      <c r="B911" s="26" t="n"/>
      <c r="C911" s="18" t="n"/>
      <c r="D911" s="20">
        <f>IF($W911="","",IF($W911="なし","※得意先にないコード",INDEX('得意先'!$C$5:$C$104,$W911)&amp;""))</f>
        <v/>
      </c>
      <c r="E911" s="26" t="n"/>
      <c r="F911" s="19" t="n"/>
      <c r="G911" s="27" t="n"/>
      <c r="H911" s="27" t="n"/>
      <c r="I911" s="27" t="n"/>
      <c r="J911" s="28">
        <f>IF($A911="","",IF('設定'!$B$10="四捨五入",ROUND(IF('設定'!$B$9="税込",N($G911)*10/110,N($G911)*10/100),0),IF('設定'!$B$10="切り上げ",ROUNDUP(IF('設定'!$B$9="税込",N($G911)*10/110,N($G911)*10/100),0),ROUNDDOWN(IF('設定'!$B$9="税込",N($G911)*10/110,N($G911)*10/100),0))))</f>
        <v/>
      </c>
      <c r="K911" s="28">
        <f>IF($A911="","",IF('設定'!$B$10="四捨五入",ROUND(IF('設定'!$B$9="税込",N($H911)*8/108,N($H911)*8/100),0),IF('設定'!$B$10="切り上げ",ROUNDUP(IF('設定'!$B$9="税込",N($H911)*8/108,N($H911)*8/100),0),ROUNDDOWN(IF('設定'!$B$9="税込",N($H911)*8/108,N($H911)*8/100),0))))</f>
        <v/>
      </c>
      <c r="L911" s="28">
        <f>IF($A911="","",N($G911)+N($H911)+N($I911)+IF('設定'!$B$9="税込",0,$J911+$K911))</f>
        <v/>
      </c>
      <c r="M911" s="29">
        <f>IF(OR($A911="",NOT(ISNUMBER($W911)),NOT(ISNUMBER($X911))),"",IF(OR(INDEX('得意先'!$D$5:$D$104,$W911)="",INDEX('得意先'!$E$5:$E$104,$W911)="",INDEX('得意先'!$F$5:$F$104,$W911)=""),"",IF(INDEX('得意先'!$F$5:$F$104,$W911)="末",DATE(YEAR($X911),(MONTH($X911)+IF(INDEX('得意先'!$D$5:$D$104,$W911)="末",0,IF(DAY($X911)&lt;=INDEX('得意先'!$D$5:$D$104,$W911),0,1))+N(INDEX('得意先'!$E$5:$E$104,$W911)))+1,0),DATE(YEAR($X911),(MONTH($X911)+IF(INDEX('得意先'!$D$5:$D$104,$W911)="末",0,IF(DAY($X911)&lt;=INDEX('得意先'!$D$5:$D$104,$W911),0,1))+N(INDEX('得意先'!$E$5:$E$104,$W911))),MIN(INDEX('得意先'!$F$5:$F$104,$W911),DAY(DATE(YEAR($X911),(MONTH($X911)+IF(INDEX('得意先'!$D$5:$D$104,$W911)="末",0,IF(DAY($X911)&lt;=INDEX('得意先'!$D$5:$D$104,$W911),0,1))+N(INDEX('得意先'!$E$5:$E$104,$W911)))+1,0)))))))</f>
        <v/>
      </c>
      <c r="N911" s="26" t="n"/>
      <c r="O911" s="29">
        <f>IF($A911="","",IF(ISNUMBER($N911),$N911,$M911))</f>
        <v/>
      </c>
      <c r="P911" s="28">
        <f>IF($A911="","",SUMIF('入金消込'!$F$5:$F$1004,$A911,'入金消込'!$G$5:$G$1004))</f>
        <v/>
      </c>
      <c r="Q911" s="28">
        <f>IF($A911="","",SUMIF('入金消込'!$F$5:$F$1004,$A911,'入金消込'!$H$5:$H$1004)+SUMIF('入金消込'!$F$5:$F$1004,$A911,'入金消込'!$I$5:$I$1004))</f>
        <v/>
      </c>
      <c r="R911" s="28">
        <f>IF($A911="","",$L911-$P911-$Q911)</f>
        <v/>
      </c>
      <c r="S911" s="30">
        <f>IF($A911="","",IF($R911=0,IF($L911=0,"請求額0","回収済"),IF($L911&lt;0,IF($R911&lt;0,"差し引き待ち","差し引きすぎ"),IF($R911&lt;0,"入金が多い",IF($P911+$Q911=0,"未入金","一部入金")))))</f>
        <v/>
      </c>
      <c r="T911" s="31">
        <f>IF(OR($A911="",N($R911)&lt;=0,NOT(ISNUMBER($O911))),"",IF($O911&lt;'設定'!$B$7,'設定'!$B$7-$O911,""))</f>
        <v/>
      </c>
      <c r="U911" s="30">
        <f>IF(OR($A911="",N($R911)&lt;=0),"",IF(NOT(ISNUMBER($O911)),'設定'!$B$22,IF($O911&gt;='設定'!$B$7,'設定'!$B$17,IF('設定'!$B$7-$O911&lt;='設定'!$B$12,'設定'!$B$18,IF('設定'!$B$7-$O911&lt;='設定'!$B$13,'設定'!$B$19,IF('設定'!$B$7-$O911&lt;='設定'!$B$14,'設定'!$B$20,'設定'!$B$21))))))</f>
        <v/>
      </c>
      <c r="V911" s="56" t="n"/>
      <c r="W911" s="32">
        <f>IF($C911="","",IFERROR(MATCH($C911,'得意先'!$B$5:$B$104,0),"なし"))</f>
        <v/>
      </c>
      <c r="X911" s="33">
        <f>IF($A911="","",IF(ISNUMBER($E911),$E911,IF(ISNUMBER($B911),$B911,"")))</f>
        <v/>
      </c>
      <c r="Y911" s="34">
        <f>IF($T911="","",$O911+ROW()/1000000)</f>
        <v/>
      </c>
      <c r="Z911" s="35">
        <f>IF(OR($A911="",$C911="",$C911&lt;&gt;'売掛帳'!$B$3,NOT(ISNUMBER($X911))),"",IF(AND($X911&gt;='売掛帳'!$Q$3,$X911&lt;='売掛帳'!$Q$4),$X911+ROW()/10000000,""))</f>
        <v/>
      </c>
    </row>
    <row r="912" ht="18" customHeight="1">
      <c r="A912" s="18" t="n"/>
      <c r="B912" s="26" t="n"/>
      <c r="C912" s="18" t="n"/>
      <c r="D912" s="20">
        <f>IF($W912="","",IF($W912="なし","※得意先にないコード",INDEX('得意先'!$C$5:$C$104,$W912)&amp;""))</f>
        <v/>
      </c>
      <c r="E912" s="26" t="n"/>
      <c r="F912" s="19" t="n"/>
      <c r="G912" s="27" t="n"/>
      <c r="H912" s="27" t="n"/>
      <c r="I912" s="27" t="n"/>
      <c r="J912" s="28">
        <f>IF($A912="","",IF('設定'!$B$10="四捨五入",ROUND(IF('設定'!$B$9="税込",N($G912)*10/110,N($G912)*10/100),0),IF('設定'!$B$10="切り上げ",ROUNDUP(IF('設定'!$B$9="税込",N($G912)*10/110,N($G912)*10/100),0),ROUNDDOWN(IF('設定'!$B$9="税込",N($G912)*10/110,N($G912)*10/100),0))))</f>
        <v/>
      </c>
      <c r="K912" s="28">
        <f>IF($A912="","",IF('設定'!$B$10="四捨五入",ROUND(IF('設定'!$B$9="税込",N($H912)*8/108,N($H912)*8/100),0),IF('設定'!$B$10="切り上げ",ROUNDUP(IF('設定'!$B$9="税込",N($H912)*8/108,N($H912)*8/100),0),ROUNDDOWN(IF('設定'!$B$9="税込",N($H912)*8/108,N($H912)*8/100),0))))</f>
        <v/>
      </c>
      <c r="L912" s="28">
        <f>IF($A912="","",N($G912)+N($H912)+N($I912)+IF('設定'!$B$9="税込",0,$J912+$K912))</f>
        <v/>
      </c>
      <c r="M912" s="29">
        <f>IF(OR($A912="",NOT(ISNUMBER($W912)),NOT(ISNUMBER($X912))),"",IF(OR(INDEX('得意先'!$D$5:$D$104,$W912)="",INDEX('得意先'!$E$5:$E$104,$W912)="",INDEX('得意先'!$F$5:$F$104,$W912)=""),"",IF(INDEX('得意先'!$F$5:$F$104,$W912)="末",DATE(YEAR($X912),(MONTH($X912)+IF(INDEX('得意先'!$D$5:$D$104,$W912)="末",0,IF(DAY($X912)&lt;=INDEX('得意先'!$D$5:$D$104,$W912),0,1))+N(INDEX('得意先'!$E$5:$E$104,$W912)))+1,0),DATE(YEAR($X912),(MONTH($X912)+IF(INDEX('得意先'!$D$5:$D$104,$W912)="末",0,IF(DAY($X912)&lt;=INDEX('得意先'!$D$5:$D$104,$W912),0,1))+N(INDEX('得意先'!$E$5:$E$104,$W912))),MIN(INDEX('得意先'!$F$5:$F$104,$W912),DAY(DATE(YEAR($X912),(MONTH($X912)+IF(INDEX('得意先'!$D$5:$D$104,$W912)="末",0,IF(DAY($X912)&lt;=INDEX('得意先'!$D$5:$D$104,$W912),0,1))+N(INDEX('得意先'!$E$5:$E$104,$W912)))+1,0)))))))</f>
        <v/>
      </c>
      <c r="N912" s="26" t="n"/>
      <c r="O912" s="29">
        <f>IF($A912="","",IF(ISNUMBER($N912),$N912,$M912))</f>
        <v/>
      </c>
      <c r="P912" s="28">
        <f>IF($A912="","",SUMIF('入金消込'!$F$5:$F$1004,$A912,'入金消込'!$G$5:$G$1004))</f>
        <v/>
      </c>
      <c r="Q912" s="28">
        <f>IF($A912="","",SUMIF('入金消込'!$F$5:$F$1004,$A912,'入金消込'!$H$5:$H$1004)+SUMIF('入金消込'!$F$5:$F$1004,$A912,'入金消込'!$I$5:$I$1004))</f>
        <v/>
      </c>
      <c r="R912" s="28">
        <f>IF($A912="","",$L912-$P912-$Q912)</f>
        <v/>
      </c>
      <c r="S912" s="30">
        <f>IF($A912="","",IF($R912=0,IF($L912=0,"請求額0","回収済"),IF($L912&lt;0,IF($R912&lt;0,"差し引き待ち","差し引きすぎ"),IF($R912&lt;0,"入金が多い",IF($P912+$Q912=0,"未入金","一部入金")))))</f>
        <v/>
      </c>
      <c r="T912" s="31">
        <f>IF(OR($A912="",N($R912)&lt;=0,NOT(ISNUMBER($O912))),"",IF($O912&lt;'設定'!$B$7,'設定'!$B$7-$O912,""))</f>
        <v/>
      </c>
      <c r="U912" s="30">
        <f>IF(OR($A912="",N($R912)&lt;=0),"",IF(NOT(ISNUMBER($O912)),'設定'!$B$22,IF($O912&gt;='設定'!$B$7,'設定'!$B$17,IF('設定'!$B$7-$O912&lt;='設定'!$B$12,'設定'!$B$18,IF('設定'!$B$7-$O912&lt;='設定'!$B$13,'設定'!$B$19,IF('設定'!$B$7-$O912&lt;='設定'!$B$14,'設定'!$B$20,'設定'!$B$21))))))</f>
        <v/>
      </c>
      <c r="V912" s="56" t="n"/>
      <c r="W912" s="32">
        <f>IF($C912="","",IFERROR(MATCH($C912,'得意先'!$B$5:$B$104,0),"なし"))</f>
        <v/>
      </c>
      <c r="X912" s="33">
        <f>IF($A912="","",IF(ISNUMBER($E912),$E912,IF(ISNUMBER($B912),$B912,"")))</f>
        <v/>
      </c>
      <c r="Y912" s="34">
        <f>IF($T912="","",$O912+ROW()/1000000)</f>
        <v/>
      </c>
      <c r="Z912" s="35">
        <f>IF(OR($A912="",$C912="",$C912&lt;&gt;'売掛帳'!$B$3,NOT(ISNUMBER($X912))),"",IF(AND($X912&gt;='売掛帳'!$Q$3,$X912&lt;='売掛帳'!$Q$4),$X912+ROW()/10000000,""))</f>
        <v/>
      </c>
    </row>
    <row r="913" ht="18" customHeight="1">
      <c r="A913" s="18" t="n"/>
      <c r="B913" s="26" t="n"/>
      <c r="C913" s="18" t="n"/>
      <c r="D913" s="20">
        <f>IF($W913="","",IF($W913="なし","※得意先にないコード",INDEX('得意先'!$C$5:$C$104,$W913)&amp;""))</f>
        <v/>
      </c>
      <c r="E913" s="26" t="n"/>
      <c r="F913" s="19" t="n"/>
      <c r="G913" s="27" t="n"/>
      <c r="H913" s="27" t="n"/>
      <c r="I913" s="27" t="n"/>
      <c r="J913" s="28">
        <f>IF($A913="","",IF('設定'!$B$10="四捨五入",ROUND(IF('設定'!$B$9="税込",N($G913)*10/110,N($G913)*10/100),0),IF('設定'!$B$10="切り上げ",ROUNDUP(IF('設定'!$B$9="税込",N($G913)*10/110,N($G913)*10/100),0),ROUNDDOWN(IF('設定'!$B$9="税込",N($G913)*10/110,N($G913)*10/100),0))))</f>
        <v/>
      </c>
      <c r="K913" s="28">
        <f>IF($A913="","",IF('設定'!$B$10="四捨五入",ROUND(IF('設定'!$B$9="税込",N($H913)*8/108,N($H913)*8/100),0),IF('設定'!$B$10="切り上げ",ROUNDUP(IF('設定'!$B$9="税込",N($H913)*8/108,N($H913)*8/100),0),ROUNDDOWN(IF('設定'!$B$9="税込",N($H913)*8/108,N($H913)*8/100),0))))</f>
        <v/>
      </c>
      <c r="L913" s="28">
        <f>IF($A913="","",N($G913)+N($H913)+N($I913)+IF('設定'!$B$9="税込",0,$J913+$K913))</f>
        <v/>
      </c>
      <c r="M913" s="29">
        <f>IF(OR($A913="",NOT(ISNUMBER($W913)),NOT(ISNUMBER($X913))),"",IF(OR(INDEX('得意先'!$D$5:$D$104,$W913)="",INDEX('得意先'!$E$5:$E$104,$W913)="",INDEX('得意先'!$F$5:$F$104,$W913)=""),"",IF(INDEX('得意先'!$F$5:$F$104,$W913)="末",DATE(YEAR($X913),(MONTH($X913)+IF(INDEX('得意先'!$D$5:$D$104,$W913)="末",0,IF(DAY($X913)&lt;=INDEX('得意先'!$D$5:$D$104,$W913),0,1))+N(INDEX('得意先'!$E$5:$E$104,$W913)))+1,0),DATE(YEAR($X913),(MONTH($X913)+IF(INDEX('得意先'!$D$5:$D$104,$W913)="末",0,IF(DAY($X913)&lt;=INDEX('得意先'!$D$5:$D$104,$W913),0,1))+N(INDEX('得意先'!$E$5:$E$104,$W913))),MIN(INDEX('得意先'!$F$5:$F$104,$W913),DAY(DATE(YEAR($X913),(MONTH($X913)+IF(INDEX('得意先'!$D$5:$D$104,$W913)="末",0,IF(DAY($X913)&lt;=INDEX('得意先'!$D$5:$D$104,$W913),0,1))+N(INDEX('得意先'!$E$5:$E$104,$W913)))+1,0)))))))</f>
        <v/>
      </c>
      <c r="N913" s="26" t="n"/>
      <c r="O913" s="29">
        <f>IF($A913="","",IF(ISNUMBER($N913),$N913,$M913))</f>
        <v/>
      </c>
      <c r="P913" s="28">
        <f>IF($A913="","",SUMIF('入金消込'!$F$5:$F$1004,$A913,'入金消込'!$G$5:$G$1004))</f>
        <v/>
      </c>
      <c r="Q913" s="28">
        <f>IF($A913="","",SUMIF('入金消込'!$F$5:$F$1004,$A913,'入金消込'!$H$5:$H$1004)+SUMIF('入金消込'!$F$5:$F$1004,$A913,'入金消込'!$I$5:$I$1004))</f>
        <v/>
      </c>
      <c r="R913" s="28">
        <f>IF($A913="","",$L913-$P913-$Q913)</f>
        <v/>
      </c>
      <c r="S913" s="30">
        <f>IF($A913="","",IF($R913=0,IF($L913=0,"請求額0","回収済"),IF($L913&lt;0,IF($R913&lt;0,"差し引き待ち","差し引きすぎ"),IF($R913&lt;0,"入金が多い",IF($P913+$Q913=0,"未入金","一部入金")))))</f>
        <v/>
      </c>
      <c r="T913" s="31">
        <f>IF(OR($A913="",N($R913)&lt;=0,NOT(ISNUMBER($O913))),"",IF($O913&lt;'設定'!$B$7,'設定'!$B$7-$O913,""))</f>
        <v/>
      </c>
      <c r="U913" s="30">
        <f>IF(OR($A913="",N($R913)&lt;=0),"",IF(NOT(ISNUMBER($O913)),'設定'!$B$22,IF($O913&gt;='設定'!$B$7,'設定'!$B$17,IF('設定'!$B$7-$O913&lt;='設定'!$B$12,'設定'!$B$18,IF('設定'!$B$7-$O913&lt;='設定'!$B$13,'設定'!$B$19,IF('設定'!$B$7-$O913&lt;='設定'!$B$14,'設定'!$B$20,'設定'!$B$21))))))</f>
        <v/>
      </c>
      <c r="V913" s="56" t="n"/>
      <c r="W913" s="32">
        <f>IF($C913="","",IFERROR(MATCH($C913,'得意先'!$B$5:$B$104,0),"なし"))</f>
        <v/>
      </c>
      <c r="X913" s="33">
        <f>IF($A913="","",IF(ISNUMBER($E913),$E913,IF(ISNUMBER($B913),$B913,"")))</f>
        <v/>
      </c>
      <c r="Y913" s="34">
        <f>IF($T913="","",$O913+ROW()/1000000)</f>
        <v/>
      </c>
      <c r="Z913" s="35">
        <f>IF(OR($A913="",$C913="",$C913&lt;&gt;'売掛帳'!$B$3,NOT(ISNUMBER($X913))),"",IF(AND($X913&gt;='売掛帳'!$Q$3,$X913&lt;='売掛帳'!$Q$4),$X913+ROW()/10000000,""))</f>
        <v/>
      </c>
    </row>
    <row r="914" ht="18" customHeight="1">
      <c r="A914" s="18" t="n"/>
      <c r="B914" s="26" t="n"/>
      <c r="C914" s="18" t="n"/>
      <c r="D914" s="20">
        <f>IF($W914="","",IF($W914="なし","※得意先にないコード",INDEX('得意先'!$C$5:$C$104,$W914)&amp;""))</f>
        <v/>
      </c>
      <c r="E914" s="26" t="n"/>
      <c r="F914" s="19" t="n"/>
      <c r="G914" s="27" t="n"/>
      <c r="H914" s="27" t="n"/>
      <c r="I914" s="27" t="n"/>
      <c r="J914" s="28">
        <f>IF($A914="","",IF('設定'!$B$10="四捨五入",ROUND(IF('設定'!$B$9="税込",N($G914)*10/110,N($G914)*10/100),0),IF('設定'!$B$10="切り上げ",ROUNDUP(IF('設定'!$B$9="税込",N($G914)*10/110,N($G914)*10/100),0),ROUNDDOWN(IF('設定'!$B$9="税込",N($G914)*10/110,N($G914)*10/100),0))))</f>
        <v/>
      </c>
      <c r="K914" s="28">
        <f>IF($A914="","",IF('設定'!$B$10="四捨五入",ROUND(IF('設定'!$B$9="税込",N($H914)*8/108,N($H914)*8/100),0),IF('設定'!$B$10="切り上げ",ROUNDUP(IF('設定'!$B$9="税込",N($H914)*8/108,N($H914)*8/100),0),ROUNDDOWN(IF('設定'!$B$9="税込",N($H914)*8/108,N($H914)*8/100),0))))</f>
        <v/>
      </c>
      <c r="L914" s="28">
        <f>IF($A914="","",N($G914)+N($H914)+N($I914)+IF('設定'!$B$9="税込",0,$J914+$K914))</f>
        <v/>
      </c>
      <c r="M914" s="29">
        <f>IF(OR($A914="",NOT(ISNUMBER($W914)),NOT(ISNUMBER($X914))),"",IF(OR(INDEX('得意先'!$D$5:$D$104,$W914)="",INDEX('得意先'!$E$5:$E$104,$W914)="",INDEX('得意先'!$F$5:$F$104,$W914)=""),"",IF(INDEX('得意先'!$F$5:$F$104,$W914)="末",DATE(YEAR($X914),(MONTH($X914)+IF(INDEX('得意先'!$D$5:$D$104,$W914)="末",0,IF(DAY($X914)&lt;=INDEX('得意先'!$D$5:$D$104,$W914),0,1))+N(INDEX('得意先'!$E$5:$E$104,$W914)))+1,0),DATE(YEAR($X914),(MONTH($X914)+IF(INDEX('得意先'!$D$5:$D$104,$W914)="末",0,IF(DAY($X914)&lt;=INDEX('得意先'!$D$5:$D$104,$W914),0,1))+N(INDEX('得意先'!$E$5:$E$104,$W914))),MIN(INDEX('得意先'!$F$5:$F$104,$W914),DAY(DATE(YEAR($X914),(MONTH($X914)+IF(INDEX('得意先'!$D$5:$D$104,$W914)="末",0,IF(DAY($X914)&lt;=INDEX('得意先'!$D$5:$D$104,$W914),0,1))+N(INDEX('得意先'!$E$5:$E$104,$W914)))+1,0)))))))</f>
        <v/>
      </c>
      <c r="N914" s="26" t="n"/>
      <c r="O914" s="29">
        <f>IF($A914="","",IF(ISNUMBER($N914),$N914,$M914))</f>
        <v/>
      </c>
      <c r="P914" s="28">
        <f>IF($A914="","",SUMIF('入金消込'!$F$5:$F$1004,$A914,'入金消込'!$G$5:$G$1004))</f>
        <v/>
      </c>
      <c r="Q914" s="28">
        <f>IF($A914="","",SUMIF('入金消込'!$F$5:$F$1004,$A914,'入金消込'!$H$5:$H$1004)+SUMIF('入金消込'!$F$5:$F$1004,$A914,'入金消込'!$I$5:$I$1004))</f>
        <v/>
      </c>
      <c r="R914" s="28">
        <f>IF($A914="","",$L914-$P914-$Q914)</f>
        <v/>
      </c>
      <c r="S914" s="30">
        <f>IF($A914="","",IF($R914=0,IF($L914=0,"請求額0","回収済"),IF($L914&lt;0,IF($R914&lt;0,"差し引き待ち","差し引きすぎ"),IF($R914&lt;0,"入金が多い",IF($P914+$Q914=0,"未入金","一部入金")))))</f>
        <v/>
      </c>
      <c r="T914" s="31">
        <f>IF(OR($A914="",N($R914)&lt;=0,NOT(ISNUMBER($O914))),"",IF($O914&lt;'設定'!$B$7,'設定'!$B$7-$O914,""))</f>
        <v/>
      </c>
      <c r="U914" s="30">
        <f>IF(OR($A914="",N($R914)&lt;=0),"",IF(NOT(ISNUMBER($O914)),'設定'!$B$22,IF($O914&gt;='設定'!$B$7,'設定'!$B$17,IF('設定'!$B$7-$O914&lt;='設定'!$B$12,'設定'!$B$18,IF('設定'!$B$7-$O914&lt;='設定'!$B$13,'設定'!$B$19,IF('設定'!$B$7-$O914&lt;='設定'!$B$14,'設定'!$B$20,'設定'!$B$21))))))</f>
        <v/>
      </c>
      <c r="V914" s="56" t="n"/>
      <c r="W914" s="32">
        <f>IF($C914="","",IFERROR(MATCH($C914,'得意先'!$B$5:$B$104,0),"なし"))</f>
        <v/>
      </c>
      <c r="X914" s="33">
        <f>IF($A914="","",IF(ISNUMBER($E914),$E914,IF(ISNUMBER($B914),$B914,"")))</f>
        <v/>
      </c>
      <c r="Y914" s="34">
        <f>IF($T914="","",$O914+ROW()/1000000)</f>
        <v/>
      </c>
      <c r="Z914" s="35">
        <f>IF(OR($A914="",$C914="",$C914&lt;&gt;'売掛帳'!$B$3,NOT(ISNUMBER($X914))),"",IF(AND($X914&gt;='売掛帳'!$Q$3,$X914&lt;='売掛帳'!$Q$4),$X914+ROW()/10000000,""))</f>
        <v/>
      </c>
    </row>
    <row r="915" ht="18" customHeight="1">
      <c r="A915" s="18" t="n"/>
      <c r="B915" s="26" t="n"/>
      <c r="C915" s="18" t="n"/>
      <c r="D915" s="20">
        <f>IF($W915="","",IF($W915="なし","※得意先にないコード",INDEX('得意先'!$C$5:$C$104,$W915)&amp;""))</f>
        <v/>
      </c>
      <c r="E915" s="26" t="n"/>
      <c r="F915" s="19" t="n"/>
      <c r="G915" s="27" t="n"/>
      <c r="H915" s="27" t="n"/>
      <c r="I915" s="27" t="n"/>
      <c r="J915" s="28">
        <f>IF($A915="","",IF('設定'!$B$10="四捨五入",ROUND(IF('設定'!$B$9="税込",N($G915)*10/110,N($G915)*10/100),0),IF('設定'!$B$10="切り上げ",ROUNDUP(IF('設定'!$B$9="税込",N($G915)*10/110,N($G915)*10/100),0),ROUNDDOWN(IF('設定'!$B$9="税込",N($G915)*10/110,N($G915)*10/100),0))))</f>
        <v/>
      </c>
      <c r="K915" s="28">
        <f>IF($A915="","",IF('設定'!$B$10="四捨五入",ROUND(IF('設定'!$B$9="税込",N($H915)*8/108,N($H915)*8/100),0),IF('設定'!$B$10="切り上げ",ROUNDUP(IF('設定'!$B$9="税込",N($H915)*8/108,N($H915)*8/100),0),ROUNDDOWN(IF('設定'!$B$9="税込",N($H915)*8/108,N($H915)*8/100),0))))</f>
        <v/>
      </c>
      <c r="L915" s="28">
        <f>IF($A915="","",N($G915)+N($H915)+N($I915)+IF('設定'!$B$9="税込",0,$J915+$K915))</f>
        <v/>
      </c>
      <c r="M915" s="29">
        <f>IF(OR($A915="",NOT(ISNUMBER($W915)),NOT(ISNUMBER($X915))),"",IF(OR(INDEX('得意先'!$D$5:$D$104,$W915)="",INDEX('得意先'!$E$5:$E$104,$W915)="",INDEX('得意先'!$F$5:$F$104,$W915)=""),"",IF(INDEX('得意先'!$F$5:$F$104,$W915)="末",DATE(YEAR($X915),(MONTH($X915)+IF(INDEX('得意先'!$D$5:$D$104,$W915)="末",0,IF(DAY($X915)&lt;=INDEX('得意先'!$D$5:$D$104,$W915),0,1))+N(INDEX('得意先'!$E$5:$E$104,$W915)))+1,0),DATE(YEAR($X915),(MONTH($X915)+IF(INDEX('得意先'!$D$5:$D$104,$W915)="末",0,IF(DAY($X915)&lt;=INDEX('得意先'!$D$5:$D$104,$W915),0,1))+N(INDEX('得意先'!$E$5:$E$104,$W915))),MIN(INDEX('得意先'!$F$5:$F$104,$W915),DAY(DATE(YEAR($X915),(MONTH($X915)+IF(INDEX('得意先'!$D$5:$D$104,$W915)="末",0,IF(DAY($X915)&lt;=INDEX('得意先'!$D$5:$D$104,$W915),0,1))+N(INDEX('得意先'!$E$5:$E$104,$W915)))+1,0)))))))</f>
        <v/>
      </c>
      <c r="N915" s="26" t="n"/>
      <c r="O915" s="29">
        <f>IF($A915="","",IF(ISNUMBER($N915),$N915,$M915))</f>
        <v/>
      </c>
      <c r="P915" s="28">
        <f>IF($A915="","",SUMIF('入金消込'!$F$5:$F$1004,$A915,'入金消込'!$G$5:$G$1004))</f>
        <v/>
      </c>
      <c r="Q915" s="28">
        <f>IF($A915="","",SUMIF('入金消込'!$F$5:$F$1004,$A915,'入金消込'!$H$5:$H$1004)+SUMIF('入金消込'!$F$5:$F$1004,$A915,'入金消込'!$I$5:$I$1004))</f>
        <v/>
      </c>
      <c r="R915" s="28">
        <f>IF($A915="","",$L915-$P915-$Q915)</f>
        <v/>
      </c>
      <c r="S915" s="30">
        <f>IF($A915="","",IF($R915=0,IF($L915=0,"請求額0","回収済"),IF($L915&lt;0,IF($R915&lt;0,"差し引き待ち","差し引きすぎ"),IF($R915&lt;0,"入金が多い",IF($P915+$Q915=0,"未入金","一部入金")))))</f>
        <v/>
      </c>
      <c r="T915" s="31">
        <f>IF(OR($A915="",N($R915)&lt;=0,NOT(ISNUMBER($O915))),"",IF($O915&lt;'設定'!$B$7,'設定'!$B$7-$O915,""))</f>
        <v/>
      </c>
      <c r="U915" s="30">
        <f>IF(OR($A915="",N($R915)&lt;=0),"",IF(NOT(ISNUMBER($O915)),'設定'!$B$22,IF($O915&gt;='設定'!$B$7,'設定'!$B$17,IF('設定'!$B$7-$O915&lt;='設定'!$B$12,'設定'!$B$18,IF('設定'!$B$7-$O915&lt;='設定'!$B$13,'設定'!$B$19,IF('設定'!$B$7-$O915&lt;='設定'!$B$14,'設定'!$B$20,'設定'!$B$21))))))</f>
        <v/>
      </c>
      <c r="V915" s="56" t="n"/>
      <c r="W915" s="32">
        <f>IF($C915="","",IFERROR(MATCH($C915,'得意先'!$B$5:$B$104,0),"なし"))</f>
        <v/>
      </c>
      <c r="X915" s="33">
        <f>IF($A915="","",IF(ISNUMBER($E915),$E915,IF(ISNUMBER($B915),$B915,"")))</f>
        <v/>
      </c>
      <c r="Y915" s="34">
        <f>IF($T915="","",$O915+ROW()/1000000)</f>
        <v/>
      </c>
      <c r="Z915" s="35">
        <f>IF(OR($A915="",$C915="",$C915&lt;&gt;'売掛帳'!$B$3,NOT(ISNUMBER($X915))),"",IF(AND($X915&gt;='売掛帳'!$Q$3,$X915&lt;='売掛帳'!$Q$4),$X915+ROW()/10000000,""))</f>
        <v/>
      </c>
    </row>
    <row r="916" ht="18" customHeight="1">
      <c r="A916" s="18" t="n"/>
      <c r="B916" s="26" t="n"/>
      <c r="C916" s="18" t="n"/>
      <c r="D916" s="20">
        <f>IF($W916="","",IF($W916="なし","※得意先にないコード",INDEX('得意先'!$C$5:$C$104,$W916)&amp;""))</f>
        <v/>
      </c>
      <c r="E916" s="26" t="n"/>
      <c r="F916" s="19" t="n"/>
      <c r="G916" s="27" t="n"/>
      <c r="H916" s="27" t="n"/>
      <c r="I916" s="27" t="n"/>
      <c r="J916" s="28">
        <f>IF($A916="","",IF('設定'!$B$10="四捨五入",ROUND(IF('設定'!$B$9="税込",N($G916)*10/110,N($G916)*10/100),0),IF('設定'!$B$10="切り上げ",ROUNDUP(IF('設定'!$B$9="税込",N($G916)*10/110,N($G916)*10/100),0),ROUNDDOWN(IF('設定'!$B$9="税込",N($G916)*10/110,N($G916)*10/100),0))))</f>
        <v/>
      </c>
      <c r="K916" s="28">
        <f>IF($A916="","",IF('設定'!$B$10="四捨五入",ROUND(IF('設定'!$B$9="税込",N($H916)*8/108,N($H916)*8/100),0),IF('設定'!$B$10="切り上げ",ROUNDUP(IF('設定'!$B$9="税込",N($H916)*8/108,N($H916)*8/100),0),ROUNDDOWN(IF('設定'!$B$9="税込",N($H916)*8/108,N($H916)*8/100),0))))</f>
        <v/>
      </c>
      <c r="L916" s="28">
        <f>IF($A916="","",N($G916)+N($H916)+N($I916)+IF('設定'!$B$9="税込",0,$J916+$K916))</f>
        <v/>
      </c>
      <c r="M916" s="29">
        <f>IF(OR($A916="",NOT(ISNUMBER($W916)),NOT(ISNUMBER($X916))),"",IF(OR(INDEX('得意先'!$D$5:$D$104,$W916)="",INDEX('得意先'!$E$5:$E$104,$W916)="",INDEX('得意先'!$F$5:$F$104,$W916)=""),"",IF(INDEX('得意先'!$F$5:$F$104,$W916)="末",DATE(YEAR($X916),(MONTH($X916)+IF(INDEX('得意先'!$D$5:$D$104,$W916)="末",0,IF(DAY($X916)&lt;=INDEX('得意先'!$D$5:$D$104,$W916),0,1))+N(INDEX('得意先'!$E$5:$E$104,$W916)))+1,0),DATE(YEAR($X916),(MONTH($X916)+IF(INDEX('得意先'!$D$5:$D$104,$W916)="末",0,IF(DAY($X916)&lt;=INDEX('得意先'!$D$5:$D$104,$W916),0,1))+N(INDEX('得意先'!$E$5:$E$104,$W916))),MIN(INDEX('得意先'!$F$5:$F$104,$W916),DAY(DATE(YEAR($X916),(MONTH($X916)+IF(INDEX('得意先'!$D$5:$D$104,$W916)="末",0,IF(DAY($X916)&lt;=INDEX('得意先'!$D$5:$D$104,$W916),0,1))+N(INDEX('得意先'!$E$5:$E$104,$W916)))+1,0)))))))</f>
        <v/>
      </c>
      <c r="N916" s="26" t="n"/>
      <c r="O916" s="29">
        <f>IF($A916="","",IF(ISNUMBER($N916),$N916,$M916))</f>
        <v/>
      </c>
      <c r="P916" s="28">
        <f>IF($A916="","",SUMIF('入金消込'!$F$5:$F$1004,$A916,'入金消込'!$G$5:$G$1004))</f>
        <v/>
      </c>
      <c r="Q916" s="28">
        <f>IF($A916="","",SUMIF('入金消込'!$F$5:$F$1004,$A916,'入金消込'!$H$5:$H$1004)+SUMIF('入金消込'!$F$5:$F$1004,$A916,'入金消込'!$I$5:$I$1004))</f>
        <v/>
      </c>
      <c r="R916" s="28">
        <f>IF($A916="","",$L916-$P916-$Q916)</f>
        <v/>
      </c>
      <c r="S916" s="30">
        <f>IF($A916="","",IF($R916=0,IF($L916=0,"請求額0","回収済"),IF($L916&lt;0,IF($R916&lt;0,"差し引き待ち","差し引きすぎ"),IF($R916&lt;0,"入金が多い",IF($P916+$Q916=0,"未入金","一部入金")))))</f>
        <v/>
      </c>
      <c r="T916" s="31">
        <f>IF(OR($A916="",N($R916)&lt;=0,NOT(ISNUMBER($O916))),"",IF($O916&lt;'設定'!$B$7,'設定'!$B$7-$O916,""))</f>
        <v/>
      </c>
      <c r="U916" s="30">
        <f>IF(OR($A916="",N($R916)&lt;=0),"",IF(NOT(ISNUMBER($O916)),'設定'!$B$22,IF($O916&gt;='設定'!$B$7,'設定'!$B$17,IF('設定'!$B$7-$O916&lt;='設定'!$B$12,'設定'!$B$18,IF('設定'!$B$7-$O916&lt;='設定'!$B$13,'設定'!$B$19,IF('設定'!$B$7-$O916&lt;='設定'!$B$14,'設定'!$B$20,'設定'!$B$21))))))</f>
        <v/>
      </c>
      <c r="V916" s="56" t="n"/>
      <c r="W916" s="32">
        <f>IF($C916="","",IFERROR(MATCH($C916,'得意先'!$B$5:$B$104,0),"なし"))</f>
        <v/>
      </c>
      <c r="X916" s="33">
        <f>IF($A916="","",IF(ISNUMBER($E916),$E916,IF(ISNUMBER($B916),$B916,"")))</f>
        <v/>
      </c>
      <c r="Y916" s="34">
        <f>IF($T916="","",$O916+ROW()/1000000)</f>
        <v/>
      </c>
      <c r="Z916" s="35">
        <f>IF(OR($A916="",$C916="",$C916&lt;&gt;'売掛帳'!$B$3,NOT(ISNUMBER($X916))),"",IF(AND($X916&gt;='売掛帳'!$Q$3,$X916&lt;='売掛帳'!$Q$4),$X916+ROW()/10000000,""))</f>
        <v/>
      </c>
    </row>
    <row r="917" ht="18" customHeight="1">
      <c r="A917" s="18" t="n"/>
      <c r="B917" s="26" t="n"/>
      <c r="C917" s="18" t="n"/>
      <c r="D917" s="20">
        <f>IF($W917="","",IF($W917="なし","※得意先にないコード",INDEX('得意先'!$C$5:$C$104,$W917)&amp;""))</f>
        <v/>
      </c>
      <c r="E917" s="26" t="n"/>
      <c r="F917" s="19" t="n"/>
      <c r="G917" s="27" t="n"/>
      <c r="H917" s="27" t="n"/>
      <c r="I917" s="27" t="n"/>
      <c r="J917" s="28">
        <f>IF($A917="","",IF('設定'!$B$10="四捨五入",ROUND(IF('設定'!$B$9="税込",N($G917)*10/110,N($G917)*10/100),0),IF('設定'!$B$10="切り上げ",ROUNDUP(IF('設定'!$B$9="税込",N($G917)*10/110,N($G917)*10/100),0),ROUNDDOWN(IF('設定'!$B$9="税込",N($G917)*10/110,N($G917)*10/100),0))))</f>
        <v/>
      </c>
      <c r="K917" s="28">
        <f>IF($A917="","",IF('設定'!$B$10="四捨五入",ROUND(IF('設定'!$B$9="税込",N($H917)*8/108,N($H917)*8/100),0),IF('設定'!$B$10="切り上げ",ROUNDUP(IF('設定'!$B$9="税込",N($H917)*8/108,N($H917)*8/100),0),ROUNDDOWN(IF('設定'!$B$9="税込",N($H917)*8/108,N($H917)*8/100),0))))</f>
        <v/>
      </c>
      <c r="L917" s="28">
        <f>IF($A917="","",N($G917)+N($H917)+N($I917)+IF('設定'!$B$9="税込",0,$J917+$K917))</f>
        <v/>
      </c>
      <c r="M917" s="29">
        <f>IF(OR($A917="",NOT(ISNUMBER($W917)),NOT(ISNUMBER($X917))),"",IF(OR(INDEX('得意先'!$D$5:$D$104,$W917)="",INDEX('得意先'!$E$5:$E$104,$W917)="",INDEX('得意先'!$F$5:$F$104,$W917)=""),"",IF(INDEX('得意先'!$F$5:$F$104,$W917)="末",DATE(YEAR($X917),(MONTH($X917)+IF(INDEX('得意先'!$D$5:$D$104,$W917)="末",0,IF(DAY($X917)&lt;=INDEX('得意先'!$D$5:$D$104,$W917),0,1))+N(INDEX('得意先'!$E$5:$E$104,$W917)))+1,0),DATE(YEAR($X917),(MONTH($X917)+IF(INDEX('得意先'!$D$5:$D$104,$W917)="末",0,IF(DAY($X917)&lt;=INDEX('得意先'!$D$5:$D$104,$W917),0,1))+N(INDEX('得意先'!$E$5:$E$104,$W917))),MIN(INDEX('得意先'!$F$5:$F$104,$W917),DAY(DATE(YEAR($X917),(MONTH($X917)+IF(INDEX('得意先'!$D$5:$D$104,$W917)="末",0,IF(DAY($X917)&lt;=INDEX('得意先'!$D$5:$D$104,$W917),0,1))+N(INDEX('得意先'!$E$5:$E$104,$W917)))+1,0)))))))</f>
        <v/>
      </c>
      <c r="N917" s="26" t="n"/>
      <c r="O917" s="29">
        <f>IF($A917="","",IF(ISNUMBER($N917),$N917,$M917))</f>
        <v/>
      </c>
      <c r="P917" s="28">
        <f>IF($A917="","",SUMIF('入金消込'!$F$5:$F$1004,$A917,'入金消込'!$G$5:$G$1004))</f>
        <v/>
      </c>
      <c r="Q917" s="28">
        <f>IF($A917="","",SUMIF('入金消込'!$F$5:$F$1004,$A917,'入金消込'!$H$5:$H$1004)+SUMIF('入金消込'!$F$5:$F$1004,$A917,'入金消込'!$I$5:$I$1004))</f>
        <v/>
      </c>
      <c r="R917" s="28">
        <f>IF($A917="","",$L917-$P917-$Q917)</f>
        <v/>
      </c>
      <c r="S917" s="30">
        <f>IF($A917="","",IF($R917=0,IF($L917=0,"請求額0","回収済"),IF($L917&lt;0,IF($R917&lt;0,"差し引き待ち","差し引きすぎ"),IF($R917&lt;0,"入金が多い",IF($P917+$Q917=0,"未入金","一部入金")))))</f>
        <v/>
      </c>
      <c r="T917" s="31">
        <f>IF(OR($A917="",N($R917)&lt;=0,NOT(ISNUMBER($O917))),"",IF($O917&lt;'設定'!$B$7,'設定'!$B$7-$O917,""))</f>
        <v/>
      </c>
      <c r="U917" s="30">
        <f>IF(OR($A917="",N($R917)&lt;=0),"",IF(NOT(ISNUMBER($O917)),'設定'!$B$22,IF($O917&gt;='設定'!$B$7,'設定'!$B$17,IF('設定'!$B$7-$O917&lt;='設定'!$B$12,'設定'!$B$18,IF('設定'!$B$7-$O917&lt;='設定'!$B$13,'設定'!$B$19,IF('設定'!$B$7-$O917&lt;='設定'!$B$14,'設定'!$B$20,'設定'!$B$21))))))</f>
        <v/>
      </c>
      <c r="V917" s="56" t="n"/>
      <c r="W917" s="32">
        <f>IF($C917="","",IFERROR(MATCH($C917,'得意先'!$B$5:$B$104,0),"なし"))</f>
        <v/>
      </c>
      <c r="X917" s="33">
        <f>IF($A917="","",IF(ISNUMBER($E917),$E917,IF(ISNUMBER($B917),$B917,"")))</f>
        <v/>
      </c>
      <c r="Y917" s="34">
        <f>IF($T917="","",$O917+ROW()/1000000)</f>
        <v/>
      </c>
      <c r="Z917" s="35">
        <f>IF(OR($A917="",$C917="",$C917&lt;&gt;'売掛帳'!$B$3,NOT(ISNUMBER($X917))),"",IF(AND($X917&gt;='売掛帳'!$Q$3,$X917&lt;='売掛帳'!$Q$4),$X917+ROW()/10000000,""))</f>
        <v/>
      </c>
    </row>
    <row r="918" ht="18" customHeight="1">
      <c r="A918" s="18" t="n"/>
      <c r="B918" s="26" t="n"/>
      <c r="C918" s="18" t="n"/>
      <c r="D918" s="20">
        <f>IF($W918="","",IF($W918="なし","※得意先にないコード",INDEX('得意先'!$C$5:$C$104,$W918)&amp;""))</f>
        <v/>
      </c>
      <c r="E918" s="26" t="n"/>
      <c r="F918" s="19" t="n"/>
      <c r="G918" s="27" t="n"/>
      <c r="H918" s="27" t="n"/>
      <c r="I918" s="27" t="n"/>
      <c r="J918" s="28">
        <f>IF($A918="","",IF('設定'!$B$10="四捨五入",ROUND(IF('設定'!$B$9="税込",N($G918)*10/110,N($G918)*10/100),0),IF('設定'!$B$10="切り上げ",ROUNDUP(IF('設定'!$B$9="税込",N($G918)*10/110,N($G918)*10/100),0),ROUNDDOWN(IF('設定'!$B$9="税込",N($G918)*10/110,N($G918)*10/100),0))))</f>
        <v/>
      </c>
      <c r="K918" s="28">
        <f>IF($A918="","",IF('設定'!$B$10="四捨五入",ROUND(IF('設定'!$B$9="税込",N($H918)*8/108,N($H918)*8/100),0),IF('設定'!$B$10="切り上げ",ROUNDUP(IF('設定'!$B$9="税込",N($H918)*8/108,N($H918)*8/100),0),ROUNDDOWN(IF('設定'!$B$9="税込",N($H918)*8/108,N($H918)*8/100),0))))</f>
        <v/>
      </c>
      <c r="L918" s="28">
        <f>IF($A918="","",N($G918)+N($H918)+N($I918)+IF('設定'!$B$9="税込",0,$J918+$K918))</f>
        <v/>
      </c>
      <c r="M918" s="29">
        <f>IF(OR($A918="",NOT(ISNUMBER($W918)),NOT(ISNUMBER($X918))),"",IF(OR(INDEX('得意先'!$D$5:$D$104,$W918)="",INDEX('得意先'!$E$5:$E$104,$W918)="",INDEX('得意先'!$F$5:$F$104,$W918)=""),"",IF(INDEX('得意先'!$F$5:$F$104,$W918)="末",DATE(YEAR($X918),(MONTH($X918)+IF(INDEX('得意先'!$D$5:$D$104,$W918)="末",0,IF(DAY($X918)&lt;=INDEX('得意先'!$D$5:$D$104,$W918),0,1))+N(INDEX('得意先'!$E$5:$E$104,$W918)))+1,0),DATE(YEAR($X918),(MONTH($X918)+IF(INDEX('得意先'!$D$5:$D$104,$W918)="末",0,IF(DAY($X918)&lt;=INDEX('得意先'!$D$5:$D$104,$W918),0,1))+N(INDEX('得意先'!$E$5:$E$104,$W918))),MIN(INDEX('得意先'!$F$5:$F$104,$W918),DAY(DATE(YEAR($X918),(MONTH($X918)+IF(INDEX('得意先'!$D$5:$D$104,$W918)="末",0,IF(DAY($X918)&lt;=INDEX('得意先'!$D$5:$D$104,$W918),0,1))+N(INDEX('得意先'!$E$5:$E$104,$W918)))+1,0)))))))</f>
        <v/>
      </c>
      <c r="N918" s="26" t="n"/>
      <c r="O918" s="29">
        <f>IF($A918="","",IF(ISNUMBER($N918),$N918,$M918))</f>
        <v/>
      </c>
      <c r="P918" s="28">
        <f>IF($A918="","",SUMIF('入金消込'!$F$5:$F$1004,$A918,'入金消込'!$G$5:$G$1004))</f>
        <v/>
      </c>
      <c r="Q918" s="28">
        <f>IF($A918="","",SUMIF('入金消込'!$F$5:$F$1004,$A918,'入金消込'!$H$5:$H$1004)+SUMIF('入金消込'!$F$5:$F$1004,$A918,'入金消込'!$I$5:$I$1004))</f>
        <v/>
      </c>
      <c r="R918" s="28">
        <f>IF($A918="","",$L918-$P918-$Q918)</f>
        <v/>
      </c>
      <c r="S918" s="30">
        <f>IF($A918="","",IF($R918=0,IF($L918=0,"請求額0","回収済"),IF($L918&lt;0,IF($R918&lt;0,"差し引き待ち","差し引きすぎ"),IF($R918&lt;0,"入金が多い",IF($P918+$Q918=0,"未入金","一部入金")))))</f>
        <v/>
      </c>
      <c r="T918" s="31">
        <f>IF(OR($A918="",N($R918)&lt;=0,NOT(ISNUMBER($O918))),"",IF($O918&lt;'設定'!$B$7,'設定'!$B$7-$O918,""))</f>
        <v/>
      </c>
      <c r="U918" s="30">
        <f>IF(OR($A918="",N($R918)&lt;=0),"",IF(NOT(ISNUMBER($O918)),'設定'!$B$22,IF($O918&gt;='設定'!$B$7,'設定'!$B$17,IF('設定'!$B$7-$O918&lt;='設定'!$B$12,'設定'!$B$18,IF('設定'!$B$7-$O918&lt;='設定'!$B$13,'設定'!$B$19,IF('設定'!$B$7-$O918&lt;='設定'!$B$14,'設定'!$B$20,'設定'!$B$21))))))</f>
        <v/>
      </c>
      <c r="V918" s="56" t="n"/>
      <c r="W918" s="32">
        <f>IF($C918="","",IFERROR(MATCH($C918,'得意先'!$B$5:$B$104,0),"なし"))</f>
        <v/>
      </c>
      <c r="X918" s="33">
        <f>IF($A918="","",IF(ISNUMBER($E918),$E918,IF(ISNUMBER($B918),$B918,"")))</f>
        <v/>
      </c>
      <c r="Y918" s="34">
        <f>IF($T918="","",$O918+ROW()/1000000)</f>
        <v/>
      </c>
      <c r="Z918" s="35">
        <f>IF(OR($A918="",$C918="",$C918&lt;&gt;'売掛帳'!$B$3,NOT(ISNUMBER($X918))),"",IF(AND($X918&gt;='売掛帳'!$Q$3,$X918&lt;='売掛帳'!$Q$4),$X918+ROW()/10000000,""))</f>
        <v/>
      </c>
    </row>
    <row r="919" ht="18" customHeight="1">
      <c r="A919" s="18" t="n"/>
      <c r="B919" s="26" t="n"/>
      <c r="C919" s="18" t="n"/>
      <c r="D919" s="20">
        <f>IF($W919="","",IF($W919="なし","※得意先にないコード",INDEX('得意先'!$C$5:$C$104,$W919)&amp;""))</f>
        <v/>
      </c>
      <c r="E919" s="26" t="n"/>
      <c r="F919" s="19" t="n"/>
      <c r="G919" s="27" t="n"/>
      <c r="H919" s="27" t="n"/>
      <c r="I919" s="27" t="n"/>
      <c r="J919" s="28">
        <f>IF($A919="","",IF('設定'!$B$10="四捨五入",ROUND(IF('設定'!$B$9="税込",N($G919)*10/110,N($G919)*10/100),0),IF('設定'!$B$10="切り上げ",ROUNDUP(IF('設定'!$B$9="税込",N($G919)*10/110,N($G919)*10/100),0),ROUNDDOWN(IF('設定'!$B$9="税込",N($G919)*10/110,N($G919)*10/100),0))))</f>
        <v/>
      </c>
      <c r="K919" s="28">
        <f>IF($A919="","",IF('設定'!$B$10="四捨五入",ROUND(IF('設定'!$B$9="税込",N($H919)*8/108,N($H919)*8/100),0),IF('設定'!$B$10="切り上げ",ROUNDUP(IF('設定'!$B$9="税込",N($H919)*8/108,N($H919)*8/100),0),ROUNDDOWN(IF('設定'!$B$9="税込",N($H919)*8/108,N($H919)*8/100),0))))</f>
        <v/>
      </c>
      <c r="L919" s="28">
        <f>IF($A919="","",N($G919)+N($H919)+N($I919)+IF('設定'!$B$9="税込",0,$J919+$K919))</f>
        <v/>
      </c>
      <c r="M919" s="29">
        <f>IF(OR($A919="",NOT(ISNUMBER($W919)),NOT(ISNUMBER($X919))),"",IF(OR(INDEX('得意先'!$D$5:$D$104,$W919)="",INDEX('得意先'!$E$5:$E$104,$W919)="",INDEX('得意先'!$F$5:$F$104,$W919)=""),"",IF(INDEX('得意先'!$F$5:$F$104,$W919)="末",DATE(YEAR($X919),(MONTH($X919)+IF(INDEX('得意先'!$D$5:$D$104,$W919)="末",0,IF(DAY($X919)&lt;=INDEX('得意先'!$D$5:$D$104,$W919),0,1))+N(INDEX('得意先'!$E$5:$E$104,$W919)))+1,0),DATE(YEAR($X919),(MONTH($X919)+IF(INDEX('得意先'!$D$5:$D$104,$W919)="末",0,IF(DAY($X919)&lt;=INDEX('得意先'!$D$5:$D$104,$W919),0,1))+N(INDEX('得意先'!$E$5:$E$104,$W919))),MIN(INDEX('得意先'!$F$5:$F$104,$W919),DAY(DATE(YEAR($X919),(MONTH($X919)+IF(INDEX('得意先'!$D$5:$D$104,$W919)="末",0,IF(DAY($X919)&lt;=INDEX('得意先'!$D$5:$D$104,$W919),0,1))+N(INDEX('得意先'!$E$5:$E$104,$W919)))+1,0)))))))</f>
        <v/>
      </c>
      <c r="N919" s="26" t="n"/>
      <c r="O919" s="29">
        <f>IF($A919="","",IF(ISNUMBER($N919),$N919,$M919))</f>
        <v/>
      </c>
      <c r="P919" s="28">
        <f>IF($A919="","",SUMIF('入金消込'!$F$5:$F$1004,$A919,'入金消込'!$G$5:$G$1004))</f>
        <v/>
      </c>
      <c r="Q919" s="28">
        <f>IF($A919="","",SUMIF('入金消込'!$F$5:$F$1004,$A919,'入金消込'!$H$5:$H$1004)+SUMIF('入金消込'!$F$5:$F$1004,$A919,'入金消込'!$I$5:$I$1004))</f>
        <v/>
      </c>
      <c r="R919" s="28">
        <f>IF($A919="","",$L919-$P919-$Q919)</f>
        <v/>
      </c>
      <c r="S919" s="30">
        <f>IF($A919="","",IF($R919=0,IF($L919=0,"請求額0","回収済"),IF($L919&lt;0,IF($R919&lt;0,"差し引き待ち","差し引きすぎ"),IF($R919&lt;0,"入金が多い",IF($P919+$Q919=0,"未入金","一部入金")))))</f>
        <v/>
      </c>
      <c r="T919" s="31">
        <f>IF(OR($A919="",N($R919)&lt;=0,NOT(ISNUMBER($O919))),"",IF($O919&lt;'設定'!$B$7,'設定'!$B$7-$O919,""))</f>
        <v/>
      </c>
      <c r="U919" s="30">
        <f>IF(OR($A919="",N($R919)&lt;=0),"",IF(NOT(ISNUMBER($O919)),'設定'!$B$22,IF($O919&gt;='設定'!$B$7,'設定'!$B$17,IF('設定'!$B$7-$O919&lt;='設定'!$B$12,'設定'!$B$18,IF('設定'!$B$7-$O919&lt;='設定'!$B$13,'設定'!$B$19,IF('設定'!$B$7-$O919&lt;='設定'!$B$14,'設定'!$B$20,'設定'!$B$21))))))</f>
        <v/>
      </c>
      <c r="V919" s="56" t="n"/>
      <c r="W919" s="32">
        <f>IF($C919="","",IFERROR(MATCH($C919,'得意先'!$B$5:$B$104,0),"なし"))</f>
        <v/>
      </c>
      <c r="X919" s="33">
        <f>IF($A919="","",IF(ISNUMBER($E919),$E919,IF(ISNUMBER($B919),$B919,"")))</f>
        <v/>
      </c>
      <c r="Y919" s="34">
        <f>IF($T919="","",$O919+ROW()/1000000)</f>
        <v/>
      </c>
      <c r="Z919" s="35">
        <f>IF(OR($A919="",$C919="",$C919&lt;&gt;'売掛帳'!$B$3,NOT(ISNUMBER($X919))),"",IF(AND($X919&gt;='売掛帳'!$Q$3,$X919&lt;='売掛帳'!$Q$4),$X919+ROW()/10000000,""))</f>
        <v/>
      </c>
    </row>
    <row r="920" ht="18" customHeight="1">
      <c r="A920" s="18" t="n"/>
      <c r="B920" s="26" t="n"/>
      <c r="C920" s="18" t="n"/>
      <c r="D920" s="20">
        <f>IF($W920="","",IF($W920="なし","※得意先にないコード",INDEX('得意先'!$C$5:$C$104,$W920)&amp;""))</f>
        <v/>
      </c>
      <c r="E920" s="26" t="n"/>
      <c r="F920" s="19" t="n"/>
      <c r="G920" s="27" t="n"/>
      <c r="H920" s="27" t="n"/>
      <c r="I920" s="27" t="n"/>
      <c r="J920" s="28">
        <f>IF($A920="","",IF('設定'!$B$10="四捨五入",ROUND(IF('設定'!$B$9="税込",N($G920)*10/110,N($G920)*10/100),0),IF('設定'!$B$10="切り上げ",ROUNDUP(IF('設定'!$B$9="税込",N($G920)*10/110,N($G920)*10/100),0),ROUNDDOWN(IF('設定'!$B$9="税込",N($G920)*10/110,N($G920)*10/100),0))))</f>
        <v/>
      </c>
      <c r="K920" s="28">
        <f>IF($A920="","",IF('設定'!$B$10="四捨五入",ROUND(IF('設定'!$B$9="税込",N($H920)*8/108,N($H920)*8/100),0),IF('設定'!$B$10="切り上げ",ROUNDUP(IF('設定'!$B$9="税込",N($H920)*8/108,N($H920)*8/100),0),ROUNDDOWN(IF('設定'!$B$9="税込",N($H920)*8/108,N($H920)*8/100),0))))</f>
        <v/>
      </c>
      <c r="L920" s="28">
        <f>IF($A920="","",N($G920)+N($H920)+N($I920)+IF('設定'!$B$9="税込",0,$J920+$K920))</f>
        <v/>
      </c>
      <c r="M920" s="29">
        <f>IF(OR($A920="",NOT(ISNUMBER($W920)),NOT(ISNUMBER($X920))),"",IF(OR(INDEX('得意先'!$D$5:$D$104,$W920)="",INDEX('得意先'!$E$5:$E$104,$W920)="",INDEX('得意先'!$F$5:$F$104,$W920)=""),"",IF(INDEX('得意先'!$F$5:$F$104,$W920)="末",DATE(YEAR($X920),(MONTH($X920)+IF(INDEX('得意先'!$D$5:$D$104,$W920)="末",0,IF(DAY($X920)&lt;=INDEX('得意先'!$D$5:$D$104,$W920),0,1))+N(INDEX('得意先'!$E$5:$E$104,$W920)))+1,0),DATE(YEAR($X920),(MONTH($X920)+IF(INDEX('得意先'!$D$5:$D$104,$W920)="末",0,IF(DAY($X920)&lt;=INDEX('得意先'!$D$5:$D$104,$W920),0,1))+N(INDEX('得意先'!$E$5:$E$104,$W920))),MIN(INDEX('得意先'!$F$5:$F$104,$W920),DAY(DATE(YEAR($X920),(MONTH($X920)+IF(INDEX('得意先'!$D$5:$D$104,$W920)="末",0,IF(DAY($X920)&lt;=INDEX('得意先'!$D$5:$D$104,$W920),0,1))+N(INDEX('得意先'!$E$5:$E$104,$W920)))+1,0)))))))</f>
        <v/>
      </c>
      <c r="N920" s="26" t="n"/>
      <c r="O920" s="29">
        <f>IF($A920="","",IF(ISNUMBER($N920),$N920,$M920))</f>
        <v/>
      </c>
      <c r="P920" s="28">
        <f>IF($A920="","",SUMIF('入金消込'!$F$5:$F$1004,$A920,'入金消込'!$G$5:$G$1004))</f>
        <v/>
      </c>
      <c r="Q920" s="28">
        <f>IF($A920="","",SUMIF('入金消込'!$F$5:$F$1004,$A920,'入金消込'!$H$5:$H$1004)+SUMIF('入金消込'!$F$5:$F$1004,$A920,'入金消込'!$I$5:$I$1004))</f>
        <v/>
      </c>
      <c r="R920" s="28">
        <f>IF($A920="","",$L920-$P920-$Q920)</f>
        <v/>
      </c>
      <c r="S920" s="30">
        <f>IF($A920="","",IF($R920=0,IF($L920=0,"請求額0","回収済"),IF($L920&lt;0,IF($R920&lt;0,"差し引き待ち","差し引きすぎ"),IF($R920&lt;0,"入金が多い",IF($P920+$Q920=0,"未入金","一部入金")))))</f>
        <v/>
      </c>
      <c r="T920" s="31">
        <f>IF(OR($A920="",N($R920)&lt;=0,NOT(ISNUMBER($O920))),"",IF($O920&lt;'設定'!$B$7,'設定'!$B$7-$O920,""))</f>
        <v/>
      </c>
      <c r="U920" s="30">
        <f>IF(OR($A920="",N($R920)&lt;=0),"",IF(NOT(ISNUMBER($O920)),'設定'!$B$22,IF($O920&gt;='設定'!$B$7,'設定'!$B$17,IF('設定'!$B$7-$O920&lt;='設定'!$B$12,'設定'!$B$18,IF('設定'!$B$7-$O920&lt;='設定'!$B$13,'設定'!$B$19,IF('設定'!$B$7-$O920&lt;='設定'!$B$14,'設定'!$B$20,'設定'!$B$21))))))</f>
        <v/>
      </c>
      <c r="V920" s="56" t="n"/>
      <c r="W920" s="32">
        <f>IF($C920="","",IFERROR(MATCH($C920,'得意先'!$B$5:$B$104,0),"なし"))</f>
        <v/>
      </c>
      <c r="X920" s="33">
        <f>IF($A920="","",IF(ISNUMBER($E920),$E920,IF(ISNUMBER($B920),$B920,"")))</f>
        <v/>
      </c>
      <c r="Y920" s="34">
        <f>IF($T920="","",$O920+ROW()/1000000)</f>
        <v/>
      </c>
      <c r="Z920" s="35">
        <f>IF(OR($A920="",$C920="",$C920&lt;&gt;'売掛帳'!$B$3,NOT(ISNUMBER($X920))),"",IF(AND($X920&gt;='売掛帳'!$Q$3,$X920&lt;='売掛帳'!$Q$4),$X920+ROW()/10000000,""))</f>
        <v/>
      </c>
    </row>
    <row r="921" ht="18" customHeight="1">
      <c r="A921" s="18" t="n"/>
      <c r="B921" s="26" t="n"/>
      <c r="C921" s="18" t="n"/>
      <c r="D921" s="20">
        <f>IF($W921="","",IF($W921="なし","※得意先にないコード",INDEX('得意先'!$C$5:$C$104,$W921)&amp;""))</f>
        <v/>
      </c>
      <c r="E921" s="26" t="n"/>
      <c r="F921" s="19" t="n"/>
      <c r="G921" s="27" t="n"/>
      <c r="H921" s="27" t="n"/>
      <c r="I921" s="27" t="n"/>
      <c r="J921" s="28">
        <f>IF($A921="","",IF('設定'!$B$10="四捨五入",ROUND(IF('設定'!$B$9="税込",N($G921)*10/110,N($G921)*10/100),0),IF('設定'!$B$10="切り上げ",ROUNDUP(IF('設定'!$B$9="税込",N($G921)*10/110,N($G921)*10/100),0),ROUNDDOWN(IF('設定'!$B$9="税込",N($G921)*10/110,N($G921)*10/100),0))))</f>
        <v/>
      </c>
      <c r="K921" s="28">
        <f>IF($A921="","",IF('設定'!$B$10="四捨五入",ROUND(IF('設定'!$B$9="税込",N($H921)*8/108,N($H921)*8/100),0),IF('設定'!$B$10="切り上げ",ROUNDUP(IF('設定'!$B$9="税込",N($H921)*8/108,N($H921)*8/100),0),ROUNDDOWN(IF('設定'!$B$9="税込",N($H921)*8/108,N($H921)*8/100),0))))</f>
        <v/>
      </c>
      <c r="L921" s="28">
        <f>IF($A921="","",N($G921)+N($H921)+N($I921)+IF('設定'!$B$9="税込",0,$J921+$K921))</f>
        <v/>
      </c>
      <c r="M921" s="29">
        <f>IF(OR($A921="",NOT(ISNUMBER($W921)),NOT(ISNUMBER($X921))),"",IF(OR(INDEX('得意先'!$D$5:$D$104,$W921)="",INDEX('得意先'!$E$5:$E$104,$W921)="",INDEX('得意先'!$F$5:$F$104,$W921)=""),"",IF(INDEX('得意先'!$F$5:$F$104,$W921)="末",DATE(YEAR($X921),(MONTH($X921)+IF(INDEX('得意先'!$D$5:$D$104,$W921)="末",0,IF(DAY($X921)&lt;=INDEX('得意先'!$D$5:$D$104,$W921),0,1))+N(INDEX('得意先'!$E$5:$E$104,$W921)))+1,0),DATE(YEAR($X921),(MONTH($X921)+IF(INDEX('得意先'!$D$5:$D$104,$W921)="末",0,IF(DAY($X921)&lt;=INDEX('得意先'!$D$5:$D$104,$W921),0,1))+N(INDEX('得意先'!$E$5:$E$104,$W921))),MIN(INDEX('得意先'!$F$5:$F$104,$W921),DAY(DATE(YEAR($X921),(MONTH($X921)+IF(INDEX('得意先'!$D$5:$D$104,$W921)="末",0,IF(DAY($X921)&lt;=INDEX('得意先'!$D$5:$D$104,$W921),0,1))+N(INDEX('得意先'!$E$5:$E$104,$W921)))+1,0)))))))</f>
        <v/>
      </c>
      <c r="N921" s="26" t="n"/>
      <c r="O921" s="29">
        <f>IF($A921="","",IF(ISNUMBER($N921),$N921,$M921))</f>
        <v/>
      </c>
      <c r="P921" s="28">
        <f>IF($A921="","",SUMIF('入金消込'!$F$5:$F$1004,$A921,'入金消込'!$G$5:$G$1004))</f>
        <v/>
      </c>
      <c r="Q921" s="28">
        <f>IF($A921="","",SUMIF('入金消込'!$F$5:$F$1004,$A921,'入金消込'!$H$5:$H$1004)+SUMIF('入金消込'!$F$5:$F$1004,$A921,'入金消込'!$I$5:$I$1004))</f>
        <v/>
      </c>
      <c r="R921" s="28">
        <f>IF($A921="","",$L921-$P921-$Q921)</f>
        <v/>
      </c>
      <c r="S921" s="30">
        <f>IF($A921="","",IF($R921=0,IF($L921=0,"請求額0","回収済"),IF($L921&lt;0,IF($R921&lt;0,"差し引き待ち","差し引きすぎ"),IF($R921&lt;0,"入金が多い",IF($P921+$Q921=0,"未入金","一部入金")))))</f>
        <v/>
      </c>
      <c r="T921" s="31">
        <f>IF(OR($A921="",N($R921)&lt;=0,NOT(ISNUMBER($O921))),"",IF($O921&lt;'設定'!$B$7,'設定'!$B$7-$O921,""))</f>
        <v/>
      </c>
      <c r="U921" s="30">
        <f>IF(OR($A921="",N($R921)&lt;=0),"",IF(NOT(ISNUMBER($O921)),'設定'!$B$22,IF($O921&gt;='設定'!$B$7,'設定'!$B$17,IF('設定'!$B$7-$O921&lt;='設定'!$B$12,'設定'!$B$18,IF('設定'!$B$7-$O921&lt;='設定'!$B$13,'設定'!$B$19,IF('設定'!$B$7-$O921&lt;='設定'!$B$14,'設定'!$B$20,'設定'!$B$21))))))</f>
        <v/>
      </c>
      <c r="V921" s="56" t="n"/>
      <c r="W921" s="32">
        <f>IF($C921="","",IFERROR(MATCH($C921,'得意先'!$B$5:$B$104,0),"なし"))</f>
        <v/>
      </c>
      <c r="X921" s="33">
        <f>IF($A921="","",IF(ISNUMBER($E921),$E921,IF(ISNUMBER($B921),$B921,"")))</f>
        <v/>
      </c>
      <c r="Y921" s="34">
        <f>IF($T921="","",$O921+ROW()/1000000)</f>
        <v/>
      </c>
      <c r="Z921" s="35">
        <f>IF(OR($A921="",$C921="",$C921&lt;&gt;'売掛帳'!$B$3,NOT(ISNUMBER($X921))),"",IF(AND($X921&gt;='売掛帳'!$Q$3,$X921&lt;='売掛帳'!$Q$4),$X921+ROW()/10000000,""))</f>
        <v/>
      </c>
    </row>
    <row r="922" ht="18" customHeight="1">
      <c r="A922" s="18" t="n"/>
      <c r="B922" s="26" t="n"/>
      <c r="C922" s="18" t="n"/>
      <c r="D922" s="20">
        <f>IF($W922="","",IF($W922="なし","※得意先にないコード",INDEX('得意先'!$C$5:$C$104,$W922)&amp;""))</f>
        <v/>
      </c>
      <c r="E922" s="26" t="n"/>
      <c r="F922" s="19" t="n"/>
      <c r="G922" s="27" t="n"/>
      <c r="H922" s="27" t="n"/>
      <c r="I922" s="27" t="n"/>
      <c r="J922" s="28">
        <f>IF($A922="","",IF('設定'!$B$10="四捨五入",ROUND(IF('設定'!$B$9="税込",N($G922)*10/110,N($G922)*10/100),0),IF('設定'!$B$10="切り上げ",ROUNDUP(IF('設定'!$B$9="税込",N($G922)*10/110,N($G922)*10/100),0),ROUNDDOWN(IF('設定'!$B$9="税込",N($G922)*10/110,N($G922)*10/100),0))))</f>
        <v/>
      </c>
      <c r="K922" s="28">
        <f>IF($A922="","",IF('設定'!$B$10="四捨五入",ROUND(IF('設定'!$B$9="税込",N($H922)*8/108,N($H922)*8/100),0),IF('設定'!$B$10="切り上げ",ROUNDUP(IF('設定'!$B$9="税込",N($H922)*8/108,N($H922)*8/100),0),ROUNDDOWN(IF('設定'!$B$9="税込",N($H922)*8/108,N($H922)*8/100),0))))</f>
        <v/>
      </c>
      <c r="L922" s="28">
        <f>IF($A922="","",N($G922)+N($H922)+N($I922)+IF('設定'!$B$9="税込",0,$J922+$K922))</f>
        <v/>
      </c>
      <c r="M922" s="29">
        <f>IF(OR($A922="",NOT(ISNUMBER($W922)),NOT(ISNUMBER($X922))),"",IF(OR(INDEX('得意先'!$D$5:$D$104,$W922)="",INDEX('得意先'!$E$5:$E$104,$W922)="",INDEX('得意先'!$F$5:$F$104,$W922)=""),"",IF(INDEX('得意先'!$F$5:$F$104,$W922)="末",DATE(YEAR($X922),(MONTH($X922)+IF(INDEX('得意先'!$D$5:$D$104,$W922)="末",0,IF(DAY($X922)&lt;=INDEX('得意先'!$D$5:$D$104,$W922),0,1))+N(INDEX('得意先'!$E$5:$E$104,$W922)))+1,0),DATE(YEAR($X922),(MONTH($X922)+IF(INDEX('得意先'!$D$5:$D$104,$W922)="末",0,IF(DAY($X922)&lt;=INDEX('得意先'!$D$5:$D$104,$W922),0,1))+N(INDEX('得意先'!$E$5:$E$104,$W922))),MIN(INDEX('得意先'!$F$5:$F$104,$W922),DAY(DATE(YEAR($X922),(MONTH($X922)+IF(INDEX('得意先'!$D$5:$D$104,$W922)="末",0,IF(DAY($X922)&lt;=INDEX('得意先'!$D$5:$D$104,$W922),0,1))+N(INDEX('得意先'!$E$5:$E$104,$W922)))+1,0)))))))</f>
        <v/>
      </c>
      <c r="N922" s="26" t="n"/>
      <c r="O922" s="29">
        <f>IF($A922="","",IF(ISNUMBER($N922),$N922,$M922))</f>
        <v/>
      </c>
      <c r="P922" s="28">
        <f>IF($A922="","",SUMIF('入金消込'!$F$5:$F$1004,$A922,'入金消込'!$G$5:$G$1004))</f>
        <v/>
      </c>
      <c r="Q922" s="28">
        <f>IF($A922="","",SUMIF('入金消込'!$F$5:$F$1004,$A922,'入金消込'!$H$5:$H$1004)+SUMIF('入金消込'!$F$5:$F$1004,$A922,'入金消込'!$I$5:$I$1004))</f>
        <v/>
      </c>
      <c r="R922" s="28">
        <f>IF($A922="","",$L922-$P922-$Q922)</f>
        <v/>
      </c>
      <c r="S922" s="30">
        <f>IF($A922="","",IF($R922=0,IF($L922=0,"請求額0","回収済"),IF($L922&lt;0,IF($R922&lt;0,"差し引き待ち","差し引きすぎ"),IF($R922&lt;0,"入金が多い",IF($P922+$Q922=0,"未入金","一部入金")))))</f>
        <v/>
      </c>
      <c r="T922" s="31">
        <f>IF(OR($A922="",N($R922)&lt;=0,NOT(ISNUMBER($O922))),"",IF($O922&lt;'設定'!$B$7,'設定'!$B$7-$O922,""))</f>
        <v/>
      </c>
      <c r="U922" s="30">
        <f>IF(OR($A922="",N($R922)&lt;=0),"",IF(NOT(ISNUMBER($O922)),'設定'!$B$22,IF($O922&gt;='設定'!$B$7,'設定'!$B$17,IF('設定'!$B$7-$O922&lt;='設定'!$B$12,'設定'!$B$18,IF('設定'!$B$7-$O922&lt;='設定'!$B$13,'設定'!$B$19,IF('設定'!$B$7-$O922&lt;='設定'!$B$14,'設定'!$B$20,'設定'!$B$21))))))</f>
        <v/>
      </c>
      <c r="V922" s="56" t="n"/>
      <c r="W922" s="32">
        <f>IF($C922="","",IFERROR(MATCH($C922,'得意先'!$B$5:$B$104,0),"なし"))</f>
        <v/>
      </c>
      <c r="X922" s="33">
        <f>IF($A922="","",IF(ISNUMBER($E922),$E922,IF(ISNUMBER($B922),$B922,"")))</f>
        <v/>
      </c>
      <c r="Y922" s="34">
        <f>IF($T922="","",$O922+ROW()/1000000)</f>
        <v/>
      </c>
      <c r="Z922" s="35">
        <f>IF(OR($A922="",$C922="",$C922&lt;&gt;'売掛帳'!$B$3,NOT(ISNUMBER($X922))),"",IF(AND($X922&gt;='売掛帳'!$Q$3,$X922&lt;='売掛帳'!$Q$4),$X922+ROW()/10000000,""))</f>
        <v/>
      </c>
    </row>
    <row r="923" ht="18" customHeight="1">
      <c r="A923" s="18" t="n"/>
      <c r="B923" s="26" t="n"/>
      <c r="C923" s="18" t="n"/>
      <c r="D923" s="20">
        <f>IF($W923="","",IF($W923="なし","※得意先にないコード",INDEX('得意先'!$C$5:$C$104,$W923)&amp;""))</f>
        <v/>
      </c>
      <c r="E923" s="26" t="n"/>
      <c r="F923" s="19" t="n"/>
      <c r="G923" s="27" t="n"/>
      <c r="H923" s="27" t="n"/>
      <c r="I923" s="27" t="n"/>
      <c r="J923" s="28">
        <f>IF($A923="","",IF('設定'!$B$10="四捨五入",ROUND(IF('設定'!$B$9="税込",N($G923)*10/110,N($G923)*10/100),0),IF('設定'!$B$10="切り上げ",ROUNDUP(IF('設定'!$B$9="税込",N($G923)*10/110,N($G923)*10/100),0),ROUNDDOWN(IF('設定'!$B$9="税込",N($G923)*10/110,N($G923)*10/100),0))))</f>
        <v/>
      </c>
      <c r="K923" s="28">
        <f>IF($A923="","",IF('設定'!$B$10="四捨五入",ROUND(IF('設定'!$B$9="税込",N($H923)*8/108,N($H923)*8/100),0),IF('設定'!$B$10="切り上げ",ROUNDUP(IF('設定'!$B$9="税込",N($H923)*8/108,N($H923)*8/100),0),ROUNDDOWN(IF('設定'!$B$9="税込",N($H923)*8/108,N($H923)*8/100),0))))</f>
        <v/>
      </c>
      <c r="L923" s="28">
        <f>IF($A923="","",N($G923)+N($H923)+N($I923)+IF('設定'!$B$9="税込",0,$J923+$K923))</f>
        <v/>
      </c>
      <c r="M923" s="29">
        <f>IF(OR($A923="",NOT(ISNUMBER($W923)),NOT(ISNUMBER($X923))),"",IF(OR(INDEX('得意先'!$D$5:$D$104,$W923)="",INDEX('得意先'!$E$5:$E$104,$W923)="",INDEX('得意先'!$F$5:$F$104,$W923)=""),"",IF(INDEX('得意先'!$F$5:$F$104,$W923)="末",DATE(YEAR($X923),(MONTH($X923)+IF(INDEX('得意先'!$D$5:$D$104,$W923)="末",0,IF(DAY($X923)&lt;=INDEX('得意先'!$D$5:$D$104,$W923),0,1))+N(INDEX('得意先'!$E$5:$E$104,$W923)))+1,0),DATE(YEAR($X923),(MONTH($X923)+IF(INDEX('得意先'!$D$5:$D$104,$W923)="末",0,IF(DAY($X923)&lt;=INDEX('得意先'!$D$5:$D$104,$W923),0,1))+N(INDEX('得意先'!$E$5:$E$104,$W923))),MIN(INDEX('得意先'!$F$5:$F$104,$W923),DAY(DATE(YEAR($X923),(MONTH($X923)+IF(INDEX('得意先'!$D$5:$D$104,$W923)="末",0,IF(DAY($X923)&lt;=INDEX('得意先'!$D$5:$D$104,$W923),0,1))+N(INDEX('得意先'!$E$5:$E$104,$W923)))+1,0)))))))</f>
        <v/>
      </c>
      <c r="N923" s="26" t="n"/>
      <c r="O923" s="29">
        <f>IF($A923="","",IF(ISNUMBER($N923),$N923,$M923))</f>
        <v/>
      </c>
      <c r="P923" s="28">
        <f>IF($A923="","",SUMIF('入金消込'!$F$5:$F$1004,$A923,'入金消込'!$G$5:$G$1004))</f>
        <v/>
      </c>
      <c r="Q923" s="28">
        <f>IF($A923="","",SUMIF('入金消込'!$F$5:$F$1004,$A923,'入金消込'!$H$5:$H$1004)+SUMIF('入金消込'!$F$5:$F$1004,$A923,'入金消込'!$I$5:$I$1004))</f>
        <v/>
      </c>
      <c r="R923" s="28">
        <f>IF($A923="","",$L923-$P923-$Q923)</f>
        <v/>
      </c>
      <c r="S923" s="30">
        <f>IF($A923="","",IF($R923=0,IF($L923=0,"請求額0","回収済"),IF($L923&lt;0,IF($R923&lt;0,"差し引き待ち","差し引きすぎ"),IF($R923&lt;0,"入金が多い",IF($P923+$Q923=0,"未入金","一部入金")))))</f>
        <v/>
      </c>
      <c r="T923" s="31">
        <f>IF(OR($A923="",N($R923)&lt;=0,NOT(ISNUMBER($O923))),"",IF($O923&lt;'設定'!$B$7,'設定'!$B$7-$O923,""))</f>
        <v/>
      </c>
      <c r="U923" s="30">
        <f>IF(OR($A923="",N($R923)&lt;=0),"",IF(NOT(ISNUMBER($O923)),'設定'!$B$22,IF($O923&gt;='設定'!$B$7,'設定'!$B$17,IF('設定'!$B$7-$O923&lt;='設定'!$B$12,'設定'!$B$18,IF('設定'!$B$7-$O923&lt;='設定'!$B$13,'設定'!$B$19,IF('設定'!$B$7-$O923&lt;='設定'!$B$14,'設定'!$B$20,'設定'!$B$21))))))</f>
        <v/>
      </c>
      <c r="V923" s="56" t="n"/>
      <c r="W923" s="32">
        <f>IF($C923="","",IFERROR(MATCH($C923,'得意先'!$B$5:$B$104,0),"なし"))</f>
        <v/>
      </c>
      <c r="X923" s="33">
        <f>IF($A923="","",IF(ISNUMBER($E923),$E923,IF(ISNUMBER($B923),$B923,"")))</f>
        <v/>
      </c>
      <c r="Y923" s="34">
        <f>IF($T923="","",$O923+ROW()/1000000)</f>
        <v/>
      </c>
      <c r="Z923" s="35">
        <f>IF(OR($A923="",$C923="",$C923&lt;&gt;'売掛帳'!$B$3,NOT(ISNUMBER($X923))),"",IF(AND($X923&gt;='売掛帳'!$Q$3,$X923&lt;='売掛帳'!$Q$4),$X923+ROW()/10000000,""))</f>
        <v/>
      </c>
    </row>
    <row r="924" ht="18" customHeight="1">
      <c r="A924" s="18" t="n"/>
      <c r="B924" s="26" t="n"/>
      <c r="C924" s="18" t="n"/>
      <c r="D924" s="20">
        <f>IF($W924="","",IF($W924="なし","※得意先にないコード",INDEX('得意先'!$C$5:$C$104,$W924)&amp;""))</f>
        <v/>
      </c>
      <c r="E924" s="26" t="n"/>
      <c r="F924" s="19" t="n"/>
      <c r="G924" s="27" t="n"/>
      <c r="H924" s="27" t="n"/>
      <c r="I924" s="27" t="n"/>
      <c r="J924" s="28">
        <f>IF($A924="","",IF('設定'!$B$10="四捨五入",ROUND(IF('設定'!$B$9="税込",N($G924)*10/110,N($G924)*10/100),0),IF('設定'!$B$10="切り上げ",ROUNDUP(IF('設定'!$B$9="税込",N($G924)*10/110,N($G924)*10/100),0),ROUNDDOWN(IF('設定'!$B$9="税込",N($G924)*10/110,N($G924)*10/100),0))))</f>
        <v/>
      </c>
      <c r="K924" s="28">
        <f>IF($A924="","",IF('設定'!$B$10="四捨五入",ROUND(IF('設定'!$B$9="税込",N($H924)*8/108,N($H924)*8/100),0),IF('設定'!$B$10="切り上げ",ROUNDUP(IF('設定'!$B$9="税込",N($H924)*8/108,N($H924)*8/100),0),ROUNDDOWN(IF('設定'!$B$9="税込",N($H924)*8/108,N($H924)*8/100),0))))</f>
        <v/>
      </c>
      <c r="L924" s="28">
        <f>IF($A924="","",N($G924)+N($H924)+N($I924)+IF('設定'!$B$9="税込",0,$J924+$K924))</f>
        <v/>
      </c>
      <c r="M924" s="29">
        <f>IF(OR($A924="",NOT(ISNUMBER($W924)),NOT(ISNUMBER($X924))),"",IF(OR(INDEX('得意先'!$D$5:$D$104,$W924)="",INDEX('得意先'!$E$5:$E$104,$W924)="",INDEX('得意先'!$F$5:$F$104,$W924)=""),"",IF(INDEX('得意先'!$F$5:$F$104,$W924)="末",DATE(YEAR($X924),(MONTH($X924)+IF(INDEX('得意先'!$D$5:$D$104,$W924)="末",0,IF(DAY($X924)&lt;=INDEX('得意先'!$D$5:$D$104,$W924),0,1))+N(INDEX('得意先'!$E$5:$E$104,$W924)))+1,0),DATE(YEAR($X924),(MONTH($X924)+IF(INDEX('得意先'!$D$5:$D$104,$W924)="末",0,IF(DAY($X924)&lt;=INDEX('得意先'!$D$5:$D$104,$W924),0,1))+N(INDEX('得意先'!$E$5:$E$104,$W924))),MIN(INDEX('得意先'!$F$5:$F$104,$W924),DAY(DATE(YEAR($X924),(MONTH($X924)+IF(INDEX('得意先'!$D$5:$D$104,$W924)="末",0,IF(DAY($X924)&lt;=INDEX('得意先'!$D$5:$D$104,$W924),0,1))+N(INDEX('得意先'!$E$5:$E$104,$W924)))+1,0)))))))</f>
        <v/>
      </c>
      <c r="N924" s="26" t="n"/>
      <c r="O924" s="29">
        <f>IF($A924="","",IF(ISNUMBER($N924),$N924,$M924))</f>
        <v/>
      </c>
      <c r="P924" s="28">
        <f>IF($A924="","",SUMIF('入金消込'!$F$5:$F$1004,$A924,'入金消込'!$G$5:$G$1004))</f>
        <v/>
      </c>
      <c r="Q924" s="28">
        <f>IF($A924="","",SUMIF('入金消込'!$F$5:$F$1004,$A924,'入金消込'!$H$5:$H$1004)+SUMIF('入金消込'!$F$5:$F$1004,$A924,'入金消込'!$I$5:$I$1004))</f>
        <v/>
      </c>
      <c r="R924" s="28">
        <f>IF($A924="","",$L924-$P924-$Q924)</f>
        <v/>
      </c>
      <c r="S924" s="30">
        <f>IF($A924="","",IF($R924=0,IF($L924=0,"請求額0","回収済"),IF($L924&lt;0,IF($R924&lt;0,"差し引き待ち","差し引きすぎ"),IF($R924&lt;0,"入金が多い",IF($P924+$Q924=0,"未入金","一部入金")))))</f>
        <v/>
      </c>
      <c r="T924" s="31">
        <f>IF(OR($A924="",N($R924)&lt;=0,NOT(ISNUMBER($O924))),"",IF($O924&lt;'設定'!$B$7,'設定'!$B$7-$O924,""))</f>
        <v/>
      </c>
      <c r="U924" s="30">
        <f>IF(OR($A924="",N($R924)&lt;=0),"",IF(NOT(ISNUMBER($O924)),'設定'!$B$22,IF($O924&gt;='設定'!$B$7,'設定'!$B$17,IF('設定'!$B$7-$O924&lt;='設定'!$B$12,'設定'!$B$18,IF('設定'!$B$7-$O924&lt;='設定'!$B$13,'設定'!$B$19,IF('設定'!$B$7-$O924&lt;='設定'!$B$14,'設定'!$B$20,'設定'!$B$21))))))</f>
        <v/>
      </c>
      <c r="V924" s="56" t="n"/>
      <c r="W924" s="32">
        <f>IF($C924="","",IFERROR(MATCH($C924,'得意先'!$B$5:$B$104,0),"なし"))</f>
        <v/>
      </c>
      <c r="X924" s="33">
        <f>IF($A924="","",IF(ISNUMBER($E924),$E924,IF(ISNUMBER($B924),$B924,"")))</f>
        <v/>
      </c>
      <c r="Y924" s="34">
        <f>IF($T924="","",$O924+ROW()/1000000)</f>
        <v/>
      </c>
      <c r="Z924" s="35">
        <f>IF(OR($A924="",$C924="",$C924&lt;&gt;'売掛帳'!$B$3,NOT(ISNUMBER($X924))),"",IF(AND($X924&gt;='売掛帳'!$Q$3,$X924&lt;='売掛帳'!$Q$4),$X924+ROW()/10000000,""))</f>
        <v/>
      </c>
    </row>
    <row r="925" ht="18" customHeight="1">
      <c r="A925" s="18" t="n"/>
      <c r="B925" s="26" t="n"/>
      <c r="C925" s="18" t="n"/>
      <c r="D925" s="20">
        <f>IF($W925="","",IF($W925="なし","※得意先にないコード",INDEX('得意先'!$C$5:$C$104,$W925)&amp;""))</f>
        <v/>
      </c>
      <c r="E925" s="26" t="n"/>
      <c r="F925" s="19" t="n"/>
      <c r="G925" s="27" t="n"/>
      <c r="H925" s="27" t="n"/>
      <c r="I925" s="27" t="n"/>
      <c r="J925" s="28">
        <f>IF($A925="","",IF('設定'!$B$10="四捨五入",ROUND(IF('設定'!$B$9="税込",N($G925)*10/110,N($G925)*10/100),0),IF('設定'!$B$10="切り上げ",ROUNDUP(IF('設定'!$B$9="税込",N($G925)*10/110,N($G925)*10/100),0),ROUNDDOWN(IF('設定'!$B$9="税込",N($G925)*10/110,N($G925)*10/100),0))))</f>
        <v/>
      </c>
      <c r="K925" s="28">
        <f>IF($A925="","",IF('設定'!$B$10="四捨五入",ROUND(IF('設定'!$B$9="税込",N($H925)*8/108,N($H925)*8/100),0),IF('設定'!$B$10="切り上げ",ROUNDUP(IF('設定'!$B$9="税込",N($H925)*8/108,N($H925)*8/100),0),ROUNDDOWN(IF('設定'!$B$9="税込",N($H925)*8/108,N($H925)*8/100),0))))</f>
        <v/>
      </c>
      <c r="L925" s="28">
        <f>IF($A925="","",N($G925)+N($H925)+N($I925)+IF('設定'!$B$9="税込",0,$J925+$K925))</f>
        <v/>
      </c>
      <c r="M925" s="29">
        <f>IF(OR($A925="",NOT(ISNUMBER($W925)),NOT(ISNUMBER($X925))),"",IF(OR(INDEX('得意先'!$D$5:$D$104,$W925)="",INDEX('得意先'!$E$5:$E$104,$W925)="",INDEX('得意先'!$F$5:$F$104,$W925)=""),"",IF(INDEX('得意先'!$F$5:$F$104,$W925)="末",DATE(YEAR($X925),(MONTH($X925)+IF(INDEX('得意先'!$D$5:$D$104,$W925)="末",0,IF(DAY($X925)&lt;=INDEX('得意先'!$D$5:$D$104,$W925),0,1))+N(INDEX('得意先'!$E$5:$E$104,$W925)))+1,0),DATE(YEAR($X925),(MONTH($X925)+IF(INDEX('得意先'!$D$5:$D$104,$W925)="末",0,IF(DAY($X925)&lt;=INDEX('得意先'!$D$5:$D$104,$W925),0,1))+N(INDEX('得意先'!$E$5:$E$104,$W925))),MIN(INDEX('得意先'!$F$5:$F$104,$W925),DAY(DATE(YEAR($X925),(MONTH($X925)+IF(INDEX('得意先'!$D$5:$D$104,$W925)="末",0,IF(DAY($X925)&lt;=INDEX('得意先'!$D$5:$D$104,$W925),0,1))+N(INDEX('得意先'!$E$5:$E$104,$W925)))+1,0)))))))</f>
        <v/>
      </c>
      <c r="N925" s="26" t="n"/>
      <c r="O925" s="29">
        <f>IF($A925="","",IF(ISNUMBER($N925),$N925,$M925))</f>
        <v/>
      </c>
      <c r="P925" s="28">
        <f>IF($A925="","",SUMIF('入金消込'!$F$5:$F$1004,$A925,'入金消込'!$G$5:$G$1004))</f>
        <v/>
      </c>
      <c r="Q925" s="28">
        <f>IF($A925="","",SUMIF('入金消込'!$F$5:$F$1004,$A925,'入金消込'!$H$5:$H$1004)+SUMIF('入金消込'!$F$5:$F$1004,$A925,'入金消込'!$I$5:$I$1004))</f>
        <v/>
      </c>
      <c r="R925" s="28">
        <f>IF($A925="","",$L925-$P925-$Q925)</f>
        <v/>
      </c>
      <c r="S925" s="30">
        <f>IF($A925="","",IF($R925=0,IF($L925=0,"請求額0","回収済"),IF($L925&lt;0,IF($R925&lt;0,"差し引き待ち","差し引きすぎ"),IF($R925&lt;0,"入金が多い",IF($P925+$Q925=0,"未入金","一部入金")))))</f>
        <v/>
      </c>
      <c r="T925" s="31">
        <f>IF(OR($A925="",N($R925)&lt;=0,NOT(ISNUMBER($O925))),"",IF($O925&lt;'設定'!$B$7,'設定'!$B$7-$O925,""))</f>
        <v/>
      </c>
      <c r="U925" s="30">
        <f>IF(OR($A925="",N($R925)&lt;=0),"",IF(NOT(ISNUMBER($O925)),'設定'!$B$22,IF($O925&gt;='設定'!$B$7,'設定'!$B$17,IF('設定'!$B$7-$O925&lt;='設定'!$B$12,'設定'!$B$18,IF('設定'!$B$7-$O925&lt;='設定'!$B$13,'設定'!$B$19,IF('設定'!$B$7-$O925&lt;='設定'!$B$14,'設定'!$B$20,'設定'!$B$21))))))</f>
        <v/>
      </c>
      <c r="V925" s="56" t="n"/>
      <c r="W925" s="32">
        <f>IF($C925="","",IFERROR(MATCH($C925,'得意先'!$B$5:$B$104,0),"なし"))</f>
        <v/>
      </c>
      <c r="X925" s="33">
        <f>IF($A925="","",IF(ISNUMBER($E925),$E925,IF(ISNUMBER($B925),$B925,"")))</f>
        <v/>
      </c>
      <c r="Y925" s="34">
        <f>IF($T925="","",$O925+ROW()/1000000)</f>
        <v/>
      </c>
      <c r="Z925" s="35">
        <f>IF(OR($A925="",$C925="",$C925&lt;&gt;'売掛帳'!$B$3,NOT(ISNUMBER($X925))),"",IF(AND($X925&gt;='売掛帳'!$Q$3,$X925&lt;='売掛帳'!$Q$4),$X925+ROW()/10000000,""))</f>
        <v/>
      </c>
    </row>
    <row r="926" ht="18" customHeight="1">
      <c r="A926" s="18" t="n"/>
      <c r="B926" s="26" t="n"/>
      <c r="C926" s="18" t="n"/>
      <c r="D926" s="20">
        <f>IF($W926="","",IF($W926="なし","※得意先にないコード",INDEX('得意先'!$C$5:$C$104,$W926)&amp;""))</f>
        <v/>
      </c>
      <c r="E926" s="26" t="n"/>
      <c r="F926" s="19" t="n"/>
      <c r="G926" s="27" t="n"/>
      <c r="H926" s="27" t="n"/>
      <c r="I926" s="27" t="n"/>
      <c r="J926" s="28">
        <f>IF($A926="","",IF('設定'!$B$10="四捨五入",ROUND(IF('設定'!$B$9="税込",N($G926)*10/110,N($G926)*10/100),0),IF('設定'!$B$10="切り上げ",ROUNDUP(IF('設定'!$B$9="税込",N($G926)*10/110,N($G926)*10/100),0),ROUNDDOWN(IF('設定'!$B$9="税込",N($G926)*10/110,N($G926)*10/100),0))))</f>
        <v/>
      </c>
      <c r="K926" s="28">
        <f>IF($A926="","",IF('設定'!$B$10="四捨五入",ROUND(IF('設定'!$B$9="税込",N($H926)*8/108,N($H926)*8/100),0),IF('設定'!$B$10="切り上げ",ROUNDUP(IF('設定'!$B$9="税込",N($H926)*8/108,N($H926)*8/100),0),ROUNDDOWN(IF('設定'!$B$9="税込",N($H926)*8/108,N($H926)*8/100),0))))</f>
        <v/>
      </c>
      <c r="L926" s="28">
        <f>IF($A926="","",N($G926)+N($H926)+N($I926)+IF('設定'!$B$9="税込",0,$J926+$K926))</f>
        <v/>
      </c>
      <c r="M926" s="29">
        <f>IF(OR($A926="",NOT(ISNUMBER($W926)),NOT(ISNUMBER($X926))),"",IF(OR(INDEX('得意先'!$D$5:$D$104,$W926)="",INDEX('得意先'!$E$5:$E$104,$W926)="",INDEX('得意先'!$F$5:$F$104,$W926)=""),"",IF(INDEX('得意先'!$F$5:$F$104,$W926)="末",DATE(YEAR($X926),(MONTH($X926)+IF(INDEX('得意先'!$D$5:$D$104,$W926)="末",0,IF(DAY($X926)&lt;=INDEX('得意先'!$D$5:$D$104,$W926),0,1))+N(INDEX('得意先'!$E$5:$E$104,$W926)))+1,0),DATE(YEAR($X926),(MONTH($X926)+IF(INDEX('得意先'!$D$5:$D$104,$W926)="末",0,IF(DAY($X926)&lt;=INDEX('得意先'!$D$5:$D$104,$W926),0,1))+N(INDEX('得意先'!$E$5:$E$104,$W926))),MIN(INDEX('得意先'!$F$5:$F$104,$W926),DAY(DATE(YEAR($X926),(MONTH($X926)+IF(INDEX('得意先'!$D$5:$D$104,$W926)="末",0,IF(DAY($X926)&lt;=INDEX('得意先'!$D$5:$D$104,$W926),0,1))+N(INDEX('得意先'!$E$5:$E$104,$W926)))+1,0)))))))</f>
        <v/>
      </c>
      <c r="N926" s="26" t="n"/>
      <c r="O926" s="29">
        <f>IF($A926="","",IF(ISNUMBER($N926),$N926,$M926))</f>
        <v/>
      </c>
      <c r="P926" s="28">
        <f>IF($A926="","",SUMIF('入金消込'!$F$5:$F$1004,$A926,'入金消込'!$G$5:$G$1004))</f>
        <v/>
      </c>
      <c r="Q926" s="28">
        <f>IF($A926="","",SUMIF('入金消込'!$F$5:$F$1004,$A926,'入金消込'!$H$5:$H$1004)+SUMIF('入金消込'!$F$5:$F$1004,$A926,'入金消込'!$I$5:$I$1004))</f>
        <v/>
      </c>
      <c r="R926" s="28">
        <f>IF($A926="","",$L926-$P926-$Q926)</f>
        <v/>
      </c>
      <c r="S926" s="30">
        <f>IF($A926="","",IF($R926=0,IF($L926=0,"請求額0","回収済"),IF($L926&lt;0,IF($R926&lt;0,"差し引き待ち","差し引きすぎ"),IF($R926&lt;0,"入金が多い",IF($P926+$Q926=0,"未入金","一部入金")))))</f>
        <v/>
      </c>
      <c r="T926" s="31">
        <f>IF(OR($A926="",N($R926)&lt;=0,NOT(ISNUMBER($O926))),"",IF($O926&lt;'設定'!$B$7,'設定'!$B$7-$O926,""))</f>
        <v/>
      </c>
      <c r="U926" s="30">
        <f>IF(OR($A926="",N($R926)&lt;=0),"",IF(NOT(ISNUMBER($O926)),'設定'!$B$22,IF($O926&gt;='設定'!$B$7,'設定'!$B$17,IF('設定'!$B$7-$O926&lt;='設定'!$B$12,'設定'!$B$18,IF('設定'!$B$7-$O926&lt;='設定'!$B$13,'設定'!$B$19,IF('設定'!$B$7-$O926&lt;='設定'!$B$14,'設定'!$B$20,'設定'!$B$21))))))</f>
        <v/>
      </c>
      <c r="V926" s="56" t="n"/>
      <c r="W926" s="32">
        <f>IF($C926="","",IFERROR(MATCH($C926,'得意先'!$B$5:$B$104,0),"なし"))</f>
        <v/>
      </c>
      <c r="X926" s="33">
        <f>IF($A926="","",IF(ISNUMBER($E926),$E926,IF(ISNUMBER($B926),$B926,"")))</f>
        <v/>
      </c>
      <c r="Y926" s="34">
        <f>IF($T926="","",$O926+ROW()/1000000)</f>
        <v/>
      </c>
      <c r="Z926" s="35">
        <f>IF(OR($A926="",$C926="",$C926&lt;&gt;'売掛帳'!$B$3,NOT(ISNUMBER($X926))),"",IF(AND($X926&gt;='売掛帳'!$Q$3,$X926&lt;='売掛帳'!$Q$4),$X926+ROW()/10000000,""))</f>
        <v/>
      </c>
    </row>
    <row r="927" ht="18" customHeight="1">
      <c r="A927" s="18" t="n"/>
      <c r="B927" s="26" t="n"/>
      <c r="C927" s="18" t="n"/>
      <c r="D927" s="20">
        <f>IF($W927="","",IF($W927="なし","※得意先にないコード",INDEX('得意先'!$C$5:$C$104,$W927)&amp;""))</f>
        <v/>
      </c>
      <c r="E927" s="26" t="n"/>
      <c r="F927" s="19" t="n"/>
      <c r="G927" s="27" t="n"/>
      <c r="H927" s="27" t="n"/>
      <c r="I927" s="27" t="n"/>
      <c r="J927" s="28">
        <f>IF($A927="","",IF('設定'!$B$10="四捨五入",ROUND(IF('設定'!$B$9="税込",N($G927)*10/110,N($G927)*10/100),0),IF('設定'!$B$10="切り上げ",ROUNDUP(IF('設定'!$B$9="税込",N($G927)*10/110,N($G927)*10/100),0),ROUNDDOWN(IF('設定'!$B$9="税込",N($G927)*10/110,N($G927)*10/100),0))))</f>
        <v/>
      </c>
      <c r="K927" s="28">
        <f>IF($A927="","",IF('設定'!$B$10="四捨五入",ROUND(IF('設定'!$B$9="税込",N($H927)*8/108,N($H927)*8/100),0),IF('設定'!$B$10="切り上げ",ROUNDUP(IF('設定'!$B$9="税込",N($H927)*8/108,N($H927)*8/100),0),ROUNDDOWN(IF('設定'!$B$9="税込",N($H927)*8/108,N($H927)*8/100),0))))</f>
        <v/>
      </c>
      <c r="L927" s="28">
        <f>IF($A927="","",N($G927)+N($H927)+N($I927)+IF('設定'!$B$9="税込",0,$J927+$K927))</f>
        <v/>
      </c>
      <c r="M927" s="29">
        <f>IF(OR($A927="",NOT(ISNUMBER($W927)),NOT(ISNUMBER($X927))),"",IF(OR(INDEX('得意先'!$D$5:$D$104,$W927)="",INDEX('得意先'!$E$5:$E$104,$W927)="",INDEX('得意先'!$F$5:$F$104,$W927)=""),"",IF(INDEX('得意先'!$F$5:$F$104,$W927)="末",DATE(YEAR($X927),(MONTH($X927)+IF(INDEX('得意先'!$D$5:$D$104,$W927)="末",0,IF(DAY($X927)&lt;=INDEX('得意先'!$D$5:$D$104,$W927),0,1))+N(INDEX('得意先'!$E$5:$E$104,$W927)))+1,0),DATE(YEAR($X927),(MONTH($X927)+IF(INDEX('得意先'!$D$5:$D$104,$W927)="末",0,IF(DAY($X927)&lt;=INDEX('得意先'!$D$5:$D$104,$W927),0,1))+N(INDEX('得意先'!$E$5:$E$104,$W927))),MIN(INDEX('得意先'!$F$5:$F$104,$W927),DAY(DATE(YEAR($X927),(MONTH($X927)+IF(INDEX('得意先'!$D$5:$D$104,$W927)="末",0,IF(DAY($X927)&lt;=INDEX('得意先'!$D$5:$D$104,$W927),0,1))+N(INDEX('得意先'!$E$5:$E$104,$W927)))+1,0)))))))</f>
        <v/>
      </c>
      <c r="N927" s="26" t="n"/>
      <c r="O927" s="29">
        <f>IF($A927="","",IF(ISNUMBER($N927),$N927,$M927))</f>
        <v/>
      </c>
      <c r="P927" s="28">
        <f>IF($A927="","",SUMIF('入金消込'!$F$5:$F$1004,$A927,'入金消込'!$G$5:$G$1004))</f>
        <v/>
      </c>
      <c r="Q927" s="28">
        <f>IF($A927="","",SUMIF('入金消込'!$F$5:$F$1004,$A927,'入金消込'!$H$5:$H$1004)+SUMIF('入金消込'!$F$5:$F$1004,$A927,'入金消込'!$I$5:$I$1004))</f>
        <v/>
      </c>
      <c r="R927" s="28">
        <f>IF($A927="","",$L927-$P927-$Q927)</f>
        <v/>
      </c>
      <c r="S927" s="30">
        <f>IF($A927="","",IF($R927=0,IF($L927=0,"請求額0","回収済"),IF($L927&lt;0,IF($R927&lt;0,"差し引き待ち","差し引きすぎ"),IF($R927&lt;0,"入金が多い",IF($P927+$Q927=0,"未入金","一部入金")))))</f>
        <v/>
      </c>
      <c r="T927" s="31">
        <f>IF(OR($A927="",N($R927)&lt;=0,NOT(ISNUMBER($O927))),"",IF($O927&lt;'設定'!$B$7,'設定'!$B$7-$O927,""))</f>
        <v/>
      </c>
      <c r="U927" s="30">
        <f>IF(OR($A927="",N($R927)&lt;=0),"",IF(NOT(ISNUMBER($O927)),'設定'!$B$22,IF($O927&gt;='設定'!$B$7,'設定'!$B$17,IF('設定'!$B$7-$O927&lt;='設定'!$B$12,'設定'!$B$18,IF('設定'!$B$7-$O927&lt;='設定'!$B$13,'設定'!$B$19,IF('設定'!$B$7-$O927&lt;='設定'!$B$14,'設定'!$B$20,'設定'!$B$21))))))</f>
        <v/>
      </c>
      <c r="V927" s="56" t="n"/>
      <c r="W927" s="32">
        <f>IF($C927="","",IFERROR(MATCH($C927,'得意先'!$B$5:$B$104,0),"なし"))</f>
        <v/>
      </c>
      <c r="X927" s="33">
        <f>IF($A927="","",IF(ISNUMBER($E927),$E927,IF(ISNUMBER($B927),$B927,"")))</f>
        <v/>
      </c>
      <c r="Y927" s="34">
        <f>IF($T927="","",$O927+ROW()/1000000)</f>
        <v/>
      </c>
      <c r="Z927" s="35">
        <f>IF(OR($A927="",$C927="",$C927&lt;&gt;'売掛帳'!$B$3,NOT(ISNUMBER($X927))),"",IF(AND($X927&gt;='売掛帳'!$Q$3,$X927&lt;='売掛帳'!$Q$4),$X927+ROW()/10000000,""))</f>
        <v/>
      </c>
    </row>
    <row r="928" ht="18" customHeight="1">
      <c r="A928" s="18" t="n"/>
      <c r="B928" s="26" t="n"/>
      <c r="C928" s="18" t="n"/>
      <c r="D928" s="20">
        <f>IF($W928="","",IF($W928="なし","※得意先にないコード",INDEX('得意先'!$C$5:$C$104,$W928)&amp;""))</f>
        <v/>
      </c>
      <c r="E928" s="26" t="n"/>
      <c r="F928" s="19" t="n"/>
      <c r="G928" s="27" t="n"/>
      <c r="H928" s="27" t="n"/>
      <c r="I928" s="27" t="n"/>
      <c r="J928" s="28">
        <f>IF($A928="","",IF('設定'!$B$10="四捨五入",ROUND(IF('設定'!$B$9="税込",N($G928)*10/110,N($G928)*10/100),0),IF('設定'!$B$10="切り上げ",ROUNDUP(IF('設定'!$B$9="税込",N($G928)*10/110,N($G928)*10/100),0),ROUNDDOWN(IF('設定'!$B$9="税込",N($G928)*10/110,N($G928)*10/100),0))))</f>
        <v/>
      </c>
      <c r="K928" s="28">
        <f>IF($A928="","",IF('設定'!$B$10="四捨五入",ROUND(IF('設定'!$B$9="税込",N($H928)*8/108,N($H928)*8/100),0),IF('設定'!$B$10="切り上げ",ROUNDUP(IF('設定'!$B$9="税込",N($H928)*8/108,N($H928)*8/100),0),ROUNDDOWN(IF('設定'!$B$9="税込",N($H928)*8/108,N($H928)*8/100),0))))</f>
        <v/>
      </c>
      <c r="L928" s="28">
        <f>IF($A928="","",N($G928)+N($H928)+N($I928)+IF('設定'!$B$9="税込",0,$J928+$K928))</f>
        <v/>
      </c>
      <c r="M928" s="29">
        <f>IF(OR($A928="",NOT(ISNUMBER($W928)),NOT(ISNUMBER($X928))),"",IF(OR(INDEX('得意先'!$D$5:$D$104,$W928)="",INDEX('得意先'!$E$5:$E$104,$W928)="",INDEX('得意先'!$F$5:$F$104,$W928)=""),"",IF(INDEX('得意先'!$F$5:$F$104,$W928)="末",DATE(YEAR($X928),(MONTH($X928)+IF(INDEX('得意先'!$D$5:$D$104,$W928)="末",0,IF(DAY($X928)&lt;=INDEX('得意先'!$D$5:$D$104,$W928),0,1))+N(INDEX('得意先'!$E$5:$E$104,$W928)))+1,0),DATE(YEAR($X928),(MONTH($X928)+IF(INDEX('得意先'!$D$5:$D$104,$W928)="末",0,IF(DAY($X928)&lt;=INDEX('得意先'!$D$5:$D$104,$W928),0,1))+N(INDEX('得意先'!$E$5:$E$104,$W928))),MIN(INDEX('得意先'!$F$5:$F$104,$W928),DAY(DATE(YEAR($X928),(MONTH($X928)+IF(INDEX('得意先'!$D$5:$D$104,$W928)="末",0,IF(DAY($X928)&lt;=INDEX('得意先'!$D$5:$D$104,$W928),0,1))+N(INDEX('得意先'!$E$5:$E$104,$W928)))+1,0)))))))</f>
        <v/>
      </c>
      <c r="N928" s="26" t="n"/>
      <c r="O928" s="29">
        <f>IF($A928="","",IF(ISNUMBER($N928),$N928,$M928))</f>
        <v/>
      </c>
      <c r="P928" s="28">
        <f>IF($A928="","",SUMIF('入金消込'!$F$5:$F$1004,$A928,'入金消込'!$G$5:$G$1004))</f>
        <v/>
      </c>
      <c r="Q928" s="28">
        <f>IF($A928="","",SUMIF('入金消込'!$F$5:$F$1004,$A928,'入金消込'!$H$5:$H$1004)+SUMIF('入金消込'!$F$5:$F$1004,$A928,'入金消込'!$I$5:$I$1004))</f>
        <v/>
      </c>
      <c r="R928" s="28">
        <f>IF($A928="","",$L928-$P928-$Q928)</f>
        <v/>
      </c>
      <c r="S928" s="30">
        <f>IF($A928="","",IF($R928=0,IF($L928=0,"請求額0","回収済"),IF($L928&lt;0,IF($R928&lt;0,"差し引き待ち","差し引きすぎ"),IF($R928&lt;0,"入金が多い",IF($P928+$Q928=0,"未入金","一部入金")))))</f>
        <v/>
      </c>
      <c r="T928" s="31">
        <f>IF(OR($A928="",N($R928)&lt;=0,NOT(ISNUMBER($O928))),"",IF($O928&lt;'設定'!$B$7,'設定'!$B$7-$O928,""))</f>
        <v/>
      </c>
      <c r="U928" s="30">
        <f>IF(OR($A928="",N($R928)&lt;=0),"",IF(NOT(ISNUMBER($O928)),'設定'!$B$22,IF($O928&gt;='設定'!$B$7,'設定'!$B$17,IF('設定'!$B$7-$O928&lt;='設定'!$B$12,'設定'!$B$18,IF('設定'!$B$7-$O928&lt;='設定'!$B$13,'設定'!$B$19,IF('設定'!$B$7-$O928&lt;='設定'!$B$14,'設定'!$B$20,'設定'!$B$21))))))</f>
        <v/>
      </c>
      <c r="V928" s="56" t="n"/>
      <c r="W928" s="32">
        <f>IF($C928="","",IFERROR(MATCH($C928,'得意先'!$B$5:$B$104,0),"なし"))</f>
        <v/>
      </c>
      <c r="X928" s="33">
        <f>IF($A928="","",IF(ISNUMBER($E928),$E928,IF(ISNUMBER($B928),$B928,"")))</f>
        <v/>
      </c>
      <c r="Y928" s="34">
        <f>IF($T928="","",$O928+ROW()/1000000)</f>
        <v/>
      </c>
      <c r="Z928" s="35">
        <f>IF(OR($A928="",$C928="",$C928&lt;&gt;'売掛帳'!$B$3,NOT(ISNUMBER($X928))),"",IF(AND($X928&gt;='売掛帳'!$Q$3,$X928&lt;='売掛帳'!$Q$4),$X928+ROW()/10000000,""))</f>
        <v/>
      </c>
    </row>
    <row r="929" ht="18" customHeight="1">
      <c r="A929" s="18" t="n"/>
      <c r="B929" s="26" t="n"/>
      <c r="C929" s="18" t="n"/>
      <c r="D929" s="20">
        <f>IF($W929="","",IF($W929="なし","※得意先にないコード",INDEX('得意先'!$C$5:$C$104,$W929)&amp;""))</f>
        <v/>
      </c>
      <c r="E929" s="26" t="n"/>
      <c r="F929" s="19" t="n"/>
      <c r="G929" s="27" t="n"/>
      <c r="H929" s="27" t="n"/>
      <c r="I929" s="27" t="n"/>
      <c r="J929" s="28">
        <f>IF($A929="","",IF('設定'!$B$10="四捨五入",ROUND(IF('設定'!$B$9="税込",N($G929)*10/110,N($G929)*10/100),0),IF('設定'!$B$10="切り上げ",ROUNDUP(IF('設定'!$B$9="税込",N($G929)*10/110,N($G929)*10/100),0),ROUNDDOWN(IF('設定'!$B$9="税込",N($G929)*10/110,N($G929)*10/100),0))))</f>
        <v/>
      </c>
      <c r="K929" s="28">
        <f>IF($A929="","",IF('設定'!$B$10="四捨五入",ROUND(IF('設定'!$B$9="税込",N($H929)*8/108,N($H929)*8/100),0),IF('設定'!$B$10="切り上げ",ROUNDUP(IF('設定'!$B$9="税込",N($H929)*8/108,N($H929)*8/100),0),ROUNDDOWN(IF('設定'!$B$9="税込",N($H929)*8/108,N($H929)*8/100),0))))</f>
        <v/>
      </c>
      <c r="L929" s="28">
        <f>IF($A929="","",N($G929)+N($H929)+N($I929)+IF('設定'!$B$9="税込",0,$J929+$K929))</f>
        <v/>
      </c>
      <c r="M929" s="29">
        <f>IF(OR($A929="",NOT(ISNUMBER($W929)),NOT(ISNUMBER($X929))),"",IF(OR(INDEX('得意先'!$D$5:$D$104,$W929)="",INDEX('得意先'!$E$5:$E$104,$W929)="",INDEX('得意先'!$F$5:$F$104,$W929)=""),"",IF(INDEX('得意先'!$F$5:$F$104,$W929)="末",DATE(YEAR($X929),(MONTH($X929)+IF(INDEX('得意先'!$D$5:$D$104,$W929)="末",0,IF(DAY($X929)&lt;=INDEX('得意先'!$D$5:$D$104,$W929),0,1))+N(INDEX('得意先'!$E$5:$E$104,$W929)))+1,0),DATE(YEAR($X929),(MONTH($X929)+IF(INDEX('得意先'!$D$5:$D$104,$W929)="末",0,IF(DAY($X929)&lt;=INDEX('得意先'!$D$5:$D$104,$W929),0,1))+N(INDEX('得意先'!$E$5:$E$104,$W929))),MIN(INDEX('得意先'!$F$5:$F$104,$W929),DAY(DATE(YEAR($X929),(MONTH($X929)+IF(INDEX('得意先'!$D$5:$D$104,$W929)="末",0,IF(DAY($X929)&lt;=INDEX('得意先'!$D$5:$D$104,$W929),0,1))+N(INDEX('得意先'!$E$5:$E$104,$W929)))+1,0)))))))</f>
        <v/>
      </c>
      <c r="N929" s="26" t="n"/>
      <c r="O929" s="29">
        <f>IF($A929="","",IF(ISNUMBER($N929),$N929,$M929))</f>
        <v/>
      </c>
      <c r="P929" s="28">
        <f>IF($A929="","",SUMIF('入金消込'!$F$5:$F$1004,$A929,'入金消込'!$G$5:$G$1004))</f>
        <v/>
      </c>
      <c r="Q929" s="28">
        <f>IF($A929="","",SUMIF('入金消込'!$F$5:$F$1004,$A929,'入金消込'!$H$5:$H$1004)+SUMIF('入金消込'!$F$5:$F$1004,$A929,'入金消込'!$I$5:$I$1004))</f>
        <v/>
      </c>
      <c r="R929" s="28">
        <f>IF($A929="","",$L929-$P929-$Q929)</f>
        <v/>
      </c>
      <c r="S929" s="30">
        <f>IF($A929="","",IF($R929=0,IF($L929=0,"請求額0","回収済"),IF($L929&lt;0,IF($R929&lt;0,"差し引き待ち","差し引きすぎ"),IF($R929&lt;0,"入金が多い",IF($P929+$Q929=0,"未入金","一部入金")))))</f>
        <v/>
      </c>
      <c r="T929" s="31">
        <f>IF(OR($A929="",N($R929)&lt;=0,NOT(ISNUMBER($O929))),"",IF($O929&lt;'設定'!$B$7,'設定'!$B$7-$O929,""))</f>
        <v/>
      </c>
      <c r="U929" s="30">
        <f>IF(OR($A929="",N($R929)&lt;=0),"",IF(NOT(ISNUMBER($O929)),'設定'!$B$22,IF($O929&gt;='設定'!$B$7,'設定'!$B$17,IF('設定'!$B$7-$O929&lt;='設定'!$B$12,'設定'!$B$18,IF('設定'!$B$7-$O929&lt;='設定'!$B$13,'設定'!$B$19,IF('設定'!$B$7-$O929&lt;='設定'!$B$14,'設定'!$B$20,'設定'!$B$21))))))</f>
        <v/>
      </c>
      <c r="V929" s="56" t="n"/>
      <c r="W929" s="32">
        <f>IF($C929="","",IFERROR(MATCH($C929,'得意先'!$B$5:$B$104,0),"なし"))</f>
        <v/>
      </c>
      <c r="X929" s="33">
        <f>IF($A929="","",IF(ISNUMBER($E929),$E929,IF(ISNUMBER($B929),$B929,"")))</f>
        <v/>
      </c>
      <c r="Y929" s="34">
        <f>IF($T929="","",$O929+ROW()/1000000)</f>
        <v/>
      </c>
      <c r="Z929" s="35">
        <f>IF(OR($A929="",$C929="",$C929&lt;&gt;'売掛帳'!$B$3,NOT(ISNUMBER($X929))),"",IF(AND($X929&gt;='売掛帳'!$Q$3,$X929&lt;='売掛帳'!$Q$4),$X929+ROW()/10000000,""))</f>
        <v/>
      </c>
    </row>
    <row r="930" ht="18" customHeight="1">
      <c r="A930" s="18" t="n"/>
      <c r="B930" s="26" t="n"/>
      <c r="C930" s="18" t="n"/>
      <c r="D930" s="20">
        <f>IF($W930="","",IF($W930="なし","※得意先にないコード",INDEX('得意先'!$C$5:$C$104,$W930)&amp;""))</f>
        <v/>
      </c>
      <c r="E930" s="26" t="n"/>
      <c r="F930" s="19" t="n"/>
      <c r="G930" s="27" t="n"/>
      <c r="H930" s="27" t="n"/>
      <c r="I930" s="27" t="n"/>
      <c r="J930" s="28">
        <f>IF($A930="","",IF('設定'!$B$10="四捨五入",ROUND(IF('設定'!$B$9="税込",N($G930)*10/110,N($G930)*10/100),0),IF('設定'!$B$10="切り上げ",ROUNDUP(IF('設定'!$B$9="税込",N($G930)*10/110,N($G930)*10/100),0),ROUNDDOWN(IF('設定'!$B$9="税込",N($G930)*10/110,N($G930)*10/100),0))))</f>
        <v/>
      </c>
      <c r="K930" s="28">
        <f>IF($A930="","",IF('設定'!$B$10="四捨五入",ROUND(IF('設定'!$B$9="税込",N($H930)*8/108,N($H930)*8/100),0),IF('設定'!$B$10="切り上げ",ROUNDUP(IF('設定'!$B$9="税込",N($H930)*8/108,N($H930)*8/100),0),ROUNDDOWN(IF('設定'!$B$9="税込",N($H930)*8/108,N($H930)*8/100),0))))</f>
        <v/>
      </c>
      <c r="L930" s="28">
        <f>IF($A930="","",N($G930)+N($H930)+N($I930)+IF('設定'!$B$9="税込",0,$J930+$K930))</f>
        <v/>
      </c>
      <c r="M930" s="29">
        <f>IF(OR($A930="",NOT(ISNUMBER($W930)),NOT(ISNUMBER($X930))),"",IF(OR(INDEX('得意先'!$D$5:$D$104,$W930)="",INDEX('得意先'!$E$5:$E$104,$W930)="",INDEX('得意先'!$F$5:$F$104,$W930)=""),"",IF(INDEX('得意先'!$F$5:$F$104,$W930)="末",DATE(YEAR($X930),(MONTH($X930)+IF(INDEX('得意先'!$D$5:$D$104,$W930)="末",0,IF(DAY($X930)&lt;=INDEX('得意先'!$D$5:$D$104,$W930),0,1))+N(INDEX('得意先'!$E$5:$E$104,$W930)))+1,0),DATE(YEAR($X930),(MONTH($X930)+IF(INDEX('得意先'!$D$5:$D$104,$W930)="末",0,IF(DAY($X930)&lt;=INDEX('得意先'!$D$5:$D$104,$W930),0,1))+N(INDEX('得意先'!$E$5:$E$104,$W930))),MIN(INDEX('得意先'!$F$5:$F$104,$W930),DAY(DATE(YEAR($X930),(MONTH($X930)+IF(INDEX('得意先'!$D$5:$D$104,$W930)="末",0,IF(DAY($X930)&lt;=INDEX('得意先'!$D$5:$D$104,$W930),0,1))+N(INDEX('得意先'!$E$5:$E$104,$W930)))+1,0)))))))</f>
        <v/>
      </c>
      <c r="N930" s="26" t="n"/>
      <c r="O930" s="29">
        <f>IF($A930="","",IF(ISNUMBER($N930),$N930,$M930))</f>
        <v/>
      </c>
      <c r="P930" s="28">
        <f>IF($A930="","",SUMIF('入金消込'!$F$5:$F$1004,$A930,'入金消込'!$G$5:$G$1004))</f>
        <v/>
      </c>
      <c r="Q930" s="28">
        <f>IF($A930="","",SUMIF('入金消込'!$F$5:$F$1004,$A930,'入金消込'!$H$5:$H$1004)+SUMIF('入金消込'!$F$5:$F$1004,$A930,'入金消込'!$I$5:$I$1004))</f>
        <v/>
      </c>
      <c r="R930" s="28">
        <f>IF($A930="","",$L930-$P930-$Q930)</f>
        <v/>
      </c>
      <c r="S930" s="30">
        <f>IF($A930="","",IF($R930=0,IF($L930=0,"請求額0","回収済"),IF($L930&lt;0,IF($R930&lt;0,"差し引き待ち","差し引きすぎ"),IF($R930&lt;0,"入金が多い",IF($P930+$Q930=0,"未入金","一部入金")))))</f>
        <v/>
      </c>
      <c r="T930" s="31">
        <f>IF(OR($A930="",N($R930)&lt;=0,NOT(ISNUMBER($O930))),"",IF($O930&lt;'設定'!$B$7,'設定'!$B$7-$O930,""))</f>
        <v/>
      </c>
      <c r="U930" s="30">
        <f>IF(OR($A930="",N($R930)&lt;=0),"",IF(NOT(ISNUMBER($O930)),'設定'!$B$22,IF($O930&gt;='設定'!$B$7,'設定'!$B$17,IF('設定'!$B$7-$O930&lt;='設定'!$B$12,'設定'!$B$18,IF('設定'!$B$7-$O930&lt;='設定'!$B$13,'設定'!$B$19,IF('設定'!$B$7-$O930&lt;='設定'!$B$14,'設定'!$B$20,'設定'!$B$21))))))</f>
        <v/>
      </c>
      <c r="V930" s="56" t="n"/>
      <c r="W930" s="32">
        <f>IF($C930="","",IFERROR(MATCH($C930,'得意先'!$B$5:$B$104,0),"なし"))</f>
        <v/>
      </c>
      <c r="X930" s="33">
        <f>IF($A930="","",IF(ISNUMBER($E930),$E930,IF(ISNUMBER($B930),$B930,"")))</f>
        <v/>
      </c>
      <c r="Y930" s="34">
        <f>IF($T930="","",$O930+ROW()/1000000)</f>
        <v/>
      </c>
      <c r="Z930" s="35">
        <f>IF(OR($A930="",$C930="",$C930&lt;&gt;'売掛帳'!$B$3,NOT(ISNUMBER($X930))),"",IF(AND($X930&gt;='売掛帳'!$Q$3,$X930&lt;='売掛帳'!$Q$4),$X930+ROW()/10000000,""))</f>
        <v/>
      </c>
    </row>
    <row r="931" ht="18" customHeight="1">
      <c r="A931" s="18" t="n"/>
      <c r="B931" s="26" t="n"/>
      <c r="C931" s="18" t="n"/>
      <c r="D931" s="20">
        <f>IF($W931="","",IF($W931="なし","※得意先にないコード",INDEX('得意先'!$C$5:$C$104,$W931)&amp;""))</f>
        <v/>
      </c>
      <c r="E931" s="26" t="n"/>
      <c r="F931" s="19" t="n"/>
      <c r="G931" s="27" t="n"/>
      <c r="H931" s="27" t="n"/>
      <c r="I931" s="27" t="n"/>
      <c r="J931" s="28">
        <f>IF($A931="","",IF('設定'!$B$10="四捨五入",ROUND(IF('設定'!$B$9="税込",N($G931)*10/110,N($G931)*10/100),0),IF('設定'!$B$10="切り上げ",ROUNDUP(IF('設定'!$B$9="税込",N($G931)*10/110,N($G931)*10/100),0),ROUNDDOWN(IF('設定'!$B$9="税込",N($G931)*10/110,N($G931)*10/100),0))))</f>
        <v/>
      </c>
      <c r="K931" s="28">
        <f>IF($A931="","",IF('設定'!$B$10="四捨五入",ROUND(IF('設定'!$B$9="税込",N($H931)*8/108,N($H931)*8/100),0),IF('設定'!$B$10="切り上げ",ROUNDUP(IF('設定'!$B$9="税込",N($H931)*8/108,N($H931)*8/100),0),ROUNDDOWN(IF('設定'!$B$9="税込",N($H931)*8/108,N($H931)*8/100),0))))</f>
        <v/>
      </c>
      <c r="L931" s="28">
        <f>IF($A931="","",N($G931)+N($H931)+N($I931)+IF('設定'!$B$9="税込",0,$J931+$K931))</f>
        <v/>
      </c>
      <c r="M931" s="29">
        <f>IF(OR($A931="",NOT(ISNUMBER($W931)),NOT(ISNUMBER($X931))),"",IF(OR(INDEX('得意先'!$D$5:$D$104,$W931)="",INDEX('得意先'!$E$5:$E$104,$W931)="",INDEX('得意先'!$F$5:$F$104,$W931)=""),"",IF(INDEX('得意先'!$F$5:$F$104,$W931)="末",DATE(YEAR($X931),(MONTH($X931)+IF(INDEX('得意先'!$D$5:$D$104,$W931)="末",0,IF(DAY($X931)&lt;=INDEX('得意先'!$D$5:$D$104,$W931),0,1))+N(INDEX('得意先'!$E$5:$E$104,$W931)))+1,0),DATE(YEAR($X931),(MONTH($X931)+IF(INDEX('得意先'!$D$5:$D$104,$W931)="末",0,IF(DAY($X931)&lt;=INDEX('得意先'!$D$5:$D$104,$W931),0,1))+N(INDEX('得意先'!$E$5:$E$104,$W931))),MIN(INDEX('得意先'!$F$5:$F$104,$W931),DAY(DATE(YEAR($X931),(MONTH($X931)+IF(INDEX('得意先'!$D$5:$D$104,$W931)="末",0,IF(DAY($X931)&lt;=INDEX('得意先'!$D$5:$D$104,$W931),0,1))+N(INDEX('得意先'!$E$5:$E$104,$W931)))+1,0)))))))</f>
        <v/>
      </c>
      <c r="N931" s="26" t="n"/>
      <c r="O931" s="29">
        <f>IF($A931="","",IF(ISNUMBER($N931),$N931,$M931))</f>
        <v/>
      </c>
      <c r="P931" s="28">
        <f>IF($A931="","",SUMIF('入金消込'!$F$5:$F$1004,$A931,'入金消込'!$G$5:$G$1004))</f>
        <v/>
      </c>
      <c r="Q931" s="28">
        <f>IF($A931="","",SUMIF('入金消込'!$F$5:$F$1004,$A931,'入金消込'!$H$5:$H$1004)+SUMIF('入金消込'!$F$5:$F$1004,$A931,'入金消込'!$I$5:$I$1004))</f>
        <v/>
      </c>
      <c r="R931" s="28">
        <f>IF($A931="","",$L931-$P931-$Q931)</f>
        <v/>
      </c>
      <c r="S931" s="30">
        <f>IF($A931="","",IF($R931=0,IF($L931=0,"請求額0","回収済"),IF($L931&lt;0,IF($R931&lt;0,"差し引き待ち","差し引きすぎ"),IF($R931&lt;0,"入金が多い",IF($P931+$Q931=0,"未入金","一部入金")))))</f>
        <v/>
      </c>
      <c r="T931" s="31">
        <f>IF(OR($A931="",N($R931)&lt;=0,NOT(ISNUMBER($O931))),"",IF($O931&lt;'設定'!$B$7,'設定'!$B$7-$O931,""))</f>
        <v/>
      </c>
      <c r="U931" s="30">
        <f>IF(OR($A931="",N($R931)&lt;=0),"",IF(NOT(ISNUMBER($O931)),'設定'!$B$22,IF($O931&gt;='設定'!$B$7,'設定'!$B$17,IF('設定'!$B$7-$O931&lt;='設定'!$B$12,'設定'!$B$18,IF('設定'!$B$7-$O931&lt;='設定'!$B$13,'設定'!$B$19,IF('設定'!$B$7-$O931&lt;='設定'!$B$14,'設定'!$B$20,'設定'!$B$21))))))</f>
        <v/>
      </c>
      <c r="V931" s="56" t="n"/>
      <c r="W931" s="32">
        <f>IF($C931="","",IFERROR(MATCH($C931,'得意先'!$B$5:$B$104,0),"なし"))</f>
        <v/>
      </c>
      <c r="X931" s="33">
        <f>IF($A931="","",IF(ISNUMBER($E931),$E931,IF(ISNUMBER($B931),$B931,"")))</f>
        <v/>
      </c>
      <c r="Y931" s="34">
        <f>IF($T931="","",$O931+ROW()/1000000)</f>
        <v/>
      </c>
      <c r="Z931" s="35">
        <f>IF(OR($A931="",$C931="",$C931&lt;&gt;'売掛帳'!$B$3,NOT(ISNUMBER($X931))),"",IF(AND($X931&gt;='売掛帳'!$Q$3,$X931&lt;='売掛帳'!$Q$4),$X931+ROW()/10000000,""))</f>
        <v/>
      </c>
    </row>
    <row r="932" ht="18" customHeight="1">
      <c r="A932" s="18" t="n"/>
      <c r="B932" s="26" t="n"/>
      <c r="C932" s="18" t="n"/>
      <c r="D932" s="20">
        <f>IF($W932="","",IF($W932="なし","※得意先にないコード",INDEX('得意先'!$C$5:$C$104,$W932)&amp;""))</f>
        <v/>
      </c>
      <c r="E932" s="26" t="n"/>
      <c r="F932" s="19" t="n"/>
      <c r="G932" s="27" t="n"/>
      <c r="H932" s="27" t="n"/>
      <c r="I932" s="27" t="n"/>
      <c r="J932" s="28">
        <f>IF($A932="","",IF('設定'!$B$10="四捨五入",ROUND(IF('設定'!$B$9="税込",N($G932)*10/110,N($G932)*10/100),0),IF('設定'!$B$10="切り上げ",ROUNDUP(IF('設定'!$B$9="税込",N($G932)*10/110,N($G932)*10/100),0),ROUNDDOWN(IF('設定'!$B$9="税込",N($G932)*10/110,N($G932)*10/100),0))))</f>
        <v/>
      </c>
      <c r="K932" s="28">
        <f>IF($A932="","",IF('設定'!$B$10="四捨五入",ROUND(IF('設定'!$B$9="税込",N($H932)*8/108,N($H932)*8/100),0),IF('設定'!$B$10="切り上げ",ROUNDUP(IF('設定'!$B$9="税込",N($H932)*8/108,N($H932)*8/100),0),ROUNDDOWN(IF('設定'!$B$9="税込",N($H932)*8/108,N($H932)*8/100),0))))</f>
        <v/>
      </c>
      <c r="L932" s="28">
        <f>IF($A932="","",N($G932)+N($H932)+N($I932)+IF('設定'!$B$9="税込",0,$J932+$K932))</f>
        <v/>
      </c>
      <c r="M932" s="29">
        <f>IF(OR($A932="",NOT(ISNUMBER($W932)),NOT(ISNUMBER($X932))),"",IF(OR(INDEX('得意先'!$D$5:$D$104,$W932)="",INDEX('得意先'!$E$5:$E$104,$W932)="",INDEX('得意先'!$F$5:$F$104,$W932)=""),"",IF(INDEX('得意先'!$F$5:$F$104,$W932)="末",DATE(YEAR($X932),(MONTH($X932)+IF(INDEX('得意先'!$D$5:$D$104,$W932)="末",0,IF(DAY($X932)&lt;=INDEX('得意先'!$D$5:$D$104,$W932),0,1))+N(INDEX('得意先'!$E$5:$E$104,$W932)))+1,0),DATE(YEAR($X932),(MONTH($X932)+IF(INDEX('得意先'!$D$5:$D$104,$W932)="末",0,IF(DAY($X932)&lt;=INDEX('得意先'!$D$5:$D$104,$W932),0,1))+N(INDEX('得意先'!$E$5:$E$104,$W932))),MIN(INDEX('得意先'!$F$5:$F$104,$W932),DAY(DATE(YEAR($X932),(MONTH($X932)+IF(INDEX('得意先'!$D$5:$D$104,$W932)="末",0,IF(DAY($X932)&lt;=INDEX('得意先'!$D$5:$D$104,$W932),0,1))+N(INDEX('得意先'!$E$5:$E$104,$W932)))+1,0)))))))</f>
        <v/>
      </c>
      <c r="N932" s="26" t="n"/>
      <c r="O932" s="29">
        <f>IF($A932="","",IF(ISNUMBER($N932),$N932,$M932))</f>
        <v/>
      </c>
      <c r="P932" s="28">
        <f>IF($A932="","",SUMIF('入金消込'!$F$5:$F$1004,$A932,'入金消込'!$G$5:$G$1004))</f>
        <v/>
      </c>
      <c r="Q932" s="28">
        <f>IF($A932="","",SUMIF('入金消込'!$F$5:$F$1004,$A932,'入金消込'!$H$5:$H$1004)+SUMIF('入金消込'!$F$5:$F$1004,$A932,'入金消込'!$I$5:$I$1004))</f>
        <v/>
      </c>
      <c r="R932" s="28">
        <f>IF($A932="","",$L932-$P932-$Q932)</f>
        <v/>
      </c>
      <c r="S932" s="30">
        <f>IF($A932="","",IF($R932=0,IF($L932=0,"請求額0","回収済"),IF($L932&lt;0,IF($R932&lt;0,"差し引き待ち","差し引きすぎ"),IF($R932&lt;0,"入金が多い",IF($P932+$Q932=0,"未入金","一部入金")))))</f>
        <v/>
      </c>
      <c r="T932" s="31">
        <f>IF(OR($A932="",N($R932)&lt;=0,NOT(ISNUMBER($O932))),"",IF($O932&lt;'設定'!$B$7,'設定'!$B$7-$O932,""))</f>
        <v/>
      </c>
      <c r="U932" s="30">
        <f>IF(OR($A932="",N($R932)&lt;=0),"",IF(NOT(ISNUMBER($O932)),'設定'!$B$22,IF($O932&gt;='設定'!$B$7,'設定'!$B$17,IF('設定'!$B$7-$O932&lt;='設定'!$B$12,'設定'!$B$18,IF('設定'!$B$7-$O932&lt;='設定'!$B$13,'設定'!$B$19,IF('設定'!$B$7-$O932&lt;='設定'!$B$14,'設定'!$B$20,'設定'!$B$21))))))</f>
        <v/>
      </c>
      <c r="V932" s="56" t="n"/>
      <c r="W932" s="32">
        <f>IF($C932="","",IFERROR(MATCH($C932,'得意先'!$B$5:$B$104,0),"なし"))</f>
        <v/>
      </c>
      <c r="X932" s="33">
        <f>IF($A932="","",IF(ISNUMBER($E932),$E932,IF(ISNUMBER($B932),$B932,"")))</f>
        <v/>
      </c>
      <c r="Y932" s="34">
        <f>IF($T932="","",$O932+ROW()/1000000)</f>
        <v/>
      </c>
      <c r="Z932" s="35">
        <f>IF(OR($A932="",$C932="",$C932&lt;&gt;'売掛帳'!$B$3,NOT(ISNUMBER($X932))),"",IF(AND($X932&gt;='売掛帳'!$Q$3,$X932&lt;='売掛帳'!$Q$4),$X932+ROW()/10000000,""))</f>
        <v/>
      </c>
    </row>
    <row r="933" ht="18" customHeight="1">
      <c r="A933" s="18" t="n"/>
      <c r="B933" s="26" t="n"/>
      <c r="C933" s="18" t="n"/>
      <c r="D933" s="20">
        <f>IF($W933="","",IF($W933="なし","※得意先にないコード",INDEX('得意先'!$C$5:$C$104,$W933)&amp;""))</f>
        <v/>
      </c>
      <c r="E933" s="26" t="n"/>
      <c r="F933" s="19" t="n"/>
      <c r="G933" s="27" t="n"/>
      <c r="H933" s="27" t="n"/>
      <c r="I933" s="27" t="n"/>
      <c r="J933" s="28">
        <f>IF($A933="","",IF('設定'!$B$10="四捨五入",ROUND(IF('設定'!$B$9="税込",N($G933)*10/110,N($G933)*10/100),0),IF('設定'!$B$10="切り上げ",ROUNDUP(IF('設定'!$B$9="税込",N($G933)*10/110,N($G933)*10/100),0),ROUNDDOWN(IF('設定'!$B$9="税込",N($G933)*10/110,N($G933)*10/100),0))))</f>
        <v/>
      </c>
      <c r="K933" s="28">
        <f>IF($A933="","",IF('設定'!$B$10="四捨五入",ROUND(IF('設定'!$B$9="税込",N($H933)*8/108,N($H933)*8/100),0),IF('設定'!$B$10="切り上げ",ROUNDUP(IF('設定'!$B$9="税込",N($H933)*8/108,N($H933)*8/100),0),ROUNDDOWN(IF('設定'!$B$9="税込",N($H933)*8/108,N($H933)*8/100),0))))</f>
        <v/>
      </c>
      <c r="L933" s="28">
        <f>IF($A933="","",N($G933)+N($H933)+N($I933)+IF('設定'!$B$9="税込",0,$J933+$K933))</f>
        <v/>
      </c>
      <c r="M933" s="29">
        <f>IF(OR($A933="",NOT(ISNUMBER($W933)),NOT(ISNUMBER($X933))),"",IF(OR(INDEX('得意先'!$D$5:$D$104,$W933)="",INDEX('得意先'!$E$5:$E$104,$W933)="",INDEX('得意先'!$F$5:$F$104,$W933)=""),"",IF(INDEX('得意先'!$F$5:$F$104,$W933)="末",DATE(YEAR($X933),(MONTH($X933)+IF(INDEX('得意先'!$D$5:$D$104,$W933)="末",0,IF(DAY($X933)&lt;=INDEX('得意先'!$D$5:$D$104,$W933),0,1))+N(INDEX('得意先'!$E$5:$E$104,$W933)))+1,0),DATE(YEAR($X933),(MONTH($X933)+IF(INDEX('得意先'!$D$5:$D$104,$W933)="末",0,IF(DAY($X933)&lt;=INDEX('得意先'!$D$5:$D$104,$W933),0,1))+N(INDEX('得意先'!$E$5:$E$104,$W933))),MIN(INDEX('得意先'!$F$5:$F$104,$W933),DAY(DATE(YEAR($X933),(MONTH($X933)+IF(INDEX('得意先'!$D$5:$D$104,$W933)="末",0,IF(DAY($X933)&lt;=INDEX('得意先'!$D$5:$D$104,$W933),0,1))+N(INDEX('得意先'!$E$5:$E$104,$W933)))+1,0)))))))</f>
        <v/>
      </c>
      <c r="N933" s="26" t="n"/>
      <c r="O933" s="29">
        <f>IF($A933="","",IF(ISNUMBER($N933),$N933,$M933))</f>
        <v/>
      </c>
      <c r="P933" s="28">
        <f>IF($A933="","",SUMIF('入金消込'!$F$5:$F$1004,$A933,'入金消込'!$G$5:$G$1004))</f>
        <v/>
      </c>
      <c r="Q933" s="28">
        <f>IF($A933="","",SUMIF('入金消込'!$F$5:$F$1004,$A933,'入金消込'!$H$5:$H$1004)+SUMIF('入金消込'!$F$5:$F$1004,$A933,'入金消込'!$I$5:$I$1004))</f>
        <v/>
      </c>
      <c r="R933" s="28">
        <f>IF($A933="","",$L933-$P933-$Q933)</f>
        <v/>
      </c>
      <c r="S933" s="30">
        <f>IF($A933="","",IF($R933=0,IF($L933=0,"請求額0","回収済"),IF($L933&lt;0,IF($R933&lt;0,"差し引き待ち","差し引きすぎ"),IF($R933&lt;0,"入金が多い",IF($P933+$Q933=0,"未入金","一部入金")))))</f>
        <v/>
      </c>
      <c r="T933" s="31">
        <f>IF(OR($A933="",N($R933)&lt;=0,NOT(ISNUMBER($O933))),"",IF($O933&lt;'設定'!$B$7,'設定'!$B$7-$O933,""))</f>
        <v/>
      </c>
      <c r="U933" s="30">
        <f>IF(OR($A933="",N($R933)&lt;=0),"",IF(NOT(ISNUMBER($O933)),'設定'!$B$22,IF($O933&gt;='設定'!$B$7,'設定'!$B$17,IF('設定'!$B$7-$O933&lt;='設定'!$B$12,'設定'!$B$18,IF('設定'!$B$7-$O933&lt;='設定'!$B$13,'設定'!$B$19,IF('設定'!$B$7-$O933&lt;='設定'!$B$14,'設定'!$B$20,'設定'!$B$21))))))</f>
        <v/>
      </c>
      <c r="V933" s="56" t="n"/>
      <c r="W933" s="32">
        <f>IF($C933="","",IFERROR(MATCH($C933,'得意先'!$B$5:$B$104,0),"なし"))</f>
        <v/>
      </c>
      <c r="X933" s="33">
        <f>IF($A933="","",IF(ISNUMBER($E933),$E933,IF(ISNUMBER($B933),$B933,"")))</f>
        <v/>
      </c>
      <c r="Y933" s="34">
        <f>IF($T933="","",$O933+ROW()/1000000)</f>
        <v/>
      </c>
      <c r="Z933" s="35">
        <f>IF(OR($A933="",$C933="",$C933&lt;&gt;'売掛帳'!$B$3,NOT(ISNUMBER($X933))),"",IF(AND($X933&gt;='売掛帳'!$Q$3,$X933&lt;='売掛帳'!$Q$4),$X933+ROW()/10000000,""))</f>
        <v/>
      </c>
    </row>
    <row r="934" ht="18" customHeight="1">
      <c r="A934" s="18" t="n"/>
      <c r="B934" s="26" t="n"/>
      <c r="C934" s="18" t="n"/>
      <c r="D934" s="20">
        <f>IF($W934="","",IF($W934="なし","※得意先にないコード",INDEX('得意先'!$C$5:$C$104,$W934)&amp;""))</f>
        <v/>
      </c>
      <c r="E934" s="26" t="n"/>
      <c r="F934" s="19" t="n"/>
      <c r="G934" s="27" t="n"/>
      <c r="H934" s="27" t="n"/>
      <c r="I934" s="27" t="n"/>
      <c r="J934" s="28">
        <f>IF($A934="","",IF('設定'!$B$10="四捨五入",ROUND(IF('設定'!$B$9="税込",N($G934)*10/110,N($G934)*10/100),0),IF('設定'!$B$10="切り上げ",ROUNDUP(IF('設定'!$B$9="税込",N($G934)*10/110,N($G934)*10/100),0),ROUNDDOWN(IF('設定'!$B$9="税込",N($G934)*10/110,N($G934)*10/100),0))))</f>
        <v/>
      </c>
      <c r="K934" s="28">
        <f>IF($A934="","",IF('設定'!$B$10="四捨五入",ROUND(IF('設定'!$B$9="税込",N($H934)*8/108,N($H934)*8/100),0),IF('設定'!$B$10="切り上げ",ROUNDUP(IF('設定'!$B$9="税込",N($H934)*8/108,N($H934)*8/100),0),ROUNDDOWN(IF('設定'!$B$9="税込",N($H934)*8/108,N($H934)*8/100),0))))</f>
        <v/>
      </c>
      <c r="L934" s="28">
        <f>IF($A934="","",N($G934)+N($H934)+N($I934)+IF('設定'!$B$9="税込",0,$J934+$K934))</f>
        <v/>
      </c>
      <c r="M934" s="29">
        <f>IF(OR($A934="",NOT(ISNUMBER($W934)),NOT(ISNUMBER($X934))),"",IF(OR(INDEX('得意先'!$D$5:$D$104,$W934)="",INDEX('得意先'!$E$5:$E$104,$W934)="",INDEX('得意先'!$F$5:$F$104,$W934)=""),"",IF(INDEX('得意先'!$F$5:$F$104,$W934)="末",DATE(YEAR($X934),(MONTH($X934)+IF(INDEX('得意先'!$D$5:$D$104,$W934)="末",0,IF(DAY($X934)&lt;=INDEX('得意先'!$D$5:$D$104,$W934),0,1))+N(INDEX('得意先'!$E$5:$E$104,$W934)))+1,0),DATE(YEAR($X934),(MONTH($X934)+IF(INDEX('得意先'!$D$5:$D$104,$W934)="末",0,IF(DAY($X934)&lt;=INDEX('得意先'!$D$5:$D$104,$W934),0,1))+N(INDEX('得意先'!$E$5:$E$104,$W934))),MIN(INDEX('得意先'!$F$5:$F$104,$W934),DAY(DATE(YEAR($X934),(MONTH($X934)+IF(INDEX('得意先'!$D$5:$D$104,$W934)="末",0,IF(DAY($X934)&lt;=INDEX('得意先'!$D$5:$D$104,$W934),0,1))+N(INDEX('得意先'!$E$5:$E$104,$W934)))+1,0)))))))</f>
        <v/>
      </c>
      <c r="N934" s="26" t="n"/>
      <c r="O934" s="29">
        <f>IF($A934="","",IF(ISNUMBER($N934),$N934,$M934))</f>
        <v/>
      </c>
      <c r="P934" s="28">
        <f>IF($A934="","",SUMIF('入金消込'!$F$5:$F$1004,$A934,'入金消込'!$G$5:$G$1004))</f>
        <v/>
      </c>
      <c r="Q934" s="28">
        <f>IF($A934="","",SUMIF('入金消込'!$F$5:$F$1004,$A934,'入金消込'!$H$5:$H$1004)+SUMIF('入金消込'!$F$5:$F$1004,$A934,'入金消込'!$I$5:$I$1004))</f>
        <v/>
      </c>
      <c r="R934" s="28">
        <f>IF($A934="","",$L934-$P934-$Q934)</f>
        <v/>
      </c>
      <c r="S934" s="30">
        <f>IF($A934="","",IF($R934=0,IF($L934=0,"請求額0","回収済"),IF($L934&lt;0,IF($R934&lt;0,"差し引き待ち","差し引きすぎ"),IF($R934&lt;0,"入金が多い",IF($P934+$Q934=0,"未入金","一部入金")))))</f>
        <v/>
      </c>
      <c r="T934" s="31">
        <f>IF(OR($A934="",N($R934)&lt;=0,NOT(ISNUMBER($O934))),"",IF($O934&lt;'設定'!$B$7,'設定'!$B$7-$O934,""))</f>
        <v/>
      </c>
      <c r="U934" s="30">
        <f>IF(OR($A934="",N($R934)&lt;=0),"",IF(NOT(ISNUMBER($O934)),'設定'!$B$22,IF($O934&gt;='設定'!$B$7,'設定'!$B$17,IF('設定'!$B$7-$O934&lt;='設定'!$B$12,'設定'!$B$18,IF('設定'!$B$7-$O934&lt;='設定'!$B$13,'設定'!$B$19,IF('設定'!$B$7-$O934&lt;='設定'!$B$14,'設定'!$B$20,'設定'!$B$21))))))</f>
        <v/>
      </c>
      <c r="V934" s="56" t="n"/>
      <c r="W934" s="32">
        <f>IF($C934="","",IFERROR(MATCH($C934,'得意先'!$B$5:$B$104,0),"なし"))</f>
        <v/>
      </c>
      <c r="X934" s="33">
        <f>IF($A934="","",IF(ISNUMBER($E934),$E934,IF(ISNUMBER($B934),$B934,"")))</f>
        <v/>
      </c>
      <c r="Y934" s="34">
        <f>IF($T934="","",$O934+ROW()/1000000)</f>
        <v/>
      </c>
      <c r="Z934" s="35">
        <f>IF(OR($A934="",$C934="",$C934&lt;&gt;'売掛帳'!$B$3,NOT(ISNUMBER($X934))),"",IF(AND($X934&gt;='売掛帳'!$Q$3,$X934&lt;='売掛帳'!$Q$4),$X934+ROW()/10000000,""))</f>
        <v/>
      </c>
    </row>
    <row r="935" ht="18" customHeight="1">
      <c r="A935" s="18" t="n"/>
      <c r="B935" s="26" t="n"/>
      <c r="C935" s="18" t="n"/>
      <c r="D935" s="20">
        <f>IF($W935="","",IF($W935="なし","※得意先にないコード",INDEX('得意先'!$C$5:$C$104,$W935)&amp;""))</f>
        <v/>
      </c>
      <c r="E935" s="26" t="n"/>
      <c r="F935" s="19" t="n"/>
      <c r="G935" s="27" t="n"/>
      <c r="H935" s="27" t="n"/>
      <c r="I935" s="27" t="n"/>
      <c r="J935" s="28">
        <f>IF($A935="","",IF('設定'!$B$10="四捨五入",ROUND(IF('設定'!$B$9="税込",N($G935)*10/110,N($G935)*10/100),0),IF('設定'!$B$10="切り上げ",ROUNDUP(IF('設定'!$B$9="税込",N($G935)*10/110,N($G935)*10/100),0),ROUNDDOWN(IF('設定'!$B$9="税込",N($G935)*10/110,N($G935)*10/100),0))))</f>
        <v/>
      </c>
      <c r="K935" s="28">
        <f>IF($A935="","",IF('設定'!$B$10="四捨五入",ROUND(IF('設定'!$B$9="税込",N($H935)*8/108,N($H935)*8/100),0),IF('設定'!$B$10="切り上げ",ROUNDUP(IF('設定'!$B$9="税込",N($H935)*8/108,N($H935)*8/100),0),ROUNDDOWN(IF('設定'!$B$9="税込",N($H935)*8/108,N($H935)*8/100),0))))</f>
        <v/>
      </c>
      <c r="L935" s="28">
        <f>IF($A935="","",N($G935)+N($H935)+N($I935)+IF('設定'!$B$9="税込",0,$J935+$K935))</f>
        <v/>
      </c>
      <c r="M935" s="29">
        <f>IF(OR($A935="",NOT(ISNUMBER($W935)),NOT(ISNUMBER($X935))),"",IF(OR(INDEX('得意先'!$D$5:$D$104,$W935)="",INDEX('得意先'!$E$5:$E$104,$W935)="",INDEX('得意先'!$F$5:$F$104,$W935)=""),"",IF(INDEX('得意先'!$F$5:$F$104,$W935)="末",DATE(YEAR($X935),(MONTH($X935)+IF(INDEX('得意先'!$D$5:$D$104,$W935)="末",0,IF(DAY($X935)&lt;=INDEX('得意先'!$D$5:$D$104,$W935),0,1))+N(INDEX('得意先'!$E$5:$E$104,$W935)))+1,0),DATE(YEAR($X935),(MONTH($X935)+IF(INDEX('得意先'!$D$5:$D$104,$W935)="末",0,IF(DAY($X935)&lt;=INDEX('得意先'!$D$5:$D$104,$W935),0,1))+N(INDEX('得意先'!$E$5:$E$104,$W935))),MIN(INDEX('得意先'!$F$5:$F$104,$W935),DAY(DATE(YEAR($X935),(MONTH($X935)+IF(INDEX('得意先'!$D$5:$D$104,$W935)="末",0,IF(DAY($X935)&lt;=INDEX('得意先'!$D$5:$D$104,$W935),0,1))+N(INDEX('得意先'!$E$5:$E$104,$W935)))+1,0)))))))</f>
        <v/>
      </c>
      <c r="N935" s="26" t="n"/>
      <c r="O935" s="29">
        <f>IF($A935="","",IF(ISNUMBER($N935),$N935,$M935))</f>
        <v/>
      </c>
      <c r="P935" s="28">
        <f>IF($A935="","",SUMIF('入金消込'!$F$5:$F$1004,$A935,'入金消込'!$G$5:$G$1004))</f>
        <v/>
      </c>
      <c r="Q935" s="28">
        <f>IF($A935="","",SUMIF('入金消込'!$F$5:$F$1004,$A935,'入金消込'!$H$5:$H$1004)+SUMIF('入金消込'!$F$5:$F$1004,$A935,'入金消込'!$I$5:$I$1004))</f>
        <v/>
      </c>
      <c r="R935" s="28">
        <f>IF($A935="","",$L935-$P935-$Q935)</f>
        <v/>
      </c>
      <c r="S935" s="30">
        <f>IF($A935="","",IF($R935=0,IF($L935=0,"請求額0","回収済"),IF($L935&lt;0,IF($R935&lt;0,"差し引き待ち","差し引きすぎ"),IF($R935&lt;0,"入金が多い",IF($P935+$Q935=0,"未入金","一部入金")))))</f>
        <v/>
      </c>
      <c r="T935" s="31">
        <f>IF(OR($A935="",N($R935)&lt;=0,NOT(ISNUMBER($O935))),"",IF($O935&lt;'設定'!$B$7,'設定'!$B$7-$O935,""))</f>
        <v/>
      </c>
      <c r="U935" s="30">
        <f>IF(OR($A935="",N($R935)&lt;=0),"",IF(NOT(ISNUMBER($O935)),'設定'!$B$22,IF($O935&gt;='設定'!$B$7,'設定'!$B$17,IF('設定'!$B$7-$O935&lt;='設定'!$B$12,'設定'!$B$18,IF('設定'!$B$7-$O935&lt;='設定'!$B$13,'設定'!$B$19,IF('設定'!$B$7-$O935&lt;='設定'!$B$14,'設定'!$B$20,'設定'!$B$21))))))</f>
        <v/>
      </c>
      <c r="V935" s="56" t="n"/>
      <c r="W935" s="32">
        <f>IF($C935="","",IFERROR(MATCH($C935,'得意先'!$B$5:$B$104,0),"なし"))</f>
        <v/>
      </c>
      <c r="X935" s="33">
        <f>IF($A935="","",IF(ISNUMBER($E935),$E935,IF(ISNUMBER($B935),$B935,"")))</f>
        <v/>
      </c>
      <c r="Y935" s="34">
        <f>IF($T935="","",$O935+ROW()/1000000)</f>
        <v/>
      </c>
      <c r="Z935" s="35">
        <f>IF(OR($A935="",$C935="",$C935&lt;&gt;'売掛帳'!$B$3,NOT(ISNUMBER($X935))),"",IF(AND($X935&gt;='売掛帳'!$Q$3,$X935&lt;='売掛帳'!$Q$4),$X935+ROW()/10000000,""))</f>
        <v/>
      </c>
    </row>
    <row r="936" ht="18" customHeight="1">
      <c r="A936" s="18" t="n"/>
      <c r="B936" s="26" t="n"/>
      <c r="C936" s="18" t="n"/>
      <c r="D936" s="20">
        <f>IF($W936="","",IF($W936="なし","※得意先にないコード",INDEX('得意先'!$C$5:$C$104,$W936)&amp;""))</f>
        <v/>
      </c>
      <c r="E936" s="26" t="n"/>
      <c r="F936" s="19" t="n"/>
      <c r="G936" s="27" t="n"/>
      <c r="H936" s="27" t="n"/>
      <c r="I936" s="27" t="n"/>
      <c r="J936" s="28">
        <f>IF($A936="","",IF('設定'!$B$10="四捨五入",ROUND(IF('設定'!$B$9="税込",N($G936)*10/110,N($G936)*10/100),0),IF('設定'!$B$10="切り上げ",ROUNDUP(IF('設定'!$B$9="税込",N($G936)*10/110,N($G936)*10/100),0),ROUNDDOWN(IF('設定'!$B$9="税込",N($G936)*10/110,N($G936)*10/100),0))))</f>
        <v/>
      </c>
      <c r="K936" s="28">
        <f>IF($A936="","",IF('設定'!$B$10="四捨五入",ROUND(IF('設定'!$B$9="税込",N($H936)*8/108,N($H936)*8/100),0),IF('設定'!$B$10="切り上げ",ROUNDUP(IF('設定'!$B$9="税込",N($H936)*8/108,N($H936)*8/100),0),ROUNDDOWN(IF('設定'!$B$9="税込",N($H936)*8/108,N($H936)*8/100),0))))</f>
        <v/>
      </c>
      <c r="L936" s="28">
        <f>IF($A936="","",N($G936)+N($H936)+N($I936)+IF('設定'!$B$9="税込",0,$J936+$K936))</f>
        <v/>
      </c>
      <c r="M936" s="29">
        <f>IF(OR($A936="",NOT(ISNUMBER($W936)),NOT(ISNUMBER($X936))),"",IF(OR(INDEX('得意先'!$D$5:$D$104,$W936)="",INDEX('得意先'!$E$5:$E$104,$W936)="",INDEX('得意先'!$F$5:$F$104,$W936)=""),"",IF(INDEX('得意先'!$F$5:$F$104,$W936)="末",DATE(YEAR($X936),(MONTH($X936)+IF(INDEX('得意先'!$D$5:$D$104,$W936)="末",0,IF(DAY($X936)&lt;=INDEX('得意先'!$D$5:$D$104,$W936),0,1))+N(INDEX('得意先'!$E$5:$E$104,$W936)))+1,0),DATE(YEAR($X936),(MONTH($X936)+IF(INDEX('得意先'!$D$5:$D$104,$W936)="末",0,IF(DAY($X936)&lt;=INDEX('得意先'!$D$5:$D$104,$W936),0,1))+N(INDEX('得意先'!$E$5:$E$104,$W936))),MIN(INDEX('得意先'!$F$5:$F$104,$W936),DAY(DATE(YEAR($X936),(MONTH($X936)+IF(INDEX('得意先'!$D$5:$D$104,$W936)="末",0,IF(DAY($X936)&lt;=INDEX('得意先'!$D$5:$D$104,$W936),0,1))+N(INDEX('得意先'!$E$5:$E$104,$W936)))+1,0)))))))</f>
        <v/>
      </c>
      <c r="N936" s="26" t="n"/>
      <c r="O936" s="29">
        <f>IF($A936="","",IF(ISNUMBER($N936),$N936,$M936))</f>
        <v/>
      </c>
      <c r="P936" s="28">
        <f>IF($A936="","",SUMIF('入金消込'!$F$5:$F$1004,$A936,'入金消込'!$G$5:$G$1004))</f>
        <v/>
      </c>
      <c r="Q936" s="28">
        <f>IF($A936="","",SUMIF('入金消込'!$F$5:$F$1004,$A936,'入金消込'!$H$5:$H$1004)+SUMIF('入金消込'!$F$5:$F$1004,$A936,'入金消込'!$I$5:$I$1004))</f>
        <v/>
      </c>
      <c r="R936" s="28">
        <f>IF($A936="","",$L936-$P936-$Q936)</f>
        <v/>
      </c>
      <c r="S936" s="30">
        <f>IF($A936="","",IF($R936=0,IF($L936=0,"請求額0","回収済"),IF($L936&lt;0,IF($R936&lt;0,"差し引き待ち","差し引きすぎ"),IF($R936&lt;0,"入金が多い",IF($P936+$Q936=0,"未入金","一部入金")))))</f>
        <v/>
      </c>
      <c r="T936" s="31">
        <f>IF(OR($A936="",N($R936)&lt;=0,NOT(ISNUMBER($O936))),"",IF($O936&lt;'設定'!$B$7,'設定'!$B$7-$O936,""))</f>
        <v/>
      </c>
      <c r="U936" s="30">
        <f>IF(OR($A936="",N($R936)&lt;=0),"",IF(NOT(ISNUMBER($O936)),'設定'!$B$22,IF($O936&gt;='設定'!$B$7,'設定'!$B$17,IF('設定'!$B$7-$O936&lt;='設定'!$B$12,'設定'!$B$18,IF('設定'!$B$7-$O936&lt;='設定'!$B$13,'設定'!$B$19,IF('設定'!$B$7-$O936&lt;='設定'!$B$14,'設定'!$B$20,'設定'!$B$21))))))</f>
        <v/>
      </c>
      <c r="V936" s="56" t="n"/>
      <c r="W936" s="32">
        <f>IF($C936="","",IFERROR(MATCH($C936,'得意先'!$B$5:$B$104,0),"なし"))</f>
        <v/>
      </c>
      <c r="X936" s="33">
        <f>IF($A936="","",IF(ISNUMBER($E936),$E936,IF(ISNUMBER($B936),$B936,"")))</f>
        <v/>
      </c>
      <c r="Y936" s="34">
        <f>IF($T936="","",$O936+ROW()/1000000)</f>
        <v/>
      </c>
      <c r="Z936" s="35">
        <f>IF(OR($A936="",$C936="",$C936&lt;&gt;'売掛帳'!$B$3,NOT(ISNUMBER($X936))),"",IF(AND($X936&gt;='売掛帳'!$Q$3,$X936&lt;='売掛帳'!$Q$4),$X936+ROW()/10000000,""))</f>
        <v/>
      </c>
    </row>
    <row r="937" ht="18" customHeight="1">
      <c r="A937" s="18" t="n"/>
      <c r="B937" s="26" t="n"/>
      <c r="C937" s="18" t="n"/>
      <c r="D937" s="20">
        <f>IF($W937="","",IF($W937="なし","※得意先にないコード",INDEX('得意先'!$C$5:$C$104,$W937)&amp;""))</f>
        <v/>
      </c>
      <c r="E937" s="26" t="n"/>
      <c r="F937" s="19" t="n"/>
      <c r="G937" s="27" t="n"/>
      <c r="H937" s="27" t="n"/>
      <c r="I937" s="27" t="n"/>
      <c r="J937" s="28">
        <f>IF($A937="","",IF('設定'!$B$10="四捨五入",ROUND(IF('設定'!$B$9="税込",N($G937)*10/110,N($G937)*10/100),0),IF('設定'!$B$10="切り上げ",ROUNDUP(IF('設定'!$B$9="税込",N($G937)*10/110,N($G937)*10/100),0),ROUNDDOWN(IF('設定'!$B$9="税込",N($G937)*10/110,N($G937)*10/100),0))))</f>
        <v/>
      </c>
      <c r="K937" s="28">
        <f>IF($A937="","",IF('設定'!$B$10="四捨五入",ROUND(IF('設定'!$B$9="税込",N($H937)*8/108,N($H937)*8/100),0),IF('設定'!$B$10="切り上げ",ROUNDUP(IF('設定'!$B$9="税込",N($H937)*8/108,N($H937)*8/100),0),ROUNDDOWN(IF('設定'!$B$9="税込",N($H937)*8/108,N($H937)*8/100),0))))</f>
        <v/>
      </c>
      <c r="L937" s="28">
        <f>IF($A937="","",N($G937)+N($H937)+N($I937)+IF('設定'!$B$9="税込",0,$J937+$K937))</f>
        <v/>
      </c>
      <c r="M937" s="29">
        <f>IF(OR($A937="",NOT(ISNUMBER($W937)),NOT(ISNUMBER($X937))),"",IF(OR(INDEX('得意先'!$D$5:$D$104,$W937)="",INDEX('得意先'!$E$5:$E$104,$W937)="",INDEX('得意先'!$F$5:$F$104,$W937)=""),"",IF(INDEX('得意先'!$F$5:$F$104,$W937)="末",DATE(YEAR($X937),(MONTH($X937)+IF(INDEX('得意先'!$D$5:$D$104,$W937)="末",0,IF(DAY($X937)&lt;=INDEX('得意先'!$D$5:$D$104,$W937),0,1))+N(INDEX('得意先'!$E$5:$E$104,$W937)))+1,0),DATE(YEAR($X937),(MONTH($X937)+IF(INDEX('得意先'!$D$5:$D$104,$W937)="末",0,IF(DAY($X937)&lt;=INDEX('得意先'!$D$5:$D$104,$W937),0,1))+N(INDEX('得意先'!$E$5:$E$104,$W937))),MIN(INDEX('得意先'!$F$5:$F$104,$W937),DAY(DATE(YEAR($X937),(MONTH($X937)+IF(INDEX('得意先'!$D$5:$D$104,$W937)="末",0,IF(DAY($X937)&lt;=INDEX('得意先'!$D$5:$D$104,$W937),0,1))+N(INDEX('得意先'!$E$5:$E$104,$W937)))+1,0)))))))</f>
        <v/>
      </c>
      <c r="N937" s="26" t="n"/>
      <c r="O937" s="29">
        <f>IF($A937="","",IF(ISNUMBER($N937),$N937,$M937))</f>
        <v/>
      </c>
      <c r="P937" s="28">
        <f>IF($A937="","",SUMIF('入金消込'!$F$5:$F$1004,$A937,'入金消込'!$G$5:$G$1004))</f>
        <v/>
      </c>
      <c r="Q937" s="28">
        <f>IF($A937="","",SUMIF('入金消込'!$F$5:$F$1004,$A937,'入金消込'!$H$5:$H$1004)+SUMIF('入金消込'!$F$5:$F$1004,$A937,'入金消込'!$I$5:$I$1004))</f>
        <v/>
      </c>
      <c r="R937" s="28">
        <f>IF($A937="","",$L937-$P937-$Q937)</f>
        <v/>
      </c>
      <c r="S937" s="30">
        <f>IF($A937="","",IF($R937=0,IF($L937=0,"請求額0","回収済"),IF($L937&lt;0,IF($R937&lt;0,"差し引き待ち","差し引きすぎ"),IF($R937&lt;0,"入金が多い",IF($P937+$Q937=0,"未入金","一部入金")))))</f>
        <v/>
      </c>
      <c r="T937" s="31">
        <f>IF(OR($A937="",N($R937)&lt;=0,NOT(ISNUMBER($O937))),"",IF($O937&lt;'設定'!$B$7,'設定'!$B$7-$O937,""))</f>
        <v/>
      </c>
      <c r="U937" s="30">
        <f>IF(OR($A937="",N($R937)&lt;=0),"",IF(NOT(ISNUMBER($O937)),'設定'!$B$22,IF($O937&gt;='設定'!$B$7,'設定'!$B$17,IF('設定'!$B$7-$O937&lt;='設定'!$B$12,'設定'!$B$18,IF('設定'!$B$7-$O937&lt;='設定'!$B$13,'設定'!$B$19,IF('設定'!$B$7-$O937&lt;='設定'!$B$14,'設定'!$B$20,'設定'!$B$21))))))</f>
        <v/>
      </c>
      <c r="V937" s="56" t="n"/>
      <c r="W937" s="32">
        <f>IF($C937="","",IFERROR(MATCH($C937,'得意先'!$B$5:$B$104,0),"なし"))</f>
        <v/>
      </c>
      <c r="X937" s="33">
        <f>IF($A937="","",IF(ISNUMBER($E937),$E937,IF(ISNUMBER($B937),$B937,"")))</f>
        <v/>
      </c>
      <c r="Y937" s="34">
        <f>IF($T937="","",$O937+ROW()/1000000)</f>
        <v/>
      </c>
      <c r="Z937" s="35">
        <f>IF(OR($A937="",$C937="",$C937&lt;&gt;'売掛帳'!$B$3,NOT(ISNUMBER($X937))),"",IF(AND($X937&gt;='売掛帳'!$Q$3,$X937&lt;='売掛帳'!$Q$4),$X937+ROW()/10000000,""))</f>
        <v/>
      </c>
    </row>
    <row r="938" ht="18" customHeight="1">
      <c r="A938" s="18" t="n"/>
      <c r="B938" s="26" t="n"/>
      <c r="C938" s="18" t="n"/>
      <c r="D938" s="20">
        <f>IF($W938="","",IF($W938="なし","※得意先にないコード",INDEX('得意先'!$C$5:$C$104,$W938)&amp;""))</f>
        <v/>
      </c>
      <c r="E938" s="26" t="n"/>
      <c r="F938" s="19" t="n"/>
      <c r="G938" s="27" t="n"/>
      <c r="H938" s="27" t="n"/>
      <c r="I938" s="27" t="n"/>
      <c r="J938" s="28">
        <f>IF($A938="","",IF('設定'!$B$10="四捨五入",ROUND(IF('設定'!$B$9="税込",N($G938)*10/110,N($G938)*10/100),0),IF('設定'!$B$10="切り上げ",ROUNDUP(IF('設定'!$B$9="税込",N($G938)*10/110,N($G938)*10/100),0),ROUNDDOWN(IF('設定'!$B$9="税込",N($G938)*10/110,N($G938)*10/100),0))))</f>
        <v/>
      </c>
      <c r="K938" s="28">
        <f>IF($A938="","",IF('設定'!$B$10="四捨五入",ROUND(IF('設定'!$B$9="税込",N($H938)*8/108,N($H938)*8/100),0),IF('設定'!$B$10="切り上げ",ROUNDUP(IF('設定'!$B$9="税込",N($H938)*8/108,N($H938)*8/100),0),ROUNDDOWN(IF('設定'!$B$9="税込",N($H938)*8/108,N($H938)*8/100),0))))</f>
        <v/>
      </c>
      <c r="L938" s="28">
        <f>IF($A938="","",N($G938)+N($H938)+N($I938)+IF('設定'!$B$9="税込",0,$J938+$K938))</f>
        <v/>
      </c>
      <c r="M938" s="29">
        <f>IF(OR($A938="",NOT(ISNUMBER($W938)),NOT(ISNUMBER($X938))),"",IF(OR(INDEX('得意先'!$D$5:$D$104,$W938)="",INDEX('得意先'!$E$5:$E$104,$W938)="",INDEX('得意先'!$F$5:$F$104,$W938)=""),"",IF(INDEX('得意先'!$F$5:$F$104,$W938)="末",DATE(YEAR($X938),(MONTH($X938)+IF(INDEX('得意先'!$D$5:$D$104,$W938)="末",0,IF(DAY($X938)&lt;=INDEX('得意先'!$D$5:$D$104,$W938),0,1))+N(INDEX('得意先'!$E$5:$E$104,$W938)))+1,0),DATE(YEAR($X938),(MONTH($X938)+IF(INDEX('得意先'!$D$5:$D$104,$W938)="末",0,IF(DAY($X938)&lt;=INDEX('得意先'!$D$5:$D$104,$W938),0,1))+N(INDEX('得意先'!$E$5:$E$104,$W938))),MIN(INDEX('得意先'!$F$5:$F$104,$W938),DAY(DATE(YEAR($X938),(MONTH($X938)+IF(INDEX('得意先'!$D$5:$D$104,$W938)="末",0,IF(DAY($X938)&lt;=INDEX('得意先'!$D$5:$D$104,$W938),0,1))+N(INDEX('得意先'!$E$5:$E$104,$W938)))+1,0)))))))</f>
        <v/>
      </c>
      <c r="N938" s="26" t="n"/>
      <c r="O938" s="29">
        <f>IF($A938="","",IF(ISNUMBER($N938),$N938,$M938))</f>
        <v/>
      </c>
      <c r="P938" s="28">
        <f>IF($A938="","",SUMIF('入金消込'!$F$5:$F$1004,$A938,'入金消込'!$G$5:$G$1004))</f>
        <v/>
      </c>
      <c r="Q938" s="28">
        <f>IF($A938="","",SUMIF('入金消込'!$F$5:$F$1004,$A938,'入金消込'!$H$5:$H$1004)+SUMIF('入金消込'!$F$5:$F$1004,$A938,'入金消込'!$I$5:$I$1004))</f>
        <v/>
      </c>
      <c r="R938" s="28">
        <f>IF($A938="","",$L938-$P938-$Q938)</f>
        <v/>
      </c>
      <c r="S938" s="30">
        <f>IF($A938="","",IF($R938=0,IF($L938=0,"請求額0","回収済"),IF($L938&lt;0,IF($R938&lt;0,"差し引き待ち","差し引きすぎ"),IF($R938&lt;0,"入金が多い",IF($P938+$Q938=0,"未入金","一部入金")))))</f>
        <v/>
      </c>
      <c r="T938" s="31">
        <f>IF(OR($A938="",N($R938)&lt;=0,NOT(ISNUMBER($O938))),"",IF($O938&lt;'設定'!$B$7,'設定'!$B$7-$O938,""))</f>
        <v/>
      </c>
      <c r="U938" s="30">
        <f>IF(OR($A938="",N($R938)&lt;=0),"",IF(NOT(ISNUMBER($O938)),'設定'!$B$22,IF($O938&gt;='設定'!$B$7,'設定'!$B$17,IF('設定'!$B$7-$O938&lt;='設定'!$B$12,'設定'!$B$18,IF('設定'!$B$7-$O938&lt;='設定'!$B$13,'設定'!$B$19,IF('設定'!$B$7-$O938&lt;='設定'!$B$14,'設定'!$B$20,'設定'!$B$21))))))</f>
        <v/>
      </c>
      <c r="V938" s="56" t="n"/>
      <c r="W938" s="32">
        <f>IF($C938="","",IFERROR(MATCH($C938,'得意先'!$B$5:$B$104,0),"なし"))</f>
        <v/>
      </c>
      <c r="X938" s="33">
        <f>IF($A938="","",IF(ISNUMBER($E938),$E938,IF(ISNUMBER($B938),$B938,"")))</f>
        <v/>
      </c>
      <c r="Y938" s="34">
        <f>IF($T938="","",$O938+ROW()/1000000)</f>
        <v/>
      </c>
      <c r="Z938" s="35">
        <f>IF(OR($A938="",$C938="",$C938&lt;&gt;'売掛帳'!$B$3,NOT(ISNUMBER($X938))),"",IF(AND($X938&gt;='売掛帳'!$Q$3,$X938&lt;='売掛帳'!$Q$4),$X938+ROW()/10000000,""))</f>
        <v/>
      </c>
    </row>
    <row r="939" ht="18" customHeight="1">
      <c r="A939" s="18" t="n"/>
      <c r="B939" s="26" t="n"/>
      <c r="C939" s="18" t="n"/>
      <c r="D939" s="20">
        <f>IF($W939="","",IF($W939="なし","※得意先にないコード",INDEX('得意先'!$C$5:$C$104,$W939)&amp;""))</f>
        <v/>
      </c>
      <c r="E939" s="26" t="n"/>
      <c r="F939" s="19" t="n"/>
      <c r="G939" s="27" t="n"/>
      <c r="H939" s="27" t="n"/>
      <c r="I939" s="27" t="n"/>
      <c r="J939" s="28">
        <f>IF($A939="","",IF('設定'!$B$10="四捨五入",ROUND(IF('設定'!$B$9="税込",N($G939)*10/110,N($G939)*10/100),0),IF('設定'!$B$10="切り上げ",ROUNDUP(IF('設定'!$B$9="税込",N($G939)*10/110,N($G939)*10/100),0),ROUNDDOWN(IF('設定'!$B$9="税込",N($G939)*10/110,N($G939)*10/100),0))))</f>
        <v/>
      </c>
      <c r="K939" s="28">
        <f>IF($A939="","",IF('設定'!$B$10="四捨五入",ROUND(IF('設定'!$B$9="税込",N($H939)*8/108,N($H939)*8/100),0),IF('設定'!$B$10="切り上げ",ROUNDUP(IF('設定'!$B$9="税込",N($H939)*8/108,N($H939)*8/100),0),ROUNDDOWN(IF('設定'!$B$9="税込",N($H939)*8/108,N($H939)*8/100),0))))</f>
        <v/>
      </c>
      <c r="L939" s="28">
        <f>IF($A939="","",N($G939)+N($H939)+N($I939)+IF('設定'!$B$9="税込",0,$J939+$K939))</f>
        <v/>
      </c>
      <c r="M939" s="29">
        <f>IF(OR($A939="",NOT(ISNUMBER($W939)),NOT(ISNUMBER($X939))),"",IF(OR(INDEX('得意先'!$D$5:$D$104,$W939)="",INDEX('得意先'!$E$5:$E$104,$W939)="",INDEX('得意先'!$F$5:$F$104,$W939)=""),"",IF(INDEX('得意先'!$F$5:$F$104,$W939)="末",DATE(YEAR($X939),(MONTH($X939)+IF(INDEX('得意先'!$D$5:$D$104,$W939)="末",0,IF(DAY($X939)&lt;=INDEX('得意先'!$D$5:$D$104,$W939),0,1))+N(INDEX('得意先'!$E$5:$E$104,$W939)))+1,0),DATE(YEAR($X939),(MONTH($X939)+IF(INDEX('得意先'!$D$5:$D$104,$W939)="末",0,IF(DAY($X939)&lt;=INDEX('得意先'!$D$5:$D$104,$W939),0,1))+N(INDEX('得意先'!$E$5:$E$104,$W939))),MIN(INDEX('得意先'!$F$5:$F$104,$W939),DAY(DATE(YEAR($X939),(MONTH($X939)+IF(INDEX('得意先'!$D$5:$D$104,$W939)="末",0,IF(DAY($X939)&lt;=INDEX('得意先'!$D$5:$D$104,$W939),0,1))+N(INDEX('得意先'!$E$5:$E$104,$W939)))+1,0)))))))</f>
        <v/>
      </c>
      <c r="N939" s="26" t="n"/>
      <c r="O939" s="29">
        <f>IF($A939="","",IF(ISNUMBER($N939),$N939,$M939))</f>
        <v/>
      </c>
      <c r="P939" s="28">
        <f>IF($A939="","",SUMIF('入金消込'!$F$5:$F$1004,$A939,'入金消込'!$G$5:$G$1004))</f>
        <v/>
      </c>
      <c r="Q939" s="28">
        <f>IF($A939="","",SUMIF('入金消込'!$F$5:$F$1004,$A939,'入金消込'!$H$5:$H$1004)+SUMIF('入金消込'!$F$5:$F$1004,$A939,'入金消込'!$I$5:$I$1004))</f>
        <v/>
      </c>
      <c r="R939" s="28">
        <f>IF($A939="","",$L939-$P939-$Q939)</f>
        <v/>
      </c>
      <c r="S939" s="30">
        <f>IF($A939="","",IF($R939=0,IF($L939=0,"請求額0","回収済"),IF($L939&lt;0,IF($R939&lt;0,"差し引き待ち","差し引きすぎ"),IF($R939&lt;0,"入金が多い",IF($P939+$Q939=0,"未入金","一部入金")))))</f>
        <v/>
      </c>
      <c r="T939" s="31">
        <f>IF(OR($A939="",N($R939)&lt;=0,NOT(ISNUMBER($O939))),"",IF($O939&lt;'設定'!$B$7,'設定'!$B$7-$O939,""))</f>
        <v/>
      </c>
      <c r="U939" s="30">
        <f>IF(OR($A939="",N($R939)&lt;=0),"",IF(NOT(ISNUMBER($O939)),'設定'!$B$22,IF($O939&gt;='設定'!$B$7,'設定'!$B$17,IF('設定'!$B$7-$O939&lt;='設定'!$B$12,'設定'!$B$18,IF('設定'!$B$7-$O939&lt;='設定'!$B$13,'設定'!$B$19,IF('設定'!$B$7-$O939&lt;='設定'!$B$14,'設定'!$B$20,'設定'!$B$21))))))</f>
        <v/>
      </c>
      <c r="V939" s="56" t="n"/>
      <c r="W939" s="32">
        <f>IF($C939="","",IFERROR(MATCH($C939,'得意先'!$B$5:$B$104,0),"なし"))</f>
        <v/>
      </c>
      <c r="X939" s="33">
        <f>IF($A939="","",IF(ISNUMBER($E939),$E939,IF(ISNUMBER($B939),$B939,"")))</f>
        <v/>
      </c>
      <c r="Y939" s="34">
        <f>IF($T939="","",$O939+ROW()/1000000)</f>
        <v/>
      </c>
      <c r="Z939" s="35">
        <f>IF(OR($A939="",$C939="",$C939&lt;&gt;'売掛帳'!$B$3,NOT(ISNUMBER($X939))),"",IF(AND($X939&gt;='売掛帳'!$Q$3,$X939&lt;='売掛帳'!$Q$4),$X939+ROW()/10000000,""))</f>
        <v/>
      </c>
    </row>
    <row r="940" ht="18" customHeight="1">
      <c r="A940" s="18" t="n"/>
      <c r="B940" s="26" t="n"/>
      <c r="C940" s="18" t="n"/>
      <c r="D940" s="20">
        <f>IF($W940="","",IF($W940="なし","※得意先にないコード",INDEX('得意先'!$C$5:$C$104,$W940)&amp;""))</f>
        <v/>
      </c>
      <c r="E940" s="26" t="n"/>
      <c r="F940" s="19" t="n"/>
      <c r="G940" s="27" t="n"/>
      <c r="H940" s="27" t="n"/>
      <c r="I940" s="27" t="n"/>
      <c r="J940" s="28">
        <f>IF($A940="","",IF('設定'!$B$10="四捨五入",ROUND(IF('設定'!$B$9="税込",N($G940)*10/110,N($G940)*10/100),0),IF('設定'!$B$10="切り上げ",ROUNDUP(IF('設定'!$B$9="税込",N($G940)*10/110,N($G940)*10/100),0),ROUNDDOWN(IF('設定'!$B$9="税込",N($G940)*10/110,N($G940)*10/100),0))))</f>
        <v/>
      </c>
      <c r="K940" s="28">
        <f>IF($A940="","",IF('設定'!$B$10="四捨五入",ROUND(IF('設定'!$B$9="税込",N($H940)*8/108,N($H940)*8/100),0),IF('設定'!$B$10="切り上げ",ROUNDUP(IF('設定'!$B$9="税込",N($H940)*8/108,N($H940)*8/100),0),ROUNDDOWN(IF('設定'!$B$9="税込",N($H940)*8/108,N($H940)*8/100),0))))</f>
        <v/>
      </c>
      <c r="L940" s="28">
        <f>IF($A940="","",N($G940)+N($H940)+N($I940)+IF('設定'!$B$9="税込",0,$J940+$K940))</f>
        <v/>
      </c>
      <c r="M940" s="29">
        <f>IF(OR($A940="",NOT(ISNUMBER($W940)),NOT(ISNUMBER($X940))),"",IF(OR(INDEX('得意先'!$D$5:$D$104,$W940)="",INDEX('得意先'!$E$5:$E$104,$W940)="",INDEX('得意先'!$F$5:$F$104,$W940)=""),"",IF(INDEX('得意先'!$F$5:$F$104,$W940)="末",DATE(YEAR($X940),(MONTH($X940)+IF(INDEX('得意先'!$D$5:$D$104,$W940)="末",0,IF(DAY($X940)&lt;=INDEX('得意先'!$D$5:$D$104,$W940),0,1))+N(INDEX('得意先'!$E$5:$E$104,$W940)))+1,0),DATE(YEAR($X940),(MONTH($X940)+IF(INDEX('得意先'!$D$5:$D$104,$W940)="末",0,IF(DAY($X940)&lt;=INDEX('得意先'!$D$5:$D$104,$W940),0,1))+N(INDEX('得意先'!$E$5:$E$104,$W940))),MIN(INDEX('得意先'!$F$5:$F$104,$W940),DAY(DATE(YEAR($X940),(MONTH($X940)+IF(INDEX('得意先'!$D$5:$D$104,$W940)="末",0,IF(DAY($X940)&lt;=INDEX('得意先'!$D$5:$D$104,$W940),0,1))+N(INDEX('得意先'!$E$5:$E$104,$W940)))+1,0)))))))</f>
        <v/>
      </c>
      <c r="N940" s="26" t="n"/>
      <c r="O940" s="29">
        <f>IF($A940="","",IF(ISNUMBER($N940),$N940,$M940))</f>
        <v/>
      </c>
      <c r="P940" s="28">
        <f>IF($A940="","",SUMIF('入金消込'!$F$5:$F$1004,$A940,'入金消込'!$G$5:$G$1004))</f>
        <v/>
      </c>
      <c r="Q940" s="28">
        <f>IF($A940="","",SUMIF('入金消込'!$F$5:$F$1004,$A940,'入金消込'!$H$5:$H$1004)+SUMIF('入金消込'!$F$5:$F$1004,$A940,'入金消込'!$I$5:$I$1004))</f>
        <v/>
      </c>
      <c r="R940" s="28">
        <f>IF($A940="","",$L940-$P940-$Q940)</f>
        <v/>
      </c>
      <c r="S940" s="30">
        <f>IF($A940="","",IF($R940=0,IF($L940=0,"請求額0","回収済"),IF($L940&lt;0,IF($R940&lt;0,"差し引き待ち","差し引きすぎ"),IF($R940&lt;0,"入金が多い",IF($P940+$Q940=0,"未入金","一部入金")))))</f>
        <v/>
      </c>
      <c r="T940" s="31">
        <f>IF(OR($A940="",N($R940)&lt;=0,NOT(ISNUMBER($O940))),"",IF($O940&lt;'設定'!$B$7,'設定'!$B$7-$O940,""))</f>
        <v/>
      </c>
      <c r="U940" s="30">
        <f>IF(OR($A940="",N($R940)&lt;=0),"",IF(NOT(ISNUMBER($O940)),'設定'!$B$22,IF($O940&gt;='設定'!$B$7,'設定'!$B$17,IF('設定'!$B$7-$O940&lt;='設定'!$B$12,'設定'!$B$18,IF('設定'!$B$7-$O940&lt;='設定'!$B$13,'設定'!$B$19,IF('設定'!$B$7-$O940&lt;='設定'!$B$14,'設定'!$B$20,'設定'!$B$21))))))</f>
        <v/>
      </c>
      <c r="V940" s="56" t="n"/>
      <c r="W940" s="32">
        <f>IF($C940="","",IFERROR(MATCH($C940,'得意先'!$B$5:$B$104,0),"なし"))</f>
        <v/>
      </c>
      <c r="X940" s="33">
        <f>IF($A940="","",IF(ISNUMBER($E940),$E940,IF(ISNUMBER($B940),$B940,"")))</f>
        <v/>
      </c>
      <c r="Y940" s="34">
        <f>IF($T940="","",$O940+ROW()/1000000)</f>
        <v/>
      </c>
      <c r="Z940" s="35">
        <f>IF(OR($A940="",$C940="",$C940&lt;&gt;'売掛帳'!$B$3,NOT(ISNUMBER($X940))),"",IF(AND($X940&gt;='売掛帳'!$Q$3,$X940&lt;='売掛帳'!$Q$4),$X940+ROW()/10000000,""))</f>
        <v/>
      </c>
    </row>
    <row r="941" ht="18" customHeight="1">
      <c r="A941" s="18" t="n"/>
      <c r="B941" s="26" t="n"/>
      <c r="C941" s="18" t="n"/>
      <c r="D941" s="20">
        <f>IF($W941="","",IF($W941="なし","※得意先にないコード",INDEX('得意先'!$C$5:$C$104,$W941)&amp;""))</f>
        <v/>
      </c>
      <c r="E941" s="26" t="n"/>
      <c r="F941" s="19" t="n"/>
      <c r="G941" s="27" t="n"/>
      <c r="H941" s="27" t="n"/>
      <c r="I941" s="27" t="n"/>
      <c r="J941" s="28">
        <f>IF($A941="","",IF('設定'!$B$10="四捨五入",ROUND(IF('設定'!$B$9="税込",N($G941)*10/110,N($G941)*10/100),0),IF('設定'!$B$10="切り上げ",ROUNDUP(IF('設定'!$B$9="税込",N($G941)*10/110,N($G941)*10/100),0),ROUNDDOWN(IF('設定'!$B$9="税込",N($G941)*10/110,N($G941)*10/100),0))))</f>
        <v/>
      </c>
      <c r="K941" s="28">
        <f>IF($A941="","",IF('設定'!$B$10="四捨五入",ROUND(IF('設定'!$B$9="税込",N($H941)*8/108,N($H941)*8/100),0),IF('設定'!$B$10="切り上げ",ROUNDUP(IF('設定'!$B$9="税込",N($H941)*8/108,N($H941)*8/100),0),ROUNDDOWN(IF('設定'!$B$9="税込",N($H941)*8/108,N($H941)*8/100),0))))</f>
        <v/>
      </c>
      <c r="L941" s="28">
        <f>IF($A941="","",N($G941)+N($H941)+N($I941)+IF('設定'!$B$9="税込",0,$J941+$K941))</f>
        <v/>
      </c>
      <c r="M941" s="29">
        <f>IF(OR($A941="",NOT(ISNUMBER($W941)),NOT(ISNUMBER($X941))),"",IF(OR(INDEX('得意先'!$D$5:$D$104,$W941)="",INDEX('得意先'!$E$5:$E$104,$W941)="",INDEX('得意先'!$F$5:$F$104,$W941)=""),"",IF(INDEX('得意先'!$F$5:$F$104,$W941)="末",DATE(YEAR($X941),(MONTH($X941)+IF(INDEX('得意先'!$D$5:$D$104,$W941)="末",0,IF(DAY($X941)&lt;=INDEX('得意先'!$D$5:$D$104,$W941),0,1))+N(INDEX('得意先'!$E$5:$E$104,$W941)))+1,0),DATE(YEAR($X941),(MONTH($X941)+IF(INDEX('得意先'!$D$5:$D$104,$W941)="末",0,IF(DAY($X941)&lt;=INDEX('得意先'!$D$5:$D$104,$W941),0,1))+N(INDEX('得意先'!$E$5:$E$104,$W941))),MIN(INDEX('得意先'!$F$5:$F$104,$W941),DAY(DATE(YEAR($X941),(MONTH($X941)+IF(INDEX('得意先'!$D$5:$D$104,$W941)="末",0,IF(DAY($X941)&lt;=INDEX('得意先'!$D$5:$D$104,$W941),0,1))+N(INDEX('得意先'!$E$5:$E$104,$W941)))+1,0)))))))</f>
        <v/>
      </c>
      <c r="N941" s="26" t="n"/>
      <c r="O941" s="29">
        <f>IF($A941="","",IF(ISNUMBER($N941),$N941,$M941))</f>
        <v/>
      </c>
      <c r="P941" s="28">
        <f>IF($A941="","",SUMIF('入金消込'!$F$5:$F$1004,$A941,'入金消込'!$G$5:$G$1004))</f>
        <v/>
      </c>
      <c r="Q941" s="28">
        <f>IF($A941="","",SUMIF('入金消込'!$F$5:$F$1004,$A941,'入金消込'!$H$5:$H$1004)+SUMIF('入金消込'!$F$5:$F$1004,$A941,'入金消込'!$I$5:$I$1004))</f>
        <v/>
      </c>
      <c r="R941" s="28">
        <f>IF($A941="","",$L941-$P941-$Q941)</f>
        <v/>
      </c>
      <c r="S941" s="30">
        <f>IF($A941="","",IF($R941=0,IF($L941=0,"請求額0","回収済"),IF($L941&lt;0,IF($R941&lt;0,"差し引き待ち","差し引きすぎ"),IF($R941&lt;0,"入金が多い",IF($P941+$Q941=0,"未入金","一部入金")))))</f>
        <v/>
      </c>
      <c r="T941" s="31">
        <f>IF(OR($A941="",N($R941)&lt;=0,NOT(ISNUMBER($O941))),"",IF($O941&lt;'設定'!$B$7,'設定'!$B$7-$O941,""))</f>
        <v/>
      </c>
      <c r="U941" s="30">
        <f>IF(OR($A941="",N($R941)&lt;=0),"",IF(NOT(ISNUMBER($O941)),'設定'!$B$22,IF($O941&gt;='設定'!$B$7,'設定'!$B$17,IF('設定'!$B$7-$O941&lt;='設定'!$B$12,'設定'!$B$18,IF('設定'!$B$7-$O941&lt;='設定'!$B$13,'設定'!$B$19,IF('設定'!$B$7-$O941&lt;='設定'!$B$14,'設定'!$B$20,'設定'!$B$21))))))</f>
        <v/>
      </c>
      <c r="V941" s="56" t="n"/>
      <c r="W941" s="32">
        <f>IF($C941="","",IFERROR(MATCH($C941,'得意先'!$B$5:$B$104,0),"なし"))</f>
        <v/>
      </c>
      <c r="X941" s="33">
        <f>IF($A941="","",IF(ISNUMBER($E941),$E941,IF(ISNUMBER($B941),$B941,"")))</f>
        <v/>
      </c>
      <c r="Y941" s="34">
        <f>IF($T941="","",$O941+ROW()/1000000)</f>
        <v/>
      </c>
      <c r="Z941" s="35">
        <f>IF(OR($A941="",$C941="",$C941&lt;&gt;'売掛帳'!$B$3,NOT(ISNUMBER($X941))),"",IF(AND($X941&gt;='売掛帳'!$Q$3,$X941&lt;='売掛帳'!$Q$4),$X941+ROW()/10000000,""))</f>
        <v/>
      </c>
    </row>
    <row r="942" ht="18" customHeight="1">
      <c r="A942" s="18" t="n"/>
      <c r="B942" s="26" t="n"/>
      <c r="C942" s="18" t="n"/>
      <c r="D942" s="20">
        <f>IF($W942="","",IF($W942="なし","※得意先にないコード",INDEX('得意先'!$C$5:$C$104,$W942)&amp;""))</f>
        <v/>
      </c>
      <c r="E942" s="26" t="n"/>
      <c r="F942" s="19" t="n"/>
      <c r="G942" s="27" t="n"/>
      <c r="H942" s="27" t="n"/>
      <c r="I942" s="27" t="n"/>
      <c r="J942" s="28">
        <f>IF($A942="","",IF('設定'!$B$10="四捨五入",ROUND(IF('設定'!$B$9="税込",N($G942)*10/110,N($G942)*10/100),0),IF('設定'!$B$10="切り上げ",ROUNDUP(IF('設定'!$B$9="税込",N($G942)*10/110,N($G942)*10/100),0),ROUNDDOWN(IF('設定'!$B$9="税込",N($G942)*10/110,N($G942)*10/100),0))))</f>
        <v/>
      </c>
      <c r="K942" s="28">
        <f>IF($A942="","",IF('設定'!$B$10="四捨五入",ROUND(IF('設定'!$B$9="税込",N($H942)*8/108,N($H942)*8/100),0),IF('設定'!$B$10="切り上げ",ROUNDUP(IF('設定'!$B$9="税込",N($H942)*8/108,N($H942)*8/100),0),ROUNDDOWN(IF('設定'!$B$9="税込",N($H942)*8/108,N($H942)*8/100),0))))</f>
        <v/>
      </c>
      <c r="L942" s="28">
        <f>IF($A942="","",N($G942)+N($H942)+N($I942)+IF('設定'!$B$9="税込",0,$J942+$K942))</f>
        <v/>
      </c>
      <c r="M942" s="29">
        <f>IF(OR($A942="",NOT(ISNUMBER($W942)),NOT(ISNUMBER($X942))),"",IF(OR(INDEX('得意先'!$D$5:$D$104,$W942)="",INDEX('得意先'!$E$5:$E$104,$W942)="",INDEX('得意先'!$F$5:$F$104,$W942)=""),"",IF(INDEX('得意先'!$F$5:$F$104,$W942)="末",DATE(YEAR($X942),(MONTH($X942)+IF(INDEX('得意先'!$D$5:$D$104,$W942)="末",0,IF(DAY($X942)&lt;=INDEX('得意先'!$D$5:$D$104,$W942),0,1))+N(INDEX('得意先'!$E$5:$E$104,$W942)))+1,0),DATE(YEAR($X942),(MONTH($X942)+IF(INDEX('得意先'!$D$5:$D$104,$W942)="末",0,IF(DAY($X942)&lt;=INDEX('得意先'!$D$5:$D$104,$W942),0,1))+N(INDEX('得意先'!$E$5:$E$104,$W942))),MIN(INDEX('得意先'!$F$5:$F$104,$W942),DAY(DATE(YEAR($X942),(MONTH($X942)+IF(INDEX('得意先'!$D$5:$D$104,$W942)="末",0,IF(DAY($X942)&lt;=INDEX('得意先'!$D$5:$D$104,$W942),0,1))+N(INDEX('得意先'!$E$5:$E$104,$W942)))+1,0)))))))</f>
        <v/>
      </c>
      <c r="N942" s="26" t="n"/>
      <c r="O942" s="29">
        <f>IF($A942="","",IF(ISNUMBER($N942),$N942,$M942))</f>
        <v/>
      </c>
      <c r="P942" s="28">
        <f>IF($A942="","",SUMIF('入金消込'!$F$5:$F$1004,$A942,'入金消込'!$G$5:$G$1004))</f>
        <v/>
      </c>
      <c r="Q942" s="28">
        <f>IF($A942="","",SUMIF('入金消込'!$F$5:$F$1004,$A942,'入金消込'!$H$5:$H$1004)+SUMIF('入金消込'!$F$5:$F$1004,$A942,'入金消込'!$I$5:$I$1004))</f>
        <v/>
      </c>
      <c r="R942" s="28">
        <f>IF($A942="","",$L942-$P942-$Q942)</f>
        <v/>
      </c>
      <c r="S942" s="30">
        <f>IF($A942="","",IF($R942=0,IF($L942=0,"請求額0","回収済"),IF($L942&lt;0,IF($R942&lt;0,"差し引き待ち","差し引きすぎ"),IF($R942&lt;0,"入金が多い",IF($P942+$Q942=0,"未入金","一部入金")))))</f>
        <v/>
      </c>
      <c r="T942" s="31">
        <f>IF(OR($A942="",N($R942)&lt;=0,NOT(ISNUMBER($O942))),"",IF($O942&lt;'設定'!$B$7,'設定'!$B$7-$O942,""))</f>
        <v/>
      </c>
      <c r="U942" s="30">
        <f>IF(OR($A942="",N($R942)&lt;=0),"",IF(NOT(ISNUMBER($O942)),'設定'!$B$22,IF($O942&gt;='設定'!$B$7,'設定'!$B$17,IF('設定'!$B$7-$O942&lt;='設定'!$B$12,'設定'!$B$18,IF('設定'!$B$7-$O942&lt;='設定'!$B$13,'設定'!$B$19,IF('設定'!$B$7-$O942&lt;='設定'!$B$14,'設定'!$B$20,'設定'!$B$21))))))</f>
        <v/>
      </c>
      <c r="V942" s="56" t="n"/>
      <c r="W942" s="32">
        <f>IF($C942="","",IFERROR(MATCH($C942,'得意先'!$B$5:$B$104,0),"なし"))</f>
        <v/>
      </c>
      <c r="X942" s="33">
        <f>IF($A942="","",IF(ISNUMBER($E942),$E942,IF(ISNUMBER($B942),$B942,"")))</f>
        <v/>
      </c>
      <c r="Y942" s="34">
        <f>IF($T942="","",$O942+ROW()/1000000)</f>
        <v/>
      </c>
      <c r="Z942" s="35">
        <f>IF(OR($A942="",$C942="",$C942&lt;&gt;'売掛帳'!$B$3,NOT(ISNUMBER($X942))),"",IF(AND($X942&gt;='売掛帳'!$Q$3,$X942&lt;='売掛帳'!$Q$4),$X942+ROW()/10000000,""))</f>
        <v/>
      </c>
    </row>
    <row r="943" ht="18" customHeight="1">
      <c r="A943" s="18" t="n"/>
      <c r="B943" s="26" t="n"/>
      <c r="C943" s="18" t="n"/>
      <c r="D943" s="20">
        <f>IF($W943="","",IF($W943="なし","※得意先にないコード",INDEX('得意先'!$C$5:$C$104,$W943)&amp;""))</f>
        <v/>
      </c>
      <c r="E943" s="26" t="n"/>
      <c r="F943" s="19" t="n"/>
      <c r="G943" s="27" t="n"/>
      <c r="H943" s="27" t="n"/>
      <c r="I943" s="27" t="n"/>
      <c r="J943" s="28">
        <f>IF($A943="","",IF('設定'!$B$10="四捨五入",ROUND(IF('設定'!$B$9="税込",N($G943)*10/110,N($G943)*10/100),0),IF('設定'!$B$10="切り上げ",ROUNDUP(IF('設定'!$B$9="税込",N($G943)*10/110,N($G943)*10/100),0),ROUNDDOWN(IF('設定'!$B$9="税込",N($G943)*10/110,N($G943)*10/100),0))))</f>
        <v/>
      </c>
      <c r="K943" s="28">
        <f>IF($A943="","",IF('設定'!$B$10="四捨五入",ROUND(IF('設定'!$B$9="税込",N($H943)*8/108,N($H943)*8/100),0),IF('設定'!$B$10="切り上げ",ROUNDUP(IF('設定'!$B$9="税込",N($H943)*8/108,N($H943)*8/100),0),ROUNDDOWN(IF('設定'!$B$9="税込",N($H943)*8/108,N($H943)*8/100),0))))</f>
        <v/>
      </c>
      <c r="L943" s="28">
        <f>IF($A943="","",N($G943)+N($H943)+N($I943)+IF('設定'!$B$9="税込",0,$J943+$K943))</f>
        <v/>
      </c>
      <c r="M943" s="29">
        <f>IF(OR($A943="",NOT(ISNUMBER($W943)),NOT(ISNUMBER($X943))),"",IF(OR(INDEX('得意先'!$D$5:$D$104,$W943)="",INDEX('得意先'!$E$5:$E$104,$W943)="",INDEX('得意先'!$F$5:$F$104,$W943)=""),"",IF(INDEX('得意先'!$F$5:$F$104,$W943)="末",DATE(YEAR($X943),(MONTH($X943)+IF(INDEX('得意先'!$D$5:$D$104,$W943)="末",0,IF(DAY($X943)&lt;=INDEX('得意先'!$D$5:$D$104,$W943),0,1))+N(INDEX('得意先'!$E$5:$E$104,$W943)))+1,0),DATE(YEAR($X943),(MONTH($X943)+IF(INDEX('得意先'!$D$5:$D$104,$W943)="末",0,IF(DAY($X943)&lt;=INDEX('得意先'!$D$5:$D$104,$W943),0,1))+N(INDEX('得意先'!$E$5:$E$104,$W943))),MIN(INDEX('得意先'!$F$5:$F$104,$W943),DAY(DATE(YEAR($X943),(MONTH($X943)+IF(INDEX('得意先'!$D$5:$D$104,$W943)="末",0,IF(DAY($X943)&lt;=INDEX('得意先'!$D$5:$D$104,$W943),0,1))+N(INDEX('得意先'!$E$5:$E$104,$W943)))+1,0)))))))</f>
        <v/>
      </c>
      <c r="N943" s="26" t="n"/>
      <c r="O943" s="29">
        <f>IF($A943="","",IF(ISNUMBER($N943),$N943,$M943))</f>
        <v/>
      </c>
      <c r="P943" s="28">
        <f>IF($A943="","",SUMIF('入金消込'!$F$5:$F$1004,$A943,'入金消込'!$G$5:$G$1004))</f>
        <v/>
      </c>
      <c r="Q943" s="28">
        <f>IF($A943="","",SUMIF('入金消込'!$F$5:$F$1004,$A943,'入金消込'!$H$5:$H$1004)+SUMIF('入金消込'!$F$5:$F$1004,$A943,'入金消込'!$I$5:$I$1004))</f>
        <v/>
      </c>
      <c r="R943" s="28">
        <f>IF($A943="","",$L943-$P943-$Q943)</f>
        <v/>
      </c>
      <c r="S943" s="30">
        <f>IF($A943="","",IF($R943=0,IF($L943=0,"請求額0","回収済"),IF($L943&lt;0,IF($R943&lt;0,"差し引き待ち","差し引きすぎ"),IF($R943&lt;0,"入金が多い",IF($P943+$Q943=0,"未入金","一部入金")))))</f>
        <v/>
      </c>
      <c r="T943" s="31">
        <f>IF(OR($A943="",N($R943)&lt;=0,NOT(ISNUMBER($O943))),"",IF($O943&lt;'設定'!$B$7,'設定'!$B$7-$O943,""))</f>
        <v/>
      </c>
      <c r="U943" s="30">
        <f>IF(OR($A943="",N($R943)&lt;=0),"",IF(NOT(ISNUMBER($O943)),'設定'!$B$22,IF($O943&gt;='設定'!$B$7,'設定'!$B$17,IF('設定'!$B$7-$O943&lt;='設定'!$B$12,'設定'!$B$18,IF('設定'!$B$7-$O943&lt;='設定'!$B$13,'設定'!$B$19,IF('設定'!$B$7-$O943&lt;='設定'!$B$14,'設定'!$B$20,'設定'!$B$21))))))</f>
        <v/>
      </c>
      <c r="V943" s="56" t="n"/>
      <c r="W943" s="32">
        <f>IF($C943="","",IFERROR(MATCH($C943,'得意先'!$B$5:$B$104,0),"なし"))</f>
        <v/>
      </c>
      <c r="X943" s="33">
        <f>IF($A943="","",IF(ISNUMBER($E943),$E943,IF(ISNUMBER($B943),$B943,"")))</f>
        <v/>
      </c>
      <c r="Y943" s="34">
        <f>IF($T943="","",$O943+ROW()/1000000)</f>
        <v/>
      </c>
      <c r="Z943" s="35">
        <f>IF(OR($A943="",$C943="",$C943&lt;&gt;'売掛帳'!$B$3,NOT(ISNUMBER($X943))),"",IF(AND($X943&gt;='売掛帳'!$Q$3,$X943&lt;='売掛帳'!$Q$4),$X943+ROW()/10000000,""))</f>
        <v/>
      </c>
    </row>
    <row r="944" ht="18" customHeight="1">
      <c r="A944" s="18" t="n"/>
      <c r="B944" s="26" t="n"/>
      <c r="C944" s="18" t="n"/>
      <c r="D944" s="20">
        <f>IF($W944="","",IF($W944="なし","※得意先にないコード",INDEX('得意先'!$C$5:$C$104,$W944)&amp;""))</f>
        <v/>
      </c>
      <c r="E944" s="26" t="n"/>
      <c r="F944" s="19" t="n"/>
      <c r="G944" s="27" t="n"/>
      <c r="H944" s="27" t="n"/>
      <c r="I944" s="27" t="n"/>
      <c r="J944" s="28">
        <f>IF($A944="","",IF('設定'!$B$10="四捨五入",ROUND(IF('設定'!$B$9="税込",N($G944)*10/110,N($G944)*10/100),0),IF('設定'!$B$10="切り上げ",ROUNDUP(IF('設定'!$B$9="税込",N($G944)*10/110,N($G944)*10/100),0),ROUNDDOWN(IF('設定'!$B$9="税込",N($G944)*10/110,N($G944)*10/100),0))))</f>
        <v/>
      </c>
      <c r="K944" s="28">
        <f>IF($A944="","",IF('設定'!$B$10="四捨五入",ROUND(IF('設定'!$B$9="税込",N($H944)*8/108,N($H944)*8/100),0),IF('設定'!$B$10="切り上げ",ROUNDUP(IF('設定'!$B$9="税込",N($H944)*8/108,N($H944)*8/100),0),ROUNDDOWN(IF('設定'!$B$9="税込",N($H944)*8/108,N($H944)*8/100),0))))</f>
        <v/>
      </c>
      <c r="L944" s="28">
        <f>IF($A944="","",N($G944)+N($H944)+N($I944)+IF('設定'!$B$9="税込",0,$J944+$K944))</f>
        <v/>
      </c>
      <c r="M944" s="29">
        <f>IF(OR($A944="",NOT(ISNUMBER($W944)),NOT(ISNUMBER($X944))),"",IF(OR(INDEX('得意先'!$D$5:$D$104,$W944)="",INDEX('得意先'!$E$5:$E$104,$W944)="",INDEX('得意先'!$F$5:$F$104,$W944)=""),"",IF(INDEX('得意先'!$F$5:$F$104,$W944)="末",DATE(YEAR($X944),(MONTH($X944)+IF(INDEX('得意先'!$D$5:$D$104,$W944)="末",0,IF(DAY($X944)&lt;=INDEX('得意先'!$D$5:$D$104,$W944),0,1))+N(INDEX('得意先'!$E$5:$E$104,$W944)))+1,0),DATE(YEAR($X944),(MONTH($X944)+IF(INDEX('得意先'!$D$5:$D$104,$W944)="末",0,IF(DAY($X944)&lt;=INDEX('得意先'!$D$5:$D$104,$W944),0,1))+N(INDEX('得意先'!$E$5:$E$104,$W944))),MIN(INDEX('得意先'!$F$5:$F$104,$W944),DAY(DATE(YEAR($X944),(MONTH($X944)+IF(INDEX('得意先'!$D$5:$D$104,$W944)="末",0,IF(DAY($X944)&lt;=INDEX('得意先'!$D$5:$D$104,$W944),0,1))+N(INDEX('得意先'!$E$5:$E$104,$W944)))+1,0)))))))</f>
        <v/>
      </c>
      <c r="N944" s="26" t="n"/>
      <c r="O944" s="29">
        <f>IF($A944="","",IF(ISNUMBER($N944),$N944,$M944))</f>
        <v/>
      </c>
      <c r="P944" s="28">
        <f>IF($A944="","",SUMIF('入金消込'!$F$5:$F$1004,$A944,'入金消込'!$G$5:$G$1004))</f>
        <v/>
      </c>
      <c r="Q944" s="28">
        <f>IF($A944="","",SUMIF('入金消込'!$F$5:$F$1004,$A944,'入金消込'!$H$5:$H$1004)+SUMIF('入金消込'!$F$5:$F$1004,$A944,'入金消込'!$I$5:$I$1004))</f>
        <v/>
      </c>
      <c r="R944" s="28">
        <f>IF($A944="","",$L944-$P944-$Q944)</f>
        <v/>
      </c>
      <c r="S944" s="30">
        <f>IF($A944="","",IF($R944=0,IF($L944=0,"請求額0","回収済"),IF($L944&lt;0,IF($R944&lt;0,"差し引き待ち","差し引きすぎ"),IF($R944&lt;0,"入金が多い",IF($P944+$Q944=0,"未入金","一部入金")))))</f>
        <v/>
      </c>
      <c r="T944" s="31">
        <f>IF(OR($A944="",N($R944)&lt;=0,NOT(ISNUMBER($O944))),"",IF($O944&lt;'設定'!$B$7,'設定'!$B$7-$O944,""))</f>
        <v/>
      </c>
      <c r="U944" s="30">
        <f>IF(OR($A944="",N($R944)&lt;=0),"",IF(NOT(ISNUMBER($O944)),'設定'!$B$22,IF($O944&gt;='設定'!$B$7,'設定'!$B$17,IF('設定'!$B$7-$O944&lt;='設定'!$B$12,'設定'!$B$18,IF('設定'!$B$7-$O944&lt;='設定'!$B$13,'設定'!$B$19,IF('設定'!$B$7-$O944&lt;='設定'!$B$14,'設定'!$B$20,'設定'!$B$21))))))</f>
        <v/>
      </c>
      <c r="V944" s="56" t="n"/>
      <c r="W944" s="32">
        <f>IF($C944="","",IFERROR(MATCH($C944,'得意先'!$B$5:$B$104,0),"なし"))</f>
        <v/>
      </c>
      <c r="X944" s="33">
        <f>IF($A944="","",IF(ISNUMBER($E944),$E944,IF(ISNUMBER($B944),$B944,"")))</f>
        <v/>
      </c>
      <c r="Y944" s="34">
        <f>IF($T944="","",$O944+ROW()/1000000)</f>
        <v/>
      </c>
      <c r="Z944" s="35">
        <f>IF(OR($A944="",$C944="",$C944&lt;&gt;'売掛帳'!$B$3,NOT(ISNUMBER($X944))),"",IF(AND($X944&gt;='売掛帳'!$Q$3,$X944&lt;='売掛帳'!$Q$4),$X944+ROW()/10000000,""))</f>
        <v/>
      </c>
    </row>
    <row r="945" ht="18" customHeight="1">
      <c r="A945" s="18" t="n"/>
      <c r="B945" s="26" t="n"/>
      <c r="C945" s="18" t="n"/>
      <c r="D945" s="20">
        <f>IF($W945="","",IF($W945="なし","※得意先にないコード",INDEX('得意先'!$C$5:$C$104,$W945)&amp;""))</f>
        <v/>
      </c>
      <c r="E945" s="26" t="n"/>
      <c r="F945" s="19" t="n"/>
      <c r="G945" s="27" t="n"/>
      <c r="H945" s="27" t="n"/>
      <c r="I945" s="27" t="n"/>
      <c r="J945" s="28">
        <f>IF($A945="","",IF('設定'!$B$10="四捨五入",ROUND(IF('設定'!$B$9="税込",N($G945)*10/110,N($G945)*10/100),0),IF('設定'!$B$10="切り上げ",ROUNDUP(IF('設定'!$B$9="税込",N($G945)*10/110,N($G945)*10/100),0),ROUNDDOWN(IF('設定'!$B$9="税込",N($G945)*10/110,N($G945)*10/100),0))))</f>
        <v/>
      </c>
      <c r="K945" s="28">
        <f>IF($A945="","",IF('設定'!$B$10="四捨五入",ROUND(IF('設定'!$B$9="税込",N($H945)*8/108,N($H945)*8/100),0),IF('設定'!$B$10="切り上げ",ROUNDUP(IF('設定'!$B$9="税込",N($H945)*8/108,N($H945)*8/100),0),ROUNDDOWN(IF('設定'!$B$9="税込",N($H945)*8/108,N($H945)*8/100),0))))</f>
        <v/>
      </c>
      <c r="L945" s="28">
        <f>IF($A945="","",N($G945)+N($H945)+N($I945)+IF('設定'!$B$9="税込",0,$J945+$K945))</f>
        <v/>
      </c>
      <c r="M945" s="29">
        <f>IF(OR($A945="",NOT(ISNUMBER($W945)),NOT(ISNUMBER($X945))),"",IF(OR(INDEX('得意先'!$D$5:$D$104,$W945)="",INDEX('得意先'!$E$5:$E$104,$W945)="",INDEX('得意先'!$F$5:$F$104,$W945)=""),"",IF(INDEX('得意先'!$F$5:$F$104,$W945)="末",DATE(YEAR($X945),(MONTH($X945)+IF(INDEX('得意先'!$D$5:$D$104,$W945)="末",0,IF(DAY($X945)&lt;=INDEX('得意先'!$D$5:$D$104,$W945),0,1))+N(INDEX('得意先'!$E$5:$E$104,$W945)))+1,0),DATE(YEAR($X945),(MONTH($X945)+IF(INDEX('得意先'!$D$5:$D$104,$W945)="末",0,IF(DAY($X945)&lt;=INDEX('得意先'!$D$5:$D$104,$W945),0,1))+N(INDEX('得意先'!$E$5:$E$104,$W945))),MIN(INDEX('得意先'!$F$5:$F$104,$W945),DAY(DATE(YEAR($X945),(MONTH($X945)+IF(INDEX('得意先'!$D$5:$D$104,$W945)="末",0,IF(DAY($X945)&lt;=INDEX('得意先'!$D$5:$D$104,$W945),0,1))+N(INDEX('得意先'!$E$5:$E$104,$W945)))+1,0)))))))</f>
        <v/>
      </c>
      <c r="N945" s="26" t="n"/>
      <c r="O945" s="29">
        <f>IF($A945="","",IF(ISNUMBER($N945),$N945,$M945))</f>
        <v/>
      </c>
      <c r="P945" s="28">
        <f>IF($A945="","",SUMIF('入金消込'!$F$5:$F$1004,$A945,'入金消込'!$G$5:$G$1004))</f>
        <v/>
      </c>
      <c r="Q945" s="28">
        <f>IF($A945="","",SUMIF('入金消込'!$F$5:$F$1004,$A945,'入金消込'!$H$5:$H$1004)+SUMIF('入金消込'!$F$5:$F$1004,$A945,'入金消込'!$I$5:$I$1004))</f>
        <v/>
      </c>
      <c r="R945" s="28">
        <f>IF($A945="","",$L945-$P945-$Q945)</f>
        <v/>
      </c>
      <c r="S945" s="30">
        <f>IF($A945="","",IF($R945=0,IF($L945=0,"請求額0","回収済"),IF($L945&lt;0,IF($R945&lt;0,"差し引き待ち","差し引きすぎ"),IF($R945&lt;0,"入金が多い",IF($P945+$Q945=0,"未入金","一部入金")))))</f>
        <v/>
      </c>
      <c r="T945" s="31">
        <f>IF(OR($A945="",N($R945)&lt;=0,NOT(ISNUMBER($O945))),"",IF($O945&lt;'設定'!$B$7,'設定'!$B$7-$O945,""))</f>
        <v/>
      </c>
      <c r="U945" s="30">
        <f>IF(OR($A945="",N($R945)&lt;=0),"",IF(NOT(ISNUMBER($O945)),'設定'!$B$22,IF($O945&gt;='設定'!$B$7,'設定'!$B$17,IF('設定'!$B$7-$O945&lt;='設定'!$B$12,'設定'!$B$18,IF('設定'!$B$7-$O945&lt;='設定'!$B$13,'設定'!$B$19,IF('設定'!$B$7-$O945&lt;='設定'!$B$14,'設定'!$B$20,'設定'!$B$21))))))</f>
        <v/>
      </c>
      <c r="V945" s="56" t="n"/>
      <c r="W945" s="32">
        <f>IF($C945="","",IFERROR(MATCH($C945,'得意先'!$B$5:$B$104,0),"なし"))</f>
        <v/>
      </c>
      <c r="X945" s="33">
        <f>IF($A945="","",IF(ISNUMBER($E945),$E945,IF(ISNUMBER($B945),$B945,"")))</f>
        <v/>
      </c>
      <c r="Y945" s="34">
        <f>IF($T945="","",$O945+ROW()/1000000)</f>
        <v/>
      </c>
      <c r="Z945" s="35">
        <f>IF(OR($A945="",$C945="",$C945&lt;&gt;'売掛帳'!$B$3,NOT(ISNUMBER($X945))),"",IF(AND($X945&gt;='売掛帳'!$Q$3,$X945&lt;='売掛帳'!$Q$4),$X945+ROW()/10000000,""))</f>
        <v/>
      </c>
    </row>
    <row r="946" ht="18" customHeight="1">
      <c r="A946" s="18" t="n"/>
      <c r="B946" s="26" t="n"/>
      <c r="C946" s="18" t="n"/>
      <c r="D946" s="20">
        <f>IF($W946="","",IF($W946="なし","※得意先にないコード",INDEX('得意先'!$C$5:$C$104,$W946)&amp;""))</f>
        <v/>
      </c>
      <c r="E946" s="26" t="n"/>
      <c r="F946" s="19" t="n"/>
      <c r="G946" s="27" t="n"/>
      <c r="H946" s="27" t="n"/>
      <c r="I946" s="27" t="n"/>
      <c r="J946" s="28">
        <f>IF($A946="","",IF('設定'!$B$10="四捨五入",ROUND(IF('設定'!$B$9="税込",N($G946)*10/110,N($G946)*10/100),0),IF('設定'!$B$10="切り上げ",ROUNDUP(IF('設定'!$B$9="税込",N($G946)*10/110,N($G946)*10/100),0),ROUNDDOWN(IF('設定'!$B$9="税込",N($G946)*10/110,N($G946)*10/100),0))))</f>
        <v/>
      </c>
      <c r="K946" s="28">
        <f>IF($A946="","",IF('設定'!$B$10="四捨五入",ROUND(IF('設定'!$B$9="税込",N($H946)*8/108,N($H946)*8/100),0),IF('設定'!$B$10="切り上げ",ROUNDUP(IF('設定'!$B$9="税込",N($H946)*8/108,N($H946)*8/100),0),ROUNDDOWN(IF('設定'!$B$9="税込",N($H946)*8/108,N($H946)*8/100),0))))</f>
        <v/>
      </c>
      <c r="L946" s="28">
        <f>IF($A946="","",N($G946)+N($H946)+N($I946)+IF('設定'!$B$9="税込",0,$J946+$K946))</f>
        <v/>
      </c>
      <c r="M946" s="29">
        <f>IF(OR($A946="",NOT(ISNUMBER($W946)),NOT(ISNUMBER($X946))),"",IF(OR(INDEX('得意先'!$D$5:$D$104,$W946)="",INDEX('得意先'!$E$5:$E$104,$W946)="",INDEX('得意先'!$F$5:$F$104,$W946)=""),"",IF(INDEX('得意先'!$F$5:$F$104,$W946)="末",DATE(YEAR($X946),(MONTH($X946)+IF(INDEX('得意先'!$D$5:$D$104,$W946)="末",0,IF(DAY($X946)&lt;=INDEX('得意先'!$D$5:$D$104,$W946),0,1))+N(INDEX('得意先'!$E$5:$E$104,$W946)))+1,0),DATE(YEAR($X946),(MONTH($X946)+IF(INDEX('得意先'!$D$5:$D$104,$W946)="末",0,IF(DAY($X946)&lt;=INDEX('得意先'!$D$5:$D$104,$W946),0,1))+N(INDEX('得意先'!$E$5:$E$104,$W946))),MIN(INDEX('得意先'!$F$5:$F$104,$W946),DAY(DATE(YEAR($X946),(MONTH($X946)+IF(INDEX('得意先'!$D$5:$D$104,$W946)="末",0,IF(DAY($X946)&lt;=INDEX('得意先'!$D$5:$D$104,$W946),0,1))+N(INDEX('得意先'!$E$5:$E$104,$W946)))+1,0)))))))</f>
        <v/>
      </c>
      <c r="N946" s="26" t="n"/>
      <c r="O946" s="29">
        <f>IF($A946="","",IF(ISNUMBER($N946),$N946,$M946))</f>
        <v/>
      </c>
      <c r="P946" s="28">
        <f>IF($A946="","",SUMIF('入金消込'!$F$5:$F$1004,$A946,'入金消込'!$G$5:$G$1004))</f>
        <v/>
      </c>
      <c r="Q946" s="28">
        <f>IF($A946="","",SUMIF('入金消込'!$F$5:$F$1004,$A946,'入金消込'!$H$5:$H$1004)+SUMIF('入金消込'!$F$5:$F$1004,$A946,'入金消込'!$I$5:$I$1004))</f>
        <v/>
      </c>
      <c r="R946" s="28">
        <f>IF($A946="","",$L946-$P946-$Q946)</f>
        <v/>
      </c>
      <c r="S946" s="30">
        <f>IF($A946="","",IF($R946=0,IF($L946=0,"請求額0","回収済"),IF($L946&lt;0,IF($R946&lt;0,"差し引き待ち","差し引きすぎ"),IF($R946&lt;0,"入金が多い",IF($P946+$Q946=0,"未入金","一部入金")))))</f>
        <v/>
      </c>
      <c r="T946" s="31">
        <f>IF(OR($A946="",N($R946)&lt;=0,NOT(ISNUMBER($O946))),"",IF($O946&lt;'設定'!$B$7,'設定'!$B$7-$O946,""))</f>
        <v/>
      </c>
      <c r="U946" s="30">
        <f>IF(OR($A946="",N($R946)&lt;=0),"",IF(NOT(ISNUMBER($O946)),'設定'!$B$22,IF($O946&gt;='設定'!$B$7,'設定'!$B$17,IF('設定'!$B$7-$O946&lt;='設定'!$B$12,'設定'!$B$18,IF('設定'!$B$7-$O946&lt;='設定'!$B$13,'設定'!$B$19,IF('設定'!$B$7-$O946&lt;='設定'!$B$14,'設定'!$B$20,'設定'!$B$21))))))</f>
        <v/>
      </c>
      <c r="V946" s="56" t="n"/>
      <c r="W946" s="32">
        <f>IF($C946="","",IFERROR(MATCH($C946,'得意先'!$B$5:$B$104,0),"なし"))</f>
        <v/>
      </c>
      <c r="X946" s="33">
        <f>IF($A946="","",IF(ISNUMBER($E946),$E946,IF(ISNUMBER($B946),$B946,"")))</f>
        <v/>
      </c>
      <c r="Y946" s="34">
        <f>IF($T946="","",$O946+ROW()/1000000)</f>
        <v/>
      </c>
      <c r="Z946" s="35">
        <f>IF(OR($A946="",$C946="",$C946&lt;&gt;'売掛帳'!$B$3,NOT(ISNUMBER($X946))),"",IF(AND($X946&gt;='売掛帳'!$Q$3,$X946&lt;='売掛帳'!$Q$4),$X946+ROW()/10000000,""))</f>
        <v/>
      </c>
    </row>
    <row r="947" ht="18" customHeight="1">
      <c r="A947" s="18" t="n"/>
      <c r="B947" s="26" t="n"/>
      <c r="C947" s="18" t="n"/>
      <c r="D947" s="20">
        <f>IF($W947="","",IF($W947="なし","※得意先にないコード",INDEX('得意先'!$C$5:$C$104,$W947)&amp;""))</f>
        <v/>
      </c>
      <c r="E947" s="26" t="n"/>
      <c r="F947" s="19" t="n"/>
      <c r="G947" s="27" t="n"/>
      <c r="H947" s="27" t="n"/>
      <c r="I947" s="27" t="n"/>
      <c r="J947" s="28">
        <f>IF($A947="","",IF('設定'!$B$10="四捨五入",ROUND(IF('設定'!$B$9="税込",N($G947)*10/110,N($G947)*10/100),0),IF('設定'!$B$10="切り上げ",ROUNDUP(IF('設定'!$B$9="税込",N($G947)*10/110,N($G947)*10/100),0),ROUNDDOWN(IF('設定'!$B$9="税込",N($G947)*10/110,N($G947)*10/100),0))))</f>
        <v/>
      </c>
      <c r="K947" s="28">
        <f>IF($A947="","",IF('設定'!$B$10="四捨五入",ROUND(IF('設定'!$B$9="税込",N($H947)*8/108,N($H947)*8/100),0),IF('設定'!$B$10="切り上げ",ROUNDUP(IF('設定'!$B$9="税込",N($H947)*8/108,N($H947)*8/100),0),ROUNDDOWN(IF('設定'!$B$9="税込",N($H947)*8/108,N($H947)*8/100),0))))</f>
        <v/>
      </c>
      <c r="L947" s="28">
        <f>IF($A947="","",N($G947)+N($H947)+N($I947)+IF('設定'!$B$9="税込",0,$J947+$K947))</f>
        <v/>
      </c>
      <c r="M947" s="29">
        <f>IF(OR($A947="",NOT(ISNUMBER($W947)),NOT(ISNUMBER($X947))),"",IF(OR(INDEX('得意先'!$D$5:$D$104,$W947)="",INDEX('得意先'!$E$5:$E$104,$W947)="",INDEX('得意先'!$F$5:$F$104,$W947)=""),"",IF(INDEX('得意先'!$F$5:$F$104,$W947)="末",DATE(YEAR($X947),(MONTH($X947)+IF(INDEX('得意先'!$D$5:$D$104,$W947)="末",0,IF(DAY($X947)&lt;=INDEX('得意先'!$D$5:$D$104,$W947),0,1))+N(INDEX('得意先'!$E$5:$E$104,$W947)))+1,0),DATE(YEAR($X947),(MONTH($X947)+IF(INDEX('得意先'!$D$5:$D$104,$W947)="末",0,IF(DAY($X947)&lt;=INDEX('得意先'!$D$5:$D$104,$W947),0,1))+N(INDEX('得意先'!$E$5:$E$104,$W947))),MIN(INDEX('得意先'!$F$5:$F$104,$W947),DAY(DATE(YEAR($X947),(MONTH($X947)+IF(INDEX('得意先'!$D$5:$D$104,$W947)="末",0,IF(DAY($X947)&lt;=INDEX('得意先'!$D$5:$D$104,$W947),0,1))+N(INDEX('得意先'!$E$5:$E$104,$W947)))+1,0)))))))</f>
        <v/>
      </c>
      <c r="N947" s="26" t="n"/>
      <c r="O947" s="29">
        <f>IF($A947="","",IF(ISNUMBER($N947),$N947,$M947))</f>
        <v/>
      </c>
      <c r="P947" s="28">
        <f>IF($A947="","",SUMIF('入金消込'!$F$5:$F$1004,$A947,'入金消込'!$G$5:$G$1004))</f>
        <v/>
      </c>
      <c r="Q947" s="28">
        <f>IF($A947="","",SUMIF('入金消込'!$F$5:$F$1004,$A947,'入金消込'!$H$5:$H$1004)+SUMIF('入金消込'!$F$5:$F$1004,$A947,'入金消込'!$I$5:$I$1004))</f>
        <v/>
      </c>
      <c r="R947" s="28">
        <f>IF($A947="","",$L947-$P947-$Q947)</f>
        <v/>
      </c>
      <c r="S947" s="30">
        <f>IF($A947="","",IF($R947=0,IF($L947=0,"請求額0","回収済"),IF($L947&lt;0,IF($R947&lt;0,"差し引き待ち","差し引きすぎ"),IF($R947&lt;0,"入金が多い",IF($P947+$Q947=0,"未入金","一部入金")))))</f>
        <v/>
      </c>
      <c r="T947" s="31">
        <f>IF(OR($A947="",N($R947)&lt;=0,NOT(ISNUMBER($O947))),"",IF($O947&lt;'設定'!$B$7,'設定'!$B$7-$O947,""))</f>
        <v/>
      </c>
      <c r="U947" s="30">
        <f>IF(OR($A947="",N($R947)&lt;=0),"",IF(NOT(ISNUMBER($O947)),'設定'!$B$22,IF($O947&gt;='設定'!$B$7,'設定'!$B$17,IF('設定'!$B$7-$O947&lt;='設定'!$B$12,'設定'!$B$18,IF('設定'!$B$7-$O947&lt;='設定'!$B$13,'設定'!$B$19,IF('設定'!$B$7-$O947&lt;='設定'!$B$14,'設定'!$B$20,'設定'!$B$21))))))</f>
        <v/>
      </c>
      <c r="V947" s="56" t="n"/>
      <c r="W947" s="32">
        <f>IF($C947="","",IFERROR(MATCH($C947,'得意先'!$B$5:$B$104,0),"なし"))</f>
        <v/>
      </c>
      <c r="X947" s="33">
        <f>IF($A947="","",IF(ISNUMBER($E947),$E947,IF(ISNUMBER($B947),$B947,"")))</f>
        <v/>
      </c>
      <c r="Y947" s="34">
        <f>IF($T947="","",$O947+ROW()/1000000)</f>
        <v/>
      </c>
      <c r="Z947" s="35">
        <f>IF(OR($A947="",$C947="",$C947&lt;&gt;'売掛帳'!$B$3,NOT(ISNUMBER($X947))),"",IF(AND($X947&gt;='売掛帳'!$Q$3,$X947&lt;='売掛帳'!$Q$4),$X947+ROW()/10000000,""))</f>
        <v/>
      </c>
    </row>
    <row r="948" ht="18" customHeight="1">
      <c r="A948" s="18" t="n"/>
      <c r="B948" s="26" t="n"/>
      <c r="C948" s="18" t="n"/>
      <c r="D948" s="20">
        <f>IF($W948="","",IF($W948="なし","※得意先にないコード",INDEX('得意先'!$C$5:$C$104,$W948)&amp;""))</f>
        <v/>
      </c>
      <c r="E948" s="26" t="n"/>
      <c r="F948" s="19" t="n"/>
      <c r="G948" s="27" t="n"/>
      <c r="H948" s="27" t="n"/>
      <c r="I948" s="27" t="n"/>
      <c r="J948" s="28">
        <f>IF($A948="","",IF('設定'!$B$10="四捨五入",ROUND(IF('設定'!$B$9="税込",N($G948)*10/110,N($G948)*10/100),0),IF('設定'!$B$10="切り上げ",ROUNDUP(IF('設定'!$B$9="税込",N($G948)*10/110,N($G948)*10/100),0),ROUNDDOWN(IF('設定'!$B$9="税込",N($G948)*10/110,N($G948)*10/100),0))))</f>
        <v/>
      </c>
      <c r="K948" s="28">
        <f>IF($A948="","",IF('設定'!$B$10="四捨五入",ROUND(IF('設定'!$B$9="税込",N($H948)*8/108,N($H948)*8/100),0),IF('設定'!$B$10="切り上げ",ROUNDUP(IF('設定'!$B$9="税込",N($H948)*8/108,N($H948)*8/100),0),ROUNDDOWN(IF('設定'!$B$9="税込",N($H948)*8/108,N($H948)*8/100),0))))</f>
        <v/>
      </c>
      <c r="L948" s="28">
        <f>IF($A948="","",N($G948)+N($H948)+N($I948)+IF('設定'!$B$9="税込",0,$J948+$K948))</f>
        <v/>
      </c>
      <c r="M948" s="29">
        <f>IF(OR($A948="",NOT(ISNUMBER($W948)),NOT(ISNUMBER($X948))),"",IF(OR(INDEX('得意先'!$D$5:$D$104,$W948)="",INDEX('得意先'!$E$5:$E$104,$W948)="",INDEX('得意先'!$F$5:$F$104,$W948)=""),"",IF(INDEX('得意先'!$F$5:$F$104,$W948)="末",DATE(YEAR($X948),(MONTH($X948)+IF(INDEX('得意先'!$D$5:$D$104,$W948)="末",0,IF(DAY($X948)&lt;=INDEX('得意先'!$D$5:$D$104,$W948),0,1))+N(INDEX('得意先'!$E$5:$E$104,$W948)))+1,0),DATE(YEAR($X948),(MONTH($X948)+IF(INDEX('得意先'!$D$5:$D$104,$W948)="末",0,IF(DAY($X948)&lt;=INDEX('得意先'!$D$5:$D$104,$W948),0,1))+N(INDEX('得意先'!$E$5:$E$104,$W948))),MIN(INDEX('得意先'!$F$5:$F$104,$W948),DAY(DATE(YEAR($X948),(MONTH($X948)+IF(INDEX('得意先'!$D$5:$D$104,$W948)="末",0,IF(DAY($X948)&lt;=INDEX('得意先'!$D$5:$D$104,$W948),0,1))+N(INDEX('得意先'!$E$5:$E$104,$W948)))+1,0)))))))</f>
        <v/>
      </c>
      <c r="N948" s="26" t="n"/>
      <c r="O948" s="29">
        <f>IF($A948="","",IF(ISNUMBER($N948),$N948,$M948))</f>
        <v/>
      </c>
      <c r="P948" s="28">
        <f>IF($A948="","",SUMIF('入金消込'!$F$5:$F$1004,$A948,'入金消込'!$G$5:$G$1004))</f>
        <v/>
      </c>
      <c r="Q948" s="28">
        <f>IF($A948="","",SUMIF('入金消込'!$F$5:$F$1004,$A948,'入金消込'!$H$5:$H$1004)+SUMIF('入金消込'!$F$5:$F$1004,$A948,'入金消込'!$I$5:$I$1004))</f>
        <v/>
      </c>
      <c r="R948" s="28">
        <f>IF($A948="","",$L948-$P948-$Q948)</f>
        <v/>
      </c>
      <c r="S948" s="30">
        <f>IF($A948="","",IF($R948=0,IF($L948=0,"請求額0","回収済"),IF($L948&lt;0,IF($R948&lt;0,"差し引き待ち","差し引きすぎ"),IF($R948&lt;0,"入金が多い",IF($P948+$Q948=0,"未入金","一部入金")))))</f>
        <v/>
      </c>
      <c r="T948" s="31">
        <f>IF(OR($A948="",N($R948)&lt;=0,NOT(ISNUMBER($O948))),"",IF($O948&lt;'設定'!$B$7,'設定'!$B$7-$O948,""))</f>
        <v/>
      </c>
      <c r="U948" s="30">
        <f>IF(OR($A948="",N($R948)&lt;=0),"",IF(NOT(ISNUMBER($O948)),'設定'!$B$22,IF($O948&gt;='設定'!$B$7,'設定'!$B$17,IF('設定'!$B$7-$O948&lt;='設定'!$B$12,'設定'!$B$18,IF('設定'!$B$7-$O948&lt;='設定'!$B$13,'設定'!$B$19,IF('設定'!$B$7-$O948&lt;='設定'!$B$14,'設定'!$B$20,'設定'!$B$21))))))</f>
        <v/>
      </c>
      <c r="V948" s="56" t="n"/>
      <c r="W948" s="32">
        <f>IF($C948="","",IFERROR(MATCH($C948,'得意先'!$B$5:$B$104,0),"なし"))</f>
        <v/>
      </c>
      <c r="X948" s="33">
        <f>IF($A948="","",IF(ISNUMBER($E948),$E948,IF(ISNUMBER($B948),$B948,"")))</f>
        <v/>
      </c>
      <c r="Y948" s="34">
        <f>IF($T948="","",$O948+ROW()/1000000)</f>
        <v/>
      </c>
      <c r="Z948" s="35">
        <f>IF(OR($A948="",$C948="",$C948&lt;&gt;'売掛帳'!$B$3,NOT(ISNUMBER($X948))),"",IF(AND($X948&gt;='売掛帳'!$Q$3,$X948&lt;='売掛帳'!$Q$4),$X948+ROW()/10000000,""))</f>
        <v/>
      </c>
    </row>
    <row r="949" ht="18" customHeight="1">
      <c r="A949" s="18" t="n"/>
      <c r="B949" s="26" t="n"/>
      <c r="C949" s="18" t="n"/>
      <c r="D949" s="20">
        <f>IF($W949="","",IF($W949="なし","※得意先にないコード",INDEX('得意先'!$C$5:$C$104,$W949)&amp;""))</f>
        <v/>
      </c>
      <c r="E949" s="26" t="n"/>
      <c r="F949" s="19" t="n"/>
      <c r="G949" s="27" t="n"/>
      <c r="H949" s="27" t="n"/>
      <c r="I949" s="27" t="n"/>
      <c r="J949" s="28">
        <f>IF($A949="","",IF('設定'!$B$10="四捨五入",ROUND(IF('設定'!$B$9="税込",N($G949)*10/110,N($G949)*10/100),0),IF('設定'!$B$10="切り上げ",ROUNDUP(IF('設定'!$B$9="税込",N($G949)*10/110,N($G949)*10/100),0),ROUNDDOWN(IF('設定'!$B$9="税込",N($G949)*10/110,N($G949)*10/100),0))))</f>
        <v/>
      </c>
      <c r="K949" s="28">
        <f>IF($A949="","",IF('設定'!$B$10="四捨五入",ROUND(IF('設定'!$B$9="税込",N($H949)*8/108,N($H949)*8/100),0),IF('設定'!$B$10="切り上げ",ROUNDUP(IF('設定'!$B$9="税込",N($H949)*8/108,N($H949)*8/100),0),ROUNDDOWN(IF('設定'!$B$9="税込",N($H949)*8/108,N($H949)*8/100),0))))</f>
        <v/>
      </c>
      <c r="L949" s="28">
        <f>IF($A949="","",N($G949)+N($H949)+N($I949)+IF('設定'!$B$9="税込",0,$J949+$K949))</f>
        <v/>
      </c>
      <c r="M949" s="29">
        <f>IF(OR($A949="",NOT(ISNUMBER($W949)),NOT(ISNUMBER($X949))),"",IF(OR(INDEX('得意先'!$D$5:$D$104,$W949)="",INDEX('得意先'!$E$5:$E$104,$W949)="",INDEX('得意先'!$F$5:$F$104,$W949)=""),"",IF(INDEX('得意先'!$F$5:$F$104,$W949)="末",DATE(YEAR($X949),(MONTH($X949)+IF(INDEX('得意先'!$D$5:$D$104,$W949)="末",0,IF(DAY($X949)&lt;=INDEX('得意先'!$D$5:$D$104,$W949),0,1))+N(INDEX('得意先'!$E$5:$E$104,$W949)))+1,0),DATE(YEAR($X949),(MONTH($X949)+IF(INDEX('得意先'!$D$5:$D$104,$W949)="末",0,IF(DAY($X949)&lt;=INDEX('得意先'!$D$5:$D$104,$W949),0,1))+N(INDEX('得意先'!$E$5:$E$104,$W949))),MIN(INDEX('得意先'!$F$5:$F$104,$W949),DAY(DATE(YEAR($X949),(MONTH($X949)+IF(INDEX('得意先'!$D$5:$D$104,$W949)="末",0,IF(DAY($X949)&lt;=INDEX('得意先'!$D$5:$D$104,$W949),0,1))+N(INDEX('得意先'!$E$5:$E$104,$W949)))+1,0)))))))</f>
        <v/>
      </c>
      <c r="N949" s="26" t="n"/>
      <c r="O949" s="29">
        <f>IF($A949="","",IF(ISNUMBER($N949),$N949,$M949))</f>
        <v/>
      </c>
      <c r="P949" s="28">
        <f>IF($A949="","",SUMIF('入金消込'!$F$5:$F$1004,$A949,'入金消込'!$G$5:$G$1004))</f>
        <v/>
      </c>
      <c r="Q949" s="28">
        <f>IF($A949="","",SUMIF('入金消込'!$F$5:$F$1004,$A949,'入金消込'!$H$5:$H$1004)+SUMIF('入金消込'!$F$5:$F$1004,$A949,'入金消込'!$I$5:$I$1004))</f>
        <v/>
      </c>
      <c r="R949" s="28">
        <f>IF($A949="","",$L949-$P949-$Q949)</f>
        <v/>
      </c>
      <c r="S949" s="30">
        <f>IF($A949="","",IF($R949=0,IF($L949=0,"請求額0","回収済"),IF($L949&lt;0,IF($R949&lt;0,"差し引き待ち","差し引きすぎ"),IF($R949&lt;0,"入金が多い",IF($P949+$Q949=0,"未入金","一部入金")))))</f>
        <v/>
      </c>
      <c r="T949" s="31">
        <f>IF(OR($A949="",N($R949)&lt;=0,NOT(ISNUMBER($O949))),"",IF($O949&lt;'設定'!$B$7,'設定'!$B$7-$O949,""))</f>
        <v/>
      </c>
      <c r="U949" s="30">
        <f>IF(OR($A949="",N($R949)&lt;=0),"",IF(NOT(ISNUMBER($O949)),'設定'!$B$22,IF($O949&gt;='設定'!$B$7,'設定'!$B$17,IF('設定'!$B$7-$O949&lt;='設定'!$B$12,'設定'!$B$18,IF('設定'!$B$7-$O949&lt;='設定'!$B$13,'設定'!$B$19,IF('設定'!$B$7-$O949&lt;='設定'!$B$14,'設定'!$B$20,'設定'!$B$21))))))</f>
        <v/>
      </c>
      <c r="V949" s="56" t="n"/>
      <c r="W949" s="32">
        <f>IF($C949="","",IFERROR(MATCH($C949,'得意先'!$B$5:$B$104,0),"なし"))</f>
        <v/>
      </c>
      <c r="X949" s="33">
        <f>IF($A949="","",IF(ISNUMBER($E949),$E949,IF(ISNUMBER($B949),$B949,"")))</f>
        <v/>
      </c>
      <c r="Y949" s="34">
        <f>IF($T949="","",$O949+ROW()/1000000)</f>
        <v/>
      </c>
      <c r="Z949" s="35">
        <f>IF(OR($A949="",$C949="",$C949&lt;&gt;'売掛帳'!$B$3,NOT(ISNUMBER($X949))),"",IF(AND($X949&gt;='売掛帳'!$Q$3,$X949&lt;='売掛帳'!$Q$4),$X949+ROW()/10000000,""))</f>
        <v/>
      </c>
    </row>
    <row r="950" ht="18" customHeight="1">
      <c r="A950" s="18" t="n"/>
      <c r="B950" s="26" t="n"/>
      <c r="C950" s="18" t="n"/>
      <c r="D950" s="20">
        <f>IF($W950="","",IF($W950="なし","※得意先にないコード",INDEX('得意先'!$C$5:$C$104,$W950)&amp;""))</f>
        <v/>
      </c>
      <c r="E950" s="26" t="n"/>
      <c r="F950" s="19" t="n"/>
      <c r="G950" s="27" t="n"/>
      <c r="H950" s="27" t="n"/>
      <c r="I950" s="27" t="n"/>
      <c r="J950" s="28">
        <f>IF($A950="","",IF('設定'!$B$10="四捨五入",ROUND(IF('設定'!$B$9="税込",N($G950)*10/110,N($G950)*10/100),0),IF('設定'!$B$10="切り上げ",ROUNDUP(IF('設定'!$B$9="税込",N($G950)*10/110,N($G950)*10/100),0),ROUNDDOWN(IF('設定'!$B$9="税込",N($G950)*10/110,N($G950)*10/100),0))))</f>
        <v/>
      </c>
      <c r="K950" s="28">
        <f>IF($A950="","",IF('設定'!$B$10="四捨五入",ROUND(IF('設定'!$B$9="税込",N($H950)*8/108,N($H950)*8/100),0),IF('設定'!$B$10="切り上げ",ROUNDUP(IF('設定'!$B$9="税込",N($H950)*8/108,N($H950)*8/100),0),ROUNDDOWN(IF('設定'!$B$9="税込",N($H950)*8/108,N($H950)*8/100),0))))</f>
        <v/>
      </c>
      <c r="L950" s="28">
        <f>IF($A950="","",N($G950)+N($H950)+N($I950)+IF('設定'!$B$9="税込",0,$J950+$K950))</f>
        <v/>
      </c>
      <c r="M950" s="29">
        <f>IF(OR($A950="",NOT(ISNUMBER($W950)),NOT(ISNUMBER($X950))),"",IF(OR(INDEX('得意先'!$D$5:$D$104,$W950)="",INDEX('得意先'!$E$5:$E$104,$W950)="",INDEX('得意先'!$F$5:$F$104,$W950)=""),"",IF(INDEX('得意先'!$F$5:$F$104,$W950)="末",DATE(YEAR($X950),(MONTH($X950)+IF(INDEX('得意先'!$D$5:$D$104,$W950)="末",0,IF(DAY($X950)&lt;=INDEX('得意先'!$D$5:$D$104,$W950),0,1))+N(INDEX('得意先'!$E$5:$E$104,$W950)))+1,0),DATE(YEAR($X950),(MONTH($X950)+IF(INDEX('得意先'!$D$5:$D$104,$W950)="末",0,IF(DAY($X950)&lt;=INDEX('得意先'!$D$5:$D$104,$W950),0,1))+N(INDEX('得意先'!$E$5:$E$104,$W950))),MIN(INDEX('得意先'!$F$5:$F$104,$W950),DAY(DATE(YEAR($X950),(MONTH($X950)+IF(INDEX('得意先'!$D$5:$D$104,$W950)="末",0,IF(DAY($X950)&lt;=INDEX('得意先'!$D$5:$D$104,$W950),0,1))+N(INDEX('得意先'!$E$5:$E$104,$W950)))+1,0)))))))</f>
        <v/>
      </c>
      <c r="N950" s="26" t="n"/>
      <c r="O950" s="29">
        <f>IF($A950="","",IF(ISNUMBER($N950),$N950,$M950))</f>
        <v/>
      </c>
      <c r="P950" s="28">
        <f>IF($A950="","",SUMIF('入金消込'!$F$5:$F$1004,$A950,'入金消込'!$G$5:$G$1004))</f>
        <v/>
      </c>
      <c r="Q950" s="28">
        <f>IF($A950="","",SUMIF('入金消込'!$F$5:$F$1004,$A950,'入金消込'!$H$5:$H$1004)+SUMIF('入金消込'!$F$5:$F$1004,$A950,'入金消込'!$I$5:$I$1004))</f>
        <v/>
      </c>
      <c r="R950" s="28">
        <f>IF($A950="","",$L950-$P950-$Q950)</f>
        <v/>
      </c>
      <c r="S950" s="30">
        <f>IF($A950="","",IF($R950=0,IF($L950=0,"請求額0","回収済"),IF($L950&lt;0,IF($R950&lt;0,"差し引き待ち","差し引きすぎ"),IF($R950&lt;0,"入金が多い",IF($P950+$Q950=0,"未入金","一部入金")))))</f>
        <v/>
      </c>
      <c r="T950" s="31">
        <f>IF(OR($A950="",N($R950)&lt;=0,NOT(ISNUMBER($O950))),"",IF($O950&lt;'設定'!$B$7,'設定'!$B$7-$O950,""))</f>
        <v/>
      </c>
      <c r="U950" s="30">
        <f>IF(OR($A950="",N($R950)&lt;=0),"",IF(NOT(ISNUMBER($O950)),'設定'!$B$22,IF($O950&gt;='設定'!$B$7,'設定'!$B$17,IF('設定'!$B$7-$O950&lt;='設定'!$B$12,'設定'!$B$18,IF('設定'!$B$7-$O950&lt;='設定'!$B$13,'設定'!$B$19,IF('設定'!$B$7-$O950&lt;='設定'!$B$14,'設定'!$B$20,'設定'!$B$21))))))</f>
        <v/>
      </c>
      <c r="V950" s="56" t="n"/>
      <c r="W950" s="32">
        <f>IF($C950="","",IFERROR(MATCH($C950,'得意先'!$B$5:$B$104,0),"なし"))</f>
        <v/>
      </c>
      <c r="X950" s="33">
        <f>IF($A950="","",IF(ISNUMBER($E950),$E950,IF(ISNUMBER($B950),$B950,"")))</f>
        <v/>
      </c>
      <c r="Y950" s="34">
        <f>IF($T950="","",$O950+ROW()/1000000)</f>
        <v/>
      </c>
      <c r="Z950" s="35">
        <f>IF(OR($A950="",$C950="",$C950&lt;&gt;'売掛帳'!$B$3,NOT(ISNUMBER($X950))),"",IF(AND($X950&gt;='売掛帳'!$Q$3,$X950&lt;='売掛帳'!$Q$4),$X950+ROW()/10000000,""))</f>
        <v/>
      </c>
    </row>
    <row r="951" ht="18" customHeight="1">
      <c r="A951" s="18" t="n"/>
      <c r="B951" s="26" t="n"/>
      <c r="C951" s="18" t="n"/>
      <c r="D951" s="20">
        <f>IF($W951="","",IF($W951="なし","※得意先にないコード",INDEX('得意先'!$C$5:$C$104,$W951)&amp;""))</f>
        <v/>
      </c>
      <c r="E951" s="26" t="n"/>
      <c r="F951" s="19" t="n"/>
      <c r="G951" s="27" t="n"/>
      <c r="H951" s="27" t="n"/>
      <c r="I951" s="27" t="n"/>
      <c r="J951" s="28">
        <f>IF($A951="","",IF('設定'!$B$10="四捨五入",ROUND(IF('設定'!$B$9="税込",N($G951)*10/110,N($G951)*10/100),0),IF('設定'!$B$10="切り上げ",ROUNDUP(IF('設定'!$B$9="税込",N($G951)*10/110,N($G951)*10/100),0),ROUNDDOWN(IF('設定'!$B$9="税込",N($G951)*10/110,N($G951)*10/100),0))))</f>
        <v/>
      </c>
      <c r="K951" s="28">
        <f>IF($A951="","",IF('設定'!$B$10="四捨五入",ROUND(IF('設定'!$B$9="税込",N($H951)*8/108,N($H951)*8/100),0),IF('設定'!$B$10="切り上げ",ROUNDUP(IF('設定'!$B$9="税込",N($H951)*8/108,N($H951)*8/100),0),ROUNDDOWN(IF('設定'!$B$9="税込",N($H951)*8/108,N($H951)*8/100),0))))</f>
        <v/>
      </c>
      <c r="L951" s="28">
        <f>IF($A951="","",N($G951)+N($H951)+N($I951)+IF('設定'!$B$9="税込",0,$J951+$K951))</f>
        <v/>
      </c>
      <c r="M951" s="29">
        <f>IF(OR($A951="",NOT(ISNUMBER($W951)),NOT(ISNUMBER($X951))),"",IF(OR(INDEX('得意先'!$D$5:$D$104,$W951)="",INDEX('得意先'!$E$5:$E$104,$W951)="",INDEX('得意先'!$F$5:$F$104,$W951)=""),"",IF(INDEX('得意先'!$F$5:$F$104,$W951)="末",DATE(YEAR($X951),(MONTH($X951)+IF(INDEX('得意先'!$D$5:$D$104,$W951)="末",0,IF(DAY($X951)&lt;=INDEX('得意先'!$D$5:$D$104,$W951),0,1))+N(INDEX('得意先'!$E$5:$E$104,$W951)))+1,0),DATE(YEAR($X951),(MONTH($X951)+IF(INDEX('得意先'!$D$5:$D$104,$W951)="末",0,IF(DAY($X951)&lt;=INDEX('得意先'!$D$5:$D$104,$W951),0,1))+N(INDEX('得意先'!$E$5:$E$104,$W951))),MIN(INDEX('得意先'!$F$5:$F$104,$W951),DAY(DATE(YEAR($X951),(MONTH($X951)+IF(INDEX('得意先'!$D$5:$D$104,$W951)="末",0,IF(DAY($X951)&lt;=INDEX('得意先'!$D$5:$D$104,$W951),0,1))+N(INDEX('得意先'!$E$5:$E$104,$W951)))+1,0)))))))</f>
        <v/>
      </c>
      <c r="N951" s="26" t="n"/>
      <c r="O951" s="29">
        <f>IF($A951="","",IF(ISNUMBER($N951),$N951,$M951))</f>
        <v/>
      </c>
      <c r="P951" s="28">
        <f>IF($A951="","",SUMIF('入金消込'!$F$5:$F$1004,$A951,'入金消込'!$G$5:$G$1004))</f>
        <v/>
      </c>
      <c r="Q951" s="28">
        <f>IF($A951="","",SUMIF('入金消込'!$F$5:$F$1004,$A951,'入金消込'!$H$5:$H$1004)+SUMIF('入金消込'!$F$5:$F$1004,$A951,'入金消込'!$I$5:$I$1004))</f>
        <v/>
      </c>
      <c r="R951" s="28">
        <f>IF($A951="","",$L951-$P951-$Q951)</f>
        <v/>
      </c>
      <c r="S951" s="30">
        <f>IF($A951="","",IF($R951=0,IF($L951=0,"請求額0","回収済"),IF($L951&lt;0,IF($R951&lt;0,"差し引き待ち","差し引きすぎ"),IF($R951&lt;0,"入金が多い",IF($P951+$Q951=0,"未入金","一部入金")))))</f>
        <v/>
      </c>
      <c r="T951" s="31">
        <f>IF(OR($A951="",N($R951)&lt;=0,NOT(ISNUMBER($O951))),"",IF($O951&lt;'設定'!$B$7,'設定'!$B$7-$O951,""))</f>
        <v/>
      </c>
      <c r="U951" s="30">
        <f>IF(OR($A951="",N($R951)&lt;=0),"",IF(NOT(ISNUMBER($O951)),'設定'!$B$22,IF($O951&gt;='設定'!$B$7,'設定'!$B$17,IF('設定'!$B$7-$O951&lt;='設定'!$B$12,'設定'!$B$18,IF('設定'!$B$7-$O951&lt;='設定'!$B$13,'設定'!$B$19,IF('設定'!$B$7-$O951&lt;='設定'!$B$14,'設定'!$B$20,'設定'!$B$21))))))</f>
        <v/>
      </c>
      <c r="V951" s="56" t="n"/>
      <c r="W951" s="32">
        <f>IF($C951="","",IFERROR(MATCH($C951,'得意先'!$B$5:$B$104,0),"なし"))</f>
        <v/>
      </c>
      <c r="X951" s="33">
        <f>IF($A951="","",IF(ISNUMBER($E951),$E951,IF(ISNUMBER($B951),$B951,"")))</f>
        <v/>
      </c>
      <c r="Y951" s="34">
        <f>IF($T951="","",$O951+ROW()/1000000)</f>
        <v/>
      </c>
      <c r="Z951" s="35">
        <f>IF(OR($A951="",$C951="",$C951&lt;&gt;'売掛帳'!$B$3,NOT(ISNUMBER($X951))),"",IF(AND($X951&gt;='売掛帳'!$Q$3,$X951&lt;='売掛帳'!$Q$4),$X951+ROW()/10000000,""))</f>
        <v/>
      </c>
    </row>
    <row r="952" ht="18" customHeight="1">
      <c r="A952" s="18" t="n"/>
      <c r="B952" s="26" t="n"/>
      <c r="C952" s="18" t="n"/>
      <c r="D952" s="20">
        <f>IF($W952="","",IF($W952="なし","※得意先にないコード",INDEX('得意先'!$C$5:$C$104,$W952)&amp;""))</f>
        <v/>
      </c>
      <c r="E952" s="26" t="n"/>
      <c r="F952" s="19" t="n"/>
      <c r="G952" s="27" t="n"/>
      <c r="H952" s="27" t="n"/>
      <c r="I952" s="27" t="n"/>
      <c r="J952" s="28">
        <f>IF($A952="","",IF('設定'!$B$10="四捨五入",ROUND(IF('設定'!$B$9="税込",N($G952)*10/110,N($G952)*10/100),0),IF('設定'!$B$10="切り上げ",ROUNDUP(IF('設定'!$B$9="税込",N($G952)*10/110,N($G952)*10/100),0),ROUNDDOWN(IF('設定'!$B$9="税込",N($G952)*10/110,N($G952)*10/100),0))))</f>
        <v/>
      </c>
      <c r="K952" s="28">
        <f>IF($A952="","",IF('設定'!$B$10="四捨五入",ROUND(IF('設定'!$B$9="税込",N($H952)*8/108,N($H952)*8/100),0),IF('設定'!$B$10="切り上げ",ROUNDUP(IF('設定'!$B$9="税込",N($H952)*8/108,N($H952)*8/100),0),ROUNDDOWN(IF('設定'!$B$9="税込",N($H952)*8/108,N($H952)*8/100),0))))</f>
        <v/>
      </c>
      <c r="L952" s="28">
        <f>IF($A952="","",N($G952)+N($H952)+N($I952)+IF('設定'!$B$9="税込",0,$J952+$K952))</f>
        <v/>
      </c>
      <c r="M952" s="29">
        <f>IF(OR($A952="",NOT(ISNUMBER($W952)),NOT(ISNUMBER($X952))),"",IF(OR(INDEX('得意先'!$D$5:$D$104,$W952)="",INDEX('得意先'!$E$5:$E$104,$W952)="",INDEX('得意先'!$F$5:$F$104,$W952)=""),"",IF(INDEX('得意先'!$F$5:$F$104,$W952)="末",DATE(YEAR($X952),(MONTH($X952)+IF(INDEX('得意先'!$D$5:$D$104,$W952)="末",0,IF(DAY($X952)&lt;=INDEX('得意先'!$D$5:$D$104,$W952),0,1))+N(INDEX('得意先'!$E$5:$E$104,$W952)))+1,0),DATE(YEAR($X952),(MONTH($X952)+IF(INDEX('得意先'!$D$5:$D$104,$W952)="末",0,IF(DAY($X952)&lt;=INDEX('得意先'!$D$5:$D$104,$W952),0,1))+N(INDEX('得意先'!$E$5:$E$104,$W952))),MIN(INDEX('得意先'!$F$5:$F$104,$W952),DAY(DATE(YEAR($X952),(MONTH($X952)+IF(INDEX('得意先'!$D$5:$D$104,$W952)="末",0,IF(DAY($X952)&lt;=INDEX('得意先'!$D$5:$D$104,$W952),0,1))+N(INDEX('得意先'!$E$5:$E$104,$W952)))+1,0)))))))</f>
        <v/>
      </c>
      <c r="N952" s="26" t="n"/>
      <c r="O952" s="29">
        <f>IF($A952="","",IF(ISNUMBER($N952),$N952,$M952))</f>
        <v/>
      </c>
      <c r="P952" s="28">
        <f>IF($A952="","",SUMIF('入金消込'!$F$5:$F$1004,$A952,'入金消込'!$G$5:$G$1004))</f>
        <v/>
      </c>
      <c r="Q952" s="28">
        <f>IF($A952="","",SUMIF('入金消込'!$F$5:$F$1004,$A952,'入金消込'!$H$5:$H$1004)+SUMIF('入金消込'!$F$5:$F$1004,$A952,'入金消込'!$I$5:$I$1004))</f>
        <v/>
      </c>
      <c r="R952" s="28">
        <f>IF($A952="","",$L952-$P952-$Q952)</f>
        <v/>
      </c>
      <c r="S952" s="30">
        <f>IF($A952="","",IF($R952=0,IF($L952=0,"請求額0","回収済"),IF($L952&lt;0,IF($R952&lt;0,"差し引き待ち","差し引きすぎ"),IF($R952&lt;0,"入金が多い",IF($P952+$Q952=0,"未入金","一部入金")))))</f>
        <v/>
      </c>
      <c r="T952" s="31">
        <f>IF(OR($A952="",N($R952)&lt;=0,NOT(ISNUMBER($O952))),"",IF($O952&lt;'設定'!$B$7,'設定'!$B$7-$O952,""))</f>
        <v/>
      </c>
      <c r="U952" s="30">
        <f>IF(OR($A952="",N($R952)&lt;=0),"",IF(NOT(ISNUMBER($O952)),'設定'!$B$22,IF($O952&gt;='設定'!$B$7,'設定'!$B$17,IF('設定'!$B$7-$O952&lt;='設定'!$B$12,'設定'!$B$18,IF('設定'!$B$7-$O952&lt;='設定'!$B$13,'設定'!$B$19,IF('設定'!$B$7-$O952&lt;='設定'!$B$14,'設定'!$B$20,'設定'!$B$21))))))</f>
        <v/>
      </c>
      <c r="V952" s="56" t="n"/>
      <c r="W952" s="32">
        <f>IF($C952="","",IFERROR(MATCH($C952,'得意先'!$B$5:$B$104,0),"なし"))</f>
        <v/>
      </c>
      <c r="X952" s="33">
        <f>IF($A952="","",IF(ISNUMBER($E952),$E952,IF(ISNUMBER($B952),$B952,"")))</f>
        <v/>
      </c>
      <c r="Y952" s="34">
        <f>IF($T952="","",$O952+ROW()/1000000)</f>
        <v/>
      </c>
      <c r="Z952" s="35">
        <f>IF(OR($A952="",$C952="",$C952&lt;&gt;'売掛帳'!$B$3,NOT(ISNUMBER($X952))),"",IF(AND($X952&gt;='売掛帳'!$Q$3,$X952&lt;='売掛帳'!$Q$4),$X952+ROW()/10000000,""))</f>
        <v/>
      </c>
    </row>
    <row r="953" ht="18" customHeight="1">
      <c r="A953" s="18" t="n"/>
      <c r="B953" s="26" t="n"/>
      <c r="C953" s="18" t="n"/>
      <c r="D953" s="20">
        <f>IF($W953="","",IF($W953="なし","※得意先にないコード",INDEX('得意先'!$C$5:$C$104,$W953)&amp;""))</f>
        <v/>
      </c>
      <c r="E953" s="26" t="n"/>
      <c r="F953" s="19" t="n"/>
      <c r="G953" s="27" t="n"/>
      <c r="H953" s="27" t="n"/>
      <c r="I953" s="27" t="n"/>
      <c r="J953" s="28">
        <f>IF($A953="","",IF('設定'!$B$10="四捨五入",ROUND(IF('設定'!$B$9="税込",N($G953)*10/110,N($G953)*10/100),0),IF('設定'!$B$10="切り上げ",ROUNDUP(IF('設定'!$B$9="税込",N($G953)*10/110,N($G953)*10/100),0),ROUNDDOWN(IF('設定'!$B$9="税込",N($G953)*10/110,N($G953)*10/100),0))))</f>
        <v/>
      </c>
      <c r="K953" s="28">
        <f>IF($A953="","",IF('設定'!$B$10="四捨五入",ROUND(IF('設定'!$B$9="税込",N($H953)*8/108,N($H953)*8/100),0),IF('設定'!$B$10="切り上げ",ROUNDUP(IF('設定'!$B$9="税込",N($H953)*8/108,N($H953)*8/100),0),ROUNDDOWN(IF('設定'!$B$9="税込",N($H953)*8/108,N($H953)*8/100),0))))</f>
        <v/>
      </c>
      <c r="L953" s="28">
        <f>IF($A953="","",N($G953)+N($H953)+N($I953)+IF('設定'!$B$9="税込",0,$J953+$K953))</f>
        <v/>
      </c>
      <c r="M953" s="29">
        <f>IF(OR($A953="",NOT(ISNUMBER($W953)),NOT(ISNUMBER($X953))),"",IF(OR(INDEX('得意先'!$D$5:$D$104,$W953)="",INDEX('得意先'!$E$5:$E$104,$W953)="",INDEX('得意先'!$F$5:$F$104,$W953)=""),"",IF(INDEX('得意先'!$F$5:$F$104,$W953)="末",DATE(YEAR($X953),(MONTH($X953)+IF(INDEX('得意先'!$D$5:$D$104,$W953)="末",0,IF(DAY($X953)&lt;=INDEX('得意先'!$D$5:$D$104,$W953),0,1))+N(INDEX('得意先'!$E$5:$E$104,$W953)))+1,0),DATE(YEAR($X953),(MONTH($X953)+IF(INDEX('得意先'!$D$5:$D$104,$W953)="末",0,IF(DAY($X953)&lt;=INDEX('得意先'!$D$5:$D$104,$W953),0,1))+N(INDEX('得意先'!$E$5:$E$104,$W953))),MIN(INDEX('得意先'!$F$5:$F$104,$W953),DAY(DATE(YEAR($X953),(MONTH($X953)+IF(INDEX('得意先'!$D$5:$D$104,$W953)="末",0,IF(DAY($X953)&lt;=INDEX('得意先'!$D$5:$D$104,$W953),0,1))+N(INDEX('得意先'!$E$5:$E$104,$W953)))+1,0)))))))</f>
        <v/>
      </c>
      <c r="N953" s="26" t="n"/>
      <c r="O953" s="29">
        <f>IF($A953="","",IF(ISNUMBER($N953),$N953,$M953))</f>
        <v/>
      </c>
      <c r="P953" s="28">
        <f>IF($A953="","",SUMIF('入金消込'!$F$5:$F$1004,$A953,'入金消込'!$G$5:$G$1004))</f>
        <v/>
      </c>
      <c r="Q953" s="28">
        <f>IF($A953="","",SUMIF('入金消込'!$F$5:$F$1004,$A953,'入金消込'!$H$5:$H$1004)+SUMIF('入金消込'!$F$5:$F$1004,$A953,'入金消込'!$I$5:$I$1004))</f>
        <v/>
      </c>
      <c r="R953" s="28">
        <f>IF($A953="","",$L953-$P953-$Q953)</f>
        <v/>
      </c>
      <c r="S953" s="30">
        <f>IF($A953="","",IF($R953=0,IF($L953=0,"請求額0","回収済"),IF($L953&lt;0,IF($R953&lt;0,"差し引き待ち","差し引きすぎ"),IF($R953&lt;0,"入金が多い",IF($P953+$Q953=0,"未入金","一部入金")))))</f>
        <v/>
      </c>
      <c r="T953" s="31">
        <f>IF(OR($A953="",N($R953)&lt;=0,NOT(ISNUMBER($O953))),"",IF($O953&lt;'設定'!$B$7,'設定'!$B$7-$O953,""))</f>
        <v/>
      </c>
      <c r="U953" s="30">
        <f>IF(OR($A953="",N($R953)&lt;=0),"",IF(NOT(ISNUMBER($O953)),'設定'!$B$22,IF($O953&gt;='設定'!$B$7,'設定'!$B$17,IF('設定'!$B$7-$O953&lt;='設定'!$B$12,'設定'!$B$18,IF('設定'!$B$7-$O953&lt;='設定'!$B$13,'設定'!$B$19,IF('設定'!$B$7-$O953&lt;='設定'!$B$14,'設定'!$B$20,'設定'!$B$21))))))</f>
        <v/>
      </c>
      <c r="V953" s="56" t="n"/>
      <c r="W953" s="32">
        <f>IF($C953="","",IFERROR(MATCH($C953,'得意先'!$B$5:$B$104,0),"なし"))</f>
        <v/>
      </c>
      <c r="X953" s="33">
        <f>IF($A953="","",IF(ISNUMBER($E953),$E953,IF(ISNUMBER($B953),$B953,"")))</f>
        <v/>
      </c>
      <c r="Y953" s="34">
        <f>IF($T953="","",$O953+ROW()/1000000)</f>
        <v/>
      </c>
      <c r="Z953" s="35">
        <f>IF(OR($A953="",$C953="",$C953&lt;&gt;'売掛帳'!$B$3,NOT(ISNUMBER($X953))),"",IF(AND($X953&gt;='売掛帳'!$Q$3,$X953&lt;='売掛帳'!$Q$4),$X953+ROW()/10000000,""))</f>
        <v/>
      </c>
    </row>
    <row r="954" ht="18" customHeight="1">
      <c r="A954" s="18" t="n"/>
      <c r="B954" s="26" t="n"/>
      <c r="C954" s="18" t="n"/>
      <c r="D954" s="20">
        <f>IF($W954="","",IF($W954="なし","※得意先にないコード",INDEX('得意先'!$C$5:$C$104,$W954)&amp;""))</f>
        <v/>
      </c>
      <c r="E954" s="26" t="n"/>
      <c r="F954" s="19" t="n"/>
      <c r="G954" s="27" t="n"/>
      <c r="H954" s="27" t="n"/>
      <c r="I954" s="27" t="n"/>
      <c r="J954" s="28">
        <f>IF($A954="","",IF('設定'!$B$10="四捨五入",ROUND(IF('設定'!$B$9="税込",N($G954)*10/110,N($G954)*10/100),0),IF('設定'!$B$10="切り上げ",ROUNDUP(IF('設定'!$B$9="税込",N($G954)*10/110,N($G954)*10/100),0),ROUNDDOWN(IF('設定'!$B$9="税込",N($G954)*10/110,N($G954)*10/100),0))))</f>
        <v/>
      </c>
      <c r="K954" s="28">
        <f>IF($A954="","",IF('設定'!$B$10="四捨五入",ROUND(IF('設定'!$B$9="税込",N($H954)*8/108,N($H954)*8/100),0),IF('設定'!$B$10="切り上げ",ROUNDUP(IF('設定'!$B$9="税込",N($H954)*8/108,N($H954)*8/100),0),ROUNDDOWN(IF('設定'!$B$9="税込",N($H954)*8/108,N($H954)*8/100),0))))</f>
        <v/>
      </c>
      <c r="L954" s="28">
        <f>IF($A954="","",N($G954)+N($H954)+N($I954)+IF('設定'!$B$9="税込",0,$J954+$K954))</f>
        <v/>
      </c>
      <c r="M954" s="29">
        <f>IF(OR($A954="",NOT(ISNUMBER($W954)),NOT(ISNUMBER($X954))),"",IF(OR(INDEX('得意先'!$D$5:$D$104,$W954)="",INDEX('得意先'!$E$5:$E$104,$W954)="",INDEX('得意先'!$F$5:$F$104,$W954)=""),"",IF(INDEX('得意先'!$F$5:$F$104,$W954)="末",DATE(YEAR($X954),(MONTH($X954)+IF(INDEX('得意先'!$D$5:$D$104,$W954)="末",0,IF(DAY($X954)&lt;=INDEX('得意先'!$D$5:$D$104,$W954),0,1))+N(INDEX('得意先'!$E$5:$E$104,$W954)))+1,0),DATE(YEAR($X954),(MONTH($X954)+IF(INDEX('得意先'!$D$5:$D$104,$W954)="末",0,IF(DAY($X954)&lt;=INDEX('得意先'!$D$5:$D$104,$W954),0,1))+N(INDEX('得意先'!$E$5:$E$104,$W954))),MIN(INDEX('得意先'!$F$5:$F$104,$W954),DAY(DATE(YEAR($X954),(MONTH($X954)+IF(INDEX('得意先'!$D$5:$D$104,$W954)="末",0,IF(DAY($X954)&lt;=INDEX('得意先'!$D$5:$D$104,$W954),0,1))+N(INDEX('得意先'!$E$5:$E$104,$W954)))+1,0)))))))</f>
        <v/>
      </c>
      <c r="N954" s="26" t="n"/>
      <c r="O954" s="29">
        <f>IF($A954="","",IF(ISNUMBER($N954),$N954,$M954))</f>
        <v/>
      </c>
      <c r="P954" s="28">
        <f>IF($A954="","",SUMIF('入金消込'!$F$5:$F$1004,$A954,'入金消込'!$G$5:$G$1004))</f>
        <v/>
      </c>
      <c r="Q954" s="28">
        <f>IF($A954="","",SUMIF('入金消込'!$F$5:$F$1004,$A954,'入金消込'!$H$5:$H$1004)+SUMIF('入金消込'!$F$5:$F$1004,$A954,'入金消込'!$I$5:$I$1004))</f>
        <v/>
      </c>
      <c r="R954" s="28">
        <f>IF($A954="","",$L954-$P954-$Q954)</f>
        <v/>
      </c>
      <c r="S954" s="30">
        <f>IF($A954="","",IF($R954=0,IF($L954=0,"請求額0","回収済"),IF($L954&lt;0,IF($R954&lt;0,"差し引き待ち","差し引きすぎ"),IF($R954&lt;0,"入金が多い",IF($P954+$Q954=0,"未入金","一部入金")))))</f>
        <v/>
      </c>
      <c r="T954" s="31">
        <f>IF(OR($A954="",N($R954)&lt;=0,NOT(ISNUMBER($O954))),"",IF($O954&lt;'設定'!$B$7,'設定'!$B$7-$O954,""))</f>
        <v/>
      </c>
      <c r="U954" s="30">
        <f>IF(OR($A954="",N($R954)&lt;=0),"",IF(NOT(ISNUMBER($O954)),'設定'!$B$22,IF($O954&gt;='設定'!$B$7,'設定'!$B$17,IF('設定'!$B$7-$O954&lt;='設定'!$B$12,'設定'!$B$18,IF('設定'!$B$7-$O954&lt;='設定'!$B$13,'設定'!$B$19,IF('設定'!$B$7-$O954&lt;='設定'!$B$14,'設定'!$B$20,'設定'!$B$21))))))</f>
        <v/>
      </c>
      <c r="V954" s="56" t="n"/>
      <c r="W954" s="32">
        <f>IF($C954="","",IFERROR(MATCH($C954,'得意先'!$B$5:$B$104,0),"なし"))</f>
        <v/>
      </c>
      <c r="X954" s="33">
        <f>IF($A954="","",IF(ISNUMBER($E954),$E954,IF(ISNUMBER($B954),$B954,"")))</f>
        <v/>
      </c>
      <c r="Y954" s="34">
        <f>IF($T954="","",$O954+ROW()/1000000)</f>
        <v/>
      </c>
      <c r="Z954" s="35">
        <f>IF(OR($A954="",$C954="",$C954&lt;&gt;'売掛帳'!$B$3,NOT(ISNUMBER($X954))),"",IF(AND($X954&gt;='売掛帳'!$Q$3,$X954&lt;='売掛帳'!$Q$4),$X954+ROW()/10000000,""))</f>
        <v/>
      </c>
    </row>
    <row r="955" ht="18" customHeight="1">
      <c r="A955" s="18" t="n"/>
      <c r="B955" s="26" t="n"/>
      <c r="C955" s="18" t="n"/>
      <c r="D955" s="20">
        <f>IF($W955="","",IF($W955="なし","※得意先にないコード",INDEX('得意先'!$C$5:$C$104,$W955)&amp;""))</f>
        <v/>
      </c>
      <c r="E955" s="26" t="n"/>
      <c r="F955" s="19" t="n"/>
      <c r="G955" s="27" t="n"/>
      <c r="H955" s="27" t="n"/>
      <c r="I955" s="27" t="n"/>
      <c r="J955" s="28">
        <f>IF($A955="","",IF('設定'!$B$10="四捨五入",ROUND(IF('設定'!$B$9="税込",N($G955)*10/110,N($G955)*10/100),0),IF('設定'!$B$10="切り上げ",ROUNDUP(IF('設定'!$B$9="税込",N($G955)*10/110,N($G955)*10/100),0),ROUNDDOWN(IF('設定'!$B$9="税込",N($G955)*10/110,N($G955)*10/100),0))))</f>
        <v/>
      </c>
      <c r="K955" s="28">
        <f>IF($A955="","",IF('設定'!$B$10="四捨五入",ROUND(IF('設定'!$B$9="税込",N($H955)*8/108,N($H955)*8/100),0),IF('設定'!$B$10="切り上げ",ROUNDUP(IF('設定'!$B$9="税込",N($H955)*8/108,N($H955)*8/100),0),ROUNDDOWN(IF('設定'!$B$9="税込",N($H955)*8/108,N($H955)*8/100),0))))</f>
        <v/>
      </c>
      <c r="L955" s="28">
        <f>IF($A955="","",N($G955)+N($H955)+N($I955)+IF('設定'!$B$9="税込",0,$J955+$K955))</f>
        <v/>
      </c>
      <c r="M955" s="29">
        <f>IF(OR($A955="",NOT(ISNUMBER($W955)),NOT(ISNUMBER($X955))),"",IF(OR(INDEX('得意先'!$D$5:$D$104,$W955)="",INDEX('得意先'!$E$5:$E$104,$W955)="",INDEX('得意先'!$F$5:$F$104,$W955)=""),"",IF(INDEX('得意先'!$F$5:$F$104,$W955)="末",DATE(YEAR($X955),(MONTH($X955)+IF(INDEX('得意先'!$D$5:$D$104,$W955)="末",0,IF(DAY($X955)&lt;=INDEX('得意先'!$D$5:$D$104,$W955),0,1))+N(INDEX('得意先'!$E$5:$E$104,$W955)))+1,0),DATE(YEAR($X955),(MONTH($X955)+IF(INDEX('得意先'!$D$5:$D$104,$W955)="末",0,IF(DAY($X955)&lt;=INDEX('得意先'!$D$5:$D$104,$W955),0,1))+N(INDEX('得意先'!$E$5:$E$104,$W955))),MIN(INDEX('得意先'!$F$5:$F$104,$W955),DAY(DATE(YEAR($X955),(MONTH($X955)+IF(INDEX('得意先'!$D$5:$D$104,$W955)="末",0,IF(DAY($X955)&lt;=INDEX('得意先'!$D$5:$D$104,$W955),0,1))+N(INDEX('得意先'!$E$5:$E$104,$W955)))+1,0)))))))</f>
        <v/>
      </c>
      <c r="N955" s="26" t="n"/>
      <c r="O955" s="29">
        <f>IF($A955="","",IF(ISNUMBER($N955),$N955,$M955))</f>
        <v/>
      </c>
      <c r="P955" s="28">
        <f>IF($A955="","",SUMIF('入金消込'!$F$5:$F$1004,$A955,'入金消込'!$G$5:$G$1004))</f>
        <v/>
      </c>
      <c r="Q955" s="28">
        <f>IF($A955="","",SUMIF('入金消込'!$F$5:$F$1004,$A955,'入金消込'!$H$5:$H$1004)+SUMIF('入金消込'!$F$5:$F$1004,$A955,'入金消込'!$I$5:$I$1004))</f>
        <v/>
      </c>
      <c r="R955" s="28">
        <f>IF($A955="","",$L955-$P955-$Q955)</f>
        <v/>
      </c>
      <c r="S955" s="30">
        <f>IF($A955="","",IF($R955=0,IF($L955=0,"請求額0","回収済"),IF($L955&lt;0,IF($R955&lt;0,"差し引き待ち","差し引きすぎ"),IF($R955&lt;0,"入金が多い",IF($P955+$Q955=0,"未入金","一部入金")))))</f>
        <v/>
      </c>
      <c r="T955" s="31">
        <f>IF(OR($A955="",N($R955)&lt;=0,NOT(ISNUMBER($O955))),"",IF($O955&lt;'設定'!$B$7,'設定'!$B$7-$O955,""))</f>
        <v/>
      </c>
      <c r="U955" s="30">
        <f>IF(OR($A955="",N($R955)&lt;=0),"",IF(NOT(ISNUMBER($O955)),'設定'!$B$22,IF($O955&gt;='設定'!$B$7,'設定'!$B$17,IF('設定'!$B$7-$O955&lt;='設定'!$B$12,'設定'!$B$18,IF('設定'!$B$7-$O955&lt;='設定'!$B$13,'設定'!$B$19,IF('設定'!$B$7-$O955&lt;='設定'!$B$14,'設定'!$B$20,'設定'!$B$21))))))</f>
        <v/>
      </c>
      <c r="V955" s="56" t="n"/>
      <c r="W955" s="32">
        <f>IF($C955="","",IFERROR(MATCH($C955,'得意先'!$B$5:$B$104,0),"なし"))</f>
        <v/>
      </c>
      <c r="X955" s="33">
        <f>IF($A955="","",IF(ISNUMBER($E955),$E955,IF(ISNUMBER($B955),$B955,"")))</f>
        <v/>
      </c>
      <c r="Y955" s="34">
        <f>IF($T955="","",$O955+ROW()/1000000)</f>
        <v/>
      </c>
      <c r="Z955" s="35">
        <f>IF(OR($A955="",$C955="",$C955&lt;&gt;'売掛帳'!$B$3,NOT(ISNUMBER($X955))),"",IF(AND($X955&gt;='売掛帳'!$Q$3,$X955&lt;='売掛帳'!$Q$4),$X955+ROW()/10000000,""))</f>
        <v/>
      </c>
    </row>
    <row r="956" ht="18" customHeight="1">
      <c r="A956" s="18" t="n"/>
      <c r="B956" s="26" t="n"/>
      <c r="C956" s="18" t="n"/>
      <c r="D956" s="20">
        <f>IF($W956="","",IF($W956="なし","※得意先にないコード",INDEX('得意先'!$C$5:$C$104,$W956)&amp;""))</f>
        <v/>
      </c>
      <c r="E956" s="26" t="n"/>
      <c r="F956" s="19" t="n"/>
      <c r="G956" s="27" t="n"/>
      <c r="H956" s="27" t="n"/>
      <c r="I956" s="27" t="n"/>
      <c r="J956" s="28">
        <f>IF($A956="","",IF('設定'!$B$10="四捨五入",ROUND(IF('設定'!$B$9="税込",N($G956)*10/110,N($G956)*10/100),0),IF('設定'!$B$10="切り上げ",ROUNDUP(IF('設定'!$B$9="税込",N($G956)*10/110,N($G956)*10/100),0),ROUNDDOWN(IF('設定'!$B$9="税込",N($G956)*10/110,N($G956)*10/100),0))))</f>
        <v/>
      </c>
      <c r="K956" s="28">
        <f>IF($A956="","",IF('設定'!$B$10="四捨五入",ROUND(IF('設定'!$B$9="税込",N($H956)*8/108,N($H956)*8/100),0),IF('設定'!$B$10="切り上げ",ROUNDUP(IF('設定'!$B$9="税込",N($H956)*8/108,N($H956)*8/100),0),ROUNDDOWN(IF('設定'!$B$9="税込",N($H956)*8/108,N($H956)*8/100),0))))</f>
        <v/>
      </c>
      <c r="L956" s="28">
        <f>IF($A956="","",N($G956)+N($H956)+N($I956)+IF('設定'!$B$9="税込",0,$J956+$K956))</f>
        <v/>
      </c>
      <c r="M956" s="29">
        <f>IF(OR($A956="",NOT(ISNUMBER($W956)),NOT(ISNUMBER($X956))),"",IF(OR(INDEX('得意先'!$D$5:$D$104,$W956)="",INDEX('得意先'!$E$5:$E$104,$W956)="",INDEX('得意先'!$F$5:$F$104,$W956)=""),"",IF(INDEX('得意先'!$F$5:$F$104,$W956)="末",DATE(YEAR($X956),(MONTH($X956)+IF(INDEX('得意先'!$D$5:$D$104,$W956)="末",0,IF(DAY($X956)&lt;=INDEX('得意先'!$D$5:$D$104,$W956),0,1))+N(INDEX('得意先'!$E$5:$E$104,$W956)))+1,0),DATE(YEAR($X956),(MONTH($X956)+IF(INDEX('得意先'!$D$5:$D$104,$W956)="末",0,IF(DAY($X956)&lt;=INDEX('得意先'!$D$5:$D$104,$W956),0,1))+N(INDEX('得意先'!$E$5:$E$104,$W956))),MIN(INDEX('得意先'!$F$5:$F$104,$W956),DAY(DATE(YEAR($X956),(MONTH($X956)+IF(INDEX('得意先'!$D$5:$D$104,$W956)="末",0,IF(DAY($X956)&lt;=INDEX('得意先'!$D$5:$D$104,$W956),0,1))+N(INDEX('得意先'!$E$5:$E$104,$W956)))+1,0)))))))</f>
        <v/>
      </c>
      <c r="N956" s="26" t="n"/>
      <c r="O956" s="29">
        <f>IF($A956="","",IF(ISNUMBER($N956),$N956,$M956))</f>
        <v/>
      </c>
      <c r="P956" s="28">
        <f>IF($A956="","",SUMIF('入金消込'!$F$5:$F$1004,$A956,'入金消込'!$G$5:$G$1004))</f>
        <v/>
      </c>
      <c r="Q956" s="28">
        <f>IF($A956="","",SUMIF('入金消込'!$F$5:$F$1004,$A956,'入金消込'!$H$5:$H$1004)+SUMIF('入金消込'!$F$5:$F$1004,$A956,'入金消込'!$I$5:$I$1004))</f>
        <v/>
      </c>
      <c r="R956" s="28">
        <f>IF($A956="","",$L956-$P956-$Q956)</f>
        <v/>
      </c>
      <c r="S956" s="30">
        <f>IF($A956="","",IF($R956=0,IF($L956=0,"請求額0","回収済"),IF($L956&lt;0,IF($R956&lt;0,"差し引き待ち","差し引きすぎ"),IF($R956&lt;0,"入金が多い",IF($P956+$Q956=0,"未入金","一部入金")))))</f>
        <v/>
      </c>
      <c r="T956" s="31">
        <f>IF(OR($A956="",N($R956)&lt;=0,NOT(ISNUMBER($O956))),"",IF($O956&lt;'設定'!$B$7,'設定'!$B$7-$O956,""))</f>
        <v/>
      </c>
      <c r="U956" s="30">
        <f>IF(OR($A956="",N($R956)&lt;=0),"",IF(NOT(ISNUMBER($O956)),'設定'!$B$22,IF($O956&gt;='設定'!$B$7,'設定'!$B$17,IF('設定'!$B$7-$O956&lt;='設定'!$B$12,'設定'!$B$18,IF('設定'!$B$7-$O956&lt;='設定'!$B$13,'設定'!$B$19,IF('設定'!$B$7-$O956&lt;='設定'!$B$14,'設定'!$B$20,'設定'!$B$21))))))</f>
        <v/>
      </c>
      <c r="V956" s="56" t="n"/>
      <c r="W956" s="32">
        <f>IF($C956="","",IFERROR(MATCH($C956,'得意先'!$B$5:$B$104,0),"なし"))</f>
        <v/>
      </c>
      <c r="X956" s="33">
        <f>IF($A956="","",IF(ISNUMBER($E956),$E956,IF(ISNUMBER($B956),$B956,"")))</f>
        <v/>
      </c>
      <c r="Y956" s="34">
        <f>IF($T956="","",$O956+ROW()/1000000)</f>
        <v/>
      </c>
      <c r="Z956" s="35">
        <f>IF(OR($A956="",$C956="",$C956&lt;&gt;'売掛帳'!$B$3,NOT(ISNUMBER($X956))),"",IF(AND($X956&gt;='売掛帳'!$Q$3,$X956&lt;='売掛帳'!$Q$4),$X956+ROW()/10000000,""))</f>
        <v/>
      </c>
    </row>
    <row r="957" ht="18" customHeight="1">
      <c r="A957" s="18" t="n"/>
      <c r="B957" s="26" t="n"/>
      <c r="C957" s="18" t="n"/>
      <c r="D957" s="20">
        <f>IF($W957="","",IF($W957="なし","※得意先にないコード",INDEX('得意先'!$C$5:$C$104,$W957)&amp;""))</f>
        <v/>
      </c>
      <c r="E957" s="26" t="n"/>
      <c r="F957" s="19" t="n"/>
      <c r="G957" s="27" t="n"/>
      <c r="H957" s="27" t="n"/>
      <c r="I957" s="27" t="n"/>
      <c r="J957" s="28">
        <f>IF($A957="","",IF('設定'!$B$10="四捨五入",ROUND(IF('設定'!$B$9="税込",N($G957)*10/110,N($G957)*10/100),0),IF('設定'!$B$10="切り上げ",ROUNDUP(IF('設定'!$B$9="税込",N($G957)*10/110,N($G957)*10/100),0),ROUNDDOWN(IF('設定'!$B$9="税込",N($G957)*10/110,N($G957)*10/100),0))))</f>
        <v/>
      </c>
      <c r="K957" s="28">
        <f>IF($A957="","",IF('設定'!$B$10="四捨五入",ROUND(IF('設定'!$B$9="税込",N($H957)*8/108,N($H957)*8/100),0),IF('設定'!$B$10="切り上げ",ROUNDUP(IF('設定'!$B$9="税込",N($H957)*8/108,N($H957)*8/100),0),ROUNDDOWN(IF('設定'!$B$9="税込",N($H957)*8/108,N($H957)*8/100),0))))</f>
        <v/>
      </c>
      <c r="L957" s="28">
        <f>IF($A957="","",N($G957)+N($H957)+N($I957)+IF('設定'!$B$9="税込",0,$J957+$K957))</f>
        <v/>
      </c>
      <c r="M957" s="29">
        <f>IF(OR($A957="",NOT(ISNUMBER($W957)),NOT(ISNUMBER($X957))),"",IF(OR(INDEX('得意先'!$D$5:$D$104,$W957)="",INDEX('得意先'!$E$5:$E$104,$W957)="",INDEX('得意先'!$F$5:$F$104,$W957)=""),"",IF(INDEX('得意先'!$F$5:$F$104,$W957)="末",DATE(YEAR($X957),(MONTH($X957)+IF(INDEX('得意先'!$D$5:$D$104,$W957)="末",0,IF(DAY($X957)&lt;=INDEX('得意先'!$D$5:$D$104,$W957),0,1))+N(INDEX('得意先'!$E$5:$E$104,$W957)))+1,0),DATE(YEAR($X957),(MONTH($X957)+IF(INDEX('得意先'!$D$5:$D$104,$W957)="末",0,IF(DAY($X957)&lt;=INDEX('得意先'!$D$5:$D$104,$W957),0,1))+N(INDEX('得意先'!$E$5:$E$104,$W957))),MIN(INDEX('得意先'!$F$5:$F$104,$W957),DAY(DATE(YEAR($X957),(MONTH($X957)+IF(INDEX('得意先'!$D$5:$D$104,$W957)="末",0,IF(DAY($X957)&lt;=INDEX('得意先'!$D$5:$D$104,$W957),0,1))+N(INDEX('得意先'!$E$5:$E$104,$W957)))+1,0)))))))</f>
        <v/>
      </c>
      <c r="N957" s="26" t="n"/>
      <c r="O957" s="29">
        <f>IF($A957="","",IF(ISNUMBER($N957),$N957,$M957))</f>
        <v/>
      </c>
      <c r="P957" s="28">
        <f>IF($A957="","",SUMIF('入金消込'!$F$5:$F$1004,$A957,'入金消込'!$G$5:$G$1004))</f>
        <v/>
      </c>
      <c r="Q957" s="28">
        <f>IF($A957="","",SUMIF('入金消込'!$F$5:$F$1004,$A957,'入金消込'!$H$5:$H$1004)+SUMIF('入金消込'!$F$5:$F$1004,$A957,'入金消込'!$I$5:$I$1004))</f>
        <v/>
      </c>
      <c r="R957" s="28">
        <f>IF($A957="","",$L957-$P957-$Q957)</f>
        <v/>
      </c>
      <c r="S957" s="30">
        <f>IF($A957="","",IF($R957=0,IF($L957=0,"請求額0","回収済"),IF($L957&lt;0,IF($R957&lt;0,"差し引き待ち","差し引きすぎ"),IF($R957&lt;0,"入金が多い",IF($P957+$Q957=0,"未入金","一部入金")))))</f>
        <v/>
      </c>
      <c r="T957" s="31">
        <f>IF(OR($A957="",N($R957)&lt;=0,NOT(ISNUMBER($O957))),"",IF($O957&lt;'設定'!$B$7,'設定'!$B$7-$O957,""))</f>
        <v/>
      </c>
      <c r="U957" s="30">
        <f>IF(OR($A957="",N($R957)&lt;=0),"",IF(NOT(ISNUMBER($O957)),'設定'!$B$22,IF($O957&gt;='設定'!$B$7,'設定'!$B$17,IF('設定'!$B$7-$O957&lt;='設定'!$B$12,'設定'!$B$18,IF('設定'!$B$7-$O957&lt;='設定'!$B$13,'設定'!$B$19,IF('設定'!$B$7-$O957&lt;='設定'!$B$14,'設定'!$B$20,'設定'!$B$21))))))</f>
        <v/>
      </c>
      <c r="V957" s="56" t="n"/>
      <c r="W957" s="32">
        <f>IF($C957="","",IFERROR(MATCH($C957,'得意先'!$B$5:$B$104,0),"なし"))</f>
        <v/>
      </c>
      <c r="X957" s="33">
        <f>IF($A957="","",IF(ISNUMBER($E957),$E957,IF(ISNUMBER($B957),$B957,"")))</f>
        <v/>
      </c>
      <c r="Y957" s="34">
        <f>IF($T957="","",$O957+ROW()/1000000)</f>
        <v/>
      </c>
      <c r="Z957" s="35">
        <f>IF(OR($A957="",$C957="",$C957&lt;&gt;'売掛帳'!$B$3,NOT(ISNUMBER($X957))),"",IF(AND($X957&gt;='売掛帳'!$Q$3,$X957&lt;='売掛帳'!$Q$4),$X957+ROW()/10000000,""))</f>
        <v/>
      </c>
    </row>
    <row r="958" ht="18" customHeight="1">
      <c r="A958" s="18" t="n"/>
      <c r="B958" s="26" t="n"/>
      <c r="C958" s="18" t="n"/>
      <c r="D958" s="20">
        <f>IF($W958="","",IF($W958="なし","※得意先にないコード",INDEX('得意先'!$C$5:$C$104,$W958)&amp;""))</f>
        <v/>
      </c>
      <c r="E958" s="26" t="n"/>
      <c r="F958" s="19" t="n"/>
      <c r="G958" s="27" t="n"/>
      <c r="H958" s="27" t="n"/>
      <c r="I958" s="27" t="n"/>
      <c r="J958" s="28">
        <f>IF($A958="","",IF('設定'!$B$10="四捨五入",ROUND(IF('設定'!$B$9="税込",N($G958)*10/110,N($G958)*10/100),0),IF('設定'!$B$10="切り上げ",ROUNDUP(IF('設定'!$B$9="税込",N($G958)*10/110,N($G958)*10/100),0),ROUNDDOWN(IF('設定'!$B$9="税込",N($G958)*10/110,N($G958)*10/100),0))))</f>
        <v/>
      </c>
      <c r="K958" s="28">
        <f>IF($A958="","",IF('設定'!$B$10="四捨五入",ROUND(IF('設定'!$B$9="税込",N($H958)*8/108,N($H958)*8/100),0),IF('設定'!$B$10="切り上げ",ROUNDUP(IF('設定'!$B$9="税込",N($H958)*8/108,N($H958)*8/100),0),ROUNDDOWN(IF('設定'!$B$9="税込",N($H958)*8/108,N($H958)*8/100),0))))</f>
        <v/>
      </c>
      <c r="L958" s="28">
        <f>IF($A958="","",N($G958)+N($H958)+N($I958)+IF('設定'!$B$9="税込",0,$J958+$K958))</f>
        <v/>
      </c>
      <c r="M958" s="29">
        <f>IF(OR($A958="",NOT(ISNUMBER($W958)),NOT(ISNUMBER($X958))),"",IF(OR(INDEX('得意先'!$D$5:$D$104,$W958)="",INDEX('得意先'!$E$5:$E$104,$W958)="",INDEX('得意先'!$F$5:$F$104,$W958)=""),"",IF(INDEX('得意先'!$F$5:$F$104,$W958)="末",DATE(YEAR($X958),(MONTH($X958)+IF(INDEX('得意先'!$D$5:$D$104,$W958)="末",0,IF(DAY($X958)&lt;=INDEX('得意先'!$D$5:$D$104,$W958),0,1))+N(INDEX('得意先'!$E$5:$E$104,$W958)))+1,0),DATE(YEAR($X958),(MONTH($X958)+IF(INDEX('得意先'!$D$5:$D$104,$W958)="末",0,IF(DAY($X958)&lt;=INDEX('得意先'!$D$5:$D$104,$W958),0,1))+N(INDEX('得意先'!$E$5:$E$104,$W958))),MIN(INDEX('得意先'!$F$5:$F$104,$W958),DAY(DATE(YEAR($X958),(MONTH($X958)+IF(INDEX('得意先'!$D$5:$D$104,$W958)="末",0,IF(DAY($X958)&lt;=INDEX('得意先'!$D$5:$D$104,$W958),0,1))+N(INDEX('得意先'!$E$5:$E$104,$W958)))+1,0)))))))</f>
        <v/>
      </c>
      <c r="N958" s="26" t="n"/>
      <c r="O958" s="29">
        <f>IF($A958="","",IF(ISNUMBER($N958),$N958,$M958))</f>
        <v/>
      </c>
      <c r="P958" s="28">
        <f>IF($A958="","",SUMIF('入金消込'!$F$5:$F$1004,$A958,'入金消込'!$G$5:$G$1004))</f>
        <v/>
      </c>
      <c r="Q958" s="28">
        <f>IF($A958="","",SUMIF('入金消込'!$F$5:$F$1004,$A958,'入金消込'!$H$5:$H$1004)+SUMIF('入金消込'!$F$5:$F$1004,$A958,'入金消込'!$I$5:$I$1004))</f>
        <v/>
      </c>
      <c r="R958" s="28">
        <f>IF($A958="","",$L958-$P958-$Q958)</f>
        <v/>
      </c>
      <c r="S958" s="30">
        <f>IF($A958="","",IF($R958=0,IF($L958=0,"請求額0","回収済"),IF($L958&lt;0,IF($R958&lt;0,"差し引き待ち","差し引きすぎ"),IF($R958&lt;0,"入金が多い",IF($P958+$Q958=0,"未入金","一部入金")))))</f>
        <v/>
      </c>
      <c r="T958" s="31">
        <f>IF(OR($A958="",N($R958)&lt;=0,NOT(ISNUMBER($O958))),"",IF($O958&lt;'設定'!$B$7,'設定'!$B$7-$O958,""))</f>
        <v/>
      </c>
      <c r="U958" s="30">
        <f>IF(OR($A958="",N($R958)&lt;=0),"",IF(NOT(ISNUMBER($O958)),'設定'!$B$22,IF($O958&gt;='設定'!$B$7,'設定'!$B$17,IF('設定'!$B$7-$O958&lt;='設定'!$B$12,'設定'!$B$18,IF('設定'!$B$7-$O958&lt;='設定'!$B$13,'設定'!$B$19,IF('設定'!$B$7-$O958&lt;='設定'!$B$14,'設定'!$B$20,'設定'!$B$21))))))</f>
        <v/>
      </c>
      <c r="V958" s="56" t="n"/>
      <c r="W958" s="32">
        <f>IF($C958="","",IFERROR(MATCH($C958,'得意先'!$B$5:$B$104,0),"なし"))</f>
        <v/>
      </c>
      <c r="X958" s="33">
        <f>IF($A958="","",IF(ISNUMBER($E958),$E958,IF(ISNUMBER($B958),$B958,"")))</f>
        <v/>
      </c>
      <c r="Y958" s="34">
        <f>IF($T958="","",$O958+ROW()/1000000)</f>
        <v/>
      </c>
      <c r="Z958" s="35">
        <f>IF(OR($A958="",$C958="",$C958&lt;&gt;'売掛帳'!$B$3,NOT(ISNUMBER($X958))),"",IF(AND($X958&gt;='売掛帳'!$Q$3,$X958&lt;='売掛帳'!$Q$4),$X958+ROW()/10000000,""))</f>
        <v/>
      </c>
    </row>
    <row r="959" ht="18" customHeight="1">
      <c r="A959" s="18" t="n"/>
      <c r="B959" s="26" t="n"/>
      <c r="C959" s="18" t="n"/>
      <c r="D959" s="20">
        <f>IF($W959="","",IF($W959="なし","※得意先にないコード",INDEX('得意先'!$C$5:$C$104,$W959)&amp;""))</f>
        <v/>
      </c>
      <c r="E959" s="26" t="n"/>
      <c r="F959" s="19" t="n"/>
      <c r="G959" s="27" t="n"/>
      <c r="H959" s="27" t="n"/>
      <c r="I959" s="27" t="n"/>
      <c r="J959" s="28">
        <f>IF($A959="","",IF('設定'!$B$10="四捨五入",ROUND(IF('設定'!$B$9="税込",N($G959)*10/110,N($G959)*10/100),0),IF('設定'!$B$10="切り上げ",ROUNDUP(IF('設定'!$B$9="税込",N($G959)*10/110,N($G959)*10/100),0),ROUNDDOWN(IF('設定'!$B$9="税込",N($G959)*10/110,N($G959)*10/100),0))))</f>
        <v/>
      </c>
      <c r="K959" s="28">
        <f>IF($A959="","",IF('設定'!$B$10="四捨五入",ROUND(IF('設定'!$B$9="税込",N($H959)*8/108,N($H959)*8/100),0),IF('設定'!$B$10="切り上げ",ROUNDUP(IF('設定'!$B$9="税込",N($H959)*8/108,N($H959)*8/100),0),ROUNDDOWN(IF('設定'!$B$9="税込",N($H959)*8/108,N($H959)*8/100),0))))</f>
        <v/>
      </c>
      <c r="L959" s="28">
        <f>IF($A959="","",N($G959)+N($H959)+N($I959)+IF('設定'!$B$9="税込",0,$J959+$K959))</f>
        <v/>
      </c>
      <c r="M959" s="29">
        <f>IF(OR($A959="",NOT(ISNUMBER($W959)),NOT(ISNUMBER($X959))),"",IF(OR(INDEX('得意先'!$D$5:$D$104,$W959)="",INDEX('得意先'!$E$5:$E$104,$W959)="",INDEX('得意先'!$F$5:$F$104,$W959)=""),"",IF(INDEX('得意先'!$F$5:$F$104,$W959)="末",DATE(YEAR($X959),(MONTH($X959)+IF(INDEX('得意先'!$D$5:$D$104,$W959)="末",0,IF(DAY($X959)&lt;=INDEX('得意先'!$D$5:$D$104,$W959),0,1))+N(INDEX('得意先'!$E$5:$E$104,$W959)))+1,0),DATE(YEAR($X959),(MONTH($X959)+IF(INDEX('得意先'!$D$5:$D$104,$W959)="末",0,IF(DAY($X959)&lt;=INDEX('得意先'!$D$5:$D$104,$W959),0,1))+N(INDEX('得意先'!$E$5:$E$104,$W959))),MIN(INDEX('得意先'!$F$5:$F$104,$W959),DAY(DATE(YEAR($X959),(MONTH($X959)+IF(INDEX('得意先'!$D$5:$D$104,$W959)="末",0,IF(DAY($X959)&lt;=INDEX('得意先'!$D$5:$D$104,$W959),0,1))+N(INDEX('得意先'!$E$5:$E$104,$W959)))+1,0)))))))</f>
        <v/>
      </c>
      <c r="N959" s="26" t="n"/>
      <c r="O959" s="29">
        <f>IF($A959="","",IF(ISNUMBER($N959),$N959,$M959))</f>
        <v/>
      </c>
      <c r="P959" s="28">
        <f>IF($A959="","",SUMIF('入金消込'!$F$5:$F$1004,$A959,'入金消込'!$G$5:$G$1004))</f>
        <v/>
      </c>
      <c r="Q959" s="28">
        <f>IF($A959="","",SUMIF('入金消込'!$F$5:$F$1004,$A959,'入金消込'!$H$5:$H$1004)+SUMIF('入金消込'!$F$5:$F$1004,$A959,'入金消込'!$I$5:$I$1004))</f>
        <v/>
      </c>
      <c r="R959" s="28">
        <f>IF($A959="","",$L959-$P959-$Q959)</f>
        <v/>
      </c>
      <c r="S959" s="30">
        <f>IF($A959="","",IF($R959=0,IF($L959=0,"請求額0","回収済"),IF($L959&lt;0,IF($R959&lt;0,"差し引き待ち","差し引きすぎ"),IF($R959&lt;0,"入金が多い",IF($P959+$Q959=0,"未入金","一部入金")))))</f>
        <v/>
      </c>
      <c r="T959" s="31">
        <f>IF(OR($A959="",N($R959)&lt;=0,NOT(ISNUMBER($O959))),"",IF($O959&lt;'設定'!$B$7,'設定'!$B$7-$O959,""))</f>
        <v/>
      </c>
      <c r="U959" s="30">
        <f>IF(OR($A959="",N($R959)&lt;=0),"",IF(NOT(ISNUMBER($O959)),'設定'!$B$22,IF($O959&gt;='設定'!$B$7,'設定'!$B$17,IF('設定'!$B$7-$O959&lt;='設定'!$B$12,'設定'!$B$18,IF('設定'!$B$7-$O959&lt;='設定'!$B$13,'設定'!$B$19,IF('設定'!$B$7-$O959&lt;='設定'!$B$14,'設定'!$B$20,'設定'!$B$21))))))</f>
        <v/>
      </c>
      <c r="V959" s="56" t="n"/>
      <c r="W959" s="32">
        <f>IF($C959="","",IFERROR(MATCH($C959,'得意先'!$B$5:$B$104,0),"なし"))</f>
        <v/>
      </c>
      <c r="X959" s="33">
        <f>IF($A959="","",IF(ISNUMBER($E959),$E959,IF(ISNUMBER($B959),$B959,"")))</f>
        <v/>
      </c>
      <c r="Y959" s="34">
        <f>IF($T959="","",$O959+ROW()/1000000)</f>
        <v/>
      </c>
      <c r="Z959" s="35">
        <f>IF(OR($A959="",$C959="",$C959&lt;&gt;'売掛帳'!$B$3,NOT(ISNUMBER($X959))),"",IF(AND($X959&gt;='売掛帳'!$Q$3,$X959&lt;='売掛帳'!$Q$4),$X959+ROW()/10000000,""))</f>
        <v/>
      </c>
    </row>
    <row r="960" ht="18" customHeight="1">
      <c r="A960" s="18" t="n"/>
      <c r="B960" s="26" t="n"/>
      <c r="C960" s="18" t="n"/>
      <c r="D960" s="20">
        <f>IF($W960="","",IF($W960="なし","※得意先にないコード",INDEX('得意先'!$C$5:$C$104,$W960)&amp;""))</f>
        <v/>
      </c>
      <c r="E960" s="26" t="n"/>
      <c r="F960" s="19" t="n"/>
      <c r="G960" s="27" t="n"/>
      <c r="H960" s="27" t="n"/>
      <c r="I960" s="27" t="n"/>
      <c r="J960" s="28">
        <f>IF($A960="","",IF('設定'!$B$10="四捨五入",ROUND(IF('設定'!$B$9="税込",N($G960)*10/110,N($G960)*10/100),0),IF('設定'!$B$10="切り上げ",ROUNDUP(IF('設定'!$B$9="税込",N($G960)*10/110,N($G960)*10/100),0),ROUNDDOWN(IF('設定'!$B$9="税込",N($G960)*10/110,N($G960)*10/100),0))))</f>
        <v/>
      </c>
      <c r="K960" s="28">
        <f>IF($A960="","",IF('設定'!$B$10="四捨五入",ROUND(IF('設定'!$B$9="税込",N($H960)*8/108,N($H960)*8/100),0),IF('設定'!$B$10="切り上げ",ROUNDUP(IF('設定'!$B$9="税込",N($H960)*8/108,N($H960)*8/100),0),ROUNDDOWN(IF('設定'!$B$9="税込",N($H960)*8/108,N($H960)*8/100),0))))</f>
        <v/>
      </c>
      <c r="L960" s="28">
        <f>IF($A960="","",N($G960)+N($H960)+N($I960)+IF('設定'!$B$9="税込",0,$J960+$K960))</f>
        <v/>
      </c>
      <c r="M960" s="29">
        <f>IF(OR($A960="",NOT(ISNUMBER($W960)),NOT(ISNUMBER($X960))),"",IF(OR(INDEX('得意先'!$D$5:$D$104,$W960)="",INDEX('得意先'!$E$5:$E$104,$W960)="",INDEX('得意先'!$F$5:$F$104,$W960)=""),"",IF(INDEX('得意先'!$F$5:$F$104,$W960)="末",DATE(YEAR($X960),(MONTH($X960)+IF(INDEX('得意先'!$D$5:$D$104,$W960)="末",0,IF(DAY($X960)&lt;=INDEX('得意先'!$D$5:$D$104,$W960),0,1))+N(INDEX('得意先'!$E$5:$E$104,$W960)))+1,0),DATE(YEAR($X960),(MONTH($X960)+IF(INDEX('得意先'!$D$5:$D$104,$W960)="末",0,IF(DAY($X960)&lt;=INDEX('得意先'!$D$5:$D$104,$W960),0,1))+N(INDEX('得意先'!$E$5:$E$104,$W960))),MIN(INDEX('得意先'!$F$5:$F$104,$W960),DAY(DATE(YEAR($X960),(MONTH($X960)+IF(INDEX('得意先'!$D$5:$D$104,$W960)="末",0,IF(DAY($X960)&lt;=INDEX('得意先'!$D$5:$D$104,$W960),0,1))+N(INDEX('得意先'!$E$5:$E$104,$W960)))+1,0)))))))</f>
        <v/>
      </c>
      <c r="N960" s="26" t="n"/>
      <c r="O960" s="29">
        <f>IF($A960="","",IF(ISNUMBER($N960),$N960,$M960))</f>
        <v/>
      </c>
      <c r="P960" s="28">
        <f>IF($A960="","",SUMIF('入金消込'!$F$5:$F$1004,$A960,'入金消込'!$G$5:$G$1004))</f>
        <v/>
      </c>
      <c r="Q960" s="28">
        <f>IF($A960="","",SUMIF('入金消込'!$F$5:$F$1004,$A960,'入金消込'!$H$5:$H$1004)+SUMIF('入金消込'!$F$5:$F$1004,$A960,'入金消込'!$I$5:$I$1004))</f>
        <v/>
      </c>
      <c r="R960" s="28">
        <f>IF($A960="","",$L960-$P960-$Q960)</f>
        <v/>
      </c>
      <c r="S960" s="30">
        <f>IF($A960="","",IF($R960=0,IF($L960=0,"請求額0","回収済"),IF($L960&lt;0,IF($R960&lt;0,"差し引き待ち","差し引きすぎ"),IF($R960&lt;0,"入金が多い",IF($P960+$Q960=0,"未入金","一部入金")))))</f>
        <v/>
      </c>
      <c r="T960" s="31">
        <f>IF(OR($A960="",N($R960)&lt;=0,NOT(ISNUMBER($O960))),"",IF($O960&lt;'設定'!$B$7,'設定'!$B$7-$O960,""))</f>
        <v/>
      </c>
      <c r="U960" s="30">
        <f>IF(OR($A960="",N($R960)&lt;=0),"",IF(NOT(ISNUMBER($O960)),'設定'!$B$22,IF($O960&gt;='設定'!$B$7,'設定'!$B$17,IF('設定'!$B$7-$O960&lt;='設定'!$B$12,'設定'!$B$18,IF('設定'!$B$7-$O960&lt;='設定'!$B$13,'設定'!$B$19,IF('設定'!$B$7-$O960&lt;='設定'!$B$14,'設定'!$B$20,'設定'!$B$21))))))</f>
        <v/>
      </c>
      <c r="V960" s="56" t="n"/>
      <c r="W960" s="32">
        <f>IF($C960="","",IFERROR(MATCH($C960,'得意先'!$B$5:$B$104,0),"なし"))</f>
        <v/>
      </c>
      <c r="X960" s="33">
        <f>IF($A960="","",IF(ISNUMBER($E960),$E960,IF(ISNUMBER($B960),$B960,"")))</f>
        <v/>
      </c>
      <c r="Y960" s="34">
        <f>IF($T960="","",$O960+ROW()/1000000)</f>
        <v/>
      </c>
      <c r="Z960" s="35">
        <f>IF(OR($A960="",$C960="",$C960&lt;&gt;'売掛帳'!$B$3,NOT(ISNUMBER($X960))),"",IF(AND($X960&gt;='売掛帳'!$Q$3,$X960&lt;='売掛帳'!$Q$4),$X960+ROW()/10000000,""))</f>
        <v/>
      </c>
    </row>
    <row r="961" ht="18" customHeight="1">
      <c r="A961" s="18" t="n"/>
      <c r="B961" s="26" t="n"/>
      <c r="C961" s="18" t="n"/>
      <c r="D961" s="20">
        <f>IF($W961="","",IF($W961="なし","※得意先にないコード",INDEX('得意先'!$C$5:$C$104,$W961)&amp;""))</f>
        <v/>
      </c>
      <c r="E961" s="26" t="n"/>
      <c r="F961" s="19" t="n"/>
      <c r="G961" s="27" t="n"/>
      <c r="H961" s="27" t="n"/>
      <c r="I961" s="27" t="n"/>
      <c r="J961" s="28">
        <f>IF($A961="","",IF('設定'!$B$10="四捨五入",ROUND(IF('設定'!$B$9="税込",N($G961)*10/110,N($G961)*10/100),0),IF('設定'!$B$10="切り上げ",ROUNDUP(IF('設定'!$B$9="税込",N($G961)*10/110,N($G961)*10/100),0),ROUNDDOWN(IF('設定'!$B$9="税込",N($G961)*10/110,N($G961)*10/100),0))))</f>
        <v/>
      </c>
      <c r="K961" s="28">
        <f>IF($A961="","",IF('設定'!$B$10="四捨五入",ROUND(IF('設定'!$B$9="税込",N($H961)*8/108,N($H961)*8/100),0),IF('設定'!$B$10="切り上げ",ROUNDUP(IF('設定'!$B$9="税込",N($H961)*8/108,N($H961)*8/100),0),ROUNDDOWN(IF('設定'!$B$9="税込",N($H961)*8/108,N($H961)*8/100),0))))</f>
        <v/>
      </c>
      <c r="L961" s="28">
        <f>IF($A961="","",N($G961)+N($H961)+N($I961)+IF('設定'!$B$9="税込",0,$J961+$K961))</f>
        <v/>
      </c>
      <c r="M961" s="29">
        <f>IF(OR($A961="",NOT(ISNUMBER($W961)),NOT(ISNUMBER($X961))),"",IF(OR(INDEX('得意先'!$D$5:$D$104,$W961)="",INDEX('得意先'!$E$5:$E$104,$W961)="",INDEX('得意先'!$F$5:$F$104,$W961)=""),"",IF(INDEX('得意先'!$F$5:$F$104,$W961)="末",DATE(YEAR($X961),(MONTH($X961)+IF(INDEX('得意先'!$D$5:$D$104,$W961)="末",0,IF(DAY($X961)&lt;=INDEX('得意先'!$D$5:$D$104,$W961),0,1))+N(INDEX('得意先'!$E$5:$E$104,$W961)))+1,0),DATE(YEAR($X961),(MONTH($X961)+IF(INDEX('得意先'!$D$5:$D$104,$W961)="末",0,IF(DAY($X961)&lt;=INDEX('得意先'!$D$5:$D$104,$W961),0,1))+N(INDEX('得意先'!$E$5:$E$104,$W961))),MIN(INDEX('得意先'!$F$5:$F$104,$W961),DAY(DATE(YEAR($X961),(MONTH($X961)+IF(INDEX('得意先'!$D$5:$D$104,$W961)="末",0,IF(DAY($X961)&lt;=INDEX('得意先'!$D$5:$D$104,$W961),0,1))+N(INDEX('得意先'!$E$5:$E$104,$W961)))+1,0)))))))</f>
        <v/>
      </c>
      <c r="N961" s="26" t="n"/>
      <c r="O961" s="29">
        <f>IF($A961="","",IF(ISNUMBER($N961),$N961,$M961))</f>
        <v/>
      </c>
      <c r="P961" s="28">
        <f>IF($A961="","",SUMIF('入金消込'!$F$5:$F$1004,$A961,'入金消込'!$G$5:$G$1004))</f>
        <v/>
      </c>
      <c r="Q961" s="28">
        <f>IF($A961="","",SUMIF('入金消込'!$F$5:$F$1004,$A961,'入金消込'!$H$5:$H$1004)+SUMIF('入金消込'!$F$5:$F$1004,$A961,'入金消込'!$I$5:$I$1004))</f>
        <v/>
      </c>
      <c r="R961" s="28">
        <f>IF($A961="","",$L961-$P961-$Q961)</f>
        <v/>
      </c>
      <c r="S961" s="30">
        <f>IF($A961="","",IF($R961=0,IF($L961=0,"請求額0","回収済"),IF($L961&lt;0,IF($R961&lt;0,"差し引き待ち","差し引きすぎ"),IF($R961&lt;0,"入金が多い",IF($P961+$Q961=0,"未入金","一部入金")))))</f>
        <v/>
      </c>
      <c r="T961" s="31">
        <f>IF(OR($A961="",N($R961)&lt;=0,NOT(ISNUMBER($O961))),"",IF($O961&lt;'設定'!$B$7,'設定'!$B$7-$O961,""))</f>
        <v/>
      </c>
      <c r="U961" s="30">
        <f>IF(OR($A961="",N($R961)&lt;=0),"",IF(NOT(ISNUMBER($O961)),'設定'!$B$22,IF($O961&gt;='設定'!$B$7,'設定'!$B$17,IF('設定'!$B$7-$O961&lt;='設定'!$B$12,'設定'!$B$18,IF('設定'!$B$7-$O961&lt;='設定'!$B$13,'設定'!$B$19,IF('設定'!$B$7-$O961&lt;='設定'!$B$14,'設定'!$B$20,'設定'!$B$21))))))</f>
        <v/>
      </c>
      <c r="V961" s="56" t="n"/>
      <c r="W961" s="32">
        <f>IF($C961="","",IFERROR(MATCH($C961,'得意先'!$B$5:$B$104,0),"なし"))</f>
        <v/>
      </c>
      <c r="X961" s="33">
        <f>IF($A961="","",IF(ISNUMBER($E961),$E961,IF(ISNUMBER($B961),$B961,"")))</f>
        <v/>
      </c>
      <c r="Y961" s="34">
        <f>IF($T961="","",$O961+ROW()/1000000)</f>
        <v/>
      </c>
      <c r="Z961" s="35">
        <f>IF(OR($A961="",$C961="",$C961&lt;&gt;'売掛帳'!$B$3,NOT(ISNUMBER($X961))),"",IF(AND($X961&gt;='売掛帳'!$Q$3,$X961&lt;='売掛帳'!$Q$4),$X961+ROW()/10000000,""))</f>
        <v/>
      </c>
    </row>
    <row r="962" ht="18" customHeight="1">
      <c r="A962" s="18" t="n"/>
      <c r="B962" s="26" t="n"/>
      <c r="C962" s="18" t="n"/>
      <c r="D962" s="20">
        <f>IF($W962="","",IF($W962="なし","※得意先にないコード",INDEX('得意先'!$C$5:$C$104,$W962)&amp;""))</f>
        <v/>
      </c>
      <c r="E962" s="26" t="n"/>
      <c r="F962" s="19" t="n"/>
      <c r="G962" s="27" t="n"/>
      <c r="H962" s="27" t="n"/>
      <c r="I962" s="27" t="n"/>
      <c r="J962" s="28">
        <f>IF($A962="","",IF('設定'!$B$10="四捨五入",ROUND(IF('設定'!$B$9="税込",N($G962)*10/110,N($G962)*10/100),0),IF('設定'!$B$10="切り上げ",ROUNDUP(IF('設定'!$B$9="税込",N($G962)*10/110,N($G962)*10/100),0),ROUNDDOWN(IF('設定'!$B$9="税込",N($G962)*10/110,N($G962)*10/100),0))))</f>
        <v/>
      </c>
      <c r="K962" s="28">
        <f>IF($A962="","",IF('設定'!$B$10="四捨五入",ROUND(IF('設定'!$B$9="税込",N($H962)*8/108,N($H962)*8/100),0),IF('設定'!$B$10="切り上げ",ROUNDUP(IF('設定'!$B$9="税込",N($H962)*8/108,N($H962)*8/100),0),ROUNDDOWN(IF('設定'!$B$9="税込",N($H962)*8/108,N($H962)*8/100),0))))</f>
        <v/>
      </c>
      <c r="L962" s="28">
        <f>IF($A962="","",N($G962)+N($H962)+N($I962)+IF('設定'!$B$9="税込",0,$J962+$K962))</f>
        <v/>
      </c>
      <c r="M962" s="29">
        <f>IF(OR($A962="",NOT(ISNUMBER($W962)),NOT(ISNUMBER($X962))),"",IF(OR(INDEX('得意先'!$D$5:$D$104,$W962)="",INDEX('得意先'!$E$5:$E$104,$W962)="",INDEX('得意先'!$F$5:$F$104,$W962)=""),"",IF(INDEX('得意先'!$F$5:$F$104,$W962)="末",DATE(YEAR($X962),(MONTH($X962)+IF(INDEX('得意先'!$D$5:$D$104,$W962)="末",0,IF(DAY($X962)&lt;=INDEX('得意先'!$D$5:$D$104,$W962),0,1))+N(INDEX('得意先'!$E$5:$E$104,$W962)))+1,0),DATE(YEAR($X962),(MONTH($X962)+IF(INDEX('得意先'!$D$5:$D$104,$W962)="末",0,IF(DAY($X962)&lt;=INDEX('得意先'!$D$5:$D$104,$W962),0,1))+N(INDEX('得意先'!$E$5:$E$104,$W962))),MIN(INDEX('得意先'!$F$5:$F$104,$W962),DAY(DATE(YEAR($X962),(MONTH($X962)+IF(INDEX('得意先'!$D$5:$D$104,$W962)="末",0,IF(DAY($X962)&lt;=INDEX('得意先'!$D$5:$D$104,$W962),0,1))+N(INDEX('得意先'!$E$5:$E$104,$W962)))+1,0)))))))</f>
        <v/>
      </c>
      <c r="N962" s="26" t="n"/>
      <c r="O962" s="29">
        <f>IF($A962="","",IF(ISNUMBER($N962),$N962,$M962))</f>
        <v/>
      </c>
      <c r="P962" s="28">
        <f>IF($A962="","",SUMIF('入金消込'!$F$5:$F$1004,$A962,'入金消込'!$G$5:$G$1004))</f>
        <v/>
      </c>
      <c r="Q962" s="28">
        <f>IF($A962="","",SUMIF('入金消込'!$F$5:$F$1004,$A962,'入金消込'!$H$5:$H$1004)+SUMIF('入金消込'!$F$5:$F$1004,$A962,'入金消込'!$I$5:$I$1004))</f>
        <v/>
      </c>
      <c r="R962" s="28">
        <f>IF($A962="","",$L962-$P962-$Q962)</f>
        <v/>
      </c>
      <c r="S962" s="30">
        <f>IF($A962="","",IF($R962=0,IF($L962=0,"請求額0","回収済"),IF($L962&lt;0,IF($R962&lt;0,"差し引き待ち","差し引きすぎ"),IF($R962&lt;0,"入金が多い",IF($P962+$Q962=0,"未入金","一部入金")))))</f>
        <v/>
      </c>
      <c r="T962" s="31">
        <f>IF(OR($A962="",N($R962)&lt;=0,NOT(ISNUMBER($O962))),"",IF($O962&lt;'設定'!$B$7,'設定'!$B$7-$O962,""))</f>
        <v/>
      </c>
      <c r="U962" s="30">
        <f>IF(OR($A962="",N($R962)&lt;=0),"",IF(NOT(ISNUMBER($O962)),'設定'!$B$22,IF($O962&gt;='設定'!$B$7,'設定'!$B$17,IF('設定'!$B$7-$O962&lt;='設定'!$B$12,'設定'!$B$18,IF('設定'!$B$7-$O962&lt;='設定'!$B$13,'設定'!$B$19,IF('設定'!$B$7-$O962&lt;='設定'!$B$14,'設定'!$B$20,'設定'!$B$21))))))</f>
        <v/>
      </c>
      <c r="V962" s="56" t="n"/>
      <c r="W962" s="32">
        <f>IF($C962="","",IFERROR(MATCH($C962,'得意先'!$B$5:$B$104,0),"なし"))</f>
        <v/>
      </c>
      <c r="X962" s="33">
        <f>IF($A962="","",IF(ISNUMBER($E962),$E962,IF(ISNUMBER($B962),$B962,"")))</f>
        <v/>
      </c>
      <c r="Y962" s="34">
        <f>IF($T962="","",$O962+ROW()/1000000)</f>
        <v/>
      </c>
      <c r="Z962" s="35">
        <f>IF(OR($A962="",$C962="",$C962&lt;&gt;'売掛帳'!$B$3,NOT(ISNUMBER($X962))),"",IF(AND($X962&gt;='売掛帳'!$Q$3,$X962&lt;='売掛帳'!$Q$4),$X962+ROW()/10000000,""))</f>
        <v/>
      </c>
    </row>
    <row r="963" ht="18" customHeight="1">
      <c r="A963" s="18" t="n"/>
      <c r="B963" s="26" t="n"/>
      <c r="C963" s="18" t="n"/>
      <c r="D963" s="20">
        <f>IF($W963="","",IF($W963="なし","※得意先にないコード",INDEX('得意先'!$C$5:$C$104,$W963)&amp;""))</f>
        <v/>
      </c>
      <c r="E963" s="26" t="n"/>
      <c r="F963" s="19" t="n"/>
      <c r="G963" s="27" t="n"/>
      <c r="H963" s="27" t="n"/>
      <c r="I963" s="27" t="n"/>
      <c r="J963" s="28">
        <f>IF($A963="","",IF('設定'!$B$10="四捨五入",ROUND(IF('設定'!$B$9="税込",N($G963)*10/110,N($G963)*10/100),0),IF('設定'!$B$10="切り上げ",ROUNDUP(IF('設定'!$B$9="税込",N($G963)*10/110,N($G963)*10/100),0),ROUNDDOWN(IF('設定'!$B$9="税込",N($G963)*10/110,N($G963)*10/100),0))))</f>
        <v/>
      </c>
      <c r="K963" s="28">
        <f>IF($A963="","",IF('設定'!$B$10="四捨五入",ROUND(IF('設定'!$B$9="税込",N($H963)*8/108,N($H963)*8/100),0),IF('設定'!$B$10="切り上げ",ROUNDUP(IF('設定'!$B$9="税込",N($H963)*8/108,N($H963)*8/100),0),ROUNDDOWN(IF('設定'!$B$9="税込",N($H963)*8/108,N($H963)*8/100),0))))</f>
        <v/>
      </c>
      <c r="L963" s="28">
        <f>IF($A963="","",N($G963)+N($H963)+N($I963)+IF('設定'!$B$9="税込",0,$J963+$K963))</f>
        <v/>
      </c>
      <c r="M963" s="29">
        <f>IF(OR($A963="",NOT(ISNUMBER($W963)),NOT(ISNUMBER($X963))),"",IF(OR(INDEX('得意先'!$D$5:$D$104,$W963)="",INDEX('得意先'!$E$5:$E$104,$W963)="",INDEX('得意先'!$F$5:$F$104,$W963)=""),"",IF(INDEX('得意先'!$F$5:$F$104,$W963)="末",DATE(YEAR($X963),(MONTH($X963)+IF(INDEX('得意先'!$D$5:$D$104,$W963)="末",0,IF(DAY($X963)&lt;=INDEX('得意先'!$D$5:$D$104,$W963),0,1))+N(INDEX('得意先'!$E$5:$E$104,$W963)))+1,0),DATE(YEAR($X963),(MONTH($X963)+IF(INDEX('得意先'!$D$5:$D$104,$W963)="末",0,IF(DAY($X963)&lt;=INDEX('得意先'!$D$5:$D$104,$W963),0,1))+N(INDEX('得意先'!$E$5:$E$104,$W963))),MIN(INDEX('得意先'!$F$5:$F$104,$W963),DAY(DATE(YEAR($X963),(MONTH($X963)+IF(INDEX('得意先'!$D$5:$D$104,$W963)="末",0,IF(DAY($X963)&lt;=INDEX('得意先'!$D$5:$D$104,$W963),0,1))+N(INDEX('得意先'!$E$5:$E$104,$W963)))+1,0)))))))</f>
        <v/>
      </c>
      <c r="N963" s="26" t="n"/>
      <c r="O963" s="29">
        <f>IF($A963="","",IF(ISNUMBER($N963),$N963,$M963))</f>
        <v/>
      </c>
      <c r="P963" s="28">
        <f>IF($A963="","",SUMIF('入金消込'!$F$5:$F$1004,$A963,'入金消込'!$G$5:$G$1004))</f>
        <v/>
      </c>
      <c r="Q963" s="28">
        <f>IF($A963="","",SUMIF('入金消込'!$F$5:$F$1004,$A963,'入金消込'!$H$5:$H$1004)+SUMIF('入金消込'!$F$5:$F$1004,$A963,'入金消込'!$I$5:$I$1004))</f>
        <v/>
      </c>
      <c r="R963" s="28">
        <f>IF($A963="","",$L963-$P963-$Q963)</f>
        <v/>
      </c>
      <c r="S963" s="30">
        <f>IF($A963="","",IF($R963=0,IF($L963=0,"請求額0","回収済"),IF($L963&lt;0,IF($R963&lt;0,"差し引き待ち","差し引きすぎ"),IF($R963&lt;0,"入金が多い",IF($P963+$Q963=0,"未入金","一部入金")))))</f>
        <v/>
      </c>
      <c r="T963" s="31">
        <f>IF(OR($A963="",N($R963)&lt;=0,NOT(ISNUMBER($O963))),"",IF($O963&lt;'設定'!$B$7,'設定'!$B$7-$O963,""))</f>
        <v/>
      </c>
      <c r="U963" s="30">
        <f>IF(OR($A963="",N($R963)&lt;=0),"",IF(NOT(ISNUMBER($O963)),'設定'!$B$22,IF($O963&gt;='設定'!$B$7,'設定'!$B$17,IF('設定'!$B$7-$O963&lt;='設定'!$B$12,'設定'!$B$18,IF('設定'!$B$7-$O963&lt;='設定'!$B$13,'設定'!$B$19,IF('設定'!$B$7-$O963&lt;='設定'!$B$14,'設定'!$B$20,'設定'!$B$21))))))</f>
        <v/>
      </c>
      <c r="V963" s="56" t="n"/>
      <c r="W963" s="32">
        <f>IF($C963="","",IFERROR(MATCH($C963,'得意先'!$B$5:$B$104,0),"なし"))</f>
        <v/>
      </c>
      <c r="X963" s="33">
        <f>IF($A963="","",IF(ISNUMBER($E963),$E963,IF(ISNUMBER($B963),$B963,"")))</f>
        <v/>
      </c>
      <c r="Y963" s="34">
        <f>IF($T963="","",$O963+ROW()/1000000)</f>
        <v/>
      </c>
      <c r="Z963" s="35">
        <f>IF(OR($A963="",$C963="",$C963&lt;&gt;'売掛帳'!$B$3,NOT(ISNUMBER($X963))),"",IF(AND($X963&gt;='売掛帳'!$Q$3,$X963&lt;='売掛帳'!$Q$4),$X963+ROW()/10000000,""))</f>
        <v/>
      </c>
    </row>
    <row r="964" ht="18" customHeight="1">
      <c r="A964" s="18" t="n"/>
      <c r="B964" s="26" t="n"/>
      <c r="C964" s="18" t="n"/>
      <c r="D964" s="20">
        <f>IF($W964="","",IF($W964="なし","※得意先にないコード",INDEX('得意先'!$C$5:$C$104,$W964)&amp;""))</f>
        <v/>
      </c>
      <c r="E964" s="26" t="n"/>
      <c r="F964" s="19" t="n"/>
      <c r="G964" s="27" t="n"/>
      <c r="H964" s="27" t="n"/>
      <c r="I964" s="27" t="n"/>
      <c r="J964" s="28">
        <f>IF($A964="","",IF('設定'!$B$10="四捨五入",ROUND(IF('設定'!$B$9="税込",N($G964)*10/110,N($G964)*10/100),0),IF('設定'!$B$10="切り上げ",ROUNDUP(IF('設定'!$B$9="税込",N($G964)*10/110,N($G964)*10/100),0),ROUNDDOWN(IF('設定'!$B$9="税込",N($G964)*10/110,N($G964)*10/100),0))))</f>
        <v/>
      </c>
      <c r="K964" s="28">
        <f>IF($A964="","",IF('設定'!$B$10="四捨五入",ROUND(IF('設定'!$B$9="税込",N($H964)*8/108,N($H964)*8/100),0),IF('設定'!$B$10="切り上げ",ROUNDUP(IF('設定'!$B$9="税込",N($H964)*8/108,N($H964)*8/100),0),ROUNDDOWN(IF('設定'!$B$9="税込",N($H964)*8/108,N($H964)*8/100),0))))</f>
        <v/>
      </c>
      <c r="L964" s="28">
        <f>IF($A964="","",N($G964)+N($H964)+N($I964)+IF('設定'!$B$9="税込",0,$J964+$K964))</f>
        <v/>
      </c>
      <c r="M964" s="29">
        <f>IF(OR($A964="",NOT(ISNUMBER($W964)),NOT(ISNUMBER($X964))),"",IF(OR(INDEX('得意先'!$D$5:$D$104,$W964)="",INDEX('得意先'!$E$5:$E$104,$W964)="",INDEX('得意先'!$F$5:$F$104,$W964)=""),"",IF(INDEX('得意先'!$F$5:$F$104,$W964)="末",DATE(YEAR($X964),(MONTH($X964)+IF(INDEX('得意先'!$D$5:$D$104,$W964)="末",0,IF(DAY($X964)&lt;=INDEX('得意先'!$D$5:$D$104,$W964),0,1))+N(INDEX('得意先'!$E$5:$E$104,$W964)))+1,0),DATE(YEAR($X964),(MONTH($X964)+IF(INDEX('得意先'!$D$5:$D$104,$W964)="末",0,IF(DAY($X964)&lt;=INDEX('得意先'!$D$5:$D$104,$W964),0,1))+N(INDEX('得意先'!$E$5:$E$104,$W964))),MIN(INDEX('得意先'!$F$5:$F$104,$W964),DAY(DATE(YEAR($X964),(MONTH($X964)+IF(INDEX('得意先'!$D$5:$D$104,$W964)="末",0,IF(DAY($X964)&lt;=INDEX('得意先'!$D$5:$D$104,$W964),0,1))+N(INDEX('得意先'!$E$5:$E$104,$W964)))+1,0)))))))</f>
        <v/>
      </c>
      <c r="N964" s="26" t="n"/>
      <c r="O964" s="29">
        <f>IF($A964="","",IF(ISNUMBER($N964),$N964,$M964))</f>
        <v/>
      </c>
      <c r="P964" s="28">
        <f>IF($A964="","",SUMIF('入金消込'!$F$5:$F$1004,$A964,'入金消込'!$G$5:$G$1004))</f>
        <v/>
      </c>
      <c r="Q964" s="28">
        <f>IF($A964="","",SUMIF('入金消込'!$F$5:$F$1004,$A964,'入金消込'!$H$5:$H$1004)+SUMIF('入金消込'!$F$5:$F$1004,$A964,'入金消込'!$I$5:$I$1004))</f>
        <v/>
      </c>
      <c r="R964" s="28">
        <f>IF($A964="","",$L964-$P964-$Q964)</f>
        <v/>
      </c>
      <c r="S964" s="30">
        <f>IF($A964="","",IF($R964=0,IF($L964=0,"請求額0","回収済"),IF($L964&lt;0,IF($R964&lt;0,"差し引き待ち","差し引きすぎ"),IF($R964&lt;0,"入金が多い",IF($P964+$Q964=0,"未入金","一部入金")))))</f>
        <v/>
      </c>
      <c r="T964" s="31">
        <f>IF(OR($A964="",N($R964)&lt;=0,NOT(ISNUMBER($O964))),"",IF($O964&lt;'設定'!$B$7,'設定'!$B$7-$O964,""))</f>
        <v/>
      </c>
      <c r="U964" s="30">
        <f>IF(OR($A964="",N($R964)&lt;=0),"",IF(NOT(ISNUMBER($O964)),'設定'!$B$22,IF($O964&gt;='設定'!$B$7,'設定'!$B$17,IF('設定'!$B$7-$O964&lt;='設定'!$B$12,'設定'!$B$18,IF('設定'!$B$7-$O964&lt;='設定'!$B$13,'設定'!$B$19,IF('設定'!$B$7-$O964&lt;='設定'!$B$14,'設定'!$B$20,'設定'!$B$21))))))</f>
        <v/>
      </c>
      <c r="V964" s="56" t="n"/>
      <c r="W964" s="32">
        <f>IF($C964="","",IFERROR(MATCH($C964,'得意先'!$B$5:$B$104,0),"なし"))</f>
        <v/>
      </c>
      <c r="X964" s="33">
        <f>IF($A964="","",IF(ISNUMBER($E964),$E964,IF(ISNUMBER($B964),$B964,"")))</f>
        <v/>
      </c>
      <c r="Y964" s="34">
        <f>IF($T964="","",$O964+ROW()/1000000)</f>
        <v/>
      </c>
      <c r="Z964" s="35">
        <f>IF(OR($A964="",$C964="",$C964&lt;&gt;'売掛帳'!$B$3,NOT(ISNUMBER($X964))),"",IF(AND($X964&gt;='売掛帳'!$Q$3,$X964&lt;='売掛帳'!$Q$4),$X964+ROW()/10000000,""))</f>
        <v/>
      </c>
    </row>
    <row r="965" ht="18" customHeight="1">
      <c r="A965" s="18" t="n"/>
      <c r="B965" s="26" t="n"/>
      <c r="C965" s="18" t="n"/>
      <c r="D965" s="20">
        <f>IF($W965="","",IF($W965="なし","※得意先にないコード",INDEX('得意先'!$C$5:$C$104,$W965)&amp;""))</f>
        <v/>
      </c>
      <c r="E965" s="26" t="n"/>
      <c r="F965" s="19" t="n"/>
      <c r="G965" s="27" t="n"/>
      <c r="H965" s="27" t="n"/>
      <c r="I965" s="27" t="n"/>
      <c r="J965" s="28">
        <f>IF($A965="","",IF('設定'!$B$10="四捨五入",ROUND(IF('設定'!$B$9="税込",N($G965)*10/110,N($G965)*10/100),0),IF('設定'!$B$10="切り上げ",ROUNDUP(IF('設定'!$B$9="税込",N($G965)*10/110,N($G965)*10/100),0),ROUNDDOWN(IF('設定'!$B$9="税込",N($G965)*10/110,N($G965)*10/100),0))))</f>
        <v/>
      </c>
      <c r="K965" s="28">
        <f>IF($A965="","",IF('設定'!$B$10="四捨五入",ROUND(IF('設定'!$B$9="税込",N($H965)*8/108,N($H965)*8/100),0),IF('設定'!$B$10="切り上げ",ROUNDUP(IF('設定'!$B$9="税込",N($H965)*8/108,N($H965)*8/100),0),ROUNDDOWN(IF('設定'!$B$9="税込",N($H965)*8/108,N($H965)*8/100),0))))</f>
        <v/>
      </c>
      <c r="L965" s="28">
        <f>IF($A965="","",N($G965)+N($H965)+N($I965)+IF('設定'!$B$9="税込",0,$J965+$K965))</f>
        <v/>
      </c>
      <c r="M965" s="29">
        <f>IF(OR($A965="",NOT(ISNUMBER($W965)),NOT(ISNUMBER($X965))),"",IF(OR(INDEX('得意先'!$D$5:$D$104,$W965)="",INDEX('得意先'!$E$5:$E$104,$W965)="",INDEX('得意先'!$F$5:$F$104,$W965)=""),"",IF(INDEX('得意先'!$F$5:$F$104,$W965)="末",DATE(YEAR($X965),(MONTH($X965)+IF(INDEX('得意先'!$D$5:$D$104,$W965)="末",0,IF(DAY($X965)&lt;=INDEX('得意先'!$D$5:$D$104,$W965),0,1))+N(INDEX('得意先'!$E$5:$E$104,$W965)))+1,0),DATE(YEAR($X965),(MONTH($X965)+IF(INDEX('得意先'!$D$5:$D$104,$W965)="末",0,IF(DAY($X965)&lt;=INDEX('得意先'!$D$5:$D$104,$W965),0,1))+N(INDEX('得意先'!$E$5:$E$104,$W965))),MIN(INDEX('得意先'!$F$5:$F$104,$W965),DAY(DATE(YEAR($X965),(MONTH($X965)+IF(INDEX('得意先'!$D$5:$D$104,$W965)="末",0,IF(DAY($X965)&lt;=INDEX('得意先'!$D$5:$D$104,$W965),0,1))+N(INDEX('得意先'!$E$5:$E$104,$W965)))+1,0)))))))</f>
        <v/>
      </c>
      <c r="N965" s="26" t="n"/>
      <c r="O965" s="29">
        <f>IF($A965="","",IF(ISNUMBER($N965),$N965,$M965))</f>
        <v/>
      </c>
      <c r="P965" s="28">
        <f>IF($A965="","",SUMIF('入金消込'!$F$5:$F$1004,$A965,'入金消込'!$G$5:$G$1004))</f>
        <v/>
      </c>
      <c r="Q965" s="28">
        <f>IF($A965="","",SUMIF('入金消込'!$F$5:$F$1004,$A965,'入金消込'!$H$5:$H$1004)+SUMIF('入金消込'!$F$5:$F$1004,$A965,'入金消込'!$I$5:$I$1004))</f>
        <v/>
      </c>
      <c r="R965" s="28">
        <f>IF($A965="","",$L965-$P965-$Q965)</f>
        <v/>
      </c>
      <c r="S965" s="30">
        <f>IF($A965="","",IF($R965=0,IF($L965=0,"請求額0","回収済"),IF($L965&lt;0,IF($R965&lt;0,"差し引き待ち","差し引きすぎ"),IF($R965&lt;0,"入金が多い",IF($P965+$Q965=0,"未入金","一部入金")))))</f>
        <v/>
      </c>
      <c r="T965" s="31">
        <f>IF(OR($A965="",N($R965)&lt;=0,NOT(ISNUMBER($O965))),"",IF($O965&lt;'設定'!$B$7,'設定'!$B$7-$O965,""))</f>
        <v/>
      </c>
      <c r="U965" s="30">
        <f>IF(OR($A965="",N($R965)&lt;=0),"",IF(NOT(ISNUMBER($O965)),'設定'!$B$22,IF($O965&gt;='設定'!$B$7,'設定'!$B$17,IF('設定'!$B$7-$O965&lt;='設定'!$B$12,'設定'!$B$18,IF('設定'!$B$7-$O965&lt;='設定'!$B$13,'設定'!$B$19,IF('設定'!$B$7-$O965&lt;='設定'!$B$14,'設定'!$B$20,'設定'!$B$21))))))</f>
        <v/>
      </c>
      <c r="V965" s="56" t="n"/>
      <c r="W965" s="32">
        <f>IF($C965="","",IFERROR(MATCH($C965,'得意先'!$B$5:$B$104,0),"なし"))</f>
        <v/>
      </c>
      <c r="X965" s="33">
        <f>IF($A965="","",IF(ISNUMBER($E965),$E965,IF(ISNUMBER($B965),$B965,"")))</f>
        <v/>
      </c>
      <c r="Y965" s="34">
        <f>IF($T965="","",$O965+ROW()/1000000)</f>
        <v/>
      </c>
      <c r="Z965" s="35">
        <f>IF(OR($A965="",$C965="",$C965&lt;&gt;'売掛帳'!$B$3,NOT(ISNUMBER($X965))),"",IF(AND($X965&gt;='売掛帳'!$Q$3,$X965&lt;='売掛帳'!$Q$4),$X965+ROW()/10000000,""))</f>
        <v/>
      </c>
    </row>
    <row r="966" ht="18" customHeight="1">
      <c r="A966" s="18" t="n"/>
      <c r="B966" s="26" t="n"/>
      <c r="C966" s="18" t="n"/>
      <c r="D966" s="20">
        <f>IF($W966="","",IF($W966="なし","※得意先にないコード",INDEX('得意先'!$C$5:$C$104,$W966)&amp;""))</f>
        <v/>
      </c>
      <c r="E966" s="26" t="n"/>
      <c r="F966" s="19" t="n"/>
      <c r="G966" s="27" t="n"/>
      <c r="H966" s="27" t="n"/>
      <c r="I966" s="27" t="n"/>
      <c r="J966" s="28">
        <f>IF($A966="","",IF('設定'!$B$10="四捨五入",ROUND(IF('設定'!$B$9="税込",N($G966)*10/110,N($G966)*10/100),0),IF('設定'!$B$10="切り上げ",ROUNDUP(IF('設定'!$B$9="税込",N($G966)*10/110,N($G966)*10/100),0),ROUNDDOWN(IF('設定'!$B$9="税込",N($G966)*10/110,N($G966)*10/100),0))))</f>
        <v/>
      </c>
      <c r="K966" s="28">
        <f>IF($A966="","",IF('設定'!$B$10="四捨五入",ROUND(IF('設定'!$B$9="税込",N($H966)*8/108,N($H966)*8/100),0),IF('設定'!$B$10="切り上げ",ROUNDUP(IF('設定'!$B$9="税込",N($H966)*8/108,N($H966)*8/100),0),ROUNDDOWN(IF('設定'!$B$9="税込",N($H966)*8/108,N($H966)*8/100),0))))</f>
        <v/>
      </c>
      <c r="L966" s="28">
        <f>IF($A966="","",N($G966)+N($H966)+N($I966)+IF('設定'!$B$9="税込",0,$J966+$K966))</f>
        <v/>
      </c>
      <c r="M966" s="29">
        <f>IF(OR($A966="",NOT(ISNUMBER($W966)),NOT(ISNUMBER($X966))),"",IF(OR(INDEX('得意先'!$D$5:$D$104,$W966)="",INDEX('得意先'!$E$5:$E$104,$W966)="",INDEX('得意先'!$F$5:$F$104,$W966)=""),"",IF(INDEX('得意先'!$F$5:$F$104,$W966)="末",DATE(YEAR($X966),(MONTH($X966)+IF(INDEX('得意先'!$D$5:$D$104,$W966)="末",0,IF(DAY($X966)&lt;=INDEX('得意先'!$D$5:$D$104,$W966),0,1))+N(INDEX('得意先'!$E$5:$E$104,$W966)))+1,0),DATE(YEAR($X966),(MONTH($X966)+IF(INDEX('得意先'!$D$5:$D$104,$W966)="末",0,IF(DAY($X966)&lt;=INDEX('得意先'!$D$5:$D$104,$W966),0,1))+N(INDEX('得意先'!$E$5:$E$104,$W966))),MIN(INDEX('得意先'!$F$5:$F$104,$W966),DAY(DATE(YEAR($X966),(MONTH($X966)+IF(INDEX('得意先'!$D$5:$D$104,$W966)="末",0,IF(DAY($X966)&lt;=INDEX('得意先'!$D$5:$D$104,$W966),0,1))+N(INDEX('得意先'!$E$5:$E$104,$W966)))+1,0)))))))</f>
        <v/>
      </c>
      <c r="N966" s="26" t="n"/>
      <c r="O966" s="29">
        <f>IF($A966="","",IF(ISNUMBER($N966),$N966,$M966))</f>
        <v/>
      </c>
      <c r="P966" s="28">
        <f>IF($A966="","",SUMIF('入金消込'!$F$5:$F$1004,$A966,'入金消込'!$G$5:$G$1004))</f>
        <v/>
      </c>
      <c r="Q966" s="28">
        <f>IF($A966="","",SUMIF('入金消込'!$F$5:$F$1004,$A966,'入金消込'!$H$5:$H$1004)+SUMIF('入金消込'!$F$5:$F$1004,$A966,'入金消込'!$I$5:$I$1004))</f>
        <v/>
      </c>
      <c r="R966" s="28">
        <f>IF($A966="","",$L966-$P966-$Q966)</f>
        <v/>
      </c>
      <c r="S966" s="30">
        <f>IF($A966="","",IF($R966=0,IF($L966=0,"請求額0","回収済"),IF($L966&lt;0,IF($R966&lt;0,"差し引き待ち","差し引きすぎ"),IF($R966&lt;0,"入金が多い",IF($P966+$Q966=0,"未入金","一部入金")))))</f>
        <v/>
      </c>
      <c r="T966" s="31">
        <f>IF(OR($A966="",N($R966)&lt;=0,NOT(ISNUMBER($O966))),"",IF($O966&lt;'設定'!$B$7,'設定'!$B$7-$O966,""))</f>
        <v/>
      </c>
      <c r="U966" s="30">
        <f>IF(OR($A966="",N($R966)&lt;=0),"",IF(NOT(ISNUMBER($O966)),'設定'!$B$22,IF($O966&gt;='設定'!$B$7,'設定'!$B$17,IF('設定'!$B$7-$O966&lt;='設定'!$B$12,'設定'!$B$18,IF('設定'!$B$7-$O966&lt;='設定'!$B$13,'設定'!$B$19,IF('設定'!$B$7-$O966&lt;='設定'!$B$14,'設定'!$B$20,'設定'!$B$21))))))</f>
        <v/>
      </c>
      <c r="V966" s="56" t="n"/>
      <c r="W966" s="32">
        <f>IF($C966="","",IFERROR(MATCH($C966,'得意先'!$B$5:$B$104,0),"なし"))</f>
        <v/>
      </c>
      <c r="X966" s="33">
        <f>IF($A966="","",IF(ISNUMBER($E966),$E966,IF(ISNUMBER($B966),$B966,"")))</f>
        <v/>
      </c>
      <c r="Y966" s="34">
        <f>IF($T966="","",$O966+ROW()/1000000)</f>
        <v/>
      </c>
      <c r="Z966" s="35">
        <f>IF(OR($A966="",$C966="",$C966&lt;&gt;'売掛帳'!$B$3,NOT(ISNUMBER($X966))),"",IF(AND($X966&gt;='売掛帳'!$Q$3,$X966&lt;='売掛帳'!$Q$4),$X966+ROW()/10000000,""))</f>
        <v/>
      </c>
    </row>
    <row r="967" ht="18" customHeight="1">
      <c r="A967" s="18" t="n"/>
      <c r="B967" s="26" t="n"/>
      <c r="C967" s="18" t="n"/>
      <c r="D967" s="20">
        <f>IF($W967="","",IF($W967="なし","※得意先にないコード",INDEX('得意先'!$C$5:$C$104,$W967)&amp;""))</f>
        <v/>
      </c>
      <c r="E967" s="26" t="n"/>
      <c r="F967" s="19" t="n"/>
      <c r="G967" s="27" t="n"/>
      <c r="H967" s="27" t="n"/>
      <c r="I967" s="27" t="n"/>
      <c r="J967" s="28">
        <f>IF($A967="","",IF('設定'!$B$10="四捨五入",ROUND(IF('設定'!$B$9="税込",N($G967)*10/110,N($G967)*10/100),0),IF('設定'!$B$10="切り上げ",ROUNDUP(IF('設定'!$B$9="税込",N($G967)*10/110,N($G967)*10/100),0),ROUNDDOWN(IF('設定'!$B$9="税込",N($G967)*10/110,N($G967)*10/100),0))))</f>
        <v/>
      </c>
      <c r="K967" s="28">
        <f>IF($A967="","",IF('設定'!$B$10="四捨五入",ROUND(IF('設定'!$B$9="税込",N($H967)*8/108,N($H967)*8/100),0),IF('設定'!$B$10="切り上げ",ROUNDUP(IF('設定'!$B$9="税込",N($H967)*8/108,N($H967)*8/100),0),ROUNDDOWN(IF('設定'!$B$9="税込",N($H967)*8/108,N($H967)*8/100),0))))</f>
        <v/>
      </c>
      <c r="L967" s="28">
        <f>IF($A967="","",N($G967)+N($H967)+N($I967)+IF('設定'!$B$9="税込",0,$J967+$K967))</f>
        <v/>
      </c>
      <c r="M967" s="29">
        <f>IF(OR($A967="",NOT(ISNUMBER($W967)),NOT(ISNUMBER($X967))),"",IF(OR(INDEX('得意先'!$D$5:$D$104,$W967)="",INDEX('得意先'!$E$5:$E$104,$W967)="",INDEX('得意先'!$F$5:$F$104,$W967)=""),"",IF(INDEX('得意先'!$F$5:$F$104,$W967)="末",DATE(YEAR($X967),(MONTH($X967)+IF(INDEX('得意先'!$D$5:$D$104,$W967)="末",0,IF(DAY($X967)&lt;=INDEX('得意先'!$D$5:$D$104,$W967),0,1))+N(INDEX('得意先'!$E$5:$E$104,$W967)))+1,0),DATE(YEAR($X967),(MONTH($X967)+IF(INDEX('得意先'!$D$5:$D$104,$W967)="末",0,IF(DAY($X967)&lt;=INDEX('得意先'!$D$5:$D$104,$W967),0,1))+N(INDEX('得意先'!$E$5:$E$104,$W967))),MIN(INDEX('得意先'!$F$5:$F$104,$W967),DAY(DATE(YEAR($X967),(MONTH($X967)+IF(INDEX('得意先'!$D$5:$D$104,$W967)="末",0,IF(DAY($X967)&lt;=INDEX('得意先'!$D$5:$D$104,$W967),0,1))+N(INDEX('得意先'!$E$5:$E$104,$W967)))+1,0)))))))</f>
        <v/>
      </c>
      <c r="N967" s="26" t="n"/>
      <c r="O967" s="29">
        <f>IF($A967="","",IF(ISNUMBER($N967),$N967,$M967))</f>
        <v/>
      </c>
      <c r="P967" s="28">
        <f>IF($A967="","",SUMIF('入金消込'!$F$5:$F$1004,$A967,'入金消込'!$G$5:$G$1004))</f>
        <v/>
      </c>
      <c r="Q967" s="28">
        <f>IF($A967="","",SUMIF('入金消込'!$F$5:$F$1004,$A967,'入金消込'!$H$5:$H$1004)+SUMIF('入金消込'!$F$5:$F$1004,$A967,'入金消込'!$I$5:$I$1004))</f>
        <v/>
      </c>
      <c r="R967" s="28">
        <f>IF($A967="","",$L967-$P967-$Q967)</f>
        <v/>
      </c>
      <c r="S967" s="30">
        <f>IF($A967="","",IF($R967=0,IF($L967=0,"請求額0","回収済"),IF($L967&lt;0,IF($R967&lt;0,"差し引き待ち","差し引きすぎ"),IF($R967&lt;0,"入金が多い",IF($P967+$Q967=0,"未入金","一部入金")))))</f>
        <v/>
      </c>
      <c r="T967" s="31">
        <f>IF(OR($A967="",N($R967)&lt;=0,NOT(ISNUMBER($O967))),"",IF($O967&lt;'設定'!$B$7,'設定'!$B$7-$O967,""))</f>
        <v/>
      </c>
      <c r="U967" s="30">
        <f>IF(OR($A967="",N($R967)&lt;=0),"",IF(NOT(ISNUMBER($O967)),'設定'!$B$22,IF($O967&gt;='設定'!$B$7,'設定'!$B$17,IF('設定'!$B$7-$O967&lt;='設定'!$B$12,'設定'!$B$18,IF('設定'!$B$7-$O967&lt;='設定'!$B$13,'設定'!$B$19,IF('設定'!$B$7-$O967&lt;='設定'!$B$14,'設定'!$B$20,'設定'!$B$21))))))</f>
        <v/>
      </c>
      <c r="V967" s="56" t="n"/>
      <c r="W967" s="32">
        <f>IF($C967="","",IFERROR(MATCH($C967,'得意先'!$B$5:$B$104,0),"なし"))</f>
        <v/>
      </c>
      <c r="X967" s="33">
        <f>IF($A967="","",IF(ISNUMBER($E967),$E967,IF(ISNUMBER($B967),$B967,"")))</f>
        <v/>
      </c>
      <c r="Y967" s="34">
        <f>IF($T967="","",$O967+ROW()/1000000)</f>
        <v/>
      </c>
      <c r="Z967" s="35">
        <f>IF(OR($A967="",$C967="",$C967&lt;&gt;'売掛帳'!$B$3,NOT(ISNUMBER($X967))),"",IF(AND($X967&gt;='売掛帳'!$Q$3,$X967&lt;='売掛帳'!$Q$4),$X967+ROW()/10000000,""))</f>
        <v/>
      </c>
    </row>
    <row r="968" ht="18" customHeight="1">
      <c r="A968" s="18" t="n"/>
      <c r="B968" s="26" t="n"/>
      <c r="C968" s="18" t="n"/>
      <c r="D968" s="20">
        <f>IF($W968="","",IF($W968="なし","※得意先にないコード",INDEX('得意先'!$C$5:$C$104,$W968)&amp;""))</f>
        <v/>
      </c>
      <c r="E968" s="26" t="n"/>
      <c r="F968" s="19" t="n"/>
      <c r="G968" s="27" t="n"/>
      <c r="H968" s="27" t="n"/>
      <c r="I968" s="27" t="n"/>
      <c r="J968" s="28">
        <f>IF($A968="","",IF('設定'!$B$10="四捨五入",ROUND(IF('設定'!$B$9="税込",N($G968)*10/110,N($G968)*10/100),0),IF('設定'!$B$10="切り上げ",ROUNDUP(IF('設定'!$B$9="税込",N($G968)*10/110,N($G968)*10/100),0),ROUNDDOWN(IF('設定'!$B$9="税込",N($G968)*10/110,N($G968)*10/100),0))))</f>
        <v/>
      </c>
      <c r="K968" s="28">
        <f>IF($A968="","",IF('設定'!$B$10="四捨五入",ROUND(IF('設定'!$B$9="税込",N($H968)*8/108,N($H968)*8/100),0),IF('設定'!$B$10="切り上げ",ROUNDUP(IF('設定'!$B$9="税込",N($H968)*8/108,N($H968)*8/100),0),ROUNDDOWN(IF('設定'!$B$9="税込",N($H968)*8/108,N($H968)*8/100),0))))</f>
        <v/>
      </c>
      <c r="L968" s="28">
        <f>IF($A968="","",N($G968)+N($H968)+N($I968)+IF('設定'!$B$9="税込",0,$J968+$K968))</f>
        <v/>
      </c>
      <c r="M968" s="29">
        <f>IF(OR($A968="",NOT(ISNUMBER($W968)),NOT(ISNUMBER($X968))),"",IF(OR(INDEX('得意先'!$D$5:$D$104,$W968)="",INDEX('得意先'!$E$5:$E$104,$W968)="",INDEX('得意先'!$F$5:$F$104,$W968)=""),"",IF(INDEX('得意先'!$F$5:$F$104,$W968)="末",DATE(YEAR($X968),(MONTH($X968)+IF(INDEX('得意先'!$D$5:$D$104,$W968)="末",0,IF(DAY($X968)&lt;=INDEX('得意先'!$D$5:$D$104,$W968),0,1))+N(INDEX('得意先'!$E$5:$E$104,$W968)))+1,0),DATE(YEAR($X968),(MONTH($X968)+IF(INDEX('得意先'!$D$5:$D$104,$W968)="末",0,IF(DAY($X968)&lt;=INDEX('得意先'!$D$5:$D$104,$W968),0,1))+N(INDEX('得意先'!$E$5:$E$104,$W968))),MIN(INDEX('得意先'!$F$5:$F$104,$W968),DAY(DATE(YEAR($X968),(MONTH($X968)+IF(INDEX('得意先'!$D$5:$D$104,$W968)="末",0,IF(DAY($X968)&lt;=INDEX('得意先'!$D$5:$D$104,$W968),0,1))+N(INDEX('得意先'!$E$5:$E$104,$W968)))+1,0)))))))</f>
        <v/>
      </c>
      <c r="N968" s="26" t="n"/>
      <c r="O968" s="29">
        <f>IF($A968="","",IF(ISNUMBER($N968),$N968,$M968))</f>
        <v/>
      </c>
      <c r="P968" s="28">
        <f>IF($A968="","",SUMIF('入金消込'!$F$5:$F$1004,$A968,'入金消込'!$G$5:$G$1004))</f>
        <v/>
      </c>
      <c r="Q968" s="28">
        <f>IF($A968="","",SUMIF('入金消込'!$F$5:$F$1004,$A968,'入金消込'!$H$5:$H$1004)+SUMIF('入金消込'!$F$5:$F$1004,$A968,'入金消込'!$I$5:$I$1004))</f>
        <v/>
      </c>
      <c r="R968" s="28">
        <f>IF($A968="","",$L968-$P968-$Q968)</f>
        <v/>
      </c>
      <c r="S968" s="30">
        <f>IF($A968="","",IF($R968=0,IF($L968=0,"請求額0","回収済"),IF($L968&lt;0,IF($R968&lt;0,"差し引き待ち","差し引きすぎ"),IF($R968&lt;0,"入金が多い",IF($P968+$Q968=0,"未入金","一部入金")))))</f>
        <v/>
      </c>
      <c r="T968" s="31">
        <f>IF(OR($A968="",N($R968)&lt;=0,NOT(ISNUMBER($O968))),"",IF($O968&lt;'設定'!$B$7,'設定'!$B$7-$O968,""))</f>
        <v/>
      </c>
      <c r="U968" s="30">
        <f>IF(OR($A968="",N($R968)&lt;=0),"",IF(NOT(ISNUMBER($O968)),'設定'!$B$22,IF($O968&gt;='設定'!$B$7,'設定'!$B$17,IF('設定'!$B$7-$O968&lt;='設定'!$B$12,'設定'!$B$18,IF('設定'!$B$7-$O968&lt;='設定'!$B$13,'設定'!$B$19,IF('設定'!$B$7-$O968&lt;='設定'!$B$14,'設定'!$B$20,'設定'!$B$21))))))</f>
        <v/>
      </c>
      <c r="V968" s="56" t="n"/>
      <c r="W968" s="32">
        <f>IF($C968="","",IFERROR(MATCH($C968,'得意先'!$B$5:$B$104,0),"なし"))</f>
        <v/>
      </c>
      <c r="X968" s="33">
        <f>IF($A968="","",IF(ISNUMBER($E968),$E968,IF(ISNUMBER($B968),$B968,"")))</f>
        <v/>
      </c>
      <c r="Y968" s="34">
        <f>IF($T968="","",$O968+ROW()/1000000)</f>
        <v/>
      </c>
      <c r="Z968" s="35">
        <f>IF(OR($A968="",$C968="",$C968&lt;&gt;'売掛帳'!$B$3,NOT(ISNUMBER($X968))),"",IF(AND($X968&gt;='売掛帳'!$Q$3,$X968&lt;='売掛帳'!$Q$4),$X968+ROW()/10000000,""))</f>
        <v/>
      </c>
    </row>
    <row r="969" ht="18" customHeight="1">
      <c r="A969" s="18" t="n"/>
      <c r="B969" s="26" t="n"/>
      <c r="C969" s="18" t="n"/>
      <c r="D969" s="20">
        <f>IF($W969="","",IF($W969="なし","※得意先にないコード",INDEX('得意先'!$C$5:$C$104,$W969)&amp;""))</f>
        <v/>
      </c>
      <c r="E969" s="26" t="n"/>
      <c r="F969" s="19" t="n"/>
      <c r="G969" s="27" t="n"/>
      <c r="H969" s="27" t="n"/>
      <c r="I969" s="27" t="n"/>
      <c r="J969" s="28">
        <f>IF($A969="","",IF('設定'!$B$10="四捨五入",ROUND(IF('設定'!$B$9="税込",N($G969)*10/110,N($G969)*10/100),0),IF('設定'!$B$10="切り上げ",ROUNDUP(IF('設定'!$B$9="税込",N($G969)*10/110,N($G969)*10/100),0),ROUNDDOWN(IF('設定'!$B$9="税込",N($G969)*10/110,N($G969)*10/100),0))))</f>
        <v/>
      </c>
      <c r="K969" s="28">
        <f>IF($A969="","",IF('設定'!$B$10="四捨五入",ROUND(IF('設定'!$B$9="税込",N($H969)*8/108,N($H969)*8/100),0),IF('設定'!$B$10="切り上げ",ROUNDUP(IF('設定'!$B$9="税込",N($H969)*8/108,N($H969)*8/100),0),ROUNDDOWN(IF('設定'!$B$9="税込",N($H969)*8/108,N($H969)*8/100),0))))</f>
        <v/>
      </c>
      <c r="L969" s="28">
        <f>IF($A969="","",N($G969)+N($H969)+N($I969)+IF('設定'!$B$9="税込",0,$J969+$K969))</f>
        <v/>
      </c>
      <c r="M969" s="29">
        <f>IF(OR($A969="",NOT(ISNUMBER($W969)),NOT(ISNUMBER($X969))),"",IF(OR(INDEX('得意先'!$D$5:$D$104,$W969)="",INDEX('得意先'!$E$5:$E$104,$W969)="",INDEX('得意先'!$F$5:$F$104,$W969)=""),"",IF(INDEX('得意先'!$F$5:$F$104,$W969)="末",DATE(YEAR($X969),(MONTH($X969)+IF(INDEX('得意先'!$D$5:$D$104,$W969)="末",0,IF(DAY($X969)&lt;=INDEX('得意先'!$D$5:$D$104,$W969),0,1))+N(INDEX('得意先'!$E$5:$E$104,$W969)))+1,0),DATE(YEAR($X969),(MONTH($X969)+IF(INDEX('得意先'!$D$5:$D$104,$W969)="末",0,IF(DAY($X969)&lt;=INDEX('得意先'!$D$5:$D$104,$W969),0,1))+N(INDEX('得意先'!$E$5:$E$104,$W969))),MIN(INDEX('得意先'!$F$5:$F$104,$W969),DAY(DATE(YEAR($X969),(MONTH($X969)+IF(INDEX('得意先'!$D$5:$D$104,$W969)="末",0,IF(DAY($X969)&lt;=INDEX('得意先'!$D$5:$D$104,$W969),0,1))+N(INDEX('得意先'!$E$5:$E$104,$W969)))+1,0)))))))</f>
        <v/>
      </c>
      <c r="N969" s="26" t="n"/>
      <c r="O969" s="29">
        <f>IF($A969="","",IF(ISNUMBER($N969),$N969,$M969))</f>
        <v/>
      </c>
      <c r="P969" s="28">
        <f>IF($A969="","",SUMIF('入金消込'!$F$5:$F$1004,$A969,'入金消込'!$G$5:$G$1004))</f>
        <v/>
      </c>
      <c r="Q969" s="28">
        <f>IF($A969="","",SUMIF('入金消込'!$F$5:$F$1004,$A969,'入金消込'!$H$5:$H$1004)+SUMIF('入金消込'!$F$5:$F$1004,$A969,'入金消込'!$I$5:$I$1004))</f>
        <v/>
      </c>
      <c r="R969" s="28">
        <f>IF($A969="","",$L969-$P969-$Q969)</f>
        <v/>
      </c>
      <c r="S969" s="30">
        <f>IF($A969="","",IF($R969=0,IF($L969=0,"請求額0","回収済"),IF($L969&lt;0,IF($R969&lt;0,"差し引き待ち","差し引きすぎ"),IF($R969&lt;0,"入金が多い",IF($P969+$Q969=0,"未入金","一部入金")))))</f>
        <v/>
      </c>
      <c r="T969" s="31">
        <f>IF(OR($A969="",N($R969)&lt;=0,NOT(ISNUMBER($O969))),"",IF($O969&lt;'設定'!$B$7,'設定'!$B$7-$O969,""))</f>
        <v/>
      </c>
      <c r="U969" s="30">
        <f>IF(OR($A969="",N($R969)&lt;=0),"",IF(NOT(ISNUMBER($O969)),'設定'!$B$22,IF($O969&gt;='設定'!$B$7,'設定'!$B$17,IF('設定'!$B$7-$O969&lt;='設定'!$B$12,'設定'!$B$18,IF('設定'!$B$7-$O969&lt;='設定'!$B$13,'設定'!$B$19,IF('設定'!$B$7-$O969&lt;='設定'!$B$14,'設定'!$B$20,'設定'!$B$21))))))</f>
        <v/>
      </c>
      <c r="V969" s="56" t="n"/>
      <c r="W969" s="32">
        <f>IF($C969="","",IFERROR(MATCH($C969,'得意先'!$B$5:$B$104,0),"なし"))</f>
        <v/>
      </c>
      <c r="X969" s="33">
        <f>IF($A969="","",IF(ISNUMBER($E969),$E969,IF(ISNUMBER($B969),$B969,"")))</f>
        <v/>
      </c>
      <c r="Y969" s="34">
        <f>IF($T969="","",$O969+ROW()/1000000)</f>
        <v/>
      </c>
      <c r="Z969" s="35">
        <f>IF(OR($A969="",$C969="",$C969&lt;&gt;'売掛帳'!$B$3,NOT(ISNUMBER($X969))),"",IF(AND($X969&gt;='売掛帳'!$Q$3,$X969&lt;='売掛帳'!$Q$4),$X969+ROW()/10000000,""))</f>
        <v/>
      </c>
    </row>
    <row r="970" ht="18" customHeight="1">
      <c r="A970" s="18" t="n"/>
      <c r="B970" s="26" t="n"/>
      <c r="C970" s="18" t="n"/>
      <c r="D970" s="20">
        <f>IF($W970="","",IF($W970="なし","※得意先にないコード",INDEX('得意先'!$C$5:$C$104,$W970)&amp;""))</f>
        <v/>
      </c>
      <c r="E970" s="26" t="n"/>
      <c r="F970" s="19" t="n"/>
      <c r="G970" s="27" t="n"/>
      <c r="H970" s="27" t="n"/>
      <c r="I970" s="27" t="n"/>
      <c r="J970" s="28">
        <f>IF($A970="","",IF('設定'!$B$10="四捨五入",ROUND(IF('設定'!$B$9="税込",N($G970)*10/110,N($G970)*10/100),0),IF('設定'!$B$10="切り上げ",ROUNDUP(IF('設定'!$B$9="税込",N($G970)*10/110,N($G970)*10/100),0),ROUNDDOWN(IF('設定'!$B$9="税込",N($G970)*10/110,N($G970)*10/100),0))))</f>
        <v/>
      </c>
      <c r="K970" s="28">
        <f>IF($A970="","",IF('設定'!$B$10="四捨五入",ROUND(IF('設定'!$B$9="税込",N($H970)*8/108,N($H970)*8/100),0),IF('設定'!$B$10="切り上げ",ROUNDUP(IF('設定'!$B$9="税込",N($H970)*8/108,N($H970)*8/100),0),ROUNDDOWN(IF('設定'!$B$9="税込",N($H970)*8/108,N($H970)*8/100),0))))</f>
        <v/>
      </c>
      <c r="L970" s="28">
        <f>IF($A970="","",N($G970)+N($H970)+N($I970)+IF('設定'!$B$9="税込",0,$J970+$K970))</f>
        <v/>
      </c>
      <c r="M970" s="29">
        <f>IF(OR($A970="",NOT(ISNUMBER($W970)),NOT(ISNUMBER($X970))),"",IF(OR(INDEX('得意先'!$D$5:$D$104,$W970)="",INDEX('得意先'!$E$5:$E$104,$W970)="",INDEX('得意先'!$F$5:$F$104,$W970)=""),"",IF(INDEX('得意先'!$F$5:$F$104,$W970)="末",DATE(YEAR($X970),(MONTH($X970)+IF(INDEX('得意先'!$D$5:$D$104,$W970)="末",0,IF(DAY($X970)&lt;=INDEX('得意先'!$D$5:$D$104,$W970),0,1))+N(INDEX('得意先'!$E$5:$E$104,$W970)))+1,0),DATE(YEAR($X970),(MONTH($X970)+IF(INDEX('得意先'!$D$5:$D$104,$W970)="末",0,IF(DAY($X970)&lt;=INDEX('得意先'!$D$5:$D$104,$W970),0,1))+N(INDEX('得意先'!$E$5:$E$104,$W970))),MIN(INDEX('得意先'!$F$5:$F$104,$W970),DAY(DATE(YEAR($X970),(MONTH($X970)+IF(INDEX('得意先'!$D$5:$D$104,$W970)="末",0,IF(DAY($X970)&lt;=INDEX('得意先'!$D$5:$D$104,$W970),0,1))+N(INDEX('得意先'!$E$5:$E$104,$W970)))+1,0)))))))</f>
        <v/>
      </c>
      <c r="N970" s="26" t="n"/>
      <c r="O970" s="29">
        <f>IF($A970="","",IF(ISNUMBER($N970),$N970,$M970))</f>
        <v/>
      </c>
      <c r="P970" s="28">
        <f>IF($A970="","",SUMIF('入金消込'!$F$5:$F$1004,$A970,'入金消込'!$G$5:$G$1004))</f>
        <v/>
      </c>
      <c r="Q970" s="28">
        <f>IF($A970="","",SUMIF('入金消込'!$F$5:$F$1004,$A970,'入金消込'!$H$5:$H$1004)+SUMIF('入金消込'!$F$5:$F$1004,$A970,'入金消込'!$I$5:$I$1004))</f>
        <v/>
      </c>
      <c r="R970" s="28">
        <f>IF($A970="","",$L970-$P970-$Q970)</f>
        <v/>
      </c>
      <c r="S970" s="30">
        <f>IF($A970="","",IF($R970=0,IF($L970=0,"請求額0","回収済"),IF($L970&lt;0,IF($R970&lt;0,"差し引き待ち","差し引きすぎ"),IF($R970&lt;0,"入金が多い",IF($P970+$Q970=0,"未入金","一部入金")))))</f>
        <v/>
      </c>
      <c r="T970" s="31">
        <f>IF(OR($A970="",N($R970)&lt;=0,NOT(ISNUMBER($O970))),"",IF($O970&lt;'設定'!$B$7,'設定'!$B$7-$O970,""))</f>
        <v/>
      </c>
      <c r="U970" s="30">
        <f>IF(OR($A970="",N($R970)&lt;=0),"",IF(NOT(ISNUMBER($O970)),'設定'!$B$22,IF($O970&gt;='設定'!$B$7,'設定'!$B$17,IF('設定'!$B$7-$O970&lt;='設定'!$B$12,'設定'!$B$18,IF('設定'!$B$7-$O970&lt;='設定'!$B$13,'設定'!$B$19,IF('設定'!$B$7-$O970&lt;='設定'!$B$14,'設定'!$B$20,'設定'!$B$21))))))</f>
        <v/>
      </c>
      <c r="V970" s="56" t="n"/>
      <c r="W970" s="32">
        <f>IF($C970="","",IFERROR(MATCH($C970,'得意先'!$B$5:$B$104,0),"なし"))</f>
        <v/>
      </c>
      <c r="X970" s="33">
        <f>IF($A970="","",IF(ISNUMBER($E970),$E970,IF(ISNUMBER($B970),$B970,"")))</f>
        <v/>
      </c>
      <c r="Y970" s="34">
        <f>IF($T970="","",$O970+ROW()/1000000)</f>
        <v/>
      </c>
      <c r="Z970" s="35">
        <f>IF(OR($A970="",$C970="",$C970&lt;&gt;'売掛帳'!$B$3,NOT(ISNUMBER($X970))),"",IF(AND($X970&gt;='売掛帳'!$Q$3,$X970&lt;='売掛帳'!$Q$4),$X970+ROW()/10000000,""))</f>
        <v/>
      </c>
    </row>
    <row r="971" ht="18" customHeight="1">
      <c r="A971" s="18" t="n"/>
      <c r="B971" s="26" t="n"/>
      <c r="C971" s="18" t="n"/>
      <c r="D971" s="20">
        <f>IF($W971="","",IF($W971="なし","※得意先にないコード",INDEX('得意先'!$C$5:$C$104,$W971)&amp;""))</f>
        <v/>
      </c>
      <c r="E971" s="26" t="n"/>
      <c r="F971" s="19" t="n"/>
      <c r="G971" s="27" t="n"/>
      <c r="H971" s="27" t="n"/>
      <c r="I971" s="27" t="n"/>
      <c r="J971" s="28">
        <f>IF($A971="","",IF('設定'!$B$10="四捨五入",ROUND(IF('設定'!$B$9="税込",N($G971)*10/110,N($G971)*10/100),0),IF('設定'!$B$10="切り上げ",ROUNDUP(IF('設定'!$B$9="税込",N($G971)*10/110,N($G971)*10/100),0),ROUNDDOWN(IF('設定'!$B$9="税込",N($G971)*10/110,N($G971)*10/100),0))))</f>
        <v/>
      </c>
      <c r="K971" s="28">
        <f>IF($A971="","",IF('設定'!$B$10="四捨五入",ROUND(IF('設定'!$B$9="税込",N($H971)*8/108,N($H971)*8/100),0),IF('設定'!$B$10="切り上げ",ROUNDUP(IF('設定'!$B$9="税込",N($H971)*8/108,N($H971)*8/100),0),ROUNDDOWN(IF('設定'!$B$9="税込",N($H971)*8/108,N($H971)*8/100),0))))</f>
        <v/>
      </c>
      <c r="L971" s="28">
        <f>IF($A971="","",N($G971)+N($H971)+N($I971)+IF('設定'!$B$9="税込",0,$J971+$K971))</f>
        <v/>
      </c>
      <c r="M971" s="29">
        <f>IF(OR($A971="",NOT(ISNUMBER($W971)),NOT(ISNUMBER($X971))),"",IF(OR(INDEX('得意先'!$D$5:$D$104,$W971)="",INDEX('得意先'!$E$5:$E$104,$W971)="",INDEX('得意先'!$F$5:$F$104,$W971)=""),"",IF(INDEX('得意先'!$F$5:$F$104,$W971)="末",DATE(YEAR($X971),(MONTH($X971)+IF(INDEX('得意先'!$D$5:$D$104,$W971)="末",0,IF(DAY($X971)&lt;=INDEX('得意先'!$D$5:$D$104,$W971),0,1))+N(INDEX('得意先'!$E$5:$E$104,$W971)))+1,0),DATE(YEAR($X971),(MONTH($X971)+IF(INDEX('得意先'!$D$5:$D$104,$W971)="末",0,IF(DAY($X971)&lt;=INDEX('得意先'!$D$5:$D$104,$W971),0,1))+N(INDEX('得意先'!$E$5:$E$104,$W971))),MIN(INDEX('得意先'!$F$5:$F$104,$W971),DAY(DATE(YEAR($X971),(MONTH($X971)+IF(INDEX('得意先'!$D$5:$D$104,$W971)="末",0,IF(DAY($X971)&lt;=INDEX('得意先'!$D$5:$D$104,$W971),0,1))+N(INDEX('得意先'!$E$5:$E$104,$W971)))+1,0)))))))</f>
        <v/>
      </c>
      <c r="N971" s="26" t="n"/>
      <c r="O971" s="29">
        <f>IF($A971="","",IF(ISNUMBER($N971),$N971,$M971))</f>
        <v/>
      </c>
      <c r="P971" s="28">
        <f>IF($A971="","",SUMIF('入金消込'!$F$5:$F$1004,$A971,'入金消込'!$G$5:$G$1004))</f>
        <v/>
      </c>
      <c r="Q971" s="28">
        <f>IF($A971="","",SUMIF('入金消込'!$F$5:$F$1004,$A971,'入金消込'!$H$5:$H$1004)+SUMIF('入金消込'!$F$5:$F$1004,$A971,'入金消込'!$I$5:$I$1004))</f>
        <v/>
      </c>
      <c r="R971" s="28">
        <f>IF($A971="","",$L971-$P971-$Q971)</f>
        <v/>
      </c>
      <c r="S971" s="30">
        <f>IF($A971="","",IF($R971=0,IF($L971=0,"請求額0","回収済"),IF($L971&lt;0,IF($R971&lt;0,"差し引き待ち","差し引きすぎ"),IF($R971&lt;0,"入金が多い",IF($P971+$Q971=0,"未入金","一部入金")))))</f>
        <v/>
      </c>
      <c r="T971" s="31">
        <f>IF(OR($A971="",N($R971)&lt;=0,NOT(ISNUMBER($O971))),"",IF($O971&lt;'設定'!$B$7,'設定'!$B$7-$O971,""))</f>
        <v/>
      </c>
      <c r="U971" s="30">
        <f>IF(OR($A971="",N($R971)&lt;=0),"",IF(NOT(ISNUMBER($O971)),'設定'!$B$22,IF($O971&gt;='設定'!$B$7,'設定'!$B$17,IF('設定'!$B$7-$O971&lt;='設定'!$B$12,'設定'!$B$18,IF('設定'!$B$7-$O971&lt;='設定'!$B$13,'設定'!$B$19,IF('設定'!$B$7-$O971&lt;='設定'!$B$14,'設定'!$B$20,'設定'!$B$21))))))</f>
        <v/>
      </c>
      <c r="V971" s="56" t="n"/>
      <c r="W971" s="32">
        <f>IF($C971="","",IFERROR(MATCH($C971,'得意先'!$B$5:$B$104,0),"なし"))</f>
        <v/>
      </c>
      <c r="X971" s="33">
        <f>IF($A971="","",IF(ISNUMBER($E971),$E971,IF(ISNUMBER($B971),$B971,"")))</f>
        <v/>
      </c>
      <c r="Y971" s="34">
        <f>IF($T971="","",$O971+ROW()/1000000)</f>
        <v/>
      </c>
      <c r="Z971" s="35">
        <f>IF(OR($A971="",$C971="",$C971&lt;&gt;'売掛帳'!$B$3,NOT(ISNUMBER($X971))),"",IF(AND($X971&gt;='売掛帳'!$Q$3,$X971&lt;='売掛帳'!$Q$4),$X971+ROW()/10000000,""))</f>
        <v/>
      </c>
    </row>
    <row r="972" ht="18" customHeight="1">
      <c r="A972" s="18" t="n"/>
      <c r="B972" s="26" t="n"/>
      <c r="C972" s="18" t="n"/>
      <c r="D972" s="20">
        <f>IF($W972="","",IF($W972="なし","※得意先にないコード",INDEX('得意先'!$C$5:$C$104,$W972)&amp;""))</f>
        <v/>
      </c>
      <c r="E972" s="26" t="n"/>
      <c r="F972" s="19" t="n"/>
      <c r="G972" s="27" t="n"/>
      <c r="H972" s="27" t="n"/>
      <c r="I972" s="27" t="n"/>
      <c r="J972" s="28">
        <f>IF($A972="","",IF('設定'!$B$10="四捨五入",ROUND(IF('設定'!$B$9="税込",N($G972)*10/110,N($G972)*10/100),0),IF('設定'!$B$10="切り上げ",ROUNDUP(IF('設定'!$B$9="税込",N($G972)*10/110,N($G972)*10/100),0),ROUNDDOWN(IF('設定'!$B$9="税込",N($G972)*10/110,N($G972)*10/100),0))))</f>
        <v/>
      </c>
      <c r="K972" s="28">
        <f>IF($A972="","",IF('設定'!$B$10="四捨五入",ROUND(IF('設定'!$B$9="税込",N($H972)*8/108,N($H972)*8/100),0),IF('設定'!$B$10="切り上げ",ROUNDUP(IF('設定'!$B$9="税込",N($H972)*8/108,N($H972)*8/100),0),ROUNDDOWN(IF('設定'!$B$9="税込",N($H972)*8/108,N($H972)*8/100),0))))</f>
        <v/>
      </c>
      <c r="L972" s="28">
        <f>IF($A972="","",N($G972)+N($H972)+N($I972)+IF('設定'!$B$9="税込",0,$J972+$K972))</f>
        <v/>
      </c>
      <c r="M972" s="29">
        <f>IF(OR($A972="",NOT(ISNUMBER($W972)),NOT(ISNUMBER($X972))),"",IF(OR(INDEX('得意先'!$D$5:$D$104,$W972)="",INDEX('得意先'!$E$5:$E$104,$W972)="",INDEX('得意先'!$F$5:$F$104,$W972)=""),"",IF(INDEX('得意先'!$F$5:$F$104,$W972)="末",DATE(YEAR($X972),(MONTH($X972)+IF(INDEX('得意先'!$D$5:$D$104,$W972)="末",0,IF(DAY($X972)&lt;=INDEX('得意先'!$D$5:$D$104,$W972),0,1))+N(INDEX('得意先'!$E$5:$E$104,$W972)))+1,0),DATE(YEAR($X972),(MONTH($X972)+IF(INDEX('得意先'!$D$5:$D$104,$W972)="末",0,IF(DAY($X972)&lt;=INDEX('得意先'!$D$5:$D$104,$W972),0,1))+N(INDEX('得意先'!$E$5:$E$104,$W972))),MIN(INDEX('得意先'!$F$5:$F$104,$W972),DAY(DATE(YEAR($X972),(MONTH($X972)+IF(INDEX('得意先'!$D$5:$D$104,$W972)="末",0,IF(DAY($X972)&lt;=INDEX('得意先'!$D$5:$D$104,$W972),0,1))+N(INDEX('得意先'!$E$5:$E$104,$W972)))+1,0)))))))</f>
        <v/>
      </c>
      <c r="N972" s="26" t="n"/>
      <c r="O972" s="29">
        <f>IF($A972="","",IF(ISNUMBER($N972),$N972,$M972))</f>
        <v/>
      </c>
      <c r="P972" s="28">
        <f>IF($A972="","",SUMIF('入金消込'!$F$5:$F$1004,$A972,'入金消込'!$G$5:$G$1004))</f>
        <v/>
      </c>
      <c r="Q972" s="28">
        <f>IF($A972="","",SUMIF('入金消込'!$F$5:$F$1004,$A972,'入金消込'!$H$5:$H$1004)+SUMIF('入金消込'!$F$5:$F$1004,$A972,'入金消込'!$I$5:$I$1004))</f>
        <v/>
      </c>
      <c r="R972" s="28">
        <f>IF($A972="","",$L972-$P972-$Q972)</f>
        <v/>
      </c>
      <c r="S972" s="30">
        <f>IF($A972="","",IF($R972=0,IF($L972=0,"請求額0","回収済"),IF($L972&lt;0,IF($R972&lt;0,"差し引き待ち","差し引きすぎ"),IF($R972&lt;0,"入金が多い",IF($P972+$Q972=0,"未入金","一部入金")))))</f>
        <v/>
      </c>
      <c r="T972" s="31">
        <f>IF(OR($A972="",N($R972)&lt;=0,NOT(ISNUMBER($O972))),"",IF($O972&lt;'設定'!$B$7,'設定'!$B$7-$O972,""))</f>
        <v/>
      </c>
      <c r="U972" s="30">
        <f>IF(OR($A972="",N($R972)&lt;=0),"",IF(NOT(ISNUMBER($O972)),'設定'!$B$22,IF($O972&gt;='設定'!$B$7,'設定'!$B$17,IF('設定'!$B$7-$O972&lt;='設定'!$B$12,'設定'!$B$18,IF('設定'!$B$7-$O972&lt;='設定'!$B$13,'設定'!$B$19,IF('設定'!$B$7-$O972&lt;='設定'!$B$14,'設定'!$B$20,'設定'!$B$21))))))</f>
        <v/>
      </c>
      <c r="V972" s="56" t="n"/>
      <c r="W972" s="32">
        <f>IF($C972="","",IFERROR(MATCH($C972,'得意先'!$B$5:$B$104,0),"なし"))</f>
        <v/>
      </c>
      <c r="X972" s="33">
        <f>IF($A972="","",IF(ISNUMBER($E972),$E972,IF(ISNUMBER($B972),$B972,"")))</f>
        <v/>
      </c>
      <c r="Y972" s="34">
        <f>IF($T972="","",$O972+ROW()/1000000)</f>
        <v/>
      </c>
      <c r="Z972" s="35">
        <f>IF(OR($A972="",$C972="",$C972&lt;&gt;'売掛帳'!$B$3,NOT(ISNUMBER($X972))),"",IF(AND($X972&gt;='売掛帳'!$Q$3,$X972&lt;='売掛帳'!$Q$4),$X972+ROW()/10000000,""))</f>
        <v/>
      </c>
    </row>
    <row r="973" ht="18" customHeight="1">
      <c r="A973" s="18" t="n"/>
      <c r="B973" s="26" t="n"/>
      <c r="C973" s="18" t="n"/>
      <c r="D973" s="20">
        <f>IF($W973="","",IF($W973="なし","※得意先にないコード",INDEX('得意先'!$C$5:$C$104,$W973)&amp;""))</f>
        <v/>
      </c>
      <c r="E973" s="26" t="n"/>
      <c r="F973" s="19" t="n"/>
      <c r="G973" s="27" t="n"/>
      <c r="H973" s="27" t="n"/>
      <c r="I973" s="27" t="n"/>
      <c r="J973" s="28">
        <f>IF($A973="","",IF('設定'!$B$10="四捨五入",ROUND(IF('設定'!$B$9="税込",N($G973)*10/110,N($G973)*10/100),0),IF('設定'!$B$10="切り上げ",ROUNDUP(IF('設定'!$B$9="税込",N($G973)*10/110,N($G973)*10/100),0),ROUNDDOWN(IF('設定'!$B$9="税込",N($G973)*10/110,N($G973)*10/100),0))))</f>
        <v/>
      </c>
      <c r="K973" s="28">
        <f>IF($A973="","",IF('設定'!$B$10="四捨五入",ROUND(IF('設定'!$B$9="税込",N($H973)*8/108,N($H973)*8/100),0),IF('設定'!$B$10="切り上げ",ROUNDUP(IF('設定'!$B$9="税込",N($H973)*8/108,N($H973)*8/100),0),ROUNDDOWN(IF('設定'!$B$9="税込",N($H973)*8/108,N($H973)*8/100),0))))</f>
        <v/>
      </c>
      <c r="L973" s="28">
        <f>IF($A973="","",N($G973)+N($H973)+N($I973)+IF('設定'!$B$9="税込",0,$J973+$K973))</f>
        <v/>
      </c>
      <c r="M973" s="29">
        <f>IF(OR($A973="",NOT(ISNUMBER($W973)),NOT(ISNUMBER($X973))),"",IF(OR(INDEX('得意先'!$D$5:$D$104,$W973)="",INDEX('得意先'!$E$5:$E$104,$W973)="",INDEX('得意先'!$F$5:$F$104,$W973)=""),"",IF(INDEX('得意先'!$F$5:$F$104,$W973)="末",DATE(YEAR($X973),(MONTH($X973)+IF(INDEX('得意先'!$D$5:$D$104,$W973)="末",0,IF(DAY($X973)&lt;=INDEX('得意先'!$D$5:$D$104,$W973),0,1))+N(INDEX('得意先'!$E$5:$E$104,$W973)))+1,0),DATE(YEAR($X973),(MONTH($X973)+IF(INDEX('得意先'!$D$5:$D$104,$W973)="末",0,IF(DAY($X973)&lt;=INDEX('得意先'!$D$5:$D$104,$W973),0,1))+N(INDEX('得意先'!$E$5:$E$104,$W973))),MIN(INDEX('得意先'!$F$5:$F$104,$W973),DAY(DATE(YEAR($X973),(MONTH($X973)+IF(INDEX('得意先'!$D$5:$D$104,$W973)="末",0,IF(DAY($X973)&lt;=INDEX('得意先'!$D$5:$D$104,$W973),0,1))+N(INDEX('得意先'!$E$5:$E$104,$W973)))+1,0)))))))</f>
        <v/>
      </c>
      <c r="N973" s="26" t="n"/>
      <c r="O973" s="29">
        <f>IF($A973="","",IF(ISNUMBER($N973),$N973,$M973))</f>
        <v/>
      </c>
      <c r="P973" s="28">
        <f>IF($A973="","",SUMIF('入金消込'!$F$5:$F$1004,$A973,'入金消込'!$G$5:$G$1004))</f>
        <v/>
      </c>
      <c r="Q973" s="28">
        <f>IF($A973="","",SUMIF('入金消込'!$F$5:$F$1004,$A973,'入金消込'!$H$5:$H$1004)+SUMIF('入金消込'!$F$5:$F$1004,$A973,'入金消込'!$I$5:$I$1004))</f>
        <v/>
      </c>
      <c r="R973" s="28">
        <f>IF($A973="","",$L973-$P973-$Q973)</f>
        <v/>
      </c>
      <c r="S973" s="30">
        <f>IF($A973="","",IF($R973=0,IF($L973=0,"請求額0","回収済"),IF($L973&lt;0,IF($R973&lt;0,"差し引き待ち","差し引きすぎ"),IF($R973&lt;0,"入金が多い",IF($P973+$Q973=0,"未入金","一部入金")))))</f>
        <v/>
      </c>
      <c r="T973" s="31">
        <f>IF(OR($A973="",N($R973)&lt;=0,NOT(ISNUMBER($O973))),"",IF($O973&lt;'設定'!$B$7,'設定'!$B$7-$O973,""))</f>
        <v/>
      </c>
      <c r="U973" s="30">
        <f>IF(OR($A973="",N($R973)&lt;=0),"",IF(NOT(ISNUMBER($O973)),'設定'!$B$22,IF($O973&gt;='設定'!$B$7,'設定'!$B$17,IF('設定'!$B$7-$O973&lt;='設定'!$B$12,'設定'!$B$18,IF('設定'!$B$7-$O973&lt;='設定'!$B$13,'設定'!$B$19,IF('設定'!$B$7-$O973&lt;='設定'!$B$14,'設定'!$B$20,'設定'!$B$21))))))</f>
        <v/>
      </c>
      <c r="V973" s="56" t="n"/>
      <c r="W973" s="32">
        <f>IF($C973="","",IFERROR(MATCH($C973,'得意先'!$B$5:$B$104,0),"なし"))</f>
        <v/>
      </c>
      <c r="X973" s="33">
        <f>IF($A973="","",IF(ISNUMBER($E973),$E973,IF(ISNUMBER($B973),$B973,"")))</f>
        <v/>
      </c>
      <c r="Y973" s="34">
        <f>IF($T973="","",$O973+ROW()/1000000)</f>
        <v/>
      </c>
      <c r="Z973" s="35">
        <f>IF(OR($A973="",$C973="",$C973&lt;&gt;'売掛帳'!$B$3,NOT(ISNUMBER($X973))),"",IF(AND($X973&gt;='売掛帳'!$Q$3,$X973&lt;='売掛帳'!$Q$4),$X973+ROW()/10000000,""))</f>
        <v/>
      </c>
    </row>
    <row r="974" ht="18" customHeight="1">
      <c r="A974" s="18" t="n"/>
      <c r="B974" s="26" t="n"/>
      <c r="C974" s="18" t="n"/>
      <c r="D974" s="20">
        <f>IF($W974="","",IF($W974="なし","※得意先にないコード",INDEX('得意先'!$C$5:$C$104,$W974)&amp;""))</f>
        <v/>
      </c>
      <c r="E974" s="26" t="n"/>
      <c r="F974" s="19" t="n"/>
      <c r="G974" s="27" t="n"/>
      <c r="H974" s="27" t="n"/>
      <c r="I974" s="27" t="n"/>
      <c r="J974" s="28">
        <f>IF($A974="","",IF('設定'!$B$10="四捨五入",ROUND(IF('設定'!$B$9="税込",N($G974)*10/110,N($G974)*10/100),0),IF('設定'!$B$10="切り上げ",ROUNDUP(IF('設定'!$B$9="税込",N($G974)*10/110,N($G974)*10/100),0),ROUNDDOWN(IF('設定'!$B$9="税込",N($G974)*10/110,N($G974)*10/100),0))))</f>
        <v/>
      </c>
      <c r="K974" s="28">
        <f>IF($A974="","",IF('設定'!$B$10="四捨五入",ROUND(IF('設定'!$B$9="税込",N($H974)*8/108,N($H974)*8/100),0),IF('設定'!$B$10="切り上げ",ROUNDUP(IF('設定'!$B$9="税込",N($H974)*8/108,N($H974)*8/100),0),ROUNDDOWN(IF('設定'!$B$9="税込",N($H974)*8/108,N($H974)*8/100),0))))</f>
        <v/>
      </c>
      <c r="L974" s="28">
        <f>IF($A974="","",N($G974)+N($H974)+N($I974)+IF('設定'!$B$9="税込",0,$J974+$K974))</f>
        <v/>
      </c>
      <c r="M974" s="29">
        <f>IF(OR($A974="",NOT(ISNUMBER($W974)),NOT(ISNUMBER($X974))),"",IF(OR(INDEX('得意先'!$D$5:$D$104,$W974)="",INDEX('得意先'!$E$5:$E$104,$W974)="",INDEX('得意先'!$F$5:$F$104,$W974)=""),"",IF(INDEX('得意先'!$F$5:$F$104,$W974)="末",DATE(YEAR($X974),(MONTH($X974)+IF(INDEX('得意先'!$D$5:$D$104,$W974)="末",0,IF(DAY($X974)&lt;=INDEX('得意先'!$D$5:$D$104,$W974),0,1))+N(INDEX('得意先'!$E$5:$E$104,$W974)))+1,0),DATE(YEAR($X974),(MONTH($X974)+IF(INDEX('得意先'!$D$5:$D$104,$W974)="末",0,IF(DAY($X974)&lt;=INDEX('得意先'!$D$5:$D$104,$W974),0,1))+N(INDEX('得意先'!$E$5:$E$104,$W974))),MIN(INDEX('得意先'!$F$5:$F$104,$W974),DAY(DATE(YEAR($X974),(MONTH($X974)+IF(INDEX('得意先'!$D$5:$D$104,$W974)="末",0,IF(DAY($X974)&lt;=INDEX('得意先'!$D$5:$D$104,$W974),0,1))+N(INDEX('得意先'!$E$5:$E$104,$W974)))+1,0)))))))</f>
        <v/>
      </c>
      <c r="N974" s="26" t="n"/>
      <c r="O974" s="29">
        <f>IF($A974="","",IF(ISNUMBER($N974),$N974,$M974))</f>
        <v/>
      </c>
      <c r="P974" s="28">
        <f>IF($A974="","",SUMIF('入金消込'!$F$5:$F$1004,$A974,'入金消込'!$G$5:$G$1004))</f>
        <v/>
      </c>
      <c r="Q974" s="28">
        <f>IF($A974="","",SUMIF('入金消込'!$F$5:$F$1004,$A974,'入金消込'!$H$5:$H$1004)+SUMIF('入金消込'!$F$5:$F$1004,$A974,'入金消込'!$I$5:$I$1004))</f>
        <v/>
      </c>
      <c r="R974" s="28">
        <f>IF($A974="","",$L974-$P974-$Q974)</f>
        <v/>
      </c>
      <c r="S974" s="30">
        <f>IF($A974="","",IF($R974=0,IF($L974=0,"請求額0","回収済"),IF($L974&lt;0,IF($R974&lt;0,"差し引き待ち","差し引きすぎ"),IF($R974&lt;0,"入金が多い",IF($P974+$Q974=0,"未入金","一部入金")))))</f>
        <v/>
      </c>
      <c r="T974" s="31">
        <f>IF(OR($A974="",N($R974)&lt;=0,NOT(ISNUMBER($O974))),"",IF($O974&lt;'設定'!$B$7,'設定'!$B$7-$O974,""))</f>
        <v/>
      </c>
      <c r="U974" s="30">
        <f>IF(OR($A974="",N($R974)&lt;=0),"",IF(NOT(ISNUMBER($O974)),'設定'!$B$22,IF($O974&gt;='設定'!$B$7,'設定'!$B$17,IF('設定'!$B$7-$O974&lt;='設定'!$B$12,'設定'!$B$18,IF('設定'!$B$7-$O974&lt;='設定'!$B$13,'設定'!$B$19,IF('設定'!$B$7-$O974&lt;='設定'!$B$14,'設定'!$B$20,'設定'!$B$21))))))</f>
        <v/>
      </c>
      <c r="V974" s="56" t="n"/>
      <c r="W974" s="32">
        <f>IF($C974="","",IFERROR(MATCH($C974,'得意先'!$B$5:$B$104,0),"なし"))</f>
        <v/>
      </c>
      <c r="X974" s="33">
        <f>IF($A974="","",IF(ISNUMBER($E974),$E974,IF(ISNUMBER($B974),$B974,"")))</f>
        <v/>
      </c>
      <c r="Y974" s="34">
        <f>IF($T974="","",$O974+ROW()/1000000)</f>
        <v/>
      </c>
      <c r="Z974" s="35">
        <f>IF(OR($A974="",$C974="",$C974&lt;&gt;'売掛帳'!$B$3,NOT(ISNUMBER($X974))),"",IF(AND($X974&gt;='売掛帳'!$Q$3,$X974&lt;='売掛帳'!$Q$4),$X974+ROW()/10000000,""))</f>
        <v/>
      </c>
    </row>
    <row r="975" ht="18" customHeight="1">
      <c r="A975" s="18" t="n"/>
      <c r="B975" s="26" t="n"/>
      <c r="C975" s="18" t="n"/>
      <c r="D975" s="20">
        <f>IF($W975="","",IF($W975="なし","※得意先にないコード",INDEX('得意先'!$C$5:$C$104,$W975)&amp;""))</f>
        <v/>
      </c>
      <c r="E975" s="26" t="n"/>
      <c r="F975" s="19" t="n"/>
      <c r="G975" s="27" t="n"/>
      <c r="H975" s="27" t="n"/>
      <c r="I975" s="27" t="n"/>
      <c r="J975" s="28">
        <f>IF($A975="","",IF('設定'!$B$10="四捨五入",ROUND(IF('設定'!$B$9="税込",N($G975)*10/110,N($G975)*10/100),0),IF('設定'!$B$10="切り上げ",ROUNDUP(IF('設定'!$B$9="税込",N($G975)*10/110,N($G975)*10/100),0),ROUNDDOWN(IF('設定'!$B$9="税込",N($G975)*10/110,N($G975)*10/100),0))))</f>
        <v/>
      </c>
      <c r="K975" s="28">
        <f>IF($A975="","",IF('設定'!$B$10="四捨五入",ROUND(IF('設定'!$B$9="税込",N($H975)*8/108,N($H975)*8/100),0),IF('設定'!$B$10="切り上げ",ROUNDUP(IF('設定'!$B$9="税込",N($H975)*8/108,N($H975)*8/100),0),ROUNDDOWN(IF('設定'!$B$9="税込",N($H975)*8/108,N($H975)*8/100),0))))</f>
        <v/>
      </c>
      <c r="L975" s="28">
        <f>IF($A975="","",N($G975)+N($H975)+N($I975)+IF('設定'!$B$9="税込",0,$J975+$K975))</f>
        <v/>
      </c>
      <c r="M975" s="29">
        <f>IF(OR($A975="",NOT(ISNUMBER($W975)),NOT(ISNUMBER($X975))),"",IF(OR(INDEX('得意先'!$D$5:$D$104,$W975)="",INDEX('得意先'!$E$5:$E$104,$W975)="",INDEX('得意先'!$F$5:$F$104,$W975)=""),"",IF(INDEX('得意先'!$F$5:$F$104,$W975)="末",DATE(YEAR($X975),(MONTH($X975)+IF(INDEX('得意先'!$D$5:$D$104,$W975)="末",0,IF(DAY($X975)&lt;=INDEX('得意先'!$D$5:$D$104,$W975),0,1))+N(INDEX('得意先'!$E$5:$E$104,$W975)))+1,0),DATE(YEAR($X975),(MONTH($X975)+IF(INDEX('得意先'!$D$5:$D$104,$W975)="末",0,IF(DAY($X975)&lt;=INDEX('得意先'!$D$5:$D$104,$W975),0,1))+N(INDEX('得意先'!$E$5:$E$104,$W975))),MIN(INDEX('得意先'!$F$5:$F$104,$W975),DAY(DATE(YEAR($X975),(MONTH($X975)+IF(INDEX('得意先'!$D$5:$D$104,$W975)="末",0,IF(DAY($X975)&lt;=INDEX('得意先'!$D$5:$D$104,$W975),0,1))+N(INDEX('得意先'!$E$5:$E$104,$W975)))+1,0)))))))</f>
        <v/>
      </c>
      <c r="N975" s="26" t="n"/>
      <c r="O975" s="29">
        <f>IF($A975="","",IF(ISNUMBER($N975),$N975,$M975))</f>
        <v/>
      </c>
      <c r="P975" s="28">
        <f>IF($A975="","",SUMIF('入金消込'!$F$5:$F$1004,$A975,'入金消込'!$G$5:$G$1004))</f>
        <v/>
      </c>
      <c r="Q975" s="28">
        <f>IF($A975="","",SUMIF('入金消込'!$F$5:$F$1004,$A975,'入金消込'!$H$5:$H$1004)+SUMIF('入金消込'!$F$5:$F$1004,$A975,'入金消込'!$I$5:$I$1004))</f>
        <v/>
      </c>
      <c r="R975" s="28">
        <f>IF($A975="","",$L975-$P975-$Q975)</f>
        <v/>
      </c>
      <c r="S975" s="30">
        <f>IF($A975="","",IF($R975=0,IF($L975=0,"請求額0","回収済"),IF($L975&lt;0,IF($R975&lt;0,"差し引き待ち","差し引きすぎ"),IF($R975&lt;0,"入金が多い",IF($P975+$Q975=0,"未入金","一部入金")))))</f>
        <v/>
      </c>
      <c r="T975" s="31">
        <f>IF(OR($A975="",N($R975)&lt;=0,NOT(ISNUMBER($O975))),"",IF($O975&lt;'設定'!$B$7,'設定'!$B$7-$O975,""))</f>
        <v/>
      </c>
      <c r="U975" s="30">
        <f>IF(OR($A975="",N($R975)&lt;=0),"",IF(NOT(ISNUMBER($O975)),'設定'!$B$22,IF($O975&gt;='設定'!$B$7,'設定'!$B$17,IF('設定'!$B$7-$O975&lt;='設定'!$B$12,'設定'!$B$18,IF('設定'!$B$7-$O975&lt;='設定'!$B$13,'設定'!$B$19,IF('設定'!$B$7-$O975&lt;='設定'!$B$14,'設定'!$B$20,'設定'!$B$21))))))</f>
        <v/>
      </c>
      <c r="V975" s="56" t="n"/>
      <c r="W975" s="32">
        <f>IF($C975="","",IFERROR(MATCH($C975,'得意先'!$B$5:$B$104,0),"なし"))</f>
        <v/>
      </c>
      <c r="X975" s="33">
        <f>IF($A975="","",IF(ISNUMBER($E975),$E975,IF(ISNUMBER($B975),$B975,"")))</f>
        <v/>
      </c>
      <c r="Y975" s="34">
        <f>IF($T975="","",$O975+ROW()/1000000)</f>
        <v/>
      </c>
      <c r="Z975" s="35">
        <f>IF(OR($A975="",$C975="",$C975&lt;&gt;'売掛帳'!$B$3,NOT(ISNUMBER($X975))),"",IF(AND($X975&gt;='売掛帳'!$Q$3,$X975&lt;='売掛帳'!$Q$4),$X975+ROW()/10000000,""))</f>
        <v/>
      </c>
    </row>
    <row r="976" ht="18" customHeight="1">
      <c r="A976" s="18" t="n"/>
      <c r="B976" s="26" t="n"/>
      <c r="C976" s="18" t="n"/>
      <c r="D976" s="20">
        <f>IF($W976="","",IF($W976="なし","※得意先にないコード",INDEX('得意先'!$C$5:$C$104,$W976)&amp;""))</f>
        <v/>
      </c>
      <c r="E976" s="26" t="n"/>
      <c r="F976" s="19" t="n"/>
      <c r="G976" s="27" t="n"/>
      <c r="H976" s="27" t="n"/>
      <c r="I976" s="27" t="n"/>
      <c r="J976" s="28">
        <f>IF($A976="","",IF('設定'!$B$10="四捨五入",ROUND(IF('設定'!$B$9="税込",N($G976)*10/110,N($G976)*10/100),0),IF('設定'!$B$10="切り上げ",ROUNDUP(IF('設定'!$B$9="税込",N($G976)*10/110,N($G976)*10/100),0),ROUNDDOWN(IF('設定'!$B$9="税込",N($G976)*10/110,N($G976)*10/100),0))))</f>
        <v/>
      </c>
      <c r="K976" s="28">
        <f>IF($A976="","",IF('設定'!$B$10="四捨五入",ROUND(IF('設定'!$B$9="税込",N($H976)*8/108,N($H976)*8/100),0),IF('設定'!$B$10="切り上げ",ROUNDUP(IF('設定'!$B$9="税込",N($H976)*8/108,N($H976)*8/100),0),ROUNDDOWN(IF('設定'!$B$9="税込",N($H976)*8/108,N($H976)*8/100),0))))</f>
        <v/>
      </c>
      <c r="L976" s="28">
        <f>IF($A976="","",N($G976)+N($H976)+N($I976)+IF('設定'!$B$9="税込",0,$J976+$K976))</f>
        <v/>
      </c>
      <c r="M976" s="29">
        <f>IF(OR($A976="",NOT(ISNUMBER($W976)),NOT(ISNUMBER($X976))),"",IF(OR(INDEX('得意先'!$D$5:$D$104,$W976)="",INDEX('得意先'!$E$5:$E$104,$W976)="",INDEX('得意先'!$F$5:$F$104,$W976)=""),"",IF(INDEX('得意先'!$F$5:$F$104,$W976)="末",DATE(YEAR($X976),(MONTH($X976)+IF(INDEX('得意先'!$D$5:$D$104,$W976)="末",0,IF(DAY($X976)&lt;=INDEX('得意先'!$D$5:$D$104,$W976),0,1))+N(INDEX('得意先'!$E$5:$E$104,$W976)))+1,0),DATE(YEAR($X976),(MONTH($X976)+IF(INDEX('得意先'!$D$5:$D$104,$W976)="末",0,IF(DAY($X976)&lt;=INDEX('得意先'!$D$5:$D$104,$W976),0,1))+N(INDEX('得意先'!$E$5:$E$104,$W976))),MIN(INDEX('得意先'!$F$5:$F$104,$W976),DAY(DATE(YEAR($X976),(MONTH($X976)+IF(INDEX('得意先'!$D$5:$D$104,$W976)="末",0,IF(DAY($X976)&lt;=INDEX('得意先'!$D$5:$D$104,$W976),0,1))+N(INDEX('得意先'!$E$5:$E$104,$W976)))+1,0)))))))</f>
        <v/>
      </c>
      <c r="N976" s="26" t="n"/>
      <c r="O976" s="29">
        <f>IF($A976="","",IF(ISNUMBER($N976),$N976,$M976))</f>
        <v/>
      </c>
      <c r="P976" s="28">
        <f>IF($A976="","",SUMIF('入金消込'!$F$5:$F$1004,$A976,'入金消込'!$G$5:$G$1004))</f>
        <v/>
      </c>
      <c r="Q976" s="28">
        <f>IF($A976="","",SUMIF('入金消込'!$F$5:$F$1004,$A976,'入金消込'!$H$5:$H$1004)+SUMIF('入金消込'!$F$5:$F$1004,$A976,'入金消込'!$I$5:$I$1004))</f>
        <v/>
      </c>
      <c r="R976" s="28">
        <f>IF($A976="","",$L976-$P976-$Q976)</f>
        <v/>
      </c>
      <c r="S976" s="30">
        <f>IF($A976="","",IF($R976=0,IF($L976=0,"請求額0","回収済"),IF($L976&lt;0,IF($R976&lt;0,"差し引き待ち","差し引きすぎ"),IF($R976&lt;0,"入金が多い",IF($P976+$Q976=0,"未入金","一部入金")))))</f>
        <v/>
      </c>
      <c r="T976" s="31">
        <f>IF(OR($A976="",N($R976)&lt;=0,NOT(ISNUMBER($O976))),"",IF($O976&lt;'設定'!$B$7,'設定'!$B$7-$O976,""))</f>
        <v/>
      </c>
      <c r="U976" s="30">
        <f>IF(OR($A976="",N($R976)&lt;=0),"",IF(NOT(ISNUMBER($O976)),'設定'!$B$22,IF($O976&gt;='設定'!$B$7,'設定'!$B$17,IF('設定'!$B$7-$O976&lt;='設定'!$B$12,'設定'!$B$18,IF('設定'!$B$7-$O976&lt;='設定'!$B$13,'設定'!$B$19,IF('設定'!$B$7-$O976&lt;='設定'!$B$14,'設定'!$B$20,'設定'!$B$21))))))</f>
        <v/>
      </c>
      <c r="V976" s="56" t="n"/>
      <c r="W976" s="32">
        <f>IF($C976="","",IFERROR(MATCH($C976,'得意先'!$B$5:$B$104,0),"なし"))</f>
        <v/>
      </c>
      <c r="X976" s="33">
        <f>IF($A976="","",IF(ISNUMBER($E976),$E976,IF(ISNUMBER($B976),$B976,"")))</f>
        <v/>
      </c>
      <c r="Y976" s="34">
        <f>IF($T976="","",$O976+ROW()/1000000)</f>
        <v/>
      </c>
      <c r="Z976" s="35">
        <f>IF(OR($A976="",$C976="",$C976&lt;&gt;'売掛帳'!$B$3,NOT(ISNUMBER($X976))),"",IF(AND($X976&gt;='売掛帳'!$Q$3,$X976&lt;='売掛帳'!$Q$4),$X976+ROW()/10000000,""))</f>
        <v/>
      </c>
    </row>
    <row r="977" ht="18" customHeight="1">
      <c r="A977" s="18" t="n"/>
      <c r="B977" s="26" t="n"/>
      <c r="C977" s="18" t="n"/>
      <c r="D977" s="20">
        <f>IF($W977="","",IF($W977="なし","※得意先にないコード",INDEX('得意先'!$C$5:$C$104,$W977)&amp;""))</f>
        <v/>
      </c>
      <c r="E977" s="26" t="n"/>
      <c r="F977" s="19" t="n"/>
      <c r="G977" s="27" t="n"/>
      <c r="H977" s="27" t="n"/>
      <c r="I977" s="27" t="n"/>
      <c r="J977" s="28">
        <f>IF($A977="","",IF('設定'!$B$10="四捨五入",ROUND(IF('設定'!$B$9="税込",N($G977)*10/110,N($G977)*10/100),0),IF('設定'!$B$10="切り上げ",ROUNDUP(IF('設定'!$B$9="税込",N($G977)*10/110,N($G977)*10/100),0),ROUNDDOWN(IF('設定'!$B$9="税込",N($G977)*10/110,N($G977)*10/100),0))))</f>
        <v/>
      </c>
      <c r="K977" s="28">
        <f>IF($A977="","",IF('設定'!$B$10="四捨五入",ROUND(IF('設定'!$B$9="税込",N($H977)*8/108,N($H977)*8/100),0),IF('設定'!$B$10="切り上げ",ROUNDUP(IF('設定'!$B$9="税込",N($H977)*8/108,N($H977)*8/100),0),ROUNDDOWN(IF('設定'!$B$9="税込",N($H977)*8/108,N($H977)*8/100),0))))</f>
        <v/>
      </c>
      <c r="L977" s="28">
        <f>IF($A977="","",N($G977)+N($H977)+N($I977)+IF('設定'!$B$9="税込",0,$J977+$K977))</f>
        <v/>
      </c>
      <c r="M977" s="29">
        <f>IF(OR($A977="",NOT(ISNUMBER($W977)),NOT(ISNUMBER($X977))),"",IF(OR(INDEX('得意先'!$D$5:$D$104,$W977)="",INDEX('得意先'!$E$5:$E$104,$W977)="",INDEX('得意先'!$F$5:$F$104,$W977)=""),"",IF(INDEX('得意先'!$F$5:$F$104,$W977)="末",DATE(YEAR($X977),(MONTH($X977)+IF(INDEX('得意先'!$D$5:$D$104,$W977)="末",0,IF(DAY($X977)&lt;=INDEX('得意先'!$D$5:$D$104,$W977),0,1))+N(INDEX('得意先'!$E$5:$E$104,$W977)))+1,0),DATE(YEAR($X977),(MONTH($X977)+IF(INDEX('得意先'!$D$5:$D$104,$W977)="末",0,IF(DAY($X977)&lt;=INDEX('得意先'!$D$5:$D$104,$W977),0,1))+N(INDEX('得意先'!$E$5:$E$104,$W977))),MIN(INDEX('得意先'!$F$5:$F$104,$W977),DAY(DATE(YEAR($X977),(MONTH($X977)+IF(INDEX('得意先'!$D$5:$D$104,$W977)="末",0,IF(DAY($X977)&lt;=INDEX('得意先'!$D$5:$D$104,$W977),0,1))+N(INDEX('得意先'!$E$5:$E$104,$W977)))+1,0)))))))</f>
        <v/>
      </c>
      <c r="N977" s="26" t="n"/>
      <c r="O977" s="29">
        <f>IF($A977="","",IF(ISNUMBER($N977),$N977,$M977))</f>
        <v/>
      </c>
      <c r="P977" s="28">
        <f>IF($A977="","",SUMIF('入金消込'!$F$5:$F$1004,$A977,'入金消込'!$G$5:$G$1004))</f>
        <v/>
      </c>
      <c r="Q977" s="28">
        <f>IF($A977="","",SUMIF('入金消込'!$F$5:$F$1004,$A977,'入金消込'!$H$5:$H$1004)+SUMIF('入金消込'!$F$5:$F$1004,$A977,'入金消込'!$I$5:$I$1004))</f>
        <v/>
      </c>
      <c r="R977" s="28">
        <f>IF($A977="","",$L977-$P977-$Q977)</f>
        <v/>
      </c>
      <c r="S977" s="30">
        <f>IF($A977="","",IF($R977=0,IF($L977=0,"請求額0","回収済"),IF($L977&lt;0,IF($R977&lt;0,"差し引き待ち","差し引きすぎ"),IF($R977&lt;0,"入金が多い",IF($P977+$Q977=0,"未入金","一部入金")))))</f>
        <v/>
      </c>
      <c r="T977" s="31">
        <f>IF(OR($A977="",N($R977)&lt;=0,NOT(ISNUMBER($O977))),"",IF($O977&lt;'設定'!$B$7,'設定'!$B$7-$O977,""))</f>
        <v/>
      </c>
      <c r="U977" s="30">
        <f>IF(OR($A977="",N($R977)&lt;=0),"",IF(NOT(ISNUMBER($O977)),'設定'!$B$22,IF($O977&gt;='設定'!$B$7,'設定'!$B$17,IF('設定'!$B$7-$O977&lt;='設定'!$B$12,'設定'!$B$18,IF('設定'!$B$7-$O977&lt;='設定'!$B$13,'設定'!$B$19,IF('設定'!$B$7-$O977&lt;='設定'!$B$14,'設定'!$B$20,'設定'!$B$21))))))</f>
        <v/>
      </c>
      <c r="V977" s="56" t="n"/>
      <c r="W977" s="32">
        <f>IF($C977="","",IFERROR(MATCH($C977,'得意先'!$B$5:$B$104,0),"なし"))</f>
        <v/>
      </c>
      <c r="X977" s="33">
        <f>IF($A977="","",IF(ISNUMBER($E977),$E977,IF(ISNUMBER($B977),$B977,"")))</f>
        <v/>
      </c>
      <c r="Y977" s="34">
        <f>IF($T977="","",$O977+ROW()/1000000)</f>
        <v/>
      </c>
      <c r="Z977" s="35">
        <f>IF(OR($A977="",$C977="",$C977&lt;&gt;'売掛帳'!$B$3,NOT(ISNUMBER($X977))),"",IF(AND($X977&gt;='売掛帳'!$Q$3,$X977&lt;='売掛帳'!$Q$4),$X977+ROW()/10000000,""))</f>
        <v/>
      </c>
    </row>
    <row r="978" ht="18" customHeight="1">
      <c r="A978" s="18" t="n"/>
      <c r="B978" s="26" t="n"/>
      <c r="C978" s="18" t="n"/>
      <c r="D978" s="20">
        <f>IF($W978="","",IF($W978="なし","※得意先にないコード",INDEX('得意先'!$C$5:$C$104,$W978)&amp;""))</f>
        <v/>
      </c>
      <c r="E978" s="26" t="n"/>
      <c r="F978" s="19" t="n"/>
      <c r="G978" s="27" t="n"/>
      <c r="H978" s="27" t="n"/>
      <c r="I978" s="27" t="n"/>
      <c r="J978" s="28">
        <f>IF($A978="","",IF('設定'!$B$10="四捨五入",ROUND(IF('設定'!$B$9="税込",N($G978)*10/110,N($G978)*10/100),0),IF('設定'!$B$10="切り上げ",ROUNDUP(IF('設定'!$B$9="税込",N($G978)*10/110,N($G978)*10/100),0),ROUNDDOWN(IF('設定'!$B$9="税込",N($G978)*10/110,N($G978)*10/100),0))))</f>
        <v/>
      </c>
      <c r="K978" s="28">
        <f>IF($A978="","",IF('設定'!$B$10="四捨五入",ROUND(IF('設定'!$B$9="税込",N($H978)*8/108,N($H978)*8/100),0),IF('設定'!$B$10="切り上げ",ROUNDUP(IF('設定'!$B$9="税込",N($H978)*8/108,N($H978)*8/100),0),ROUNDDOWN(IF('設定'!$B$9="税込",N($H978)*8/108,N($H978)*8/100),0))))</f>
        <v/>
      </c>
      <c r="L978" s="28">
        <f>IF($A978="","",N($G978)+N($H978)+N($I978)+IF('設定'!$B$9="税込",0,$J978+$K978))</f>
        <v/>
      </c>
      <c r="M978" s="29">
        <f>IF(OR($A978="",NOT(ISNUMBER($W978)),NOT(ISNUMBER($X978))),"",IF(OR(INDEX('得意先'!$D$5:$D$104,$W978)="",INDEX('得意先'!$E$5:$E$104,$W978)="",INDEX('得意先'!$F$5:$F$104,$W978)=""),"",IF(INDEX('得意先'!$F$5:$F$104,$W978)="末",DATE(YEAR($X978),(MONTH($X978)+IF(INDEX('得意先'!$D$5:$D$104,$W978)="末",0,IF(DAY($X978)&lt;=INDEX('得意先'!$D$5:$D$104,$W978),0,1))+N(INDEX('得意先'!$E$5:$E$104,$W978)))+1,0),DATE(YEAR($X978),(MONTH($X978)+IF(INDEX('得意先'!$D$5:$D$104,$W978)="末",0,IF(DAY($X978)&lt;=INDEX('得意先'!$D$5:$D$104,$W978),0,1))+N(INDEX('得意先'!$E$5:$E$104,$W978))),MIN(INDEX('得意先'!$F$5:$F$104,$W978),DAY(DATE(YEAR($X978),(MONTH($X978)+IF(INDEX('得意先'!$D$5:$D$104,$W978)="末",0,IF(DAY($X978)&lt;=INDEX('得意先'!$D$5:$D$104,$W978),0,1))+N(INDEX('得意先'!$E$5:$E$104,$W978)))+1,0)))))))</f>
        <v/>
      </c>
      <c r="N978" s="26" t="n"/>
      <c r="O978" s="29">
        <f>IF($A978="","",IF(ISNUMBER($N978),$N978,$M978))</f>
        <v/>
      </c>
      <c r="P978" s="28">
        <f>IF($A978="","",SUMIF('入金消込'!$F$5:$F$1004,$A978,'入金消込'!$G$5:$G$1004))</f>
        <v/>
      </c>
      <c r="Q978" s="28">
        <f>IF($A978="","",SUMIF('入金消込'!$F$5:$F$1004,$A978,'入金消込'!$H$5:$H$1004)+SUMIF('入金消込'!$F$5:$F$1004,$A978,'入金消込'!$I$5:$I$1004))</f>
        <v/>
      </c>
      <c r="R978" s="28">
        <f>IF($A978="","",$L978-$P978-$Q978)</f>
        <v/>
      </c>
      <c r="S978" s="30">
        <f>IF($A978="","",IF($R978=0,IF($L978=0,"請求額0","回収済"),IF($L978&lt;0,IF($R978&lt;0,"差し引き待ち","差し引きすぎ"),IF($R978&lt;0,"入金が多い",IF($P978+$Q978=0,"未入金","一部入金")))))</f>
        <v/>
      </c>
      <c r="T978" s="31">
        <f>IF(OR($A978="",N($R978)&lt;=0,NOT(ISNUMBER($O978))),"",IF($O978&lt;'設定'!$B$7,'設定'!$B$7-$O978,""))</f>
        <v/>
      </c>
      <c r="U978" s="30">
        <f>IF(OR($A978="",N($R978)&lt;=0),"",IF(NOT(ISNUMBER($O978)),'設定'!$B$22,IF($O978&gt;='設定'!$B$7,'設定'!$B$17,IF('設定'!$B$7-$O978&lt;='設定'!$B$12,'設定'!$B$18,IF('設定'!$B$7-$O978&lt;='設定'!$B$13,'設定'!$B$19,IF('設定'!$B$7-$O978&lt;='設定'!$B$14,'設定'!$B$20,'設定'!$B$21))))))</f>
        <v/>
      </c>
      <c r="V978" s="56" t="n"/>
      <c r="W978" s="32">
        <f>IF($C978="","",IFERROR(MATCH($C978,'得意先'!$B$5:$B$104,0),"なし"))</f>
        <v/>
      </c>
      <c r="X978" s="33">
        <f>IF($A978="","",IF(ISNUMBER($E978),$E978,IF(ISNUMBER($B978),$B978,"")))</f>
        <v/>
      </c>
      <c r="Y978" s="34">
        <f>IF($T978="","",$O978+ROW()/1000000)</f>
        <v/>
      </c>
      <c r="Z978" s="35">
        <f>IF(OR($A978="",$C978="",$C978&lt;&gt;'売掛帳'!$B$3,NOT(ISNUMBER($X978))),"",IF(AND($X978&gt;='売掛帳'!$Q$3,$X978&lt;='売掛帳'!$Q$4),$X978+ROW()/10000000,""))</f>
        <v/>
      </c>
    </row>
    <row r="979" ht="18" customHeight="1">
      <c r="A979" s="18" t="n"/>
      <c r="B979" s="26" t="n"/>
      <c r="C979" s="18" t="n"/>
      <c r="D979" s="20">
        <f>IF($W979="","",IF($W979="なし","※得意先にないコード",INDEX('得意先'!$C$5:$C$104,$W979)&amp;""))</f>
        <v/>
      </c>
      <c r="E979" s="26" t="n"/>
      <c r="F979" s="19" t="n"/>
      <c r="G979" s="27" t="n"/>
      <c r="H979" s="27" t="n"/>
      <c r="I979" s="27" t="n"/>
      <c r="J979" s="28">
        <f>IF($A979="","",IF('設定'!$B$10="四捨五入",ROUND(IF('設定'!$B$9="税込",N($G979)*10/110,N($G979)*10/100),0),IF('設定'!$B$10="切り上げ",ROUNDUP(IF('設定'!$B$9="税込",N($G979)*10/110,N($G979)*10/100),0),ROUNDDOWN(IF('設定'!$B$9="税込",N($G979)*10/110,N($G979)*10/100),0))))</f>
        <v/>
      </c>
      <c r="K979" s="28">
        <f>IF($A979="","",IF('設定'!$B$10="四捨五入",ROUND(IF('設定'!$B$9="税込",N($H979)*8/108,N($H979)*8/100),0),IF('設定'!$B$10="切り上げ",ROUNDUP(IF('設定'!$B$9="税込",N($H979)*8/108,N($H979)*8/100),0),ROUNDDOWN(IF('設定'!$B$9="税込",N($H979)*8/108,N($H979)*8/100),0))))</f>
        <v/>
      </c>
      <c r="L979" s="28">
        <f>IF($A979="","",N($G979)+N($H979)+N($I979)+IF('設定'!$B$9="税込",0,$J979+$K979))</f>
        <v/>
      </c>
      <c r="M979" s="29">
        <f>IF(OR($A979="",NOT(ISNUMBER($W979)),NOT(ISNUMBER($X979))),"",IF(OR(INDEX('得意先'!$D$5:$D$104,$W979)="",INDEX('得意先'!$E$5:$E$104,$W979)="",INDEX('得意先'!$F$5:$F$104,$W979)=""),"",IF(INDEX('得意先'!$F$5:$F$104,$W979)="末",DATE(YEAR($X979),(MONTH($X979)+IF(INDEX('得意先'!$D$5:$D$104,$W979)="末",0,IF(DAY($X979)&lt;=INDEX('得意先'!$D$5:$D$104,$W979),0,1))+N(INDEX('得意先'!$E$5:$E$104,$W979)))+1,0),DATE(YEAR($X979),(MONTH($X979)+IF(INDEX('得意先'!$D$5:$D$104,$W979)="末",0,IF(DAY($X979)&lt;=INDEX('得意先'!$D$5:$D$104,$W979),0,1))+N(INDEX('得意先'!$E$5:$E$104,$W979))),MIN(INDEX('得意先'!$F$5:$F$104,$W979),DAY(DATE(YEAR($X979),(MONTH($X979)+IF(INDEX('得意先'!$D$5:$D$104,$W979)="末",0,IF(DAY($X979)&lt;=INDEX('得意先'!$D$5:$D$104,$W979),0,1))+N(INDEX('得意先'!$E$5:$E$104,$W979)))+1,0)))))))</f>
        <v/>
      </c>
      <c r="N979" s="26" t="n"/>
      <c r="O979" s="29">
        <f>IF($A979="","",IF(ISNUMBER($N979),$N979,$M979))</f>
        <v/>
      </c>
      <c r="P979" s="28">
        <f>IF($A979="","",SUMIF('入金消込'!$F$5:$F$1004,$A979,'入金消込'!$G$5:$G$1004))</f>
        <v/>
      </c>
      <c r="Q979" s="28">
        <f>IF($A979="","",SUMIF('入金消込'!$F$5:$F$1004,$A979,'入金消込'!$H$5:$H$1004)+SUMIF('入金消込'!$F$5:$F$1004,$A979,'入金消込'!$I$5:$I$1004))</f>
        <v/>
      </c>
      <c r="R979" s="28">
        <f>IF($A979="","",$L979-$P979-$Q979)</f>
        <v/>
      </c>
      <c r="S979" s="30">
        <f>IF($A979="","",IF($R979=0,IF($L979=0,"請求額0","回収済"),IF($L979&lt;0,IF($R979&lt;0,"差し引き待ち","差し引きすぎ"),IF($R979&lt;0,"入金が多い",IF($P979+$Q979=0,"未入金","一部入金")))))</f>
        <v/>
      </c>
      <c r="T979" s="31">
        <f>IF(OR($A979="",N($R979)&lt;=0,NOT(ISNUMBER($O979))),"",IF($O979&lt;'設定'!$B$7,'設定'!$B$7-$O979,""))</f>
        <v/>
      </c>
      <c r="U979" s="30">
        <f>IF(OR($A979="",N($R979)&lt;=0),"",IF(NOT(ISNUMBER($O979)),'設定'!$B$22,IF($O979&gt;='設定'!$B$7,'設定'!$B$17,IF('設定'!$B$7-$O979&lt;='設定'!$B$12,'設定'!$B$18,IF('設定'!$B$7-$O979&lt;='設定'!$B$13,'設定'!$B$19,IF('設定'!$B$7-$O979&lt;='設定'!$B$14,'設定'!$B$20,'設定'!$B$21))))))</f>
        <v/>
      </c>
      <c r="V979" s="56" t="n"/>
      <c r="W979" s="32">
        <f>IF($C979="","",IFERROR(MATCH($C979,'得意先'!$B$5:$B$104,0),"なし"))</f>
        <v/>
      </c>
      <c r="X979" s="33">
        <f>IF($A979="","",IF(ISNUMBER($E979),$E979,IF(ISNUMBER($B979),$B979,"")))</f>
        <v/>
      </c>
      <c r="Y979" s="34">
        <f>IF($T979="","",$O979+ROW()/1000000)</f>
        <v/>
      </c>
      <c r="Z979" s="35">
        <f>IF(OR($A979="",$C979="",$C979&lt;&gt;'売掛帳'!$B$3,NOT(ISNUMBER($X979))),"",IF(AND($X979&gt;='売掛帳'!$Q$3,$X979&lt;='売掛帳'!$Q$4),$X979+ROW()/10000000,""))</f>
        <v/>
      </c>
    </row>
    <row r="980" ht="18" customHeight="1">
      <c r="A980" s="18" t="n"/>
      <c r="B980" s="26" t="n"/>
      <c r="C980" s="18" t="n"/>
      <c r="D980" s="20">
        <f>IF($W980="","",IF($W980="なし","※得意先にないコード",INDEX('得意先'!$C$5:$C$104,$W980)&amp;""))</f>
        <v/>
      </c>
      <c r="E980" s="26" t="n"/>
      <c r="F980" s="19" t="n"/>
      <c r="G980" s="27" t="n"/>
      <c r="H980" s="27" t="n"/>
      <c r="I980" s="27" t="n"/>
      <c r="J980" s="28">
        <f>IF($A980="","",IF('設定'!$B$10="四捨五入",ROUND(IF('設定'!$B$9="税込",N($G980)*10/110,N($G980)*10/100),0),IF('設定'!$B$10="切り上げ",ROUNDUP(IF('設定'!$B$9="税込",N($G980)*10/110,N($G980)*10/100),0),ROUNDDOWN(IF('設定'!$B$9="税込",N($G980)*10/110,N($G980)*10/100),0))))</f>
        <v/>
      </c>
      <c r="K980" s="28">
        <f>IF($A980="","",IF('設定'!$B$10="四捨五入",ROUND(IF('設定'!$B$9="税込",N($H980)*8/108,N($H980)*8/100),0),IF('設定'!$B$10="切り上げ",ROUNDUP(IF('設定'!$B$9="税込",N($H980)*8/108,N($H980)*8/100),0),ROUNDDOWN(IF('設定'!$B$9="税込",N($H980)*8/108,N($H980)*8/100),0))))</f>
        <v/>
      </c>
      <c r="L980" s="28">
        <f>IF($A980="","",N($G980)+N($H980)+N($I980)+IF('設定'!$B$9="税込",0,$J980+$K980))</f>
        <v/>
      </c>
      <c r="M980" s="29">
        <f>IF(OR($A980="",NOT(ISNUMBER($W980)),NOT(ISNUMBER($X980))),"",IF(OR(INDEX('得意先'!$D$5:$D$104,$W980)="",INDEX('得意先'!$E$5:$E$104,$W980)="",INDEX('得意先'!$F$5:$F$104,$W980)=""),"",IF(INDEX('得意先'!$F$5:$F$104,$W980)="末",DATE(YEAR($X980),(MONTH($X980)+IF(INDEX('得意先'!$D$5:$D$104,$W980)="末",0,IF(DAY($X980)&lt;=INDEX('得意先'!$D$5:$D$104,$W980),0,1))+N(INDEX('得意先'!$E$5:$E$104,$W980)))+1,0),DATE(YEAR($X980),(MONTH($X980)+IF(INDEX('得意先'!$D$5:$D$104,$W980)="末",0,IF(DAY($X980)&lt;=INDEX('得意先'!$D$5:$D$104,$W980),0,1))+N(INDEX('得意先'!$E$5:$E$104,$W980))),MIN(INDEX('得意先'!$F$5:$F$104,$W980),DAY(DATE(YEAR($X980),(MONTH($X980)+IF(INDEX('得意先'!$D$5:$D$104,$W980)="末",0,IF(DAY($X980)&lt;=INDEX('得意先'!$D$5:$D$104,$W980),0,1))+N(INDEX('得意先'!$E$5:$E$104,$W980)))+1,0)))))))</f>
        <v/>
      </c>
      <c r="N980" s="26" t="n"/>
      <c r="O980" s="29">
        <f>IF($A980="","",IF(ISNUMBER($N980),$N980,$M980))</f>
        <v/>
      </c>
      <c r="P980" s="28">
        <f>IF($A980="","",SUMIF('入金消込'!$F$5:$F$1004,$A980,'入金消込'!$G$5:$G$1004))</f>
        <v/>
      </c>
      <c r="Q980" s="28">
        <f>IF($A980="","",SUMIF('入金消込'!$F$5:$F$1004,$A980,'入金消込'!$H$5:$H$1004)+SUMIF('入金消込'!$F$5:$F$1004,$A980,'入金消込'!$I$5:$I$1004))</f>
        <v/>
      </c>
      <c r="R980" s="28">
        <f>IF($A980="","",$L980-$P980-$Q980)</f>
        <v/>
      </c>
      <c r="S980" s="30">
        <f>IF($A980="","",IF($R980=0,IF($L980=0,"請求額0","回収済"),IF($L980&lt;0,IF($R980&lt;0,"差し引き待ち","差し引きすぎ"),IF($R980&lt;0,"入金が多い",IF($P980+$Q980=0,"未入金","一部入金")))))</f>
        <v/>
      </c>
      <c r="T980" s="31">
        <f>IF(OR($A980="",N($R980)&lt;=0,NOT(ISNUMBER($O980))),"",IF($O980&lt;'設定'!$B$7,'設定'!$B$7-$O980,""))</f>
        <v/>
      </c>
      <c r="U980" s="30">
        <f>IF(OR($A980="",N($R980)&lt;=0),"",IF(NOT(ISNUMBER($O980)),'設定'!$B$22,IF($O980&gt;='設定'!$B$7,'設定'!$B$17,IF('設定'!$B$7-$O980&lt;='設定'!$B$12,'設定'!$B$18,IF('設定'!$B$7-$O980&lt;='設定'!$B$13,'設定'!$B$19,IF('設定'!$B$7-$O980&lt;='設定'!$B$14,'設定'!$B$20,'設定'!$B$21))))))</f>
        <v/>
      </c>
      <c r="V980" s="56" t="n"/>
      <c r="W980" s="32">
        <f>IF($C980="","",IFERROR(MATCH($C980,'得意先'!$B$5:$B$104,0),"なし"))</f>
        <v/>
      </c>
      <c r="X980" s="33">
        <f>IF($A980="","",IF(ISNUMBER($E980),$E980,IF(ISNUMBER($B980),$B980,"")))</f>
        <v/>
      </c>
      <c r="Y980" s="34">
        <f>IF($T980="","",$O980+ROW()/1000000)</f>
        <v/>
      </c>
      <c r="Z980" s="35">
        <f>IF(OR($A980="",$C980="",$C980&lt;&gt;'売掛帳'!$B$3,NOT(ISNUMBER($X980))),"",IF(AND($X980&gt;='売掛帳'!$Q$3,$X980&lt;='売掛帳'!$Q$4),$X980+ROW()/10000000,""))</f>
        <v/>
      </c>
    </row>
    <row r="981" ht="18" customHeight="1">
      <c r="A981" s="18" t="n"/>
      <c r="B981" s="26" t="n"/>
      <c r="C981" s="18" t="n"/>
      <c r="D981" s="20">
        <f>IF($W981="","",IF($W981="なし","※得意先にないコード",INDEX('得意先'!$C$5:$C$104,$W981)&amp;""))</f>
        <v/>
      </c>
      <c r="E981" s="26" t="n"/>
      <c r="F981" s="19" t="n"/>
      <c r="G981" s="27" t="n"/>
      <c r="H981" s="27" t="n"/>
      <c r="I981" s="27" t="n"/>
      <c r="J981" s="28">
        <f>IF($A981="","",IF('設定'!$B$10="四捨五入",ROUND(IF('設定'!$B$9="税込",N($G981)*10/110,N($G981)*10/100),0),IF('設定'!$B$10="切り上げ",ROUNDUP(IF('設定'!$B$9="税込",N($G981)*10/110,N($G981)*10/100),0),ROUNDDOWN(IF('設定'!$B$9="税込",N($G981)*10/110,N($G981)*10/100),0))))</f>
        <v/>
      </c>
      <c r="K981" s="28">
        <f>IF($A981="","",IF('設定'!$B$10="四捨五入",ROUND(IF('設定'!$B$9="税込",N($H981)*8/108,N($H981)*8/100),0),IF('設定'!$B$10="切り上げ",ROUNDUP(IF('設定'!$B$9="税込",N($H981)*8/108,N($H981)*8/100),0),ROUNDDOWN(IF('設定'!$B$9="税込",N($H981)*8/108,N($H981)*8/100),0))))</f>
        <v/>
      </c>
      <c r="L981" s="28">
        <f>IF($A981="","",N($G981)+N($H981)+N($I981)+IF('設定'!$B$9="税込",0,$J981+$K981))</f>
        <v/>
      </c>
      <c r="M981" s="29">
        <f>IF(OR($A981="",NOT(ISNUMBER($W981)),NOT(ISNUMBER($X981))),"",IF(OR(INDEX('得意先'!$D$5:$D$104,$W981)="",INDEX('得意先'!$E$5:$E$104,$W981)="",INDEX('得意先'!$F$5:$F$104,$W981)=""),"",IF(INDEX('得意先'!$F$5:$F$104,$W981)="末",DATE(YEAR($X981),(MONTH($X981)+IF(INDEX('得意先'!$D$5:$D$104,$W981)="末",0,IF(DAY($X981)&lt;=INDEX('得意先'!$D$5:$D$104,$W981),0,1))+N(INDEX('得意先'!$E$5:$E$104,$W981)))+1,0),DATE(YEAR($X981),(MONTH($X981)+IF(INDEX('得意先'!$D$5:$D$104,$W981)="末",0,IF(DAY($X981)&lt;=INDEX('得意先'!$D$5:$D$104,$W981),0,1))+N(INDEX('得意先'!$E$5:$E$104,$W981))),MIN(INDEX('得意先'!$F$5:$F$104,$W981),DAY(DATE(YEAR($X981),(MONTH($X981)+IF(INDEX('得意先'!$D$5:$D$104,$W981)="末",0,IF(DAY($X981)&lt;=INDEX('得意先'!$D$5:$D$104,$W981),0,1))+N(INDEX('得意先'!$E$5:$E$104,$W981)))+1,0)))))))</f>
        <v/>
      </c>
      <c r="N981" s="26" t="n"/>
      <c r="O981" s="29">
        <f>IF($A981="","",IF(ISNUMBER($N981),$N981,$M981))</f>
        <v/>
      </c>
      <c r="P981" s="28">
        <f>IF($A981="","",SUMIF('入金消込'!$F$5:$F$1004,$A981,'入金消込'!$G$5:$G$1004))</f>
        <v/>
      </c>
      <c r="Q981" s="28">
        <f>IF($A981="","",SUMIF('入金消込'!$F$5:$F$1004,$A981,'入金消込'!$H$5:$H$1004)+SUMIF('入金消込'!$F$5:$F$1004,$A981,'入金消込'!$I$5:$I$1004))</f>
        <v/>
      </c>
      <c r="R981" s="28">
        <f>IF($A981="","",$L981-$P981-$Q981)</f>
        <v/>
      </c>
      <c r="S981" s="30">
        <f>IF($A981="","",IF($R981=0,IF($L981=0,"請求額0","回収済"),IF($L981&lt;0,IF($R981&lt;0,"差し引き待ち","差し引きすぎ"),IF($R981&lt;0,"入金が多い",IF($P981+$Q981=0,"未入金","一部入金")))))</f>
        <v/>
      </c>
      <c r="T981" s="31">
        <f>IF(OR($A981="",N($R981)&lt;=0,NOT(ISNUMBER($O981))),"",IF($O981&lt;'設定'!$B$7,'設定'!$B$7-$O981,""))</f>
        <v/>
      </c>
      <c r="U981" s="30">
        <f>IF(OR($A981="",N($R981)&lt;=0),"",IF(NOT(ISNUMBER($O981)),'設定'!$B$22,IF($O981&gt;='設定'!$B$7,'設定'!$B$17,IF('設定'!$B$7-$O981&lt;='設定'!$B$12,'設定'!$B$18,IF('設定'!$B$7-$O981&lt;='設定'!$B$13,'設定'!$B$19,IF('設定'!$B$7-$O981&lt;='設定'!$B$14,'設定'!$B$20,'設定'!$B$21))))))</f>
        <v/>
      </c>
      <c r="V981" s="56" t="n"/>
      <c r="W981" s="32">
        <f>IF($C981="","",IFERROR(MATCH($C981,'得意先'!$B$5:$B$104,0),"なし"))</f>
        <v/>
      </c>
      <c r="X981" s="33">
        <f>IF($A981="","",IF(ISNUMBER($E981),$E981,IF(ISNUMBER($B981),$B981,"")))</f>
        <v/>
      </c>
      <c r="Y981" s="34">
        <f>IF($T981="","",$O981+ROW()/1000000)</f>
        <v/>
      </c>
      <c r="Z981" s="35">
        <f>IF(OR($A981="",$C981="",$C981&lt;&gt;'売掛帳'!$B$3,NOT(ISNUMBER($X981))),"",IF(AND($X981&gt;='売掛帳'!$Q$3,$X981&lt;='売掛帳'!$Q$4),$X981+ROW()/10000000,""))</f>
        <v/>
      </c>
    </row>
    <row r="982" ht="18" customHeight="1">
      <c r="A982" s="18" t="n"/>
      <c r="B982" s="26" t="n"/>
      <c r="C982" s="18" t="n"/>
      <c r="D982" s="20">
        <f>IF($W982="","",IF($W982="なし","※得意先にないコード",INDEX('得意先'!$C$5:$C$104,$W982)&amp;""))</f>
        <v/>
      </c>
      <c r="E982" s="26" t="n"/>
      <c r="F982" s="19" t="n"/>
      <c r="G982" s="27" t="n"/>
      <c r="H982" s="27" t="n"/>
      <c r="I982" s="27" t="n"/>
      <c r="J982" s="28">
        <f>IF($A982="","",IF('設定'!$B$10="四捨五入",ROUND(IF('設定'!$B$9="税込",N($G982)*10/110,N($G982)*10/100),0),IF('設定'!$B$10="切り上げ",ROUNDUP(IF('設定'!$B$9="税込",N($G982)*10/110,N($G982)*10/100),0),ROUNDDOWN(IF('設定'!$B$9="税込",N($G982)*10/110,N($G982)*10/100),0))))</f>
        <v/>
      </c>
      <c r="K982" s="28">
        <f>IF($A982="","",IF('設定'!$B$10="四捨五入",ROUND(IF('設定'!$B$9="税込",N($H982)*8/108,N($H982)*8/100),0),IF('設定'!$B$10="切り上げ",ROUNDUP(IF('設定'!$B$9="税込",N($H982)*8/108,N($H982)*8/100),0),ROUNDDOWN(IF('設定'!$B$9="税込",N($H982)*8/108,N($H982)*8/100),0))))</f>
        <v/>
      </c>
      <c r="L982" s="28">
        <f>IF($A982="","",N($G982)+N($H982)+N($I982)+IF('設定'!$B$9="税込",0,$J982+$K982))</f>
        <v/>
      </c>
      <c r="M982" s="29">
        <f>IF(OR($A982="",NOT(ISNUMBER($W982)),NOT(ISNUMBER($X982))),"",IF(OR(INDEX('得意先'!$D$5:$D$104,$W982)="",INDEX('得意先'!$E$5:$E$104,$W982)="",INDEX('得意先'!$F$5:$F$104,$W982)=""),"",IF(INDEX('得意先'!$F$5:$F$104,$W982)="末",DATE(YEAR($X982),(MONTH($X982)+IF(INDEX('得意先'!$D$5:$D$104,$W982)="末",0,IF(DAY($X982)&lt;=INDEX('得意先'!$D$5:$D$104,$W982),0,1))+N(INDEX('得意先'!$E$5:$E$104,$W982)))+1,0),DATE(YEAR($X982),(MONTH($X982)+IF(INDEX('得意先'!$D$5:$D$104,$W982)="末",0,IF(DAY($X982)&lt;=INDEX('得意先'!$D$5:$D$104,$W982),0,1))+N(INDEX('得意先'!$E$5:$E$104,$W982))),MIN(INDEX('得意先'!$F$5:$F$104,$W982),DAY(DATE(YEAR($X982),(MONTH($X982)+IF(INDEX('得意先'!$D$5:$D$104,$W982)="末",0,IF(DAY($X982)&lt;=INDEX('得意先'!$D$5:$D$104,$W982),0,1))+N(INDEX('得意先'!$E$5:$E$104,$W982)))+1,0)))))))</f>
        <v/>
      </c>
      <c r="N982" s="26" t="n"/>
      <c r="O982" s="29">
        <f>IF($A982="","",IF(ISNUMBER($N982),$N982,$M982))</f>
        <v/>
      </c>
      <c r="P982" s="28">
        <f>IF($A982="","",SUMIF('入金消込'!$F$5:$F$1004,$A982,'入金消込'!$G$5:$G$1004))</f>
        <v/>
      </c>
      <c r="Q982" s="28">
        <f>IF($A982="","",SUMIF('入金消込'!$F$5:$F$1004,$A982,'入金消込'!$H$5:$H$1004)+SUMIF('入金消込'!$F$5:$F$1004,$A982,'入金消込'!$I$5:$I$1004))</f>
        <v/>
      </c>
      <c r="R982" s="28">
        <f>IF($A982="","",$L982-$P982-$Q982)</f>
        <v/>
      </c>
      <c r="S982" s="30">
        <f>IF($A982="","",IF($R982=0,IF($L982=0,"請求額0","回収済"),IF($L982&lt;0,IF($R982&lt;0,"差し引き待ち","差し引きすぎ"),IF($R982&lt;0,"入金が多い",IF($P982+$Q982=0,"未入金","一部入金")))))</f>
        <v/>
      </c>
      <c r="T982" s="31">
        <f>IF(OR($A982="",N($R982)&lt;=0,NOT(ISNUMBER($O982))),"",IF($O982&lt;'設定'!$B$7,'設定'!$B$7-$O982,""))</f>
        <v/>
      </c>
      <c r="U982" s="30">
        <f>IF(OR($A982="",N($R982)&lt;=0),"",IF(NOT(ISNUMBER($O982)),'設定'!$B$22,IF($O982&gt;='設定'!$B$7,'設定'!$B$17,IF('設定'!$B$7-$O982&lt;='設定'!$B$12,'設定'!$B$18,IF('設定'!$B$7-$O982&lt;='設定'!$B$13,'設定'!$B$19,IF('設定'!$B$7-$O982&lt;='設定'!$B$14,'設定'!$B$20,'設定'!$B$21))))))</f>
        <v/>
      </c>
      <c r="V982" s="56" t="n"/>
      <c r="W982" s="32">
        <f>IF($C982="","",IFERROR(MATCH($C982,'得意先'!$B$5:$B$104,0),"なし"))</f>
        <v/>
      </c>
      <c r="X982" s="33">
        <f>IF($A982="","",IF(ISNUMBER($E982),$E982,IF(ISNUMBER($B982),$B982,"")))</f>
        <v/>
      </c>
      <c r="Y982" s="34">
        <f>IF($T982="","",$O982+ROW()/1000000)</f>
        <v/>
      </c>
      <c r="Z982" s="35">
        <f>IF(OR($A982="",$C982="",$C982&lt;&gt;'売掛帳'!$B$3,NOT(ISNUMBER($X982))),"",IF(AND($X982&gt;='売掛帳'!$Q$3,$X982&lt;='売掛帳'!$Q$4),$X982+ROW()/10000000,""))</f>
        <v/>
      </c>
    </row>
    <row r="983" ht="18" customHeight="1">
      <c r="A983" s="18" t="n"/>
      <c r="B983" s="26" t="n"/>
      <c r="C983" s="18" t="n"/>
      <c r="D983" s="20">
        <f>IF($W983="","",IF($W983="なし","※得意先にないコード",INDEX('得意先'!$C$5:$C$104,$W983)&amp;""))</f>
        <v/>
      </c>
      <c r="E983" s="26" t="n"/>
      <c r="F983" s="19" t="n"/>
      <c r="G983" s="27" t="n"/>
      <c r="H983" s="27" t="n"/>
      <c r="I983" s="27" t="n"/>
      <c r="J983" s="28">
        <f>IF($A983="","",IF('設定'!$B$10="四捨五入",ROUND(IF('設定'!$B$9="税込",N($G983)*10/110,N($G983)*10/100),0),IF('設定'!$B$10="切り上げ",ROUNDUP(IF('設定'!$B$9="税込",N($G983)*10/110,N($G983)*10/100),0),ROUNDDOWN(IF('設定'!$B$9="税込",N($G983)*10/110,N($G983)*10/100),0))))</f>
        <v/>
      </c>
      <c r="K983" s="28">
        <f>IF($A983="","",IF('設定'!$B$10="四捨五入",ROUND(IF('設定'!$B$9="税込",N($H983)*8/108,N($H983)*8/100),0),IF('設定'!$B$10="切り上げ",ROUNDUP(IF('設定'!$B$9="税込",N($H983)*8/108,N($H983)*8/100),0),ROUNDDOWN(IF('設定'!$B$9="税込",N($H983)*8/108,N($H983)*8/100),0))))</f>
        <v/>
      </c>
      <c r="L983" s="28">
        <f>IF($A983="","",N($G983)+N($H983)+N($I983)+IF('設定'!$B$9="税込",0,$J983+$K983))</f>
        <v/>
      </c>
      <c r="M983" s="29">
        <f>IF(OR($A983="",NOT(ISNUMBER($W983)),NOT(ISNUMBER($X983))),"",IF(OR(INDEX('得意先'!$D$5:$D$104,$W983)="",INDEX('得意先'!$E$5:$E$104,$W983)="",INDEX('得意先'!$F$5:$F$104,$W983)=""),"",IF(INDEX('得意先'!$F$5:$F$104,$W983)="末",DATE(YEAR($X983),(MONTH($X983)+IF(INDEX('得意先'!$D$5:$D$104,$W983)="末",0,IF(DAY($X983)&lt;=INDEX('得意先'!$D$5:$D$104,$W983),0,1))+N(INDEX('得意先'!$E$5:$E$104,$W983)))+1,0),DATE(YEAR($X983),(MONTH($X983)+IF(INDEX('得意先'!$D$5:$D$104,$W983)="末",0,IF(DAY($X983)&lt;=INDEX('得意先'!$D$5:$D$104,$W983),0,1))+N(INDEX('得意先'!$E$5:$E$104,$W983))),MIN(INDEX('得意先'!$F$5:$F$104,$W983),DAY(DATE(YEAR($X983),(MONTH($X983)+IF(INDEX('得意先'!$D$5:$D$104,$W983)="末",0,IF(DAY($X983)&lt;=INDEX('得意先'!$D$5:$D$104,$W983),0,1))+N(INDEX('得意先'!$E$5:$E$104,$W983)))+1,0)))))))</f>
        <v/>
      </c>
      <c r="N983" s="26" t="n"/>
      <c r="O983" s="29">
        <f>IF($A983="","",IF(ISNUMBER($N983),$N983,$M983))</f>
        <v/>
      </c>
      <c r="P983" s="28">
        <f>IF($A983="","",SUMIF('入金消込'!$F$5:$F$1004,$A983,'入金消込'!$G$5:$G$1004))</f>
        <v/>
      </c>
      <c r="Q983" s="28">
        <f>IF($A983="","",SUMIF('入金消込'!$F$5:$F$1004,$A983,'入金消込'!$H$5:$H$1004)+SUMIF('入金消込'!$F$5:$F$1004,$A983,'入金消込'!$I$5:$I$1004))</f>
        <v/>
      </c>
      <c r="R983" s="28">
        <f>IF($A983="","",$L983-$P983-$Q983)</f>
        <v/>
      </c>
      <c r="S983" s="30">
        <f>IF($A983="","",IF($R983=0,IF($L983=0,"請求額0","回収済"),IF($L983&lt;0,IF($R983&lt;0,"差し引き待ち","差し引きすぎ"),IF($R983&lt;0,"入金が多い",IF($P983+$Q983=0,"未入金","一部入金")))))</f>
        <v/>
      </c>
      <c r="T983" s="31">
        <f>IF(OR($A983="",N($R983)&lt;=0,NOT(ISNUMBER($O983))),"",IF($O983&lt;'設定'!$B$7,'設定'!$B$7-$O983,""))</f>
        <v/>
      </c>
      <c r="U983" s="30">
        <f>IF(OR($A983="",N($R983)&lt;=0),"",IF(NOT(ISNUMBER($O983)),'設定'!$B$22,IF($O983&gt;='設定'!$B$7,'設定'!$B$17,IF('設定'!$B$7-$O983&lt;='設定'!$B$12,'設定'!$B$18,IF('設定'!$B$7-$O983&lt;='設定'!$B$13,'設定'!$B$19,IF('設定'!$B$7-$O983&lt;='設定'!$B$14,'設定'!$B$20,'設定'!$B$21))))))</f>
        <v/>
      </c>
      <c r="V983" s="56" t="n"/>
      <c r="W983" s="32">
        <f>IF($C983="","",IFERROR(MATCH($C983,'得意先'!$B$5:$B$104,0),"なし"))</f>
        <v/>
      </c>
      <c r="X983" s="33">
        <f>IF($A983="","",IF(ISNUMBER($E983),$E983,IF(ISNUMBER($B983),$B983,"")))</f>
        <v/>
      </c>
      <c r="Y983" s="34">
        <f>IF($T983="","",$O983+ROW()/1000000)</f>
        <v/>
      </c>
      <c r="Z983" s="35">
        <f>IF(OR($A983="",$C983="",$C983&lt;&gt;'売掛帳'!$B$3,NOT(ISNUMBER($X983))),"",IF(AND($X983&gt;='売掛帳'!$Q$3,$X983&lt;='売掛帳'!$Q$4),$X983+ROW()/10000000,""))</f>
        <v/>
      </c>
    </row>
    <row r="984" ht="18" customHeight="1">
      <c r="A984" s="18" t="n"/>
      <c r="B984" s="26" t="n"/>
      <c r="C984" s="18" t="n"/>
      <c r="D984" s="20">
        <f>IF($W984="","",IF($W984="なし","※得意先にないコード",INDEX('得意先'!$C$5:$C$104,$W984)&amp;""))</f>
        <v/>
      </c>
      <c r="E984" s="26" t="n"/>
      <c r="F984" s="19" t="n"/>
      <c r="G984" s="27" t="n"/>
      <c r="H984" s="27" t="n"/>
      <c r="I984" s="27" t="n"/>
      <c r="J984" s="28">
        <f>IF($A984="","",IF('設定'!$B$10="四捨五入",ROUND(IF('設定'!$B$9="税込",N($G984)*10/110,N($G984)*10/100),0),IF('設定'!$B$10="切り上げ",ROUNDUP(IF('設定'!$B$9="税込",N($G984)*10/110,N($G984)*10/100),0),ROUNDDOWN(IF('設定'!$B$9="税込",N($G984)*10/110,N($G984)*10/100),0))))</f>
        <v/>
      </c>
      <c r="K984" s="28">
        <f>IF($A984="","",IF('設定'!$B$10="四捨五入",ROUND(IF('設定'!$B$9="税込",N($H984)*8/108,N($H984)*8/100),0),IF('設定'!$B$10="切り上げ",ROUNDUP(IF('設定'!$B$9="税込",N($H984)*8/108,N($H984)*8/100),0),ROUNDDOWN(IF('設定'!$B$9="税込",N($H984)*8/108,N($H984)*8/100),0))))</f>
        <v/>
      </c>
      <c r="L984" s="28">
        <f>IF($A984="","",N($G984)+N($H984)+N($I984)+IF('設定'!$B$9="税込",0,$J984+$K984))</f>
        <v/>
      </c>
      <c r="M984" s="29">
        <f>IF(OR($A984="",NOT(ISNUMBER($W984)),NOT(ISNUMBER($X984))),"",IF(OR(INDEX('得意先'!$D$5:$D$104,$W984)="",INDEX('得意先'!$E$5:$E$104,$W984)="",INDEX('得意先'!$F$5:$F$104,$W984)=""),"",IF(INDEX('得意先'!$F$5:$F$104,$W984)="末",DATE(YEAR($X984),(MONTH($X984)+IF(INDEX('得意先'!$D$5:$D$104,$W984)="末",0,IF(DAY($X984)&lt;=INDEX('得意先'!$D$5:$D$104,$W984),0,1))+N(INDEX('得意先'!$E$5:$E$104,$W984)))+1,0),DATE(YEAR($X984),(MONTH($X984)+IF(INDEX('得意先'!$D$5:$D$104,$W984)="末",0,IF(DAY($X984)&lt;=INDEX('得意先'!$D$5:$D$104,$W984),0,1))+N(INDEX('得意先'!$E$5:$E$104,$W984))),MIN(INDEX('得意先'!$F$5:$F$104,$W984),DAY(DATE(YEAR($X984),(MONTH($X984)+IF(INDEX('得意先'!$D$5:$D$104,$W984)="末",0,IF(DAY($X984)&lt;=INDEX('得意先'!$D$5:$D$104,$W984),0,1))+N(INDEX('得意先'!$E$5:$E$104,$W984)))+1,0)))))))</f>
        <v/>
      </c>
      <c r="N984" s="26" t="n"/>
      <c r="O984" s="29">
        <f>IF($A984="","",IF(ISNUMBER($N984),$N984,$M984))</f>
        <v/>
      </c>
      <c r="P984" s="28">
        <f>IF($A984="","",SUMIF('入金消込'!$F$5:$F$1004,$A984,'入金消込'!$G$5:$G$1004))</f>
        <v/>
      </c>
      <c r="Q984" s="28">
        <f>IF($A984="","",SUMIF('入金消込'!$F$5:$F$1004,$A984,'入金消込'!$H$5:$H$1004)+SUMIF('入金消込'!$F$5:$F$1004,$A984,'入金消込'!$I$5:$I$1004))</f>
        <v/>
      </c>
      <c r="R984" s="28">
        <f>IF($A984="","",$L984-$P984-$Q984)</f>
        <v/>
      </c>
      <c r="S984" s="30">
        <f>IF($A984="","",IF($R984=0,IF($L984=0,"請求額0","回収済"),IF($L984&lt;0,IF($R984&lt;0,"差し引き待ち","差し引きすぎ"),IF($R984&lt;0,"入金が多い",IF($P984+$Q984=0,"未入金","一部入金")))))</f>
        <v/>
      </c>
      <c r="T984" s="31">
        <f>IF(OR($A984="",N($R984)&lt;=0,NOT(ISNUMBER($O984))),"",IF($O984&lt;'設定'!$B$7,'設定'!$B$7-$O984,""))</f>
        <v/>
      </c>
      <c r="U984" s="30">
        <f>IF(OR($A984="",N($R984)&lt;=0),"",IF(NOT(ISNUMBER($O984)),'設定'!$B$22,IF($O984&gt;='設定'!$B$7,'設定'!$B$17,IF('設定'!$B$7-$O984&lt;='設定'!$B$12,'設定'!$B$18,IF('設定'!$B$7-$O984&lt;='設定'!$B$13,'設定'!$B$19,IF('設定'!$B$7-$O984&lt;='設定'!$B$14,'設定'!$B$20,'設定'!$B$21))))))</f>
        <v/>
      </c>
      <c r="V984" s="56" t="n"/>
      <c r="W984" s="32">
        <f>IF($C984="","",IFERROR(MATCH($C984,'得意先'!$B$5:$B$104,0),"なし"))</f>
        <v/>
      </c>
      <c r="X984" s="33">
        <f>IF($A984="","",IF(ISNUMBER($E984),$E984,IF(ISNUMBER($B984),$B984,"")))</f>
        <v/>
      </c>
      <c r="Y984" s="34">
        <f>IF($T984="","",$O984+ROW()/1000000)</f>
        <v/>
      </c>
      <c r="Z984" s="35">
        <f>IF(OR($A984="",$C984="",$C984&lt;&gt;'売掛帳'!$B$3,NOT(ISNUMBER($X984))),"",IF(AND($X984&gt;='売掛帳'!$Q$3,$X984&lt;='売掛帳'!$Q$4),$X984+ROW()/10000000,""))</f>
        <v/>
      </c>
    </row>
    <row r="985" ht="18" customHeight="1">
      <c r="A985" s="18" t="n"/>
      <c r="B985" s="26" t="n"/>
      <c r="C985" s="18" t="n"/>
      <c r="D985" s="20">
        <f>IF($W985="","",IF($W985="なし","※得意先にないコード",INDEX('得意先'!$C$5:$C$104,$W985)&amp;""))</f>
        <v/>
      </c>
      <c r="E985" s="26" t="n"/>
      <c r="F985" s="19" t="n"/>
      <c r="G985" s="27" t="n"/>
      <c r="H985" s="27" t="n"/>
      <c r="I985" s="27" t="n"/>
      <c r="J985" s="28">
        <f>IF($A985="","",IF('設定'!$B$10="四捨五入",ROUND(IF('設定'!$B$9="税込",N($G985)*10/110,N($G985)*10/100),0),IF('設定'!$B$10="切り上げ",ROUNDUP(IF('設定'!$B$9="税込",N($G985)*10/110,N($G985)*10/100),0),ROUNDDOWN(IF('設定'!$B$9="税込",N($G985)*10/110,N($G985)*10/100),0))))</f>
        <v/>
      </c>
      <c r="K985" s="28">
        <f>IF($A985="","",IF('設定'!$B$10="四捨五入",ROUND(IF('設定'!$B$9="税込",N($H985)*8/108,N($H985)*8/100),0),IF('設定'!$B$10="切り上げ",ROUNDUP(IF('設定'!$B$9="税込",N($H985)*8/108,N($H985)*8/100),0),ROUNDDOWN(IF('設定'!$B$9="税込",N($H985)*8/108,N($H985)*8/100),0))))</f>
        <v/>
      </c>
      <c r="L985" s="28">
        <f>IF($A985="","",N($G985)+N($H985)+N($I985)+IF('設定'!$B$9="税込",0,$J985+$K985))</f>
        <v/>
      </c>
      <c r="M985" s="29">
        <f>IF(OR($A985="",NOT(ISNUMBER($W985)),NOT(ISNUMBER($X985))),"",IF(OR(INDEX('得意先'!$D$5:$D$104,$W985)="",INDEX('得意先'!$E$5:$E$104,$W985)="",INDEX('得意先'!$F$5:$F$104,$W985)=""),"",IF(INDEX('得意先'!$F$5:$F$104,$W985)="末",DATE(YEAR($X985),(MONTH($X985)+IF(INDEX('得意先'!$D$5:$D$104,$W985)="末",0,IF(DAY($X985)&lt;=INDEX('得意先'!$D$5:$D$104,$W985),0,1))+N(INDEX('得意先'!$E$5:$E$104,$W985)))+1,0),DATE(YEAR($X985),(MONTH($X985)+IF(INDEX('得意先'!$D$5:$D$104,$W985)="末",0,IF(DAY($X985)&lt;=INDEX('得意先'!$D$5:$D$104,$W985),0,1))+N(INDEX('得意先'!$E$5:$E$104,$W985))),MIN(INDEX('得意先'!$F$5:$F$104,$W985),DAY(DATE(YEAR($X985),(MONTH($X985)+IF(INDEX('得意先'!$D$5:$D$104,$W985)="末",0,IF(DAY($X985)&lt;=INDEX('得意先'!$D$5:$D$104,$W985),0,1))+N(INDEX('得意先'!$E$5:$E$104,$W985)))+1,0)))))))</f>
        <v/>
      </c>
      <c r="N985" s="26" t="n"/>
      <c r="O985" s="29">
        <f>IF($A985="","",IF(ISNUMBER($N985),$N985,$M985))</f>
        <v/>
      </c>
      <c r="P985" s="28">
        <f>IF($A985="","",SUMIF('入金消込'!$F$5:$F$1004,$A985,'入金消込'!$G$5:$G$1004))</f>
        <v/>
      </c>
      <c r="Q985" s="28">
        <f>IF($A985="","",SUMIF('入金消込'!$F$5:$F$1004,$A985,'入金消込'!$H$5:$H$1004)+SUMIF('入金消込'!$F$5:$F$1004,$A985,'入金消込'!$I$5:$I$1004))</f>
        <v/>
      </c>
      <c r="R985" s="28">
        <f>IF($A985="","",$L985-$P985-$Q985)</f>
        <v/>
      </c>
      <c r="S985" s="30">
        <f>IF($A985="","",IF($R985=0,IF($L985=0,"請求額0","回収済"),IF($L985&lt;0,IF($R985&lt;0,"差し引き待ち","差し引きすぎ"),IF($R985&lt;0,"入金が多い",IF($P985+$Q985=0,"未入金","一部入金")))))</f>
        <v/>
      </c>
      <c r="T985" s="31">
        <f>IF(OR($A985="",N($R985)&lt;=0,NOT(ISNUMBER($O985))),"",IF($O985&lt;'設定'!$B$7,'設定'!$B$7-$O985,""))</f>
        <v/>
      </c>
      <c r="U985" s="30">
        <f>IF(OR($A985="",N($R985)&lt;=0),"",IF(NOT(ISNUMBER($O985)),'設定'!$B$22,IF($O985&gt;='設定'!$B$7,'設定'!$B$17,IF('設定'!$B$7-$O985&lt;='設定'!$B$12,'設定'!$B$18,IF('設定'!$B$7-$O985&lt;='設定'!$B$13,'設定'!$B$19,IF('設定'!$B$7-$O985&lt;='設定'!$B$14,'設定'!$B$20,'設定'!$B$21))))))</f>
        <v/>
      </c>
      <c r="V985" s="56" t="n"/>
      <c r="W985" s="32">
        <f>IF($C985="","",IFERROR(MATCH($C985,'得意先'!$B$5:$B$104,0),"なし"))</f>
        <v/>
      </c>
      <c r="X985" s="33">
        <f>IF($A985="","",IF(ISNUMBER($E985),$E985,IF(ISNUMBER($B985),$B985,"")))</f>
        <v/>
      </c>
      <c r="Y985" s="34">
        <f>IF($T985="","",$O985+ROW()/1000000)</f>
        <v/>
      </c>
      <c r="Z985" s="35">
        <f>IF(OR($A985="",$C985="",$C985&lt;&gt;'売掛帳'!$B$3,NOT(ISNUMBER($X985))),"",IF(AND($X985&gt;='売掛帳'!$Q$3,$X985&lt;='売掛帳'!$Q$4),$X985+ROW()/10000000,""))</f>
        <v/>
      </c>
    </row>
    <row r="986" ht="18" customHeight="1">
      <c r="A986" s="18" t="n"/>
      <c r="B986" s="26" t="n"/>
      <c r="C986" s="18" t="n"/>
      <c r="D986" s="20">
        <f>IF($W986="","",IF($W986="なし","※得意先にないコード",INDEX('得意先'!$C$5:$C$104,$W986)&amp;""))</f>
        <v/>
      </c>
      <c r="E986" s="26" t="n"/>
      <c r="F986" s="19" t="n"/>
      <c r="G986" s="27" t="n"/>
      <c r="H986" s="27" t="n"/>
      <c r="I986" s="27" t="n"/>
      <c r="J986" s="28">
        <f>IF($A986="","",IF('設定'!$B$10="四捨五入",ROUND(IF('設定'!$B$9="税込",N($G986)*10/110,N($G986)*10/100),0),IF('設定'!$B$10="切り上げ",ROUNDUP(IF('設定'!$B$9="税込",N($G986)*10/110,N($G986)*10/100),0),ROUNDDOWN(IF('設定'!$B$9="税込",N($G986)*10/110,N($G986)*10/100),0))))</f>
        <v/>
      </c>
      <c r="K986" s="28">
        <f>IF($A986="","",IF('設定'!$B$10="四捨五入",ROUND(IF('設定'!$B$9="税込",N($H986)*8/108,N($H986)*8/100),0),IF('設定'!$B$10="切り上げ",ROUNDUP(IF('設定'!$B$9="税込",N($H986)*8/108,N($H986)*8/100),0),ROUNDDOWN(IF('設定'!$B$9="税込",N($H986)*8/108,N($H986)*8/100),0))))</f>
        <v/>
      </c>
      <c r="L986" s="28">
        <f>IF($A986="","",N($G986)+N($H986)+N($I986)+IF('設定'!$B$9="税込",0,$J986+$K986))</f>
        <v/>
      </c>
      <c r="M986" s="29">
        <f>IF(OR($A986="",NOT(ISNUMBER($W986)),NOT(ISNUMBER($X986))),"",IF(OR(INDEX('得意先'!$D$5:$D$104,$W986)="",INDEX('得意先'!$E$5:$E$104,$W986)="",INDEX('得意先'!$F$5:$F$104,$W986)=""),"",IF(INDEX('得意先'!$F$5:$F$104,$W986)="末",DATE(YEAR($X986),(MONTH($X986)+IF(INDEX('得意先'!$D$5:$D$104,$W986)="末",0,IF(DAY($X986)&lt;=INDEX('得意先'!$D$5:$D$104,$W986),0,1))+N(INDEX('得意先'!$E$5:$E$104,$W986)))+1,0),DATE(YEAR($X986),(MONTH($X986)+IF(INDEX('得意先'!$D$5:$D$104,$W986)="末",0,IF(DAY($X986)&lt;=INDEX('得意先'!$D$5:$D$104,$W986),0,1))+N(INDEX('得意先'!$E$5:$E$104,$W986))),MIN(INDEX('得意先'!$F$5:$F$104,$W986),DAY(DATE(YEAR($X986),(MONTH($X986)+IF(INDEX('得意先'!$D$5:$D$104,$W986)="末",0,IF(DAY($X986)&lt;=INDEX('得意先'!$D$5:$D$104,$W986),0,1))+N(INDEX('得意先'!$E$5:$E$104,$W986)))+1,0)))))))</f>
        <v/>
      </c>
      <c r="N986" s="26" t="n"/>
      <c r="O986" s="29">
        <f>IF($A986="","",IF(ISNUMBER($N986),$N986,$M986))</f>
        <v/>
      </c>
      <c r="P986" s="28">
        <f>IF($A986="","",SUMIF('入金消込'!$F$5:$F$1004,$A986,'入金消込'!$G$5:$G$1004))</f>
        <v/>
      </c>
      <c r="Q986" s="28">
        <f>IF($A986="","",SUMIF('入金消込'!$F$5:$F$1004,$A986,'入金消込'!$H$5:$H$1004)+SUMIF('入金消込'!$F$5:$F$1004,$A986,'入金消込'!$I$5:$I$1004))</f>
        <v/>
      </c>
      <c r="R986" s="28">
        <f>IF($A986="","",$L986-$P986-$Q986)</f>
        <v/>
      </c>
      <c r="S986" s="30">
        <f>IF($A986="","",IF($R986=0,IF($L986=0,"請求額0","回収済"),IF($L986&lt;0,IF($R986&lt;0,"差し引き待ち","差し引きすぎ"),IF($R986&lt;0,"入金が多い",IF($P986+$Q986=0,"未入金","一部入金")))))</f>
        <v/>
      </c>
      <c r="T986" s="31">
        <f>IF(OR($A986="",N($R986)&lt;=0,NOT(ISNUMBER($O986))),"",IF($O986&lt;'設定'!$B$7,'設定'!$B$7-$O986,""))</f>
        <v/>
      </c>
      <c r="U986" s="30">
        <f>IF(OR($A986="",N($R986)&lt;=0),"",IF(NOT(ISNUMBER($O986)),'設定'!$B$22,IF($O986&gt;='設定'!$B$7,'設定'!$B$17,IF('設定'!$B$7-$O986&lt;='設定'!$B$12,'設定'!$B$18,IF('設定'!$B$7-$O986&lt;='設定'!$B$13,'設定'!$B$19,IF('設定'!$B$7-$O986&lt;='設定'!$B$14,'設定'!$B$20,'設定'!$B$21))))))</f>
        <v/>
      </c>
      <c r="V986" s="56" t="n"/>
      <c r="W986" s="32">
        <f>IF($C986="","",IFERROR(MATCH($C986,'得意先'!$B$5:$B$104,0),"なし"))</f>
        <v/>
      </c>
      <c r="X986" s="33">
        <f>IF($A986="","",IF(ISNUMBER($E986),$E986,IF(ISNUMBER($B986),$B986,"")))</f>
        <v/>
      </c>
      <c r="Y986" s="34">
        <f>IF($T986="","",$O986+ROW()/1000000)</f>
        <v/>
      </c>
      <c r="Z986" s="35">
        <f>IF(OR($A986="",$C986="",$C986&lt;&gt;'売掛帳'!$B$3,NOT(ISNUMBER($X986))),"",IF(AND($X986&gt;='売掛帳'!$Q$3,$X986&lt;='売掛帳'!$Q$4),$X986+ROW()/10000000,""))</f>
        <v/>
      </c>
    </row>
    <row r="987" ht="18" customHeight="1">
      <c r="A987" s="18" t="n"/>
      <c r="B987" s="26" t="n"/>
      <c r="C987" s="18" t="n"/>
      <c r="D987" s="20">
        <f>IF($W987="","",IF($W987="なし","※得意先にないコード",INDEX('得意先'!$C$5:$C$104,$W987)&amp;""))</f>
        <v/>
      </c>
      <c r="E987" s="26" t="n"/>
      <c r="F987" s="19" t="n"/>
      <c r="G987" s="27" t="n"/>
      <c r="H987" s="27" t="n"/>
      <c r="I987" s="27" t="n"/>
      <c r="J987" s="28">
        <f>IF($A987="","",IF('設定'!$B$10="四捨五入",ROUND(IF('設定'!$B$9="税込",N($G987)*10/110,N($G987)*10/100),0),IF('設定'!$B$10="切り上げ",ROUNDUP(IF('設定'!$B$9="税込",N($G987)*10/110,N($G987)*10/100),0),ROUNDDOWN(IF('設定'!$B$9="税込",N($G987)*10/110,N($G987)*10/100),0))))</f>
        <v/>
      </c>
      <c r="K987" s="28">
        <f>IF($A987="","",IF('設定'!$B$10="四捨五入",ROUND(IF('設定'!$B$9="税込",N($H987)*8/108,N($H987)*8/100),0),IF('設定'!$B$10="切り上げ",ROUNDUP(IF('設定'!$B$9="税込",N($H987)*8/108,N($H987)*8/100),0),ROUNDDOWN(IF('設定'!$B$9="税込",N($H987)*8/108,N($H987)*8/100),0))))</f>
        <v/>
      </c>
      <c r="L987" s="28">
        <f>IF($A987="","",N($G987)+N($H987)+N($I987)+IF('設定'!$B$9="税込",0,$J987+$K987))</f>
        <v/>
      </c>
      <c r="M987" s="29">
        <f>IF(OR($A987="",NOT(ISNUMBER($W987)),NOT(ISNUMBER($X987))),"",IF(OR(INDEX('得意先'!$D$5:$D$104,$W987)="",INDEX('得意先'!$E$5:$E$104,$W987)="",INDEX('得意先'!$F$5:$F$104,$W987)=""),"",IF(INDEX('得意先'!$F$5:$F$104,$W987)="末",DATE(YEAR($X987),(MONTH($X987)+IF(INDEX('得意先'!$D$5:$D$104,$W987)="末",0,IF(DAY($X987)&lt;=INDEX('得意先'!$D$5:$D$104,$W987),0,1))+N(INDEX('得意先'!$E$5:$E$104,$W987)))+1,0),DATE(YEAR($X987),(MONTH($X987)+IF(INDEX('得意先'!$D$5:$D$104,$W987)="末",0,IF(DAY($X987)&lt;=INDEX('得意先'!$D$5:$D$104,$W987),0,1))+N(INDEX('得意先'!$E$5:$E$104,$W987))),MIN(INDEX('得意先'!$F$5:$F$104,$W987),DAY(DATE(YEAR($X987),(MONTH($X987)+IF(INDEX('得意先'!$D$5:$D$104,$W987)="末",0,IF(DAY($X987)&lt;=INDEX('得意先'!$D$5:$D$104,$W987),0,1))+N(INDEX('得意先'!$E$5:$E$104,$W987)))+1,0)))))))</f>
        <v/>
      </c>
      <c r="N987" s="26" t="n"/>
      <c r="O987" s="29">
        <f>IF($A987="","",IF(ISNUMBER($N987),$N987,$M987))</f>
        <v/>
      </c>
      <c r="P987" s="28">
        <f>IF($A987="","",SUMIF('入金消込'!$F$5:$F$1004,$A987,'入金消込'!$G$5:$G$1004))</f>
        <v/>
      </c>
      <c r="Q987" s="28">
        <f>IF($A987="","",SUMIF('入金消込'!$F$5:$F$1004,$A987,'入金消込'!$H$5:$H$1004)+SUMIF('入金消込'!$F$5:$F$1004,$A987,'入金消込'!$I$5:$I$1004))</f>
        <v/>
      </c>
      <c r="R987" s="28">
        <f>IF($A987="","",$L987-$P987-$Q987)</f>
        <v/>
      </c>
      <c r="S987" s="30">
        <f>IF($A987="","",IF($R987=0,IF($L987=0,"請求額0","回収済"),IF($L987&lt;0,IF($R987&lt;0,"差し引き待ち","差し引きすぎ"),IF($R987&lt;0,"入金が多い",IF($P987+$Q987=0,"未入金","一部入金")))))</f>
        <v/>
      </c>
      <c r="T987" s="31">
        <f>IF(OR($A987="",N($R987)&lt;=0,NOT(ISNUMBER($O987))),"",IF($O987&lt;'設定'!$B$7,'設定'!$B$7-$O987,""))</f>
        <v/>
      </c>
      <c r="U987" s="30">
        <f>IF(OR($A987="",N($R987)&lt;=0),"",IF(NOT(ISNUMBER($O987)),'設定'!$B$22,IF($O987&gt;='設定'!$B$7,'設定'!$B$17,IF('設定'!$B$7-$O987&lt;='設定'!$B$12,'設定'!$B$18,IF('設定'!$B$7-$O987&lt;='設定'!$B$13,'設定'!$B$19,IF('設定'!$B$7-$O987&lt;='設定'!$B$14,'設定'!$B$20,'設定'!$B$21))))))</f>
        <v/>
      </c>
      <c r="V987" s="56" t="n"/>
      <c r="W987" s="32">
        <f>IF($C987="","",IFERROR(MATCH($C987,'得意先'!$B$5:$B$104,0),"なし"))</f>
        <v/>
      </c>
      <c r="X987" s="33">
        <f>IF($A987="","",IF(ISNUMBER($E987),$E987,IF(ISNUMBER($B987),$B987,"")))</f>
        <v/>
      </c>
      <c r="Y987" s="34">
        <f>IF($T987="","",$O987+ROW()/1000000)</f>
        <v/>
      </c>
      <c r="Z987" s="35">
        <f>IF(OR($A987="",$C987="",$C987&lt;&gt;'売掛帳'!$B$3,NOT(ISNUMBER($X987))),"",IF(AND($X987&gt;='売掛帳'!$Q$3,$X987&lt;='売掛帳'!$Q$4),$X987+ROW()/10000000,""))</f>
        <v/>
      </c>
    </row>
    <row r="988" ht="18" customHeight="1">
      <c r="A988" s="18" t="n"/>
      <c r="B988" s="26" t="n"/>
      <c r="C988" s="18" t="n"/>
      <c r="D988" s="20">
        <f>IF($W988="","",IF($W988="なし","※得意先にないコード",INDEX('得意先'!$C$5:$C$104,$W988)&amp;""))</f>
        <v/>
      </c>
      <c r="E988" s="26" t="n"/>
      <c r="F988" s="19" t="n"/>
      <c r="G988" s="27" t="n"/>
      <c r="H988" s="27" t="n"/>
      <c r="I988" s="27" t="n"/>
      <c r="J988" s="28">
        <f>IF($A988="","",IF('設定'!$B$10="四捨五入",ROUND(IF('設定'!$B$9="税込",N($G988)*10/110,N($G988)*10/100),0),IF('設定'!$B$10="切り上げ",ROUNDUP(IF('設定'!$B$9="税込",N($G988)*10/110,N($G988)*10/100),0),ROUNDDOWN(IF('設定'!$B$9="税込",N($G988)*10/110,N($G988)*10/100),0))))</f>
        <v/>
      </c>
      <c r="K988" s="28">
        <f>IF($A988="","",IF('設定'!$B$10="四捨五入",ROUND(IF('設定'!$B$9="税込",N($H988)*8/108,N($H988)*8/100),0),IF('設定'!$B$10="切り上げ",ROUNDUP(IF('設定'!$B$9="税込",N($H988)*8/108,N($H988)*8/100),0),ROUNDDOWN(IF('設定'!$B$9="税込",N($H988)*8/108,N($H988)*8/100),0))))</f>
        <v/>
      </c>
      <c r="L988" s="28">
        <f>IF($A988="","",N($G988)+N($H988)+N($I988)+IF('設定'!$B$9="税込",0,$J988+$K988))</f>
        <v/>
      </c>
      <c r="M988" s="29">
        <f>IF(OR($A988="",NOT(ISNUMBER($W988)),NOT(ISNUMBER($X988))),"",IF(OR(INDEX('得意先'!$D$5:$D$104,$W988)="",INDEX('得意先'!$E$5:$E$104,$W988)="",INDEX('得意先'!$F$5:$F$104,$W988)=""),"",IF(INDEX('得意先'!$F$5:$F$104,$W988)="末",DATE(YEAR($X988),(MONTH($X988)+IF(INDEX('得意先'!$D$5:$D$104,$W988)="末",0,IF(DAY($X988)&lt;=INDEX('得意先'!$D$5:$D$104,$W988),0,1))+N(INDEX('得意先'!$E$5:$E$104,$W988)))+1,0),DATE(YEAR($X988),(MONTH($X988)+IF(INDEX('得意先'!$D$5:$D$104,$W988)="末",0,IF(DAY($X988)&lt;=INDEX('得意先'!$D$5:$D$104,$W988),0,1))+N(INDEX('得意先'!$E$5:$E$104,$W988))),MIN(INDEX('得意先'!$F$5:$F$104,$W988),DAY(DATE(YEAR($X988),(MONTH($X988)+IF(INDEX('得意先'!$D$5:$D$104,$W988)="末",0,IF(DAY($X988)&lt;=INDEX('得意先'!$D$5:$D$104,$W988),0,1))+N(INDEX('得意先'!$E$5:$E$104,$W988)))+1,0)))))))</f>
        <v/>
      </c>
      <c r="N988" s="26" t="n"/>
      <c r="O988" s="29">
        <f>IF($A988="","",IF(ISNUMBER($N988),$N988,$M988))</f>
        <v/>
      </c>
      <c r="P988" s="28">
        <f>IF($A988="","",SUMIF('入金消込'!$F$5:$F$1004,$A988,'入金消込'!$G$5:$G$1004))</f>
        <v/>
      </c>
      <c r="Q988" s="28">
        <f>IF($A988="","",SUMIF('入金消込'!$F$5:$F$1004,$A988,'入金消込'!$H$5:$H$1004)+SUMIF('入金消込'!$F$5:$F$1004,$A988,'入金消込'!$I$5:$I$1004))</f>
        <v/>
      </c>
      <c r="R988" s="28">
        <f>IF($A988="","",$L988-$P988-$Q988)</f>
        <v/>
      </c>
      <c r="S988" s="30">
        <f>IF($A988="","",IF($R988=0,IF($L988=0,"請求額0","回収済"),IF($L988&lt;0,IF($R988&lt;0,"差し引き待ち","差し引きすぎ"),IF($R988&lt;0,"入金が多い",IF($P988+$Q988=0,"未入金","一部入金")))))</f>
        <v/>
      </c>
      <c r="T988" s="31">
        <f>IF(OR($A988="",N($R988)&lt;=0,NOT(ISNUMBER($O988))),"",IF($O988&lt;'設定'!$B$7,'設定'!$B$7-$O988,""))</f>
        <v/>
      </c>
      <c r="U988" s="30">
        <f>IF(OR($A988="",N($R988)&lt;=0),"",IF(NOT(ISNUMBER($O988)),'設定'!$B$22,IF($O988&gt;='設定'!$B$7,'設定'!$B$17,IF('設定'!$B$7-$O988&lt;='設定'!$B$12,'設定'!$B$18,IF('設定'!$B$7-$O988&lt;='設定'!$B$13,'設定'!$B$19,IF('設定'!$B$7-$O988&lt;='設定'!$B$14,'設定'!$B$20,'設定'!$B$21))))))</f>
        <v/>
      </c>
      <c r="V988" s="56" t="n"/>
      <c r="W988" s="32">
        <f>IF($C988="","",IFERROR(MATCH($C988,'得意先'!$B$5:$B$104,0),"なし"))</f>
        <v/>
      </c>
      <c r="X988" s="33">
        <f>IF($A988="","",IF(ISNUMBER($E988),$E988,IF(ISNUMBER($B988),$B988,"")))</f>
        <v/>
      </c>
      <c r="Y988" s="34">
        <f>IF($T988="","",$O988+ROW()/1000000)</f>
        <v/>
      </c>
      <c r="Z988" s="35">
        <f>IF(OR($A988="",$C988="",$C988&lt;&gt;'売掛帳'!$B$3,NOT(ISNUMBER($X988))),"",IF(AND($X988&gt;='売掛帳'!$Q$3,$X988&lt;='売掛帳'!$Q$4),$X988+ROW()/10000000,""))</f>
        <v/>
      </c>
    </row>
    <row r="989" ht="18" customHeight="1">
      <c r="A989" s="18" t="n"/>
      <c r="B989" s="26" t="n"/>
      <c r="C989" s="18" t="n"/>
      <c r="D989" s="20">
        <f>IF($W989="","",IF($W989="なし","※得意先にないコード",INDEX('得意先'!$C$5:$C$104,$W989)&amp;""))</f>
        <v/>
      </c>
      <c r="E989" s="26" t="n"/>
      <c r="F989" s="19" t="n"/>
      <c r="G989" s="27" t="n"/>
      <c r="H989" s="27" t="n"/>
      <c r="I989" s="27" t="n"/>
      <c r="J989" s="28">
        <f>IF($A989="","",IF('設定'!$B$10="四捨五入",ROUND(IF('設定'!$B$9="税込",N($G989)*10/110,N($G989)*10/100),0),IF('設定'!$B$10="切り上げ",ROUNDUP(IF('設定'!$B$9="税込",N($G989)*10/110,N($G989)*10/100),0),ROUNDDOWN(IF('設定'!$B$9="税込",N($G989)*10/110,N($G989)*10/100),0))))</f>
        <v/>
      </c>
      <c r="K989" s="28">
        <f>IF($A989="","",IF('設定'!$B$10="四捨五入",ROUND(IF('設定'!$B$9="税込",N($H989)*8/108,N($H989)*8/100),0),IF('設定'!$B$10="切り上げ",ROUNDUP(IF('設定'!$B$9="税込",N($H989)*8/108,N($H989)*8/100),0),ROUNDDOWN(IF('設定'!$B$9="税込",N($H989)*8/108,N($H989)*8/100),0))))</f>
        <v/>
      </c>
      <c r="L989" s="28">
        <f>IF($A989="","",N($G989)+N($H989)+N($I989)+IF('設定'!$B$9="税込",0,$J989+$K989))</f>
        <v/>
      </c>
      <c r="M989" s="29">
        <f>IF(OR($A989="",NOT(ISNUMBER($W989)),NOT(ISNUMBER($X989))),"",IF(OR(INDEX('得意先'!$D$5:$D$104,$W989)="",INDEX('得意先'!$E$5:$E$104,$W989)="",INDEX('得意先'!$F$5:$F$104,$W989)=""),"",IF(INDEX('得意先'!$F$5:$F$104,$W989)="末",DATE(YEAR($X989),(MONTH($X989)+IF(INDEX('得意先'!$D$5:$D$104,$W989)="末",0,IF(DAY($X989)&lt;=INDEX('得意先'!$D$5:$D$104,$W989),0,1))+N(INDEX('得意先'!$E$5:$E$104,$W989)))+1,0),DATE(YEAR($X989),(MONTH($X989)+IF(INDEX('得意先'!$D$5:$D$104,$W989)="末",0,IF(DAY($X989)&lt;=INDEX('得意先'!$D$5:$D$104,$W989),0,1))+N(INDEX('得意先'!$E$5:$E$104,$W989))),MIN(INDEX('得意先'!$F$5:$F$104,$W989),DAY(DATE(YEAR($X989),(MONTH($X989)+IF(INDEX('得意先'!$D$5:$D$104,$W989)="末",0,IF(DAY($X989)&lt;=INDEX('得意先'!$D$5:$D$104,$W989),0,1))+N(INDEX('得意先'!$E$5:$E$104,$W989)))+1,0)))))))</f>
        <v/>
      </c>
      <c r="N989" s="26" t="n"/>
      <c r="O989" s="29">
        <f>IF($A989="","",IF(ISNUMBER($N989),$N989,$M989))</f>
        <v/>
      </c>
      <c r="P989" s="28">
        <f>IF($A989="","",SUMIF('入金消込'!$F$5:$F$1004,$A989,'入金消込'!$G$5:$G$1004))</f>
        <v/>
      </c>
      <c r="Q989" s="28">
        <f>IF($A989="","",SUMIF('入金消込'!$F$5:$F$1004,$A989,'入金消込'!$H$5:$H$1004)+SUMIF('入金消込'!$F$5:$F$1004,$A989,'入金消込'!$I$5:$I$1004))</f>
        <v/>
      </c>
      <c r="R989" s="28">
        <f>IF($A989="","",$L989-$P989-$Q989)</f>
        <v/>
      </c>
      <c r="S989" s="30">
        <f>IF($A989="","",IF($R989=0,IF($L989=0,"請求額0","回収済"),IF($L989&lt;0,IF($R989&lt;0,"差し引き待ち","差し引きすぎ"),IF($R989&lt;0,"入金が多い",IF($P989+$Q989=0,"未入金","一部入金")))))</f>
        <v/>
      </c>
      <c r="T989" s="31">
        <f>IF(OR($A989="",N($R989)&lt;=0,NOT(ISNUMBER($O989))),"",IF($O989&lt;'設定'!$B$7,'設定'!$B$7-$O989,""))</f>
        <v/>
      </c>
      <c r="U989" s="30">
        <f>IF(OR($A989="",N($R989)&lt;=0),"",IF(NOT(ISNUMBER($O989)),'設定'!$B$22,IF($O989&gt;='設定'!$B$7,'設定'!$B$17,IF('設定'!$B$7-$O989&lt;='設定'!$B$12,'設定'!$B$18,IF('設定'!$B$7-$O989&lt;='設定'!$B$13,'設定'!$B$19,IF('設定'!$B$7-$O989&lt;='設定'!$B$14,'設定'!$B$20,'設定'!$B$21))))))</f>
        <v/>
      </c>
      <c r="V989" s="56" t="n"/>
      <c r="W989" s="32">
        <f>IF($C989="","",IFERROR(MATCH($C989,'得意先'!$B$5:$B$104,0),"なし"))</f>
        <v/>
      </c>
      <c r="X989" s="33">
        <f>IF($A989="","",IF(ISNUMBER($E989),$E989,IF(ISNUMBER($B989),$B989,"")))</f>
        <v/>
      </c>
      <c r="Y989" s="34">
        <f>IF($T989="","",$O989+ROW()/1000000)</f>
        <v/>
      </c>
      <c r="Z989" s="35">
        <f>IF(OR($A989="",$C989="",$C989&lt;&gt;'売掛帳'!$B$3,NOT(ISNUMBER($X989))),"",IF(AND($X989&gt;='売掛帳'!$Q$3,$X989&lt;='売掛帳'!$Q$4),$X989+ROW()/10000000,""))</f>
        <v/>
      </c>
    </row>
    <row r="990" ht="18" customHeight="1">
      <c r="A990" s="18" t="n"/>
      <c r="B990" s="26" t="n"/>
      <c r="C990" s="18" t="n"/>
      <c r="D990" s="20">
        <f>IF($W990="","",IF($W990="なし","※得意先にないコード",INDEX('得意先'!$C$5:$C$104,$W990)&amp;""))</f>
        <v/>
      </c>
      <c r="E990" s="26" t="n"/>
      <c r="F990" s="19" t="n"/>
      <c r="G990" s="27" t="n"/>
      <c r="H990" s="27" t="n"/>
      <c r="I990" s="27" t="n"/>
      <c r="J990" s="28">
        <f>IF($A990="","",IF('設定'!$B$10="四捨五入",ROUND(IF('設定'!$B$9="税込",N($G990)*10/110,N($G990)*10/100),0),IF('設定'!$B$10="切り上げ",ROUNDUP(IF('設定'!$B$9="税込",N($G990)*10/110,N($G990)*10/100),0),ROUNDDOWN(IF('設定'!$B$9="税込",N($G990)*10/110,N($G990)*10/100),0))))</f>
        <v/>
      </c>
      <c r="K990" s="28">
        <f>IF($A990="","",IF('設定'!$B$10="四捨五入",ROUND(IF('設定'!$B$9="税込",N($H990)*8/108,N($H990)*8/100),0),IF('設定'!$B$10="切り上げ",ROUNDUP(IF('設定'!$B$9="税込",N($H990)*8/108,N($H990)*8/100),0),ROUNDDOWN(IF('設定'!$B$9="税込",N($H990)*8/108,N($H990)*8/100),0))))</f>
        <v/>
      </c>
      <c r="L990" s="28">
        <f>IF($A990="","",N($G990)+N($H990)+N($I990)+IF('設定'!$B$9="税込",0,$J990+$K990))</f>
        <v/>
      </c>
      <c r="M990" s="29">
        <f>IF(OR($A990="",NOT(ISNUMBER($W990)),NOT(ISNUMBER($X990))),"",IF(OR(INDEX('得意先'!$D$5:$D$104,$W990)="",INDEX('得意先'!$E$5:$E$104,$W990)="",INDEX('得意先'!$F$5:$F$104,$W990)=""),"",IF(INDEX('得意先'!$F$5:$F$104,$W990)="末",DATE(YEAR($X990),(MONTH($X990)+IF(INDEX('得意先'!$D$5:$D$104,$W990)="末",0,IF(DAY($X990)&lt;=INDEX('得意先'!$D$5:$D$104,$W990),0,1))+N(INDEX('得意先'!$E$5:$E$104,$W990)))+1,0),DATE(YEAR($X990),(MONTH($X990)+IF(INDEX('得意先'!$D$5:$D$104,$W990)="末",0,IF(DAY($X990)&lt;=INDEX('得意先'!$D$5:$D$104,$W990),0,1))+N(INDEX('得意先'!$E$5:$E$104,$W990))),MIN(INDEX('得意先'!$F$5:$F$104,$W990),DAY(DATE(YEAR($X990),(MONTH($X990)+IF(INDEX('得意先'!$D$5:$D$104,$W990)="末",0,IF(DAY($X990)&lt;=INDEX('得意先'!$D$5:$D$104,$W990),0,1))+N(INDEX('得意先'!$E$5:$E$104,$W990)))+1,0)))))))</f>
        <v/>
      </c>
      <c r="N990" s="26" t="n"/>
      <c r="O990" s="29">
        <f>IF($A990="","",IF(ISNUMBER($N990),$N990,$M990))</f>
        <v/>
      </c>
      <c r="P990" s="28">
        <f>IF($A990="","",SUMIF('入金消込'!$F$5:$F$1004,$A990,'入金消込'!$G$5:$G$1004))</f>
        <v/>
      </c>
      <c r="Q990" s="28">
        <f>IF($A990="","",SUMIF('入金消込'!$F$5:$F$1004,$A990,'入金消込'!$H$5:$H$1004)+SUMIF('入金消込'!$F$5:$F$1004,$A990,'入金消込'!$I$5:$I$1004))</f>
        <v/>
      </c>
      <c r="R990" s="28">
        <f>IF($A990="","",$L990-$P990-$Q990)</f>
        <v/>
      </c>
      <c r="S990" s="30">
        <f>IF($A990="","",IF($R990=0,IF($L990=0,"請求額0","回収済"),IF($L990&lt;0,IF($R990&lt;0,"差し引き待ち","差し引きすぎ"),IF($R990&lt;0,"入金が多い",IF($P990+$Q990=0,"未入金","一部入金")))))</f>
        <v/>
      </c>
      <c r="T990" s="31">
        <f>IF(OR($A990="",N($R990)&lt;=0,NOT(ISNUMBER($O990))),"",IF($O990&lt;'設定'!$B$7,'設定'!$B$7-$O990,""))</f>
        <v/>
      </c>
      <c r="U990" s="30">
        <f>IF(OR($A990="",N($R990)&lt;=0),"",IF(NOT(ISNUMBER($O990)),'設定'!$B$22,IF($O990&gt;='設定'!$B$7,'設定'!$B$17,IF('設定'!$B$7-$O990&lt;='設定'!$B$12,'設定'!$B$18,IF('設定'!$B$7-$O990&lt;='設定'!$B$13,'設定'!$B$19,IF('設定'!$B$7-$O990&lt;='設定'!$B$14,'設定'!$B$20,'設定'!$B$21))))))</f>
        <v/>
      </c>
      <c r="V990" s="56" t="n"/>
      <c r="W990" s="32">
        <f>IF($C990="","",IFERROR(MATCH($C990,'得意先'!$B$5:$B$104,0),"なし"))</f>
        <v/>
      </c>
      <c r="X990" s="33">
        <f>IF($A990="","",IF(ISNUMBER($E990),$E990,IF(ISNUMBER($B990),$B990,"")))</f>
        <v/>
      </c>
      <c r="Y990" s="34">
        <f>IF($T990="","",$O990+ROW()/1000000)</f>
        <v/>
      </c>
      <c r="Z990" s="35">
        <f>IF(OR($A990="",$C990="",$C990&lt;&gt;'売掛帳'!$B$3,NOT(ISNUMBER($X990))),"",IF(AND($X990&gt;='売掛帳'!$Q$3,$X990&lt;='売掛帳'!$Q$4),$X990+ROW()/10000000,""))</f>
        <v/>
      </c>
    </row>
    <row r="991" ht="18" customHeight="1">
      <c r="A991" s="18" t="n"/>
      <c r="B991" s="26" t="n"/>
      <c r="C991" s="18" t="n"/>
      <c r="D991" s="20">
        <f>IF($W991="","",IF($W991="なし","※得意先にないコード",INDEX('得意先'!$C$5:$C$104,$W991)&amp;""))</f>
        <v/>
      </c>
      <c r="E991" s="26" t="n"/>
      <c r="F991" s="19" t="n"/>
      <c r="G991" s="27" t="n"/>
      <c r="H991" s="27" t="n"/>
      <c r="I991" s="27" t="n"/>
      <c r="J991" s="28">
        <f>IF($A991="","",IF('設定'!$B$10="四捨五入",ROUND(IF('設定'!$B$9="税込",N($G991)*10/110,N($G991)*10/100),0),IF('設定'!$B$10="切り上げ",ROUNDUP(IF('設定'!$B$9="税込",N($G991)*10/110,N($G991)*10/100),0),ROUNDDOWN(IF('設定'!$B$9="税込",N($G991)*10/110,N($G991)*10/100),0))))</f>
        <v/>
      </c>
      <c r="K991" s="28">
        <f>IF($A991="","",IF('設定'!$B$10="四捨五入",ROUND(IF('設定'!$B$9="税込",N($H991)*8/108,N($H991)*8/100),0),IF('設定'!$B$10="切り上げ",ROUNDUP(IF('設定'!$B$9="税込",N($H991)*8/108,N($H991)*8/100),0),ROUNDDOWN(IF('設定'!$B$9="税込",N($H991)*8/108,N($H991)*8/100),0))))</f>
        <v/>
      </c>
      <c r="L991" s="28">
        <f>IF($A991="","",N($G991)+N($H991)+N($I991)+IF('設定'!$B$9="税込",0,$J991+$K991))</f>
        <v/>
      </c>
      <c r="M991" s="29">
        <f>IF(OR($A991="",NOT(ISNUMBER($W991)),NOT(ISNUMBER($X991))),"",IF(OR(INDEX('得意先'!$D$5:$D$104,$W991)="",INDEX('得意先'!$E$5:$E$104,$W991)="",INDEX('得意先'!$F$5:$F$104,$W991)=""),"",IF(INDEX('得意先'!$F$5:$F$104,$W991)="末",DATE(YEAR($X991),(MONTH($X991)+IF(INDEX('得意先'!$D$5:$D$104,$W991)="末",0,IF(DAY($X991)&lt;=INDEX('得意先'!$D$5:$D$104,$W991),0,1))+N(INDEX('得意先'!$E$5:$E$104,$W991)))+1,0),DATE(YEAR($X991),(MONTH($X991)+IF(INDEX('得意先'!$D$5:$D$104,$W991)="末",0,IF(DAY($X991)&lt;=INDEX('得意先'!$D$5:$D$104,$W991),0,1))+N(INDEX('得意先'!$E$5:$E$104,$W991))),MIN(INDEX('得意先'!$F$5:$F$104,$W991),DAY(DATE(YEAR($X991),(MONTH($X991)+IF(INDEX('得意先'!$D$5:$D$104,$W991)="末",0,IF(DAY($X991)&lt;=INDEX('得意先'!$D$5:$D$104,$W991),0,1))+N(INDEX('得意先'!$E$5:$E$104,$W991)))+1,0)))))))</f>
        <v/>
      </c>
      <c r="N991" s="26" t="n"/>
      <c r="O991" s="29">
        <f>IF($A991="","",IF(ISNUMBER($N991),$N991,$M991))</f>
        <v/>
      </c>
      <c r="P991" s="28">
        <f>IF($A991="","",SUMIF('入金消込'!$F$5:$F$1004,$A991,'入金消込'!$G$5:$G$1004))</f>
        <v/>
      </c>
      <c r="Q991" s="28">
        <f>IF($A991="","",SUMIF('入金消込'!$F$5:$F$1004,$A991,'入金消込'!$H$5:$H$1004)+SUMIF('入金消込'!$F$5:$F$1004,$A991,'入金消込'!$I$5:$I$1004))</f>
        <v/>
      </c>
      <c r="R991" s="28">
        <f>IF($A991="","",$L991-$P991-$Q991)</f>
        <v/>
      </c>
      <c r="S991" s="30">
        <f>IF($A991="","",IF($R991=0,IF($L991=0,"請求額0","回収済"),IF($L991&lt;0,IF($R991&lt;0,"差し引き待ち","差し引きすぎ"),IF($R991&lt;0,"入金が多い",IF($P991+$Q991=0,"未入金","一部入金")))))</f>
        <v/>
      </c>
      <c r="T991" s="31">
        <f>IF(OR($A991="",N($R991)&lt;=0,NOT(ISNUMBER($O991))),"",IF($O991&lt;'設定'!$B$7,'設定'!$B$7-$O991,""))</f>
        <v/>
      </c>
      <c r="U991" s="30">
        <f>IF(OR($A991="",N($R991)&lt;=0),"",IF(NOT(ISNUMBER($O991)),'設定'!$B$22,IF($O991&gt;='設定'!$B$7,'設定'!$B$17,IF('設定'!$B$7-$O991&lt;='設定'!$B$12,'設定'!$B$18,IF('設定'!$B$7-$O991&lt;='設定'!$B$13,'設定'!$B$19,IF('設定'!$B$7-$O991&lt;='設定'!$B$14,'設定'!$B$20,'設定'!$B$21))))))</f>
        <v/>
      </c>
      <c r="V991" s="56" t="n"/>
      <c r="W991" s="32">
        <f>IF($C991="","",IFERROR(MATCH($C991,'得意先'!$B$5:$B$104,0),"なし"))</f>
        <v/>
      </c>
      <c r="X991" s="33">
        <f>IF($A991="","",IF(ISNUMBER($E991),$E991,IF(ISNUMBER($B991),$B991,"")))</f>
        <v/>
      </c>
      <c r="Y991" s="34">
        <f>IF($T991="","",$O991+ROW()/1000000)</f>
        <v/>
      </c>
      <c r="Z991" s="35">
        <f>IF(OR($A991="",$C991="",$C991&lt;&gt;'売掛帳'!$B$3,NOT(ISNUMBER($X991))),"",IF(AND($X991&gt;='売掛帳'!$Q$3,$X991&lt;='売掛帳'!$Q$4),$X991+ROW()/10000000,""))</f>
        <v/>
      </c>
    </row>
    <row r="992" ht="18" customHeight="1">
      <c r="A992" s="18" t="n"/>
      <c r="B992" s="26" t="n"/>
      <c r="C992" s="18" t="n"/>
      <c r="D992" s="20">
        <f>IF($W992="","",IF($W992="なし","※得意先にないコード",INDEX('得意先'!$C$5:$C$104,$W992)&amp;""))</f>
        <v/>
      </c>
      <c r="E992" s="26" t="n"/>
      <c r="F992" s="19" t="n"/>
      <c r="G992" s="27" t="n"/>
      <c r="H992" s="27" t="n"/>
      <c r="I992" s="27" t="n"/>
      <c r="J992" s="28">
        <f>IF($A992="","",IF('設定'!$B$10="四捨五入",ROUND(IF('設定'!$B$9="税込",N($G992)*10/110,N($G992)*10/100),0),IF('設定'!$B$10="切り上げ",ROUNDUP(IF('設定'!$B$9="税込",N($G992)*10/110,N($G992)*10/100),0),ROUNDDOWN(IF('設定'!$B$9="税込",N($G992)*10/110,N($G992)*10/100),0))))</f>
        <v/>
      </c>
      <c r="K992" s="28">
        <f>IF($A992="","",IF('設定'!$B$10="四捨五入",ROUND(IF('設定'!$B$9="税込",N($H992)*8/108,N($H992)*8/100),0),IF('設定'!$B$10="切り上げ",ROUNDUP(IF('設定'!$B$9="税込",N($H992)*8/108,N($H992)*8/100),0),ROUNDDOWN(IF('設定'!$B$9="税込",N($H992)*8/108,N($H992)*8/100),0))))</f>
        <v/>
      </c>
      <c r="L992" s="28">
        <f>IF($A992="","",N($G992)+N($H992)+N($I992)+IF('設定'!$B$9="税込",0,$J992+$K992))</f>
        <v/>
      </c>
      <c r="M992" s="29">
        <f>IF(OR($A992="",NOT(ISNUMBER($W992)),NOT(ISNUMBER($X992))),"",IF(OR(INDEX('得意先'!$D$5:$D$104,$W992)="",INDEX('得意先'!$E$5:$E$104,$W992)="",INDEX('得意先'!$F$5:$F$104,$W992)=""),"",IF(INDEX('得意先'!$F$5:$F$104,$W992)="末",DATE(YEAR($X992),(MONTH($X992)+IF(INDEX('得意先'!$D$5:$D$104,$W992)="末",0,IF(DAY($X992)&lt;=INDEX('得意先'!$D$5:$D$104,$W992),0,1))+N(INDEX('得意先'!$E$5:$E$104,$W992)))+1,0),DATE(YEAR($X992),(MONTH($X992)+IF(INDEX('得意先'!$D$5:$D$104,$W992)="末",0,IF(DAY($X992)&lt;=INDEX('得意先'!$D$5:$D$104,$W992),0,1))+N(INDEX('得意先'!$E$5:$E$104,$W992))),MIN(INDEX('得意先'!$F$5:$F$104,$W992),DAY(DATE(YEAR($X992),(MONTH($X992)+IF(INDEX('得意先'!$D$5:$D$104,$W992)="末",0,IF(DAY($X992)&lt;=INDEX('得意先'!$D$5:$D$104,$W992),0,1))+N(INDEX('得意先'!$E$5:$E$104,$W992)))+1,0)))))))</f>
        <v/>
      </c>
      <c r="N992" s="26" t="n"/>
      <c r="O992" s="29">
        <f>IF($A992="","",IF(ISNUMBER($N992),$N992,$M992))</f>
        <v/>
      </c>
      <c r="P992" s="28">
        <f>IF($A992="","",SUMIF('入金消込'!$F$5:$F$1004,$A992,'入金消込'!$G$5:$G$1004))</f>
        <v/>
      </c>
      <c r="Q992" s="28">
        <f>IF($A992="","",SUMIF('入金消込'!$F$5:$F$1004,$A992,'入金消込'!$H$5:$H$1004)+SUMIF('入金消込'!$F$5:$F$1004,$A992,'入金消込'!$I$5:$I$1004))</f>
        <v/>
      </c>
      <c r="R992" s="28">
        <f>IF($A992="","",$L992-$P992-$Q992)</f>
        <v/>
      </c>
      <c r="S992" s="30">
        <f>IF($A992="","",IF($R992=0,IF($L992=0,"請求額0","回収済"),IF($L992&lt;0,IF($R992&lt;0,"差し引き待ち","差し引きすぎ"),IF($R992&lt;0,"入金が多い",IF($P992+$Q992=0,"未入金","一部入金")))))</f>
        <v/>
      </c>
      <c r="T992" s="31">
        <f>IF(OR($A992="",N($R992)&lt;=0,NOT(ISNUMBER($O992))),"",IF($O992&lt;'設定'!$B$7,'設定'!$B$7-$O992,""))</f>
        <v/>
      </c>
      <c r="U992" s="30">
        <f>IF(OR($A992="",N($R992)&lt;=0),"",IF(NOT(ISNUMBER($O992)),'設定'!$B$22,IF($O992&gt;='設定'!$B$7,'設定'!$B$17,IF('設定'!$B$7-$O992&lt;='設定'!$B$12,'設定'!$B$18,IF('設定'!$B$7-$O992&lt;='設定'!$B$13,'設定'!$B$19,IF('設定'!$B$7-$O992&lt;='設定'!$B$14,'設定'!$B$20,'設定'!$B$21))))))</f>
        <v/>
      </c>
      <c r="V992" s="56" t="n"/>
      <c r="W992" s="32">
        <f>IF($C992="","",IFERROR(MATCH($C992,'得意先'!$B$5:$B$104,0),"なし"))</f>
        <v/>
      </c>
      <c r="X992" s="33">
        <f>IF($A992="","",IF(ISNUMBER($E992),$E992,IF(ISNUMBER($B992),$B992,"")))</f>
        <v/>
      </c>
      <c r="Y992" s="34">
        <f>IF($T992="","",$O992+ROW()/1000000)</f>
        <v/>
      </c>
      <c r="Z992" s="35">
        <f>IF(OR($A992="",$C992="",$C992&lt;&gt;'売掛帳'!$B$3,NOT(ISNUMBER($X992))),"",IF(AND($X992&gt;='売掛帳'!$Q$3,$X992&lt;='売掛帳'!$Q$4),$X992+ROW()/10000000,""))</f>
        <v/>
      </c>
    </row>
    <row r="993" ht="18" customHeight="1">
      <c r="A993" s="18" t="n"/>
      <c r="B993" s="26" t="n"/>
      <c r="C993" s="18" t="n"/>
      <c r="D993" s="20">
        <f>IF($W993="","",IF($W993="なし","※得意先にないコード",INDEX('得意先'!$C$5:$C$104,$W993)&amp;""))</f>
        <v/>
      </c>
      <c r="E993" s="26" t="n"/>
      <c r="F993" s="19" t="n"/>
      <c r="G993" s="27" t="n"/>
      <c r="H993" s="27" t="n"/>
      <c r="I993" s="27" t="n"/>
      <c r="J993" s="28">
        <f>IF($A993="","",IF('設定'!$B$10="四捨五入",ROUND(IF('設定'!$B$9="税込",N($G993)*10/110,N($G993)*10/100),0),IF('設定'!$B$10="切り上げ",ROUNDUP(IF('設定'!$B$9="税込",N($G993)*10/110,N($G993)*10/100),0),ROUNDDOWN(IF('設定'!$B$9="税込",N($G993)*10/110,N($G993)*10/100),0))))</f>
        <v/>
      </c>
      <c r="K993" s="28">
        <f>IF($A993="","",IF('設定'!$B$10="四捨五入",ROUND(IF('設定'!$B$9="税込",N($H993)*8/108,N($H993)*8/100),0),IF('設定'!$B$10="切り上げ",ROUNDUP(IF('設定'!$B$9="税込",N($H993)*8/108,N($H993)*8/100),0),ROUNDDOWN(IF('設定'!$B$9="税込",N($H993)*8/108,N($H993)*8/100),0))))</f>
        <v/>
      </c>
      <c r="L993" s="28">
        <f>IF($A993="","",N($G993)+N($H993)+N($I993)+IF('設定'!$B$9="税込",0,$J993+$K993))</f>
        <v/>
      </c>
      <c r="M993" s="29">
        <f>IF(OR($A993="",NOT(ISNUMBER($W993)),NOT(ISNUMBER($X993))),"",IF(OR(INDEX('得意先'!$D$5:$D$104,$W993)="",INDEX('得意先'!$E$5:$E$104,$W993)="",INDEX('得意先'!$F$5:$F$104,$W993)=""),"",IF(INDEX('得意先'!$F$5:$F$104,$W993)="末",DATE(YEAR($X993),(MONTH($X993)+IF(INDEX('得意先'!$D$5:$D$104,$W993)="末",0,IF(DAY($X993)&lt;=INDEX('得意先'!$D$5:$D$104,$W993),0,1))+N(INDEX('得意先'!$E$5:$E$104,$W993)))+1,0),DATE(YEAR($X993),(MONTH($X993)+IF(INDEX('得意先'!$D$5:$D$104,$W993)="末",0,IF(DAY($X993)&lt;=INDEX('得意先'!$D$5:$D$104,$W993),0,1))+N(INDEX('得意先'!$E$5:$E$104,$W993))),MIN(INDEX('得意先'!$F$5:$F$104,$W993),DAY(DATE(YEAR($X993),(MONTH($X993)+IF(INDEX('得意先'!$D$5:$D$104,$W993)="末",0,IF(DAY($X993)&lt;=INDEX('得意先'!$D$5:$D$104,$W993),0,1))+N(INDEX('得意先'!$E$5:$E$104,$W993)))+1,0)))))))</f>
        <v/>
      </c>
      <c r="N993" s="26" t="n"/>
      <c r="O993" s="29">
        <f>IF($A993="","",IF(ISNUMBER($N993),$N993,$M993))</f>
        <v/>
      </c>
      <c r="P993" s="28">
        <f>IF($A993="","",SUMIF('入金消込'!$F$5:$F$1004,$A993,'入金消込'!$G$5:$G$1004))</f>
        <v/>
      </c>
      <c r="Q993" s="28">
        <f>IF($A993="","",SUMIF('入金消込'!$F$5:$F$1004,$A993,'入金消込'!$H$5:$H$1004)+SUMIF('入金消込'!$F$5:$F$1004,$A993,'入金消込'!$I$5:$I$1004))</f>
        <v/>
      </c>
      <c r="R993" s="28">
        <f>IF($A993="","",$L993-$P993-$Q993)</f>
        <v/>
      </c>
      <c r="S993" s="30">
        <f>IF($A993="","",IF($R993=0,IF($L993=0,"請求額0","回収済"),IF($L993&lt;0,IF($R993&lt;0,"差し引き待ち","差し引きすぎ"),IF($R993&lt;0,"入金が多い",IF($P993+$Q993=0,"未入金","一部入金")))))</f>
        <v/>
      </c>
      <c r="T993" s="31">
        <f>IF(OR($A993="",N($R993)&lt;=0,NOT(ISNUMBER($O993))),"",IF($O993&lt;'設定'!$B$7,'設定'!$B$7-$O993,""))</f>
        <v/>
      </c>
      <c r="U993" s="30">
        <f>IF(OR($A993="",N($R993)&lt;=0),"",IF(NOT(ISNUMBER($O993)),'設定'!$B$22,IF($O993&gt;='設定'!$B$7,'設定'!$B$17,IF('設定'!$B$7-$O993&lt;='設定'!$B$12,'設定'!$B$18,IF('設定'!$B$7-$O993&lt;='設定'!$B$13,'設定'!$B$19,IF('設定'!$B$7-$O993&lt;='設定'!$B$14,'設定'!$B$20,'設定'!$B$21))))))</f>
        <v/>
      </c>
      <c r="V993" s="56" t="n"/>
      <c r="W993" s="32">
        <f>IF($C993="","",IFERROR(MATCH($C993,'得意先'!$B$5:$B$104,0),"なし"))</f>
        <v/>
      </c>
      <c r="X993" s="33">
        <f>IF($A993="","",IF(ISNUMBER($E993),$E993,IF(ISNUMBER($B993),$B993,"")))</f>
        <v/>
      </c>
      <c r="Y993" s="34">
        <f>IF($T993="","",$O993+ROW()/1000000)</f>
        <v/>
      </c>
      <c r="Z993" s="35">
        <f>IF(OR($A993="",$C993="",$C993&lt;&gt;'売掛帳'!$B$3,NOT(ISNUMBER($X993))),"",IF(AND($X993&gt;='売掛帳'!$Q$3,$X993&lt;='売掛帳'!$Q$4),$X993+ROW()/10000000,""))</f>
        <v/>
      </c>
    </row>
    <row r="994" ht="18" customHeight="1">
      <c r="A994" s="18" t="n"/>
      <c r="B994" s="26" t="n"/>
      <c r="C994" s="18" t="n"/>
      <c r="D994" s="20">
        <f>IF($W994="","",IF($W994="なし","※得意先にないコード",INDEX('得意先'!$C$5:$C$104,$W994)&amp;""))</f>
        <v/>
      </c>
      <c r="E994" s="26" t="n"/>
      <c r="F994" s="19" t="n"/>
      <c r="G994" s="27" t="n"/>
      <c r="H994" s="27" t="n"/>
      <c r="I994" s="27" t="n"/>
      <c r="J994" s="28">
        <f>IF($A994="","",IF('設定'!$B$10="四捨五入",ROUND(IF('設定'!$B$9="税込",N($G994)*10/110,N($G994)*10/100),0),IF('設定'!$B$10="切り上げ",ROUNDUP(IF('設定'!$B$9="税込",N($G994)*10/110,N($G994)*10/100),0),ROUNDDOWN(IF('設定'!$B$9="税込",N($G994)*10/110,N($G994)*10/100),0))))</f>
        <v/>
      </c>
      <c r="K994" s="28">
        <f>IF($A994="","",IF('設定'!$B$10="四捨五入",ROUND(IF('設定'!$B$9="税込",N($H994)*8/108,N($H994)*8/100),0),IF('設定'!$B$10="切り上げ",ROUNDUP(IF('設定'!$B$9="税込",N($H994)*8/108,N($H994)*8/100),0),ROUNDDOWN(IF('設定'!$B$9="税込",N($H994)*8/108,N($H994)*8/100),0))))</f>
        <v/>
      </c>
      <c r="L994" s="28">
        <f>IF($A994="","",N($G994)+N($H994)+N($I994)+IF('設定'!$B$9="税込",0,$J994+$K994))</f>
        <v/>
      </c>
      <c r="M994" s="29">
        <f>IF(OR($A994="",NOT(ISNUMBER($W994)),NOT(ISNUMBER($X994))),"",IF(OR(INDEX('得意先'!$D$5:$D$104,$W994)="",INDEX('得意先'!$E$5:$E$104,$W994)="",INDEX('得意先'!$F$5:$F$104,$W994)=""),"",IF(INDEX('得意先'!$F$5:$F$104,$W994)="末",DATE(YEAR($X994),(MONTH($X994)+IF(INDEX('得意先'!$D$5:$D$104,$W994)="末",0,IF(DAY($X994)&lt;=INDEX('得意先'!$D$5:$D$104,$W994),0,1))+N(INDEX('得意先'!$E$5:$E$104,$W994)))+1,0),DATE(YEAR($X994),(MONTH($X994)+IF(INDEX('得意先'!$D$5:$D$104,$W994)="末",0,IF(DAY($X994)&lt;=INDEX('得意先'!$D$5:$D$104,$W994),0,1))+N(INDEX('得意先'!$E$5:$E$104,$W994))),MIN(INDEX('得意先'!$F$5:$F$104,$W994),DAY(DATE(YEAR($X994),(MONTH($X994)+IF(INDEX('得意先'!$D$5:$D$104,$W994)="末",0,IF(DAY($X994)&lt;=INDEX('得意先'!$D$5:$D$104,$W994),0,1))+N(INDEX('得意先'!$E$5:$E$104,$W994)))+1,0)))))))</f>
        <v/>
      </c>
      <c r="N994" s="26" t="n"/>
      <c r="O994" s="29">
        <f>IF($A994="","",IF(ISNUMBER($N994),$N994,$M994))</f>
        <v/>
      </c>
      <c r="P994" s="28">
        <f>IF($A994="","",SUMIF('入金消込'!$F$5:$F$1004,$A994,'入金消込'!$G$5:$G$1004))</f>
        <v/>
      </c>
      <c r="Q994" s="28">
        <f>IF($A994="","",SUMIF('入金消込'!$F$5:$F$1004,$A994,'入金消込'!$H$5:$H$1004)+SUMIF('入金消込'!$F$5:$F$1004,$A994,'入金消込'!$I$5:$I$1004))</f>
        <v/>
      </c>
      <c r="R994" s="28">
        <f>IF($A994="","",$L994-$P994-$Q994)</f>
        <v/>
      </c>
      <c r="S994" s="30">
        <f>IF($A994="","",IF($R994=0,IF($L994=0,"請求額0","回収済"),IF($L994&lt;0,IF($R994&lt;0,"差し引き待ち","差し引きすぎ"),IF($R994&lt;0,"入金が多い",IF($P994+$Q994=0,"未入金","一部入金")))))</f>
        <v/>
      </c>
      <c r="T994" s="31">
        <f>IF(OR($A994="",N($R994)&lt;=0,NOT(ISNUMBER($O994))),"",IF($O994&lt;'設定'!$B$7,'設定'!$B$7-$O994,""))</f>
        <v/>
      </c>
      <c r="U994" s="30">
        <f>IF(OR($A994="",N($R994)&lt;=0),"",IF(NOT(ISNUMBER($O994)),'設定'!$B$22,IF($O994&gt;='設定'!$B$7,'設定'!$B$17,IF('設定'!$B$7-$O994&lt;='設定'!$B$12,'設定'!$B$18,IF('設定'!$B$7-$O994&lt;='設定'!$B$13,'設定'!$B$19,IF('設定'!$B$7-$O994&lt;='設定'!$B$14,'設定'!$B$20,'設定'!$B$21))))))</f>
        <v/>
      </c>
      <c r="V994" s="56" t="n"/>
      <c r="W994" s="32">
        <f>IF($C994="","",IFERROR(MATCH($C994,'得意先'!$B$5:$B$104,0),"なし"))</f>
        <v/>
      </c>
      <c r="X994" s="33">
        <f>IF($A994="","",IF(ISNUMBER($E994),$E994,IF(ISNUMBER($B994),$B994,"")))</f>
        <v/>
      </c>
      <c r="Y994" s="34">
        <f>IF($T994="","",$O994+ROW()/1000000)</f>
        <v/>
      </c>
      <c r="Z994" s="35">
        <f>IF(OR($A994="",$C994="",$C994&lt;&gt;'売掛帳'!$B$3,NOT(ISNUMBER($X994))),"",IF(AND($X994&gt;='売掛帳'!$Q$3,$X994&lt;='売掛帳'!$Q$4),$X994+ROW()/10000000,""))</f>
        <v/>
      </c>
    </row>
    <row r="995" ht="18" customHeight="1">
      <c r="A995" s="18" t="n"/>
      <c r="B995" s="26" t="n"/>
      <c r="C995" s="18" t="n"/>
      <c r="D995" s="20">
        <f>IF($W995="","",IF($W995="なし","※得意先にないコード",INDEX('得意先'!$C$5:$C$104,$W995)&amp;""))</f>
        <v/>
      </c>
      <c r="E995" s="26" t="n"/>
      <c r="F995" s="19" t="n"/>
      <c r="G995" s="27" t="n"/>
      <c r="H995" s="27" t="n"/>
      <c r="I995" s="27" t="n"/>
      <c r="J995" s="28">
        <f>IF($A995="","",IF('設定'!$B$10="四捨五入",ROUND(IF('設定'!$B$9="税込",N($G995)*10/110,N($G995)*10/100),0),IF('設定'!$B$10="切り上げ",ROUNDUP(IF('設定'!$B$9="税込",N($G995)*10/110,N($G995)*10/100),0),ROUNDDOWN(IF('設定'!$B$9="税込",N($G995)*10/110,N($G995)*10/100),0))))</f>
        <v/>
      </c>
      <c r="K995" s="28">
        <f>IF($A995="","",IF('設定'!$B$10="四捨五入",ROUND(IF('設定'!$B$9="税込",N($H995)*8/108,N($H995)*8/100),0),IF('設定'!$B$10="切り上げ",ROUNDUP(IF('設定'!$B$9="税込",N($H995)*8/108,N($H995)*8/100),0),ROUNDDOWN(IF('設定'!$B$9="税込",N($H995)*8/108,N($H995)*8/100),0))))</f>
        <v/>
      </c>
      <c r="L995" s="28">
        <f>IF($A995="","",N($G995)+N($H995)+N($I995)+IF('設定'!$B$9="税込",0,$J995+$K995))</f>
        <v/>
      </c>
      <c r="M995" s="29">
        <f>IF(OR($A995="",NOT(ISNUMBER($W995)),NOT(ISNUMBER($X995))),"",IF(OR(INDEX('得意先'!$D$5:$D$104,$W995)="",INDEX('得意先'!$E$5:$E$104,$W995)="",INDEX('得意先'!$F$5:$F$104,$W995)=""),"",IF(INDEX('得意先'!$F$5:$F$104,$W995)="末",DATE(YEAR($X995),(MONTH($X995)+IF(INDEX('得意先'!$D$5:$D$104,$W995)="末",0,IF(DAY($X995)&lt;=INDEX('得意先'!$D$5:$D$104,$W995),0,1))+N(INDEX('得意先'!$E$5:$E$104,$W995)))+1,0),DATE(YEAR($X995),(MONTH($X995)+IF(INDEX('得意先'!$D$5:$D$104,$W995)="末",0,IF(DAY($X995)&lt;=INDEX('得意先'!$D$5:$D$104,$W995),0,1))+N(INDEX('得意先'!$E$5:$E$104,$W995))),MIN(INDEX('得意先'!$F$5:$F$104,$W995),DAY(DATE(YEAR($X995),(MONTH($X995)+IF(INDEX('得意先'!$D$5:$D$104,$W995)="末",0,IF(DAY($X995)&lt;=INDEX('得意先'!$D$5:$D$104,$W995),0,1))+N(INDEX('得意先'!$E$5:$E$104,$W995)))+1,0)))))))</f>
        <v/>
      </c>
      <c r="N995" s="26" t="n"/>
      <c r="O995" s="29">
        <f>IF($A995="","",IF(ISNUMBER($N995),$N995,$M995))</f>
        <v/>
      </c>
      <c r="P995" s="28">
        <f>IF($A995="","",SUMIF('入金消込'!$F$5:$F$1004,$A995,'入金消込'!$G$5:$G$1004))</f>
        <v/>
      </c>
      <c r="Q995" s="28">
        <f>IF($A995="","",SUMIF('入金消込'!$F$5:$F$1004,$A995,'入金消込'!$H$5:$H$1004)+SUMIF('入金消込'!$F$5:$F$1004,$A995,'入金消込'!$I$5:$I$1004))</f>
        <v/>
      </c>
      <c r="R995" s="28">
        <f>IF($A995="","",$L995-$P995-$Q995)</f>
        <v/>
      </c>
      <c r="S995" s="30">
        <f>IF($A995="","",IF($R995=0,IF($L995=0,"請求額0","回収済"),IF($L995&lt;0,IF($R995&lt;0,"差し引き待ち","差し引きすぎ"),IF($R995&lt;0,"入金が多い",IF($P995+$Q995=0,"未入金","一部入金")))))</f>
        <v/>
      </c>
      <c r="T995" s="31">
        <f>IF(OR($A995="",N($R995)&lt;=0,NOT(ISNUMBER($O995))),"",IF($O995&lt;'設定'!$B$7,'設定'!$B$7-$O995,""))</f>
        <v/>
      </c>
      <c r="U995" s="30">
        <f>IF(OR($A995="",N($R995)&lt;=0),"",IF(NOT(ISNUMBER($O995)),'設定'!$B$22,IF($O995&gt;='設定'!$B$7,'設定'!$B$17,IF('設定'!$B$7-$O995&lt;='設定'!$B$12,'設定'!$B$18,IF('設定'!$B$7-$O995&lt;='設定'!$B$13,'設定'!$B$19,IF('設定'!$B$7-$O995&lt;='設定'!$B$14,'設定'!$B$20,'設定'!$B$21))))))</f>
        <v/>
      </c>
      <c r="V995" s="56" t="n"/>
      <c r="W995" s="32">
        <f>IF($C995="","",IFERROR(MATCH($C995,'得意先'!$B$5:$B$104,0),"なし"))</f>
        <v/>
      </c>
      <c r="X995" s="33">
        <f>IF($A995="","",IF(ISNUMBER($E995),$E995,IF(ISNUMBER($B995),$B995,"")))</f>
        <v/>
      </c>
      <c r="Y995" s="34">
        <f>IF($T995="","",$O995+ROW()/1000000)</f>
        <v/>
      </c>
      <c r="Z995" s="35">
        <f>IF(OR($A995="",$C995="",$C995&lt;&gt;'売掛帳'!$B$3,NOT(ISNUMBER($X995))),"",IF(AND($X995&gt;='売掛帳'!$Q$3,$X995&lt;='売掛帳'!$Q$4),$X995+ROW()/10000000,""))</f>
        <v/>
      </c>
    </row>
    <row r="996" ht="18" customHeight="1">
      <c r="A996" s="18" t="n"/>
      <c r="B996" s="26" t="n"/>
      <c r="C996" s="18" t="n"/>
      <c r="D996" s="20">
        <f>IF($W996="","",IF($W996="なし","※得意先にないコード",INDEX('得意先'!$C$5:$C$104,$W996)&amp;""))</f>
        <v/>
      </c>
      <c r="E996" s="26" t="n"/>
      <c r="F996" s="19" t="n"/>
      <c r="G996" s="27" t="n"/>
      <c r="H996" s="27" t="n"/>
      <c r="I996" s="27" t="n"/>
      <c r="J996" s="28">
        <f>IF($A996="","",IF('設定'!$B$10="四捨五入",ROUND(IF('設定'!$B$9="税込",N($G996)*10/110,N($G996)*10/100),0),IF('設定'!$B$10="切り上げ",ROUNDUP(IF('設定'!$B$9="税込",N($G996)*10/110,N($G996)*10/100),0),ROUNDDOWN(IF('設定'!$B$9="税込",N($G996)*10/110,N($G996)*10/100),0))))</f>
        <v/>
      </c>
      <c r="K996" s="28">
        <f>IF($A996="","",IF('設定'!$B$10="四捨五入",ROUND(IF('設定'!$B$9="税込",N($H996)*8/108,N($H996)*8/100),0),IF('設定'!$B$10="切り上げ",ROUNDUP(IF('設定'!$B$9="税込",N($H996)*8/108,N($H996)*8/100),0),ROUNDDOWN(IF('設定'!$B$9="税込",N($H996)*8/108,N($H996)*8/100),0))))</f>
        <v/>
      </c>
      <c r="L996" s="28">
        <f>IF($A996="","",N($G996)+N($H996)+N($I996)+IF('設定'!$B$9="税込",0,$J996+$K996))</f>
        <v/>
      </c>
      <c r="M996" s="29">
        <f>IF(OR($A996="",NOT(ISNUMBER($W996)),NOT(ISNUMBER($X996))),"",IF(OR(INDEX('得意先'!$D$5:$D$104,$W996)="",INDEX('得意先'!$E$5:$E$104,$W996)="",INDEX('得意先'!$F$5:$F$104,$W996)=""),"",IF(INDEX('得意先'!$F$5:$F$104,$W996)="末",DATE(YEAR($X996),(MONTH($X996)+IF(INDEX('得意先'!$D$5:$D$104,$W996)="末",0,IF(DAY($X996)&lt;=INDEX('得意先'!$D$5:$D$104,$W996),0,1))+N(INDEX('得意先'!$E$5:$E$104,$W996)))+1,0),DATE(YEAR($X996),(MONTH($X996)+IF(INDEX('得意先'!$D$5:$D$104,$W996)="末",0,IF(DAY($X996)&lt;=INDEX('得意先'!$D$5:$D$104,$W996),0,1))+N(INDEX('得意先'!$E$5:$E$104,$W996))),MIN(INDEX('得意先'!$F$5:$F$104,$W996),DAY(DATE(YEAR($X996),(MONTH($X996)+IF(INDEX('得意先'!$D$5:$D$104,$W996)="末",0,IF(DAY($X996)&lt;=INDEX('得意先'!$D$5:$D$104,$W996),0,1))+N(INDEX('得意先'!$E$5:$E$104,$W996)))+1,0)))))))</f>
        <v/>
      </c>
      <c r="N996" s="26" t="n"/>
      <c r="O996" s="29">
        <f>IF($A996="","",IF(ISNUMBER($N996),$N996,$M996))</f>
        <v/>
      </c>
      <c r="P996" s="28">
        <f>IF($A996="","",SUMIF('入金消込'!$F$5:$F$1004,$A996,'入金消込'!$G$5:$G$1004))</f>
        <v/>
      </c>
      <c r="Q996" s="28">
        <f>IF($A996="","",SUMIF('入金消込'!$F$5:$F$1004,$A996,'入金消込'!$H$5:$H$1004)+SUMIF('入金消込'!$F$5:$F$1004,$A996,'入金消込'!$I$5:$I$1004))</f>
        <v/>
      </c>
      <c r="R996" s="28">
        <f>IF($A996="","",$L996-$P996-$Q996)</f>
        <v/>
      </c>
      <c r="S996" s="30">
        <f>IF($A996="","",IF($R996=0,IF($L996=0,"請求額0","回収済"),IF($L996&lt;0,IF($R996&lt;0,"差し引き待ち","差し引きすぎ"),IF($R996&lt;0,"入金が多い",IF($P996+$Q996=0,"未入金","一部入金")))))</f>
        <v/>
      </c>
      <c r="T996" s="31">
        <f>IF(OR($A996="",N($R996)&lt;=0,NOT(ISNUMBER($O996))),"",IF($O996&lt;'設定'!$B$7,'設定'!$B$7-$O996,""))</f>
        <v/>
      </c>
      <c r="U996" s="30">
        <f>IF(OR($A996="",N($R996)&lt;=0),"",IF(NOT(ISNUMBER($O996)),'設定'!$B$22,IF($O996&gt;='設定'!$B$7,'設定'!$B$17,IF('設定'!$B$7-$O996&lt;='設定'!$B$12,'設定'!$B$18,IF('設定'!$B$7-$O996&lt;='設定'!$B$13,'設定'!$B$19,IF('設定'!$B$7-$O996&lt;='設定'!$B$14,'設定'!$B$20,'設定'!$B$21))))))</f>
        <v/>
      </c>
      <c r="V996" s="56" t="n"/>
      <c r="W996" s="32">
        <f>IF($C996="","",IFERROR(MATCH($C996,'得意先'!$B$5:$B$104,0),"なし"))</f>
        <v/>
      </c>
      <c r="X996" s="33">
        <f>IF($A996="","",IF(ISNUMBER($E996),$E996,IF(ISNUMBER($B996),$B996,"")))</f>
        <v/>
      </c>
      <c r="Y996" s="34">
        <f>IF($T996="","",$O996+ROW()/1000000)</f>
        <v/>
      </c>
      <c r="Z996" s="35">
        <f>IF(OR($A996="",$C996="",$C996&lt;&gt;'売掛帳'!$B$3,NOT(ISNUMBER($X996))),"",IF(AND($X996&gt;='売掛帳'!$Q$3,$X996&lt;='売掛帳'!$Q$4),$X996+ROW()/10000000,""))</f>
        <v/>
      </c>
    </row>
    <row r="997" ht="18" customHeight="1">
      <c r="A997" s="18" t="n"/>
      <c r="B997" s="26" t="n"/>
      <c r="C997" s="18" t="n"/>
      <c r="D997" s="20">
        <f>IF($W997="","",IF($W997="なし","※得意先にないコード",INDEX('得意先'!$C$5:$C$104,$W997)&amp;""))</f>
        <v/>
      </c>
      <c r="E997" s="26" t="n"/>
      <c r="F997" s="19" t="n"/>
      <c r="G997" s="27" t="n"/>
      <c r="H997" s="27" t="n"/>
      <c r="I997" s="27" t="n"/>
      <c r="J997" s="28">
        <f>IF($A997="","",IF('設定'!$B$10="四捨五入",ROUND(IF('設定'!$B$9="税込",N($G997)*10/110,N($G997)*10/100),0),IF('設定'!$B$10="切り上げ",ROUNDUP(IF('設定'!$B$9="税込",N($G997)*10/110,N($G997)*10/100),0),ROUNDDOWN(IF('設定'!$B$9="税込",N($G997)*10/110,N($G997)*10/100),0))))</f>
        <v/>
      </c>
      <c r="K997" s="28">
        <f>IF($A997="","",IF('設定'!$B$10="四捨五入",ROUND(IF('設定'!$B$9="税込",N($H997)*8/108,N($H997)*8/100),0),IF('設定'!$B$10="切り上げ",ROUNDUP(IF('設定'!$B$9="税込",N($H997)*8/108,N($H997)*8/100),0),ROUNDDOWN(IF('設定'!$B$9="税込",N($H997)*8/108,N($H997)*8/100),0))))</f>
        <v/>
      </c>
      <c r="L997" s="28">
        <f>IF($A997="","",N($G997)+N($H997)+N($I997)+IF('設定'!$B$9="税込",0,$J997+$K997))</f>
        <v/>
      </c>
      <c r="M997" s="29">
        <f>IF(OR($A997="",NOT(ISNUMBER($W997)),NOT(ISNUMBER($X997))),"",IF(OR(INDEX('得意先'!$D$5:$D$104,$W997)="",INDEX('得意先'!$E$5:$E$104,$W997)="",INDEX('得意先'!$F$5:$F$104,$W997)=""),"",IF(INDEX('得意先'!$F$5:$F$104,$W997)="末",DATE(YEAR($X997),(MONTH($X997)+IF(INDEX('得意先'!$D$5:$D$104,$W997)="末",0,IF(DAY($X997)&lt;=INDEX('得意先'!$D$5:$D$104,$W997),0,1))+N(INDEX('得意先'!$E$5:$E$104,$W997)))+1,0),DATE(YEAR($X997),(MONTH($X997)+IF(INDEX('得意先'!$D$5:$D$104,$W997)="末",0,IF(DAY($X997)&lt;=INDEX('得意先'!$D$5:$D$104,$W997),0,1))+N(INDEX('得意先'!$E$5:$E$104,$W997))),MIN(INDEX('得意先'!$F$5:$F$104,$W997),DAY(DATE(YEAR($X997),(MONTH($X997)+IF(INDEX('得意先'!$D$5:$D$104,$W997)="末",0,IF(DAY($X997)&lt;=INDEX('得意先'!$D$5:$D$104,$W997),0,1))+N(INDEX('得意先'!$E$5:$E$104,$W997)))+1,0)))))))</f>
        <v/>
      </c>
      <c r="N997" s="26" t="n"/>
      <c r="O997" s="29">
        <f>IF($A997="","",IF(ISNUMBER($N997),$N997,$M997))</f>
        <v/>
      </c>
      <c r="P997" s="28">
        <f>IF($A997="","",SUMIF('入金消込'!$F$5:$F$1004,$A997,'入金消込'!$G$5:$G$1004))</f>
        <v/>
      </c>
      <c r="Q997" s="28">
        <f>IF($A997="","",SUMIF('入金消込'!$F$5:$F$1004,$A997,'入金消込'!$H$5:$H$1004)+SUMIF('入金消込'!$F$5:$F$1004,$A997,'入金消込'!$I$5:$I$1004))</f>
        <v/>
      </c>
      <c r="R997" s="28">
        <f>IF($A997="","",$L997-$P997-$Q997)</f>
        <v/>
      </c>
      <c r="S997" s="30">
        <f>IF($A997="","",IF($R997=0,IF($L997=0,"請求額0","回収済"),IF($L997&lt;0,IF($R997&lt;0,"差し引き待ち","差し引きすぎ"),IF($R997&lt;0,"入金が多い",IF($P997+$Q997=0,"未入金","一部入金")))))</f>
        <v/>
      </c>
      <c r="T997" s="31">
        <f>IF(OR($A997="",N($R997)&lt;=0,NOT(ISNUMBER($O997))),"",IF($O997&lt;'設定'!$B$7,'設定'!$B$7-$O997,""))</f>
        <v/>
      </c>
      <c r="U997" s="30">
        <f>IF(OR($A997="",N($R997)&lt;=0),"",IF(NOT(ISNUMBER($O997)),'設定'!$B$22,IF($O997&gt;='設定'!$B$7,'設定'!$B$17,IF('設定'!$B$7-$O997&lt;='設定'!$B$12,'設定'!$B$18,IF('設定'!$B$7-$O997&lt;='設定'!$B$13,'設定'!$B$19,IF('設定'!$B$7-$O997&lt;='設定'!$B$14,'設定'!$B$20,'設定'!$B$21))))))</f>
        <v/>
      </c>
      <c r="V997" s="56" t="n"/>
      <c r="W997" s="32">
        <f>IF($C997="","",IFERROR(MATCH($C997,'得意先'!$B$5:$B$104,0),"なし"))</f>
        <v/>
      </c>
      <c r="X997" s="33">
        <f>IF($A997="","",IF(ISNUMBER($E997),$E997,IF(ISNUMBER($B997),$B997,"")))</f>
        <v/>
      </c>
      <c r="Y997" s="34">
        <f>IF($T997="","",$O997+ROW()/1000000)</f>
        <v/>
      </c>
      <c r="Z997" s="35">
        <f>IF(OR($A997="",$C997="",$C997&lt;&gt;'売掛帳'!$B$3,NOT(ISNUMBER($X997))),"",IF(AND($X997&gt;='売掛帳'!$Q$3,$X997&lt;='売掛帳'!$Q$4),$X997+ROW()/10000000,""))</f>
        <v/>
      </c>
    </row>
    <row r="998" ht="18" customHeight="1">
      <c r="A998" s="18" t="n"/>
      <c r="B998" s="26" t="n"/>
      <c r="C998" s="18" t="n"/>
      <c r="D998" s="20">
        <f>IF($W998="","",IF($W998="なし","※得意先にないコード",INDEX('得意先'!$C$5:$C$104,$W998)&amp;""))</f>
        <v/>
      </c>
      <c r="E998" s="26" t="n"/>
      <c r="F998" s="19" t="n"/>
      <c r="G998" s="27" t="n"/>
      <c r="H998" s="27" t="n"/>
      <c r="I998" s="27" t="n"/>
      <c r="J998" s="28">
        <f>IF($A998="","",IF('設定'!$B$10="四捨五入",ROUND(IF('設定'!$B$9="税込",N($G998)*10/110,N($G998)*10/100),0),IF('設定'!$B$10="切り上げ",ROUNDUP(IF('設定'!$B$9="税込",N($G998)*10/110,N($G998)*10/100),0),ROUNDDOWN(IF('設定'!$B$9="税込",N($G998)*10/110,N($G998)*10/100),0))))</f>
        <v/>
      </c>
      <c r="K998" s="28">
        <f>IF($A998="","",IF('設定'!$B$10="四捨五入",ROUND(IF('設定'!$B$9="税込",N($H998)*8/108,N($H998)*8/100),0),IF('設定'!$B$10="切り上げ",ROUNDUP(IF('設定'!$B$9="税込",N($H998)*8/108,N($H998)*8/100),0),ROUNDDOWN(IF('設定'!$B$9="税込",N($H998)*8/108,N($H998)*8/100),0))))</f>
        <v/>
      </c>
      <c r="L998" s="28">
        <f>IF($A998="","",N($G998)+N($H998)+N($I998)+IF('設定'!$B$9="税込",0,$J998+$K998))</f>
        <v/>
      </c>
      <c r="M998" s="29">
        <f>IF(OR($A998="",NOT(ISNUMBER($W998)),NOT(ISNUMBER($X998))),"",IF(OR(INDEX('得意先'!$D$5:$D$104,$W998)="",INDEX('得意先'!$E$5:$E$104,$W998)="",INDEX('得意先'!$F$5:$F$104,$W998)=""),"",IF(INDEX('得意先'!$F$5:$F$104,$W998)="末",DATE(YEAR($X998),(MONTH($X998)+IF(INDEX('得意先'!$D$5:$D$104,$W998)="末",0,IF(DAY($X998)&lt;=INDEX('得意先'!$D$5:$D$104,$W998),0,1))+N(INDEX('得意先'!$E$5:$E$104,$W998)))+1,0),DATE(YEAR($X998),(MONTH($X998)+IF(INDEX('得意先'!$D$5:$D$104,$W998)="末",0,IF(DAY($X998)&lt;=INDEX('得意先'!$D$5:$D$104,$W998),0,1))+N(INDEX('得意先'!$E$5:$E$104,$W998))),MIN(INDEX('得意先'!$F$5:$F$104,$W998),DAY(DATE(YEAR($X998),(MONTH($X998)+IF(INDEX('得意先'!$D$5:$D$104,$W998)="末",0,IF(DAY($X998)&lt;=INDEX('得意先'!$D$5:$D$104,$W998),0,1))+N(INDEX('得意先'!$E$5:$E$104,$W998)))+1,0)))))))</f>
        <v/>
      </c>
      <c r="N998" s="26" t="n"/>
      <c r="O998" s="29">
        <f>IF($A998="","",IF(ISNUMBER($N998),$N998,$M998))</f>
        <v/>
      </c>
      <c r="P998" s="28">
        <f>IF($A998="","",SUMIF('入金消込'!$F$5:$F$1004,$A998,'入金消込'!$G$5:$G$1004))</f>
        <v/>
      </c>
      <c r="Q998" s="28">
        <f>IF($A998="","",SUMIF('入金消込'!$F$5:$F$1004,$A998,'入金消込'!$H$5:$H$1004)+SUMIF('入金消込'!$F$5:$F$1004,$A998,'入金消込'!$I$5:$I$1004))</f>
        <v/>
      </c>
      <c r="R998" s="28">
        <f>IF($A998="","",$L998-$P998-$Q998)</f>
        <v/>
      </c>
      <c r="S998" s="30">
        <f>IF($A998="","",IF($R998=0,IF($L998=0,"請求額0","回収済"),IF($L998&lt;0,IF($R998&lt;0,"差し引き待ち","差し引きすぎ"),IF($R998&lt;0,"入金が多い",IF($P998+$Q998=0,"未入金","一部入金")))))</f>
        <v/>
      </c>
      <c r="T998" s="31">
        <f>IF(OR($A998="",N($R998)&lt;=0,NOT(ISNUMBER($O998))),"",IF($O998&lt;'設定'!$B$7,'設定'!$B$7-$O998,""))</f>
        <v/>
      </c>
      <c r="U998" s="30">
        <f>IF(OR($A998="",N($R998)&lt;=0),"",IF(NOT(ISNUMBER($O998)),'設定'!$B$22,IF($O998&gt;='設定'!$B$7,'設定'!$B$17,IF('設定'!$B$7-$O998&lt;='設定'!$B$12,'設定'!$B$18,IF('設定'!$B$7-$O998&lt;='設定'!$B$13,'設定'!$B$19,IF('設定'!$B$7-$O998&lt;='設定'!$B$14,'設定'!$B$20,'設定'!$B$21))))))</f>
        <v/>
      </c>
      <c r="V998" s="56" t="n"/>
      <c r="W998" s="32">
        <f>IF($C998="","",IFERROR(MATCH($C998,'得意先'!$B$5:$B$104,0),"なし"))</f>
        <v/>
      </c>
      <c r="X998" s="33">
        <f>IF($A998="","",IF(ISNUMBER($E998),$E998,IF(ISNUMBER($B998),$B998,"")))</f>
        <v/>
      </c>
      <c r="Y998" s="34">
        <f>IF($T998="","",$O998+ROW()/1000000)</f>
        <v/>
      </c>
      <c r="Z998" s="35">
        <f>IF(OR($A998="",$C998="",$C998&lt;&gt;'売掛帳'!$B$3,NOT(ISNUMBER($X998))),"",IF(AND($X998&gt;='売掛帳'!$Q$3,$X998&lt;='売掛帳'!$Q$4),$X998+ROW()/10000000,""))</f>
        <v/>
      </c>
    </row>
    <row r="999" ht="18" customHeight="1">
      <c r="A999" s="18" t="n"/>
      <c r="B999" s="26" t="n"/>
      <c r="C999" s="18" t="n"/>
      <c r="D999" s="20">
        <f>IF($W999="","",IF($W999="なし","※得意先にないコード",INDEX('得意先'!$C$5:$C$104,$W999)&amp;""))</f>
        <v/>
      </c>
      <c r="E999" s="26" t="n"/>
      <c r="F999" s="19" t="n"/>
      <c r="G999" s="27" t="n"/>
      <c r="H999" s="27" t="n"/>
      <c r="I999" s="27" t="n"/>
      <c r="J999" s="28">
        <f>IF($A999="","",IF('設定'!$B$10="四捨五入",ROUND(IF('設定'!$B$9="税込",N($G999)*10/110,N($G999)*10/100),0),IF('設定'!$B$10="切り上げ",ROUNDUP(IF('設定'!$B$9="税込",N($G999)*10/110,N($G999)*10/100),0),ROUNDDOWN(IF('設定'!$B$9="税込",N($G999)*10/110,N($G999)*10/100),0))))</f>
        <v/>
      </c>
      <c r="K999" s="28">
        <f>IF($A999="","",IF('設定'!$B$10="四捨五入",ROUND(IF('設定'!$B$9="税込",N($H999)*8/108,N($H999)*8/100),0),IF('設定'!$B$10="切り上げ",ROUNDUP(IF('設定'!$B$9="税込",N($H999)*8/108,N($H999)*8/100),0),ROUNDDOWN(IF('設定'!$B$9="税込",N($H999)*8/108,N($H999)*8/100),0))))</f>
        <v/>
      </c>
      <c r="L999" s="28">
        <f>IF($A999="","",N($G999)+N($H999)+N($I999)+IF('設定'!$B$9="税込",0,$J999+$K999))</f>
        <v/>
      </c>
      <c r="M999" s="29">
        <f>IF(OR($A999="",NOT(ISNUMBER($W999)),NOT(ISNUMBER($X999))),"",IF(OR(INDEX('得意先'!$D$5:$D$104,$W999)="",INDEX('得意先'!$E$5:$E$104,$W999)="",INDEX('得意先'!$F$5:$F$104,$W999)=""),"",IF(INDEX('得意先'!$F$5:$F$104,$W999)="末",DATE(YEAR($X999),(MONTH($X999)+IF(INDEX('得意先'!$D$5:$D$104,$W999)="末",0,IF(DAY($X999)&lt;=INDEX('得意先'!$D$5:$D$104,$W999),0,1))+N(INDEX('得意先'!$E$5:$E$104,$W999)))+1,0),DATE(YEAR($X999),(MONTH($X999)+IF(INDEX('得意先'!$D$5:$D$104,$W999)="末",0,IF(DAY($X999)&lt;=INDEX('得意先'!$D$5:$D$104,$W999),0,1))+N(INDEX('得意先'!$E$5:$E$104,$W999))),MIN(INDEX('得意先'!$F$5:$F$104,$W999),DAY(DATE(YEAR($X999),(MONTH($X999)+IF(INDEX('得意先'!$D$5:$D$104,$W999)="末",0,IF(DAY($X999)&lt;=INDEX('得意先'!$D$5:$D$104,$W999),0,1))+N(INDEX('得意先'!$E$5:$E$104,$W999)))+1,0)))))))</f>
        <v/>
      </c>
      <c r="N999" s="26" t="n"/>
      <c r="O999" s="29">
        <f>IF($A999="","",IF(ISNUMBER($N999),$N999,$M999))</f>
        <v/>
      </c>
      <c r="P999" s="28">
        <f>IF($A999="","",SUMIF('入金消込'!$F$5:$F$1004,$A999,'入金消込'!$G$5:$G$1004))</f>
        <v/>
      </c>
      <c r="Q999" s="28">
        <f>IF($A999="","",SUMIF('入金消込'!$F$5:$F$1004,$A999,'入金消込'!$H$5:$H$1004)+SUMIF('入金消込'!$F$5:$F$1004,$A999,'入金消込'!$I$5:$I$1004))</f>
        <v/>
      </c>
      <c r="R999" s="28">
        <f>IF($A999="","",$L999-$P999-$Q999)</f>
        <v/>
      </c>
      <c r="S999" s="30">
        <f>IF($A999="","",IF($R999=0,IF($L999=0,"請求額0","回収済"),IF($L999&lt;0,IF($R999&lt;0,"差し引き待ち","差し引きすぎ"),IF($R999&lt;0,"入金が多い",IF($P999+$Q999=0,"未入金","一部入金")))))</f>
        <v/>
      </c>
      <c r="T999" s="31">
        <f>IF(OR($A999="",N($R999)&lt;=0,NOT(ISNUMBER($O999))),"",IF($O999&lt;'設定'!$B$7,'設定'!$B$7-$O999,""))</f>
        <v/>
      </c>
      <c r="U999" s="30">
        <f>IF(OR($A999="",N($R999)&lt;=0),"",IF(NOT(ISNUMBER($O999)),'設定'!$B$22,IF($O999&gt;='設定'!$B$7,'設定'!$B$17,IF('設定'!$B$7-$O999&lt;='設定'!$B$12,'設定'!$B$18,IF('設定'!$B$7-$O999&lt;='設定'!$B$13,'設定'!$B$19,IF('設定'!$B$7-$O999&lt;='設定'!$B$14,'設定'!$B$20,'設定'!$B$21))))))</f>
        <v/>
      </c>
      <c r="V999" s="56" t="n"/>
      <c r="W999" s="32">
        <f>IF($C999="","",IFERROR(MATCH($C999,'得意先'!$B$5:$B$104,0),"なし"))</f>
        <v/>
      </c>
      <c r="X999" s="33">
        <f>IF($A999="","",IF(ISNUMBER($E999),$E999,IF(ISNUMBER($B999),$B999,"")))</f>
        <v/>
      </c>
      <c r="Y999" s="34">
        <f>IF($T999="","",$O999+ROW()/1000000)</f>
        <v/>
      </c>
      <c r="Z999" s="35">
        <f>IF(OR($A999="",$C999="",$C999&lt;&gt;'売掛帳'!$B$3,NOT(ISNUMBER($X999))),"",IF(AND($X999&gt;='売掛帳'!$Q$3,$X999&lt;='売掛帳'!$Q$4),$X999+ROW()/10000000,""))</f>
        <v/>
      </c>
    </row>
    <row r="1000" ht="18" customHeight="1">
      <c r="A1000" s="18" t="n"/>
      <c r="B1000" s="26" t="n"/>
      <c r="C1000" s="18" t="n"/>
      <c r="D1000" s="20">
        <f>IF($W1000="","",IF($W1000="なし","※得意先にないコード",INDEX('得意先'!$C$5:$C$104,$W1000)&amp;""))</f>
        <v/>
      </c>
      <c r="E1000" s="26" t="n"/>
      <c r="F1000" s="19" t="n"/>
      <c r="G1000" s="27" t="n"/>
      <c r="H1000" s="27" t="n"/>
      <c r="I1000" s="27" t="n"/>
      <c r="J1000" s="28">
        <f>IF($A1000="","",IF('設定'!$B$10="四捨五入",ROUND(IF('設定'!$B$9="税込",N($G1000)*10/110,N($G1000)*10/100),0),IF('設定'!$B$10="切り上げ",ROUNDUP(IF('設定'!$B$9="税込",N($G1000)*10/110,N($G1000)*10/100),0),ROUNDDOWN(IF('設定'!$B$9="税込",N($G1000)*10/110,N($G1000)*10/100),0))))</f>
        <v/>
      </c>
      <c r="K1000" s="28">
        <f>IF($A1000="","",IF('設定'!$B$10="四捨五入",ROUND(IF('設定'!$B$9="税込",N($H1000)*8/108,N($H1000)*8/100),0),IF('設定'!$B$10="切り上げ",ROUNDUP(IF('設定'!$B$9="税込",N($H1000)*8/108,N($H1000)*8/100),0),ROUNDDOWN(IF('設定'!$B$9="税込",N($H1000)*8/108,N($H1000)*8/100),0))))</f>
        <v/>
      </c>
      <c r="L1000" s="28">
        <f>IF($A1000="","",N($G1000)+N($H1000)+N($I1000)+IF('設定'!$B$9="税込",0,$J1000+$K1000))</f>
        <v/>
      </c>
      <c r="M1000" s="29">
        <f>IF(OR($A1000="",NOT(ISNUMBER($W1000)),NOT(ISNUMBER($X1000))),"",IF(OR(INDEX('得意先'!$D$5:$D$104,$W1000)="",INDEX('得意先'!$E$5:$E$104,$W1000)="",INDEX('得意先'!$F$5:$F$104,$W1000)=""),"",IF(INDEX('得意先'!$F$5:$F$104,$W1000)="末",DATE(YEAR($X1000),(MONTH($X1000)+IF(INDEX('得意先'!$D$5:$D$104,$W1000)="末",0,IF(DAY($X1000)&lt;=INDEX('得意先'!$D$5:$D$104,$W1000),0,1))+N(INDEX('得意先'!$E$5:$E$104,$W1000)))+1,0),DATE(YEAR($X1000),(MONTH($X1000)+IF(INDEX('得意先'!$D$5:$D$104,$W1000)="末",0,IF(DAY($X1000)&lt;=INDEX('得意先'!$D$5:$D$104,$W1000),0,1))+N(INDEX('得意先'!$E$5:$E$104,$W1000))),MIN(INDEX('得意先'!$F$5:$F$104,$W1000),DAY(DATE(YEAR($X1000),(MONTH($X1000)+IF(INDEX('得意先'!$D$5:$D$104,$W1000)="末",0,IF(DAY($X1000)&lt;=INDEX('得意先'!$D$5:$D$104,$W1000),0,1))+N(INDEX('得意先'!$E$5:$E$104,$W1000)))+1,0)))))))</f>
        <v/>
      </c>
      <c r="N1000" s="26" t="n"/>
      <c r="O1000" s="29">
        <f>IF($A1000="","",IF(ISNUMBER($N1000),$N1000,$M1000))</f>
        <v/>
      </c>
      <c r="P1000" s="28">
        <f>IF($A1000="","",SUMIF('入金消込'!$F$5:$F$1004,$A1000,'入金消込'!$G$5:$G$1004))</f>
        <v/>
      </c>
      <c r="Q1000" s="28">
        <f>IF($A1000="","",SUMIF('入金消込'!$F$5:$F$1004,$A1000,'入金消込'!$H$5:$H$1004)+SUMIF('入金消込'!$F$5:$F$1004,$A1000,'入金消込'!$I$5:$I$1004))</f>
        <v/>
      </c>
      <c r="R1000" s="28">
        <f>IF($A1000="","",$L1000-$P1000-$Q1000)</f>
        <v/>
      </c>
      <c r="S1000" s="30">
        <f>IF($A1000="","",IF($R1000=0,IF($L1000=0,"請求額0","回収済"),IF($L1000&lt;0,IF($R1000&lt;0,"差し引き待ち","差し引きすぎ"),IF($R1000&lt;0,"入金が多い",IF($P1000+$Q1000=0,"未入金","一部入金")))))</f>
        <v/>
      </c>
      <c r="T1000" s="31">
        <f>IF(OR($A1000="",N($R1000)&lt;=0,NOT(ISNUMBER($O1000))),"",IF($O1000&lt;'設定'!$B$7,'設定'!$B$7-$O1000,""))</f>
        <v/>
      </c>
      <c r="U1000" s="30">
        <f>IF(OR($A1000="",N($R1000)&lt;=0),"",IF(NOT(ISNUMBER($O1000)),'設定'!$B$22,IF($O1000&gt;='設定'!$B$7,'設定'!$B$17,IF('設定'!$B$7-$O1000&lt;='設定'!$B$12,'設定'!$B$18,IF('設定'!$B$7-$O1000&lt;='設定'!$B$13,'設定'!$B$19,IF('設定'!$B$7-$O1000&lt;='設定'!$B$14,'設定'!$B$20,'設定'!$B$21))))))</f>
        <v/>
      </c>
      <c r="V1000" s="56" t="n"/>
      <c r="W1000" s="32">
        <f>IF($C1000="","",IFERROR(MATCH($C1000,'得意先'!$B$5:$B$104,0),"なし"))</f>
        <v/>
      </c>
      <c r="X1000" s="33">
        <f>IF($A1000="","",IF(ISNUMBER($E1000),$E1000,IF(ISNUMBER($B1000),$B1000,"")))</f>
        <v/>
      </c>
      <c r="Y1000" s="34">
        <f>IF($T1000="","",$O1000+ROW()/1000000)</f>
        <v/>
      </c>
      <c r="Z1000" s="35">
        <f>IF(OR($A1000="",$C1000="",$C1000&lt;&gt;'売掛帳'!$B$3,NOT(ISNUMBER($X1000))),"",IF(AND($X1000&gt;='売掛帳'!$Q$3,$X1000&lt;='売掛帳'!$Q$4),$X1000+ROW()/10000000,""))</f>
        <v/>
      </c>
    </row>
    <row r="1001" ht="18" customHeight="1">
      <c r="A1001" s="18" t="n"/>
      <c r="B1001" s="26" t="n"/>
      <c r="C1001" s="18" t="n"/>
      <c r="D1001" s="20">
        <f>IF($W1001="","",IF($W1001="なし","※得意先にないコード",INDEX('得意先'!$C$5:$C$104,$W1001)&amp;""))</f>
        <v/>
      </c>
      <c r="E1001" s="26" t="n"/>
      <c r="F1001" s="19" t="n"/>
      <c r="G1001" s="27" t="n"/>
      <c r="H1001" s="27" t="n"/>
      <c r="I1001" s="27" t="n"/>
      <c r="J1001" s="28">
        <f>IF($A1001="","",IF('設定'!$B$10="四捨五入",ROUND(IF('設定'!$B$9="税込",N($G1001)*10/110,N($G1001)*10/100),0),IF('設定'!$B$10="切り上げ",ROUNDUP(IF('設定'!$B$9="税込",N($G1001)*10/110,N($G1001)*10/100),0),ROUNDDOWN(IF('設定'!$B$9="税込",N($G1001)*10/110,N($G1001)*10/100),0))))</f>
        <v/>
      </c>
      <c r="K1001" s="28">
        <f>IF($A1001="","",IF('設定'!$B$10="四捨五入",ROUND(IF('設定'!$B$9="税込",N($H1001)*8/108,N($H1001)*8/100),0),IF('設定'!$B$10="切り上げ",ROUNDUP(IF('設定'!$B$9="税込",N($H1001)*8/108,N($H1001)*8/100),0),ROUNDDOWN(IF('設定'!$B$9="税込",N($H1001)*8/108,N($H1001)*8/100),0))))</f>
        <v/>
      </c>
      <c r="L1001" s="28">
        <f>IF($A1001="","",N($G1001)+N($H1001)+N($I1001)+IF('設定'!$B$9="税込",0,$J1001+$K1001))</f>
        <v/>
      </c>
      <c r="M1001" s="29">
        <f>IF(OR($A1001="",NOT(ISNUMBER($W1001)),NOT(ISNUMBER($X1001))),"",IF(OR(INDEX('得意先'!$D$5:$D$104,$W1001)="",INDEX('得意先'!$E$5:$E$104,$W1001)="",INDEX('得意先'!$F$5:$F$104,$W1001)=""),"",IF(INDEX('得意先'!$F$5:$F$104,$W1001)="末",DATE(YEAR($X1001),(MONTH($X1001)+IF(INDEX('得意先'!$D$5:$D$104,$W1001)="末",0,IF(DAY($X1001)&lt;=INDEX('得意先'!$D$5:$D$104,$W1001),0,1))+N(INDEX('得意先'!$E$5:$E$104,$W1001)))+1,0),DATE(YEAR($X1001),(MONTH($X1001)+IF(INDEX('得意先'!$D$5:$D$104,$W1001)="末",0,IF(DAY($X1001)&lt;=INDEX('得意先'!$D$5:$D$104,$W1001),0,1))+N(INDEX('得意先'!$E$5:$E$104,$W1001))),MIN(INDEX('得意先'!$F$5:$F$104,$W1001),DAY(DATE(YEAR($X1001),(MONTH($X1001)+IF(INDEX('得意先'!$D$5:$D$104,$W1001)="末",0,IF(DAY($X1001)&lt;=INDEX('得意先'!$D$5:$D$104,$W1001),0,1))+N(INDEX('得意先'!$E$5:$E$104,$W1001)))+1,0)))))))</f>
        <v/>
      </c>
      <c r="N1001" s="26" t="n"/>
      <c r="O1001" s="29">
        <f>IF($A1001="","",IF(ISNUMBER($N1001),$N1001,$M1001))</f>
        <v/>
      </c>
      <c r="P1001" s="28">
        <f>IF($A1001="","",SUMIF('入金消込'!$F$5:$F$1004,$A1001,'入金消込'!$G$5:$G$1004))</f>
        <v/>
      </c>
      <c r="Q1001" s="28">
        <f>IF($A1001="","",SUMIF('入金消込'!$F$5:$F$1004,$A1001,'入金消込'!$H$5:$H$1004)+SUMIF('入金消込'!$F$5:$F$1004,$A1001,'入金消込'!$I$5:$I$1004))</f>
        <v/>
      </c>
      <c r="R1001" s="28">
        <f>IF($A1001="","",$L1001-$P1001-$Q1001)</f>
        <v/>
      </c>
      <c r="S1001" s="30">
        <f>IF($A1001="","",IF($R1001=0,IF($L1001=0,"請求額0","回収済"),IF($L1001&lt;0,IF($R1001&lt;0,"差し引き待ち","差し引きすぎ"),IF($R1001&lt;0,"入金が多い",IF($P1001+$Q1001=0,"未入金","一部入金")))))</f>
        <v/>
      </c>
      <c r="T1001" s="31">
        <f>IF(OR($A1001="",N($R1001)&lt;=0,NOT(ISNUMBER($O1001))),"",IF($O1001&lt;'設定'!$B$7,'設定'!$B$7-$O1001,""))</f>
        <v/>
      </c>
      <c r="U1001" s="30">
        <f>IF(OR($A1001="",N($R1001)&lt;=0),"",IF(NOT(ISNUMBER($O1001)),'設定'!$B$22,IF($O1001&gt;='設定'!$B$7,'設定'!$B$17,IF('設定'!$B$7-$O1001&lt;='設定'!$B$12,'設定'!$B$18,IF('設定'!$B$7-$O1001&lt;='設定'!$B$13,'設定'!$B$19,IF('設定'!$B$7-$O1001&lt;='設定'!$B$14,'設定'!$B$20,'設定'!$B$21))))))</f>
        <v/>
      </c>
      <c r="V1001" s="56" t="n"/>
      <c r="W1001" s="32">
        <f>IF($C1001="","",IFERROR(MATCH($C1001,'得意先'!$B$5:$B$104,0),"なし"))</f>
        <v/>
      </c>
      <c r="X1001" s="33">
        <f>IF($A1001="","",IF(ISNUMBER($E1001),$E1001,IF(ISNUMBER($B1001),$B1001,"")))</f>
        <v/>
      </c>
      <c r="Y1001" s="34">
        <f>IF($T1001="","",$O1001+ROW()/1000000)</f>
        <v/>
      </c>
      <c r="Z1001" s="35">
        <f>IF(OR($A1001="",$C1001="",$C1001&lt;&gt;'売掛帳'!$B$3,NOT(ISNUMBER($X1001))),"",IF(AND($X1001&gt;='売掛帳'!$Q$3,$X1001&lt;='売掛帳'!$Q$4),$X1001+ROW()/10000000,""))</f>
        <v/>
      </c>
    </row>
    <row r="1002" ht="18" customHeight="1">
      <c r="A1002" s="18" t="n"/>
      <c r="B1002" s="26" t="n"/>
      <c r="C1002" s="18" t="n"/>
      <c r="D1002" s="20">
        <f>IF($W1002="","",IF($W1002="なし","※得意先にないコード",INDEX('得意先'!$C$5:$C$104,$W1002)&amp;""))</f>
        <v/>
      </c>
      <c r="E1002" s="26" t="n"/>
      <c r="F1002" s="19" t="n"/>
      <c r="G1002" s="27" t="n"/>
      <c r="H1002" s="27" t="n"/>
      <c r="I1002" s="27" t="n"/>
      <c r="J1002" s="28">
        <f>IF($A1002="","",IF('設定'!$B$10="四捨五入",ROUND(IF('設定'!$B$9="税込",N($G1002)*10/110,N($G1002)*10/100),0),IF('設定'!$B$10="切り上げ",ROUNDUP(IF('設定'!$B$9="税込",N($G1002)*10/110,N($G1002)*10/100),0),ROUNDDOWN(IF('設定'!$B$9="税込",N($G1002)*10/110,N($G1002)*10/100),0))))</f>
        <v/>
      </c>
      <c r="K1002" s="28">
        <f>IF($A1002="","",IF('設定'!$B$10="四捨五入",ROUND(IF('設定'!$B$9="税込",N($H1002)*8/108,N($H1002)*8/100),0),IF('設定'!$B$10="切り上げ",ROUNDUP(IF('設定'!$B$9="税込",N($H1002)*8/108,N($H1002)*8/100),0),ROUNDDOWN(IF('設定'!$B$9="税込",N($H1002)*8/108,N($H1002)*8/100),0))))</f>
        <v/>
      </c>
      <c r="L1002" s="28">
        <f>IF($A1002="","",N($G1002)+N($H1002)+N($I1002)+IF('設定'!$B$9="税込",0,$J1002+$K1002))</f>
        <v/>
      </c>
      <c r="M1002" s="29">
        <f>IF(OR($A1002="",NOT(ISNUMBER($W1002)),NOT(ISNUMBER($X1002))),"",IF(OR(INDEX('得意先'!$D$5:$D$104,$W1002)="",INDEX('得意先'!$E$5:$E$104,$W1002)="",INDEX('得意先'!$F$5:$F$104,$W1002)=""),"",IF(INDEX('得意先'!$F$5:$F$104,$W1002)="末",DATE(YEAR($X1002),(MONTH($X1002)+IF(INDEX('得意先'!$D$5:$D$104,$W1002)="末",0,IF(DAY($X1002)&lt;=INDEX('得意先'!$D$5:$D$104,$W1002),0,1))+N(INDEX('得意先'!$E$5:$E$104,$W1002)))+1,0),DATE(YEAR($X1002),(MONTH($X1002)+IF(INDEX('得意先'!$D$5:$D$104,$W1002)="末",0,IF(DAY($X1002)&lt;=INDEX('得意先'!$D$5:$D$104,$W1002),0,1))+N(INDEX('得意先'!$E$5:$E$104,$W1002))),MIN(INDEX('得意先'!$F$5:$F$104,$W1002),DAY(DATE(YEAR($X1002),(MONTH($X1002)+IF(INDEX('得意先'!$D$5:$D$104,$W1002)="末",0,IF(DAY($X1002)&lt;=INDEX('得意先'!$D$5:$D$104,$W1002),0,1))+N(INDEX('得意先'!$E$5:$E$104,$W1002)))+1,0)))))))</f>
        <v/>
      </c>
      <c r="N1002" s="26" t="n"/>
      <c r="O1002" s="29">
        <f>IF($A1002="","",IF(ISNUMBER($N1002),$N1002,$M1002))</f>
        <v/>
      </c>
      <c r="P1002" s="28">
        <f>IF($A1002="","",SUMIF('入金消込'!$F$5:$F$1004,$A1002,'入金消込'!$G$5:$G$1004))</f>
        <v/>
      </c>
      <c r="Q1002" s="28">
        <f>IF($A1002="","",SUMIF('入金消込'!$F$5:$F$1004,$A1002,'入金消込'!$H$5:$H$1004)+SUMIF('入金消込'!$F$5:$F$1004,$A1002,'入金消込'!$I$5:$I$1004))</f>
        <v/>
      </c>
      <c r="R1002" s="28">
        <f>IF($A1002="","",$L1002-$P1002-$Q1002)</f>
        <v/>
      </c>
      <c r="S1002" s="30">
        <f>IF($A1002="","",IF($R1002=0,IF($L1002=0,"請求額0","回収済"),IF($L1002&lt;0,IF($R1002&lt;0,"差し引き待ち","差し引きすぎ"),IF($R1002&lt;0,"入金が多い",IF($P1002+$Q1002=0,"未入金","一部入金")))))</f>
        <v/>
      </c>
      <c r="T1002" s="31">
        <f>IF(OR($A1002="",N($R1002)&lt;=0,NOT(ISNUMBER($O1002))),"",IF($O1002&lt;'設定'!$B$7,'設定'!$B$7-$O1002,""))</f>
        <v/>
      </c>
      <c r="U1002" s="30">
        <f>IF(OR($A1002="",N($R1002)&lt;=0),"",IF(NOT(ISNUMBER($O1002)),'設定'!$B$22,IF($O1002&gt;='設定'!$B$7,'設定'!$B$17,IF('設定'!$B$7-$O1002&lt;='設定'!$B$12,'設定'!$B$18,IF('設定'!$B$7-$O1002&lt;='設定'!$B$13,'設定'!$B$19,IF('設定'!$B$7-$O1002&lt;='設定'!$B$14,'設定'!$B$20,'設定'!$B$21))))))</f>
        <v/>
      </c>
      <c r="V1002" s="56" t="n"/>
      <c r="W1002" s="32">
        <f>IF($C1002="","",IFERROR(MATCH($C1002,'得意先'!$B$5:$B$104,0),"なし"))</f>
        <v/>
      </c>
      <c r="X1002" s="33">
        <f>IF($A1002="","",IF(ISNUMBER($E1002),$E1002,IF(ISNUMBER($B1002),$B1002,"")))</f>
        <v/>
      </c>
      <c r="Y1002" s="34">
        <f>IF($T1002="","",$O1002+ROW()/1000000)</f>
        <v/>
      </c>
      <c r="Z1002" s="35">
        <f>IF(OR($A1002="",$C1002="",$C1002&lt;&gt;'売掛帳'!$B$3,NOT(ISNUMBER($X1002))),"",IF(AND($X1002&gt;='売掛帳'!$Q$3,$X1002&lt;='売掛帳'!$Q$4),$X1002+ROW()/10000000,""))</f>
        <v/>
      </c>
    </row>
    <row r="1003" ht="18" customHeight="1">
      <c r="A1003" s="18" t="n"/>
      <c r="B1003" s="26" t="n"/>
      <c r="C1003" s="18" t="n"/>
      <c r="D1003" s="20">
        <f>IF($W1003="","",IF($W1003="なし","※得意先にないコード",INDEX('得意先'!$C$5:$C$104,$W1003)&amp;""))</f>
        <v/>
      </c>
      <c r="E1003" s="26" t="n"/>
      <c r="F1003" s="19" t="n"/>
      <c r="G1003" s="27" t="n"/>
      <c r="H1003" s="27" t="n"/>
      <c r="I1003" s="27" t="n"/>
      <c r="J1003" s="28">
        <f>IF($A1003="","",IF('設定'!$B$10="四捨五入",ROUND(IF('設定'!$B$9="税込",N($G1003)*10/110,N($G1003)*10/100),0),IF('設定'!$B$10="切り上げ",ROUNDUP(IF('設定'!$B$9="税込",N($G1003)*10/110,N($G1003)*10/100),0),ROUNDDOWN(IF('設定'!$B$9="税込",N($G1003)*10/110,N($G1003)*10/100),0))))</f>
        <v/>
      </c>
      <c r="K1003" s="28">
        <f>IF($A1003="","",IF('設定'!$B$10="四捨五入",ROUND(IF('設定'!$B$9="税込",N($H1003)*8/108,N($H1003)*8/100),0),IF('設定'!$B$10="切り上げ",ROUNDUP(IF('設定'!$B$9="税込",N($H1003)*8/108,N($H1003)*8/100),0),ROUNDDOWN(IF('設定'!$B$9="税込",N($H1003)*8/108,N($H1003)*8/100),0))))</f>
        <v/>
      </c>
      <c r="L1003" s="28">
        <f>IF($A1003="","",N($G1003)+N($H1003)+N($I1003)+IF('設定'!$B$9="税込",0,$J1003+$K1003))</f>
        <v/>
      </c>
      <c r="M1003" s="29">
        <f>IF(OR($A1003="",NOT(ISNUMBER($W1003)),NOT(ISNUMBER($X1003))),"",IF(OR(INDEX('得意先'!$D$5:$D$104,$W1003)="",INDEX('得意先'!$E$5:$E$104,$W1003)="",INDEX('得意先'!$F$5:$F$104,$W1003)=""),"",IF(INDEX('得意先'!$F$5:$F$104,$W1003)="末",DATE(YEAR($X1003),(MONTH($X1003)+IF(INDEX('得意先'!$D$5:$D$104,$W1003)="末",0,IF(DAY($X1003)&lt;=INDEX('得意先'!$D$5:$D$104,$W1003),0,1))+N(INDEX('得意先'!$E$5:$E$104,$W1003)))+1,0),DATE(YEAR($X1003),(MONTH($X1003)+IF(INDEX('得意先'!$D$5:$D$104,$W1003)="末",0,IF(DAY($X1003)&lt;=INDEX('得意先'!$D$5:$D$104,$W1003),0,1))+N(INDEX('得意先'!$E$5:$E$104,$W1003))),MIN(INDEX('得意先'!$F$5:$F$104,$W1003),DAY(DATE(YEAR($X1003),(MONTH($X1003)+IF(INDEX('得意先'!$D$5:$D$104,$W1003)="末",0,IF(DAY($X1003)&lt;=INDEX('得意先'!$D$5:$D$104,$W1003),0,1))+N(INDEX('得意先'!$E$5:$E$104,$W1003)))+1,0)))))))</f>
        <v/>
      </c>
      <c r="N1003" s="26" t="n"/>
      <c r="O1003" s="29">
        <f>IF($A1003="","",IF(ISNUMBER($N1003),$N1003,$M1003))</f>
        <v/>
      </c>
      <c r="P1003" s="28">
        <f>IF($A1003="","",SUMIF('入金消込'!$F$5:$F$1004,$A1003,'入金消込'!$G$5:$G$1004))</f>
        <v/>
      </c>
      <c r="Q1003" s="28">
        <f>IF($A1003="","",SUMIF('入金消込'!$F$5:$F$1004,$A1003,'入金消込'!$H$5:$H$1004)+SUMIF('入金消込'!$F$5:$F$1004,$A1003,'入金消込'!$I$5:$I$1004))</f>
        <v/>
      </c>
      <c r="R1003" s="28">
        <f>IF($A1003="","",$L1003-$P1003-$Q1003)</f>
        <v/>
      </c>
      <c r="S1003" s="30">
        <f>IF($A1003="","",IF($R1003=0,IF($L1003=0,"請求額0","回収済"),IF($L1003&lt;0,IF($R1003&lt;0,"差し引き待ち","差し引きすぎ"),IF($R1003&lt;0,"入金が多い",IF($P1003+$Q1003=0,"未入金","一部入金")))))</f>
        <v/>
      </c>
      <c r="T1003" s="31">
        <f>IF(OR($A1003="",N($R1003)&lt;=0,NOT(ISNUMBER($O1003))),"",IF($O1003&lt;'設定'!$B$7,'設定'!$B$7-$O1003,""))</f>
        <v/>
      </c>
      <c r="U1003" s="30">
        <f>IF(OR($A1003="",N($R1003)&lt;=0),"",IF(NOT(ISNUMBER($O1003)),'設定'!$B$22,IF($O1003&gt;='設定'!$B$7,'設定'!$B$17,IF('設定'!$B$7-$O1003&lt;='設定'!$B$12,'設定'!$B$18,IF('設定'!$B$7-$O1003&lt;='設定'!$B$13,'設定'!$B$19,IF('設定'!$B$7-$O1003&lt;='設定'!$B$14,'設定'!$B$20,'設定'!$B$21))))))</f>
        <v/>
      </c>
      <c r="V1003" s="56" t="n"/>
      <c r="W1003" s="32">
        <f>IF($C1003="","",IFERROR(MATCH($C1003,'得意先'!$B$5:$B$104,0),"なし"))</f>
        <v/>
      </c>
      <c r="X1003" s="33">
        <f>IF($A1003="","",IF(ISNUMBER($E1003),$E1003,IF(ISNUMBER($B1003),$B1003,"")))</f>
        <v/>
      </c>
      <c r="Y1003" s="34">
        <f>IF($T1003="","",$O1003+ROW()/1000000)</f>
        <v/>
      </c>
      <c r="Z1003" s="35">
        <f>IF(OR($A1003="",$C1003="",$C1003&lt;&gt;'売掛帳'!$B$3,NOT(ISNUMBER($X1003))),"",IF(AND($X1003&gt;='売掛帳'!$Q$3,$X1003&lt;='売掛帳'!$Q$4),$X1003+ROW()/10000000,""))</f>
        <v/>
      </c>
    </row>
    <row r="1004" ht="18" customHeight="1">
      <c r="A1004" s="18" t="n"/>
      <c r="B1004" s="26" t="n"/>
      <c r="C1004" s="18" t="n"/>
      <c r="D1004" s="20">
        <f>IF($W1004="","",IF($W1004="なし","※得意先にないコード",INDEX('得意先'!$C$5:$C$104,$W1004)&amp;""))</f>
        <v/>
      </c>
      <c r="E1004" s="26" t="n"/>
      <c r="F1004" s="19" t="n"/>
      <c r="G1004" s="27" t="n"/>
      <c r="H1004" s="27" t="n"/>
      <c r="I1004" s="27" t="n"/>
      <c r="J1004" s="28">
        <f>IF($A1004="","",IF('設定'!$B$10="四捨五入",ROUND(IF('設定'!$B$9="税込",N($G1004)*10/110,N($G1004)*10/100),0),IF('設定'!$B$10="切り上げ",ROUNDUP(IF('設定'!$B$9="税込",N($G1004)*10/110,N($G1004)*10/100),0),ROUNDDOWN(IF('設定'!$B$9="税込",N($G1004)*10/110,N($G1004)*10/100),0))))</f>
        <v/>
      </c>
      <c r="K1004" s="28">
        <f>IF($A1004="","",IF('設定'!$B$10="四捨五入",ROUND(IF('設定'!$B$9="税込",N($H1004)*8/108,N($H1004)*8/100),0),IF('設定'!$B$10="切り上げ",ROUNDUP(IF('設定'!$B$9="税込",N($H1004)*8/108,N($H1004)*8/100),0),ROUNDDOWN(IF('設定'!$B$9="税込",N($H1004)*8/108,N($H1004)*8/100),0))))</f>
        <v/>
      </c>
      <c r="L1004" s="28">
        <f>IF($A1004="","",N($G1004)+N($H1004)+N($I1004)+IF('設定'!$B$9="税込",0,$J1004+$K1004))</f>
        <v/>
      </c>
      <c r="M1004" s="29">
        <f>IF(OR($A1004="",NOT(ISNUMBER($W1004)),NOT(ISNUMBER($X1004))),"",IF(OR(INDEX('得意先'!$D$5:$D$104,$W1004)="",INDEX('得意先'!$E$5:$E$104,$W1004)="",INDEX('得意先'!$F$5:$F$104,$W1004)=""),"",IF(INDEX('得意先'!$F$5:$F$104,$W1004)="末",DATE(YEAR($X1004),(MONTH($X1004)+IF(INDEX('得意先'!$D$5:$D$104,$W1004)="末",0,IF(DAY($X1004)&lt;=INDEX('得意先'!$D$5:$D$104,$W1004),0,1))+N(INDEX('得意先'!$E$5:$E$104,$W1004)))+1,0),DATE(YEAR($X1004),(MONTH($X1004)+IF(INDEX('得意先'!$D$5:$D$104,$W1004)="末",0,IF(DAY($X1004)&lt;=INDEX('得意先'!$D$5:$D$104,$W1004),0,1))+N(INDEX('得意先'!$E$5:$E$104,$W1004))),MIN(INDEX('得意先'!$F$5:$F$104,$W1004),DAY(DATE(YEAR($X1004),(MONTH($X1004)+IF(INDEX('得意先'!$D$5:$D$104,$W1004)="末",0,IF(DAY($X1004)&lt;=INDEX('得意先'!$D$5:$D$104,$W1004),0,1))+N(INDEX('得意先'!$E$5:$E$104,$W1004)))+1,0)))))))</f>
        <v/>
      </c>
      <c r="N1004" s="26" t="n"/>
      <c r="O1004" s="29">
        <f>IF($A1004="","",IF(ISNUMBER($N1004),$N1004,$M1004))</f>
        <v/>
      </c>
      <c r="P1004" s="28">
        <f>IF($A1004="","",SUMIF('入金消込'!$F$5:$F$1004,$A1004,'入金消込'!$G$5:$G$1004))</f>
        <v/>
      </c>
      <c r="Q1004" s="28">
        <f>IF($A1004="","",SUMIF('入金消込'!$F$5:$F$1004,$A1004,'入金消込'!$H$5:$H$1004)+SUMIF('入金消込'!$F$5:$F$1004,$A1004,'入金消込'!$I$5:$I$1004))</f>
        <v/>
      </c>
      <c r="R1004" s="28">
        <f>IF($A1004="","",$L1004-$P1004-$Q1004)</f>
        <v/>
      </c>
      <c r="S1004" s="30">
        <f>IF($A1004="","",IF($R1004=0,IF($L1004=0,"請求額0","回収済"),IF($L1004&lt;0,IF($R1004&lt;0,"差し引き待ち","差し引きすぎ"),IF($R1004&lt;0,"入金が多い",IF($P1004+$Q1004=0,"未入金","一部入金")))))</f>
        <v/>
      </c>
      <c r="T1004" s="31">
        <f>IF(OR($A1004="",N($R1004)&lt;=0,NOT(ISNUMBER($O1004))),"",IF($O1004&lt;'設定'!$B$7,'設定'!$B$7-$O1004,""))</f>
        <v/>
      </c>
      <c r="U1004" s="30">
        <f>IF(OR($A1004="",N($R1004)&lt;=0),"",IF(NOT(ISNUMBER($O1004)),'設定'!$B$22,IF($O1004&gt;='設定'!$B$7,'設定'!$B$17,IF('設定'!$B$7-$O1004&lt;='設定'!$B$12,'設定'!$B$18,IF('設定'!$B$7-$O1004&lt;='設定'!$B$13,'設定'!$B$19,IF('設定'!$B$7-$O1004&lt;='設定'!$B$14,'設定'!$B$20,'設定'!$B$21))))))</f>
        <v/>
      </c>
      <c r="V1004" s="56" t="n"/>
      <c r="W1004" s="32">
        <f>IF($C1004="","",IFERROR(MATCH($C1004,'得意先'!$B$5:$B$104,0),"なし"))</f>
        <v/>
      </c>
      <c r="X1004" s="33">
        <f>IF($A1004="","",IF(ISNUMBER($E1004),$E1004,IF(ISNUMBER($B1004),$B1004,"")))</f>
        <v/>
      </c>
      <c r="Y1004" s="34">
        <f>IF($T1004="","",$O1004+ROW()/1000000)</f>
        <v/>
      </c>
      <c r="Z1004" s="35">
        <f>IF(OR($A1004="",$C1004="",$C1004&lt;&gt;'売掛帳'!$B$3,NOT(ISNUMBER($X1004))),"",IF(AND($X1004&gt;='売掛帳'!$Q$3,$X1004&lt;='売掛帳'!$Q$4),$X1004+ROW()/10000000,""))</f>
        <v/>
      </c>
    </row>
  </sheetData>
  <autoFilter ref="A4:U1004"/>
  <mergeCells count="4">
    <mergeCell ref="A1:U1"/>
    <mergeCell ref="P3:Q3"/>
    <mergeCell ref="C3:F3"/>
    <mergeCell ref="A2:U2"/>
  </mergeCells>
  <conditionalFormatting sqref="A5:A1004">
    <cfRule type="expression" priority="1" dxfId="0">
      <formula>AND($A5&lt;&gt;"",COUNTIF($A$5:$A$1004,$A5)&gt;1)</formula>
    </cfRule>
  </conditionalFormatting>
  <conditionalFormatting sqref="D5:D1004">
    <cfRule type="expression" priority="2" dxfId="0">
      <formula>$D5="※得意先にないコード"</formula>
    </cfRule>
  </conditionalFormatting>
  <conditionalFormatting sqref="S5:U1004">
    <cfRule type="expression" priority="3" dxfId="0">
      <formula>AND(ISNUMBER($T5),$T5&gt;'設定'!$B$13)</formula>
    </cfRule>
    <cfRule type="expression" priority="4" dxfId="1">
      <formula>ISNUMBER($T5)</formula>
    </cfRule>
  </conditionalFormatting>
  <conditionalFormatting sqref="S5:S1004">
    <cfRule type="expression" priority="5" dxfId="1">
      <formula>OR($S5="入金が多い",$S5="差し引き待ち",$S5="差し引きすぎ")</formula>
    </cfRule>
  </conditionalFormatting>
  <dataValidations count="6">
    <dataValidation sqref="A5:A1004" showDropDown="0" showInputMessage="0" showErrorMessage="1" allowBlank="1" errorTitle="請求Noが重なっています" error="同じ請求Noがすでにあります。請求Noは1件に1つです。" type="custom">
      <formula1>COUNTIF($A$5:$A$1004,A5)=1</formula1>
    </dataValidation>
    <dataValidation sqref="B5:B1004" showDropDown="0" showInputMessage="0" showErrorMessage="1" allowBlank="1" errorTitle="日付で入力してください" error="2026/9/30 のように、日付として入力してください。" type="date" operator="greaterThanOrEqual">
      <formula1>36526</formula1>
    </dataValidation>
    <dataValidation sqref="E5:E1004" showDropDown="0" showInputMessage="0" showErrorMessage="1" allowBlank="1" errorTitle="日付で入力してください" error="2026/9/30 のように、日付として入力してください。" type="date" operator="greaterThanOrEqual">
      <formula1>36526</formula1>
    </dataValidation>
    <dataValidation sqref="N5:N1004" showDropDown="0" showInputMessage="0" showErrorMessage="1" allowBlank="1" errorTitle="日付で入力してください" error="2026/9/30 のように、日付として入力してください。" type="date" operator="greaterThanOrEqual">
      <formula1>36526</formula1>
    </dataValidation>
    <dataValidation sqref="C5:C1004" showDropDown="0" showInputMessage="0" showErrorMessage="1" allowBlank="1" errorTitle="一覧から選んでください" error="「得意先」シートのコードから選んでください。" type="list">
      <formula1>='得意先'!$B$5:$B$104</formula1>
    </dataValidation>
    <dataValidation sqref="G5:I1004" showDropDown="0" showInputMessage="0" showErrorMessage="1" allowBlank="1" errorTitle="金額" error="円単位の整数で入れてください（返品・値引きの取り消しはマイナス）。" type="whole" operator="between">
      <formula1>-9999999999</formula1>
      <formula2>9999999999</formula2>
    </dataValidation>
  </dataValidations>
  <pageMargins left="0.4" right="0.4" top="0.45" bottom="0.45" header="0.2" footer="0.2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tabColor rgb="001B3A5C"/>
    <outlinePr summaryBelow="1" summaryRight="1"/>
    <pageSetUpPr fitToPage="1"/>
  </sheetPr>
  <dimension ref="A1:R1004"/>
  <sheetViews>
    <sheetView showGridLines="0" tabSelected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.5" customWidth="1" min="1" max="1"/>
    <col width="7" customWidth="1" min="2" max="2"/>
    <col width="8" customWidth="1" min="3" max="3"/>
    <col width="20" customWidth="1" min="4" max="4"/>
    <col width="13" customWidth="1" min="5" max="5"/>
    <col width="10" customWidth="1" min="6" max="6"/>
    <col width="12" customWidth="1" min="7" max="7"/>
    <col width="10" customWidth="1" min="8" max="8"/>
    <col width="10" customWidth="1" min="9" max="9"/>
    <col width="12" customWidth="1" min="10" max="10"/>
    <col width="11" customWidth="1" min="11" max="11"/>
    <col width="26" customWidth="1" min="12" max="12"/>
    <col width="34" customWidth="1" min="13" max="13"/>
    <col width="2" customWidth="1" min="14" max="14"/>
    <col width="7" customWidth="1" min="15" max="15"/>
    <col width="9" customWidth="1" min="16" max="16"/>
    <col width="13" customWidth="1" min="17" max="17"/>
    <col width="6" customWidth="1" min="18" max="18"/>
  </cols>
  <sheetData>
    <row r="1" ht="26" customHeight="1">
      <c r="A1" s="55" t="inlineStr">
        <is>
          <t>入金消込（1回の入金のうち、1枚の請求に当てた分を1行）</t>
        </is>
      </c>
      <c r="B1" s="56" t="n"/>
      <c r="C1" s="56" t="n"/>
      <c r="D1" s="56" t="n"/>
      <c r="E1" s="56" t="n"/>
      <c r="F1" s="56" t="n"/>
      <c r="G1" s="56" t="n"/>
      <c r="H1" s="56" t="n"/>
      <c r="I1" s="56" t="n"/>
      <c r="J1" s="56" t="n"/>
      <c r="K1" s="56" t="n"/>
      <c r="L1" s="56" t="n"/>
      <c r="M1" s="56" t="n"/>
      <c r="N1" s="56" t="n"/>
      <c r="O1" s="56" t="n"/>
      <c r="P1" s="56" t="n"/>
      <c r="Q1" s="56" t="n"/>
      <c r="R1" s="56" t="n"/>
    </row>
    <row r="2" ht="30" customHeight="1">
      <c r="A2" s="59" t="inlineStr">
        <is>
          <t>通帳の1回の入金ごとに入金Noを付けます。複数の請求に当てるときは同じ入金Noで行を分け、通帳の入金額は最初の行にだけ入れます。振込手数料を差し引かれたら、入った額を「入金を当てた額」、差し引かれた額を「差し引かれた振込手数料」に入れます。何の入金か分からないときは請求Noを空にします。</t>
        </is>
      </c>
      <c r="B2" s="56" t="n"/>
      <c r="C2" s="56" t="n"/>
      <c r="D2" s="56" t="n"/>
      <c r="E2" s="56" t="n"/>
      <c r="F2" s="56" t="n"/>
      <c r="G2" s="56" t="n"/>
      <c r="H2" s="56" t="n"/>
      <c r="I2" s="56" t="n"/>
      <c r="J2" s="56" t="n"/>
      <c r="K2" s="56" t="n"/>
      <c r="L2" s="56" t="n"/>
      <c r="M2" s="56" t="n"/>
      <c r="N2" s="56" t="n"/>
      <c r="O2" s="56" t="n"/>
      <c r="P2" s="56" t="n"/>
      <c r="Q2" s="56" t="n"/>
      <c r="R2" s="56" t="n"/>
    </row>
    <row r="3" ht="20" customHeight="1">
      <c r="A3" s="60" t="inlineStr">
        <is>
          <t>確認がOK以外</t>
        </is>
      </c>
      <c r="B3" s="66" t="n"/>
      <c r="C3" s="60">
        <f>COUNTIF($L$5:$L$1004,"?*")-COUNTIF($L$5:$L$1004,"OK")&amp;"行"</f>
        <v/>
      </c>
      <c r="D3" s="60" t="inlineStr">
        <is>
          <t>消込先が未定の入金</t>
        </is>
      </c>
      <c r="E3" s="67">
        <f>SUMIF($R$5:$R$1004,1,$G$5:$G$1004)</f>
        <v/>
      </c>
      <c r="F3" s="56" t="n"/>
      <c r="G3" s="56" t="n"/>
      <c r="H3" s="56" t="n"/>
      <c r="I3" s="56" t="n"/>
      <c r="J3" s="56" t="n"/>
      <c r="K3" s="56" t="n"/>
      <c r="L3" s="56" t="n"/>
      <c r="M3" s="56" t="n"/>
      <c r="N3" s="56" t="n"/>
      <c r="O3" s="56" t="n"/>
      <c r="P3" s="56" t="n"/>
      <c r="Q3" s="56" t="n"/>
      <c r="R3" s="56" t="n"/>
    </row>
    <row r="4" ht="44" customHeight="1">
      <c r="A4" s="15" t="inlineStr">
        <is>
          <t>入金日</t>
        </is>
      </c>
      <c r="B4" s="15" t="inlineStr">
        <is>
          <t>入金No</t>
        </is>
      </c>
      <c r="C4" s="15" t="inlineStr">
        <is>
          <t>得意先コード</t>
        </is>
      </c>
      <c r="D4" s="16" t="inlineStr">
        <is>
          <t>得意先名</t>
        </is>
      </c>
      <c r="E4" s="15" t="inlineStr">
        <is>
          <t>通帳の入金額（入金Noの最初の行だけ）</t>
        </is>
      </c>
      <c r="F4" s="15" t="inlineStr">
        <is>
          <t>消込する請求No</t>
        </is>
      </c>
      <c r="G4" s="15" t="inlineStr">
        <is>
          <t>入金を当てた額</t>
        </is>
      </c>
      <c r="H4" s="15" t="inlineStr">
        <is>
          <t>差し引かれた振込手数料</t>
        </is>
      </c>
      <c r="I4" s="15" t="inlineStr">
        <is>
          <t>その他の差引（値引・相殺）</t>
        </is>
      </c>
      <c r="J4" s="16" t="inlineStr">
        <is>
          <t>消込額の合計</t>
        </is>
      </c>
      <c r="K4" s="16" t="inlineStr">
        <is>
          <t>請求の未回収残</t>
        </is>
      </c>
      <c r="L4" s="16" t="inlineStr">
        <is>
          <t>確認</t>
        </is>
      </c>
      <c r="M4" s="15" t="inlineStr">
        <is>
          <t>メモ</t>
        </is>
      </c>
      <c r="N4" s="56" t="n"/>
      <c r="O4" s="25" t="inlineStr">
        <is>
          <t>作業:請求の行</t>
        </is>
      </c>
      <c r="P4" s="25" t="inlineStr">
        <is>
          <t>作業:計上する得意先</t>
        </is>
      </c>
      <c r="Q4" s="25" t="inlineStr">
        <is>
          <t>作業:売掛帳キー</t>
        </is>
      </c>
      <c r="R4" s="25" t="inlineStr">
        <is>
          <t>作業:消込先未定</t>
        </is>
      </c>
    </row>
    <row r="5" ht="18" customHeight="1">
      <c r="A5" s="26" t="n"/>
      <c r="B5" s="18" t="n"/>
      <c r="C5" s="18" t="n"/>
      <c r="D5" s="20">
        <f>IF($P5="","",IFERROR(INDEX('得意先'!$C$5:$C$104,MATCH($P5,'得意先'!$B$5:$B$104,0))&amp;"","※得意先にないコード"))</f>
        <v/>
      </c>
      <c r="E5" s="27" t="n"/>
      <c r="F5" s="18" t="n"/>
      <c r="G5" s="27" t="n"/>
      <c r="H5" s="27" t="n"/>
      <c r="I5" s="27" t="n"/>
      <c r="J5" s="28">
        <f>IF(NOT(OR($A5&lt;&gt;"",$E5&lt;&gt;"",$F5&lt;&gt;"",$G5&lt;&gt;"",$H5&lt;&gt;"",$I5&lt;&gt;"")),"",N($G5)+N($H5)+N($I5))</f>
        <v/>
      </c>
      <c r="K5" s="28">
        <f>IF(ISNUMBER($O5),INDEX('請求台帳'!$R$5:$R$1004,$O5),"")</f>
        <v/>
      </c>
      <c r="L5" s="20">
        <f>IF(NOT(OR($A5&lt;&gt;"",$E5&lt;&gt;"",$F5&lt;&gt;"",$G5&lt;&gt;"",$H5&lt;&gt;"",$I5&lt;&gt;"")),"",IF(NOT(ISNUMBER($A5)),"入金日がありません",IF(AND($F5&lt;&gt;"",$O5="なし"),"請求Noが請求台帳にありません",IF(AND(ISNUMBER($O5),$C5&lt;&gt;"",$C5&lt;&gt;$P5),"請求の得意先は "&amp;$P5&amp;" です",IF(ROUND(IF($B5&lt;&gt;"",SUMIF($B$5:$B$1004,$B5,$E$5:$E$1004)-SUMIF($B$5:$B$1004,$B5,$G$5:$G$1004),N($E5)-N($G5)),0)&lt;&gt;0,"通帳の額と当てた額の差 "&amp;TEXT(IF($B5&lt;&gt;"",SUMIF($B$5:$B$1004,$B5,$E$5:$E$1004)-SUMIF($B$5:$B$1004,$B5,$G$5:$G$1004),N($E5)-N($G5)),"#,##0"),IF(AND(ISNUMBER($O5),N($K5)&lt;0),"請求額より多く消し込んでいます",IF($F5="","消込先が未定","OK")))))))</f>
        <v/>
      </c>
      <c r="M5" s="19" t="n"/>
      <c r="N5" s="56" t="n"/>
      <c r="O5" s="32">
        <f>IF($F5="","",IFERROR(MATCH($F5,'請求台帳'!$A$5:$A$1004,0),"なし"))</f>
        <v/>
      </c>
      <c r="P5" s="37">
        <f>IF(NOT(OR($A5&lt;&gt;"",$E5&lt;&gt;"",$F5&lt;&gt;"",$G5&lt;&gt;"",$H5&lt;&gt;"",$I5&lt;&gt;"")),"",IF(ISNUMBER($O5),IF(INDEX('請求台帳'!$C$5:$C$1004,$O5)="","",INDEX('請求台帳'!$C$5:$C$1004,$O5)),IF($C5="","",$C5)))</f>
        <v/>
      </c>
      <c r="Q5" s="35">
        <f>IF(OR(NOT(OR($A5&lt;&gt;"",$E5&lt;&gt;"",$F5&lt;&gt;"",$G5&lt;&gt;"",$H5&lt;&gt;"",$I5&lt;&gt;"")),$P5="",$P5&lt;&gt;'売掛帳'!$B$3,NOT(ISNUMBER($A5)),N($G5)+N($H5)+N($I5)=0),"",IF(AND($A5&gt;='売掛帳'!$Q$3,$A5&lt;='売掛帳'!$Q$4),$A5+0.5+ROW()/10000000,""))</f>
        <v/>
      </c>
      <c r="R5" s="32">
        <f>IF(AND(OR($A5&lt;&gt;"",$E5&lt;&gt;"",$F5&lt;&gt;"",$G5&lt;&gt;"",$H5&lt;&gt;"",$I5&lt;&gt;""),NOT(ISNUMBER($O5))),1,"")</f>
        <v/>
      </c>
    </row>
    <row r="6" ht="18" customHeight="1">
      <c r="A6" s="26" t="n"/>
      <c r="B6" s="18" t="n"/>
      <c r="C6" s="18" t="n"/>
      <c r="D6" s="20">
        <f>IF($P6="","",IFERROR(INDEX('得意先'!$C$5:$C$104,MATCH($P6,'得意先'!$B$5:$B$104,0))&amp;"","※得意先にないコード"))</f>
        <v/>
      </c>
      <c r="E6" s="27" t="n"/>
      <c r="F6" s="18" t="n"/>
      <c r="G6" s="27" t="n"/>
      <c r="H6" s="27" t="n"/>
      <c r="I6" s="27" t="n"/>
      <c r="J6" s="28">
        <f>IF(NOT(OR($A6&lt;&gt;"",$E6&lt;&gt;"",$F6&lt;&gt;"",$G6&lt;&gt;"",$H6&lt;&gt;"",$I6&lt;&gt;"")),"",N($G6)+N($H6)+N($I6))</f>
        <v/>
      </c>
      <c r="K6" s="28">
        <f>IF(ISNUMBER($O6),INDEX('請求台帳'!$R$5:$R$1004,$O6),"")</f>
        <v/>
      </c>
      <c r="L6" s="20">
        <f>IF(NOT(OR($A6&lt;&gt;"",$E6&lt;&gt;"",$F6&lt;&gt;"",$G6&lt;&gt;"",$H6&lt;&gt;"",$I6&lt;&gt;"")),"",IF(NOT(ISNUMBER($A6)),"入金日がありません",IF(AND($F6&lt;&gt;"",$O6="なし"),"請求Noが請求台帳にありません",IF(AND(ISNUMBER($O6),$C6&lt;&gt;"",$C6&lt;&gt;$P6),"請求の得意先は "&amp;$P6&amp;" です",IF(ROUND(IF($B6&lt;&gt;"",SUMIF($B$5:$B$1004,$B6,$E$5:$E$1004)-SUMIF($B$5:$B$1004,$B6,$G$5:$G$1004),N($E6)-N($G6)),0)&lt;&gt;0,"通帳の額と当てた額の差 "&amp;TEXT(IF($B6&lt;&gt;"",SUMIF($B$5:$B$1004,$B6,$E$5:$E$1004)-SUMIF($B$5:$B$1004,$B6,$G$5:$G$1004),N($E6)-N($G6)),"#,##0"),IF(AND(ISNUMBER($O6),N($K6)&lt;0),"請求額より多く消し込んでいます",IF($F6="","消込先が未定","OK")))))))</f>
        <v/>
      </c>
      <c r="M6" s="19" t="n"/>
      <c r="N6" s="56" t="n"/>
      <c r="O6" s="32">
        <f>IF($F6="","",IFERROR(MATCH($F6,'請求台帳'!$A$5:$A$1004,0),"なし"))</f>
        <v/>
      </c>
      <c r="P6" s="37">
        <f>IF(NOT(OR($A6&lt;&gt;"",$E6&lt;&gt;"",$F6&lt;&gt;"",$G6&lt;&gt;"",$H6&lt;&gt;"",$I6&lt;&gt;"")),"",IF(ISNUMBER($O6),IF(INDEX('請求台帳'!$C$5:$C$1004,$O6)="","",INDEX('請求台帳'!$C$5:$C$1004,$O6)),IF($C6="","",$C6)))</f>
        <v/>
      </c>
      <c r="Q6" s="35">
        <f>IF(OR(NOT(OR($A6&lt;&gt;"",$E6&lt;&gt;"",$F6&lt;&gt;"",$G6&lt;&gt;"",$H6&lt;&gt;"",$I6&lt;&gt;"")),$P6="",$P6&lt;&gt;'売掛帳'!$B$3,NOT(ISNUMBER($A6)),N($G6)+N($H6)+N($I6)=0),"",IF(AND($A6&gt;='売掛帳'!$Q$3,$A6&lt;='売掛帳'!$Q$4),$A6+0.5+ROW()/10000000,""))</f>
        <v/>
      </c>
      <c r="R6" s="32">
        <f>IF(AND(OR($A6&lt;&gt;"",$E6&lt;&gt;"",$F6&lt;&gt;"",$G6&lt;&gt;"",$H6&lt;&gt;"",$I6&lt;&gt;""),NOT(ISNUMBER($O6))),1,"")</f>
        <v/>
      </c>
    </row>
    <row r="7" ht="18" customHeight="1">
      <c r="A7" s="26" t="n"/>
      <c r="B7" s="18" t="n"/>
      <c r="C7" s="18" t="n"/>
      <c r="D7" s="20">
        <f>IF($P7="","",IFERROR(INDEX('得意先'!$C$5:$C$104,MATCH($P7,'得意先'!$B$5:$B$104,0))&amp;"","※得意先にないコード"))</f>
        <v/>
      </c>
      <c r="E7" s="27" t="n"/>
      <c r="F7" s="18" t="n"/>
      <c r="G7" s="27" t="n"/>
      <c r="H7" s="27" t="n"/>
      <c r="I7" s="27" t="n"/>
      <c r="J7" s="28">
        <f>IF(NOT(OR($A7&lt;&gt;"",$E7&lt;&gt;"",$F7&lt;&gt;"",$G7&lt;&gt;"",$H7&lt;&gt;"",$I7&lt;&gt;"")),"",N($G7)+N($H7)+N($I7))</f>
        <v/>
      </c>
      <c r="K7" s="28">
        <f>IF(ISNUMBER($O7),INDEX('請求台帳'!$R$5:$R$1004,$O7),"")</f>
        <v/>
      </c>
      <c r="L7" s="20">
        <f>IF(NOT(OR($A7&lt;&gt;"",$E7&lt;&gt;"",$F7&lt;&gt;"",$G7&lt;&gt;"",$H7&lt;&gt;"",$I7&lt;&gt;"")),"",IF(NOT(ISNUMBER($A7)),"入金日がありません",IF(AND($F7&lt;&gt;"",$O7="なし"),"請求Noが請求台帳にありません",IF(AND(ISNUMBER($O7),$C7&lt;&gt;"",$C7&lt;&gt;$P7),"請求の得意先は "&amp;$P7&amp;" です",IF(ROUND(IF($B7&lt;&gt;"",SUMIF($B$5:$B$1004,$B7,$E$5:$E$1004)-SUMIF($B$5:$B$1004,$B7,$G$5:$G$1004),N($E7)-N($G7)),0)&lt;&gt;0,"通帳の額と当てた額の差 "&amp;TEXT(IF($B7&lt;&gt;"",SUMIF($B$5:$B$1004,$B7,$E$5:$E$1004)-SUMIF($B$5:$B$1004,$B7,$G$5:$G$1004),N($E7)-N($G7)),"#,##0"),IF(AND(ISNUMBER($O7),N($K7)&lt;0),"請求額より多く消し込んでいます",IF($F7="","消込先が未定","OK")))))))</f>
        <v/>
      </c>
      <c r="M7" s="19" t="n"/>
      <c r="N7" s="56" t="n"/>
      <c r="O7" s="32">
        <f>IF($F7="","",IFERROR(MATCH($F7,'請求台帳'!$A$5:$A$1004,0),"なし"))</f>
        <v/>
      </c>
      <c r="P7" s="37">
        <f>IF(NOT(OR($A7&lt;&gt;"",$E7&lt;&gt;"",$F7&lt;&gt;"",$G7&lt;&gt;"",$H7&lt;&gt;"",$I7&lt;&gt;"")),"",IF(ISNUMBER($O7),IF(INDEX('請求台帳'!$C$5:$C$1004,$O7)="","",INDEX('請求台帳'!$C$5:$C$1004,$O7)),IF($C7="","",$C7)))</f>
        <v/>
      </c>
      <c r="Q7" s="35">
        <f>IF(OR(NOT(OR($A7&lt;&gt;"",$E7&lt;&gt;"",$F7&lt;&gt;"",$G7&lt;&gt;"",$H7&lt;&gt;"",$I7&lt;&gt;"")),$P7="",$P7&lt;&gt;'売掛帳'!$B$3,NOT(ISNUMBER($A7)),N($G7)+N($H7)+N($I7)=0),"",IF(AND($A7&gt;='売掛帳'!$Q$3,$A7&lt;='売掛帳'!$Q$4),$A7+0.5+ROW()/10000000,""))</f>
        <v/>
      </c>
      <c r="R7" s="32">
        <f>IF(AND(OR($A7&lt;&gt;"",$E7&lt;&gt;"",$F7&lt;&gt;"",$G7&lt;&gt;"",$H7&lt;&gt;"",$I7&lt;&gt;""),NOT(ISNUMBER($O7))),1,"")</f>
        <v/>
      </c>
    </row>
    <row r="8" ht="18" customHeight="1">
      <c r="A8" s="26" t="n"/>
      <c r="B8" s="18" t="n"/>
      <c r="C8" s="18" t="n"/>
      <c r="D8" s="20">
        <f>IF($P8="","",IFERROR(INDEX('得意先'!$C$5:$C$104,MATCH($P8,'得意先'!$B$5:$B$104,0))&amp;"","※得意先にないコード"))</f>
        <v/>
      </c>
      <c r="E8" s="27" t="n"/>
      <c r="F8" s="18" t="n"/>
      <c r="G8" s="27" t="n"/>
      <c r="H8" s="27" t="n"/>
      <c r="I8" s="27" t="n"/>
      <c r="J8" s="28">
        <f>IF(NOT(OR($A8&lt;&gt;"",$E8&lt;&gt;"",$F8&lt;&gt;"",$G8&lt;&gt;"",$H8&lt;&gt;"",$I8&lt;&gt;"")),"",N($G8)+N($H8)+N($I8))</f>
        <v/>
      </c>
      <c r="K8" s="28">
        <f>IF(ISNUMBER($O8),INDEX('請求台帳'!$R$5:$R$1004,$O8),"")</f>
        <v/>
      </c>
      <c r="L8" s="20">
        <f>IF(NOT(OR($A8&lt;&gt;"",$E8&lt;&gt;"",$F8&lt;&gt;"",$G8&lt;&gt;"",$H8&lt;&gt;"",$I8&lt;&gt;"")),"",IF(NOT(ISNUMBER($A8)),"入金日がありません",IF(AND($F8&lt;&gt;"",$O8="なし"),"請求Noが請求台帳にありません",IF(AND(ISNUMBER($O8),$C8&lt;&gt;"",$C8&lt;&gt;$P8),"請求の得意先は "&amp;$P8&amp;" です",IF(ROUND(IF($B8&lt;&gt;"",SUMIF($B$5:$B$1004,$B8,$E$5:$E$1004)-SUMIF($B$5:$B$1004,$B8,$G$5:$G$1004),N($E8)-N($G8)),0)&lt;&gt;0,"通帳の額と当てた額の差 "&amp;TEXT(IF($B8&lt;&gt;"",SUMIF($B$5:$B$1004,$B8,$E$5:$E$1004)-SUMIF($B$5:$B$1004,$B8,$G$5:$G$1004),N($E8)-N($G8)),"#,##0"),IF(AND(ISNUMBER($O8),N($K8)&lt;0),"請求額より多く消し込んでいます",IF($F8="","消込先が未定","OK")))))))</f>
        <v/>
      </c>
      <c r="M8" s="19" t="n"/>
      <c r="N8" s="56" t="n"/>
      <c r="O8" s="32">
        <f>IF($F8="","",IFERROR(MATCH($F8,'請求台帳'!$A$5:$A$1004,0),"なし"))</f>
        <v/>
      </c>
      <c r="P8" s="37">
        <f>IF(NOT(OR($A8&lt;&gt;"",$E8&lt;&gt;"",$F8&lt;&gt;"",$G8&lt;&gt;"",$H8&lt;&gt;"",$I8&lt;&gt;"")),"",IF(ISNUMBER($O8),IF(INDEX('請求台帳'!$C$5:$C$1004,$O8)="","",INDEX('請求台帳'!$C$5:$C$1004,$O8)),IF($C8="","",$C8)))</f>
        <v/>
      </c>
      <c r="Q8" s="35">
        <f>IF(OR(NOT(OR($A8&lt;&gt;"",$E8&lt;&gt;"",$F8&lt;&gt;"",$G8&lt;&gt;"",$H8&lt;&gt;"",$I8&lt;&gt;"")),$P8="",$P8&lt;&gt;'売掛帳'!$B$3,NOT(ISNUMBER($A8)),N($G8)+N($H8)+N($I8)=0),"",IF(AND($A8&gt;='売掛帳'!$Q$3,$A8&lt;='売掛帳'!$Q$4),$A8+0.5+ROW()/10000000,""))</f>
        <v/>
      </c>
      <c r="R8" s="32">
        <f>IF(AND(OR($A8&lt;&gt;"",$E8&lt;&gt;"",$F8&lt;&gt;"",$G8&lt;&gt;"",$H8&lt;&gt;"",$I8&lt;&gt;""),NOT(ISNUMBER($O8))),1,"")</f>
        <v/>
      </c>
    </row>
    <row r="9" ht="18" customHeight="1">
      <c r="A9" s="26" t="n"/>
      <c r="B9" s="18" t="n"/>
      <c r="C9" s="18" t="n"/>
      <c r="D9" s="20">
        <f>IF($P9="","",IFERROR(INDEX('得意先'!$C$5:$C$104,MATCH($P9,'得意先'!$B$5:$B$104,0))&amp;"","※得意先にないコード"))</f>
        <v/>
      </c>
      <c r="E9" s="27" t="n"/>
      <c r="F9" s="18" t="n"/>
      <c r="G9" s="27" t="n"/>
      <c r="H9" s="27" t="n"/>
      <c r="I9" s="27" t="n"/>
      <c r="J9" s="28">
        <f>IF(NOT(OR($A9&lt;&gt;"",$E9&lt;&gt;"",$F9&lt;&gt;"",$G9&lt;&gt;"",$H9&lt;&gt;"",$I9&lt;&gt;"")),"",N($G9)+N($H9)+N($I9))</f>
        <v/>
      </c>
      <c r="K9" s="28">
        <f>IF(ISNUMBER($O9),INDEX('請求台帳'!$R$5:$R$1004,$O9),"")</f>
        <v/>
      </c>
      <c r="L9" s="20">
        <f>IF(NOT(OR($A9&lt;&gt;"",$E9&lt;&gt;"",$F9&lt;&gt;"",$G9&lt;&gt;"",$H9&lt;&gt;"",$I9&lt;&gt;"")),"",IF(NOT(ISNUMBER($A9)),"入金日がありません",IF(AND($F9&lt;&gt;"",$O9="なし"),"請求Noが請求台帳にありません",IF(AND(ISNUMBER($O9),$C9&lt;&gt;"",$C9&lt;&gt;$P9),"請求の得意先は "&amp;$P9&amp;" です",IF(ROUND(IF($B9&lt;&gt;"",SUMIF($B$5:$B$1004,$B9,$E$5:$E$1004)-SUMIF($B$5:$B$1004,$B9,$G$5:$G$1004),N($E9)-N($G9)),0)&lt;&gt;0,"通帳の額と当てた額の差 "&amp;TEXT(IF($B9&lt;&gt;"",SUMIF($B$5:$B$1004,$B9,$E$5:$E$1004)-SUMIF($B$5:$B$1004,$B9,$G$5:$G$1004),N($E9)-N($G9)),"#,##0"),IF(AND(ISNUMBER($O9),N($K9)&lt;0),"請求額より多く消し込んでいます",IF($F9="","消込先が未定","OK")))))))</f>
        <v/>
      </c>
      <c r="M9" s="19" t="n"/>
      <c r="N9" s="56" t="n"/>
      <c r="O9" s="32">
        <f>IF($F9="","",IFERROR(MATCH($F9,'請求台帳'!$A$5:$A$1004,0),"なし"))</f>
        <v/>
      </c>
      <c r="P9" s="37">
        <f>IF(NOT(OR($A9&lt;&gt;"",$E9&lt;&gt;"",$F9&lt;&gt;"",$G9&lt;&gt;"",$H9&lt;&gt;"",$I9&lt;&gt;"")),"",IF(ISNUMBER($O9),IF(INDEX('請求台帳'!$C$5:$C$1004,$O9)="","",INDEX('請求台帳'!$C$5:$C$1004,$O9)),IF($C9="","",$C9)))</f>
        <v/>
      </c>
      <c r="Q9" s="35">
        <f>IF(OR(NOT(OR($A9&lt;&gt;"",$E9&lt;&gt;"",$F9&lt;&gt;"",$G9&lt;&gt;"",$H9&lt;&gt;"",$I9&lt;&gt;"")),$P9="",$P9&lt;&gt;'売掛帳'!$B$3,NOT(ISNUMBER($A9)),N($G9)+N($H9)+N($I9)=0),"",IF(AND($A9&gt;='売掛帳'!$Q$3,$A9&lt;='売掛帳'!$Q$4),$A9+0.5+ROW()/10000000,""))</f>
        <v/>
      </c>
      <c r="R9" s="32">
        <f>IF(AND(OR($A9&lt;&gt;"",$E9&lt;&gt;"",$F9&lt;&gt;"",$G9&lt;&gt;"",$H9&lt;&gt;"",$I9&lt;&gt;""),NOT(ISNUMBER($O9))),1,"")</f>
        <v/>
      </c>
    </row>
    <row r="10" ht="18" customHeight="1">
      <c r="A10" s="26" t="n"/>
      <c r="B10" s="18" t="n"/>
      <c r="C10" s="18" t="n"/>
      <c r="D10" s="20">
        <f>IF($P10="","",IFERROR(INDEX('得意先'!$C$5:$C$104,MATCH($P10,'得意先'!$B$5:$B$104,0))&amp;"","※得意先にないコード"))</f>
        <v/>
      </c>
      <c r="E10" s="27" t="n"/>
      <c r="F10" s="18" t="n"/>
      <c r="G10" s="27" t="n"/>
      <c r="H10" s="27" t="n"/>
      <c r="I10" s="27" t="n"/>
      <c r="J10" s="28">
        <f>IF(NOT(OR($A10&lt;&gt;"",$E10&lt;&gt;"",$F10&lt;&gt;"",$G10&lt;&gt;"",$H10&lt;&gt;"",$I10&lt;&gt;"")),"",N($G10)+N($H10)+N($I10))</f>
        <v/>
      </c>
      <c r="K10" s="28">
        <f>IF(ISNUMBER($O10),INDEX('請求台帳'!$R$5:$R$1004,$O10),"")</f>
        <v/>
      </c>
      <c r="L10" s="20">
        <f>IF(NOT(OR($A10&lt;&gt;"",$E10&lt;&gt;"",$F10&lt;&gt;"",$G10&lt;&gt;"",$H10&lt;&gt;"",$I10&lt;&gt;"")),"",IF(NOT(ISNUMBER($A10)),"入金日がありません",IF(AND($F10&lt;&gt;"",$O10="なし"),"請求Noが請求台帳にありません",IF(AND(ISNUMBER($O10),$C10&lt;&gt;"",$C10&lt;&gt;$P10),"請求の得意先は "&amp;$P10&amp;" です",IF(ROUND(IF($B10&lt;&gt;"",SUMIF($B$5:$B$1004,$B10,$E$5:$E$1004)-SUMIF($B$5:$B$1004,$B10,$G$5:$G$1004),N($E10)-N($G10)),0)&lt;&gt;0,"通帳の額と当てた額の差 "&amp;TEXT(IF($B10&lt;&gt;"",SUMIF($B$5:$B$1004,$B10,$E$5:$E$1004)-SUMIF($B$5:$B$1004,$B10,$G$5:$G$1004),N($E10)-N($G10)),"#,##0"),IF(AND(ISNUMBER($O10),N($K10)&lt;0),"請求額より多く消し込んでいます",IF($F10="","消込先が未定","OK")))))))</f>
        <v/>
      </c>
      <c r="M10" s="19" t="n"/>
      <c r="N10" s="56" t="n"/>
      <c r="O10" s="32">
        <f>IF($F10="","",IFERROR(MATCH($F10,'請求台帳'!$A$5:$A$1004,0),"なし"))</f>
        <v/>
      </c>
      <c r="P10" s="37">
        <f>IF(NOT(OR($A10&lt;&gt;"",$E10&lt;&gt;"",$F10&lt;&gt;"",$G10&lt;&gt;"",$H10&lt;&gt;"",$I10&lt;&gt;"")),"",IF(ISNUMBER($O10),IF(INDEX('請求台帳'!$C$5:$C$1004,$O10)="","",INDEX('請求台帳'!$C$5:$C$1004,$O10)),IF($C10="","",$C10)))</f>
        <v/>
      </c>
      <c r="Q10" s="35">
        <f>IF(OR(NOT(OR($A10&lt;&gt;"",$E10&lt;&gt;"",$F10&lt;&gt;"",$G10&lt;&gt;"",$H10&lt;&gt;"",$I10&lt;&gt;"")),$P10="",$P10&lt;&gt;'売掛帳'!$B$3,NOT(ISNUMBER($A10)),N($G10)+N($H10)+N($I10)=0),"",IF(AND($A10&gt;='売掛帳'!$Q$3,$A10&lt;='売掛帳'!$Q$4),$A10+0.5+ROW()/10000000,""))</f>
        <v/>
      </c>
      <c r="R10" s="32">
        <f>IF(AND(OR($A10&lt;&gt;"",$E10&lt;&gt;"",$F10&lt;&gt;"",$G10&lt;&gt;"",$H10&lt;&gt;"",$I10&lt;&gt;""),NOT(ISNUMBER($O10))),1,"")</f>
        <v/>
      </c>
    </row>
    <row r="11" ht="18" customHeight="1">
      <c r="A11" s="26" t="n"/>
      <c r="B11" s="18" t="n"/>
      <c r="C11" s="18" t="n"/>
      <c r="D11" s="20">
        <f>IF($P11="","",IFERROR(INDEX('得意先'!$C$5:$C$104,MATCH($P11,'得意先'!$B$5:$B$104,0))&amp;"","※得意先にないコード"))</f>
        <v/>
      </c>
      <c r="E11" s="27" t="n"/>
      <c r="F11" s="18" t="n"/>
      <c r="G11" s="27" t="n"/>
      <c r="H11" s="27" t="n"/>
      <c r="I11" s="27" t="n"/>
      <c r="J11" s="28">
        <f>IF(NOT(OR($A11&lt;&gt;"",$E11&lt;&gt;"",$F11&lt;&gt;"",$G11&lt;&gt;"",$H11&lt;&gt;"",$I11&lt;&gt;"")),"",N($G11)+N($H11)+N($I11))</f>
        <v/>
      </c>
      <c r="K11" s="28">
        <f>IF(ISNUMBER($O11),INDEX('請求台帳'!$R$5:$R$1004,$O11),"")</f>
        <v/>
      </c>
      <c r="L11" s="20">
        <f>IF(NOT(OR($A11&lt;&gt;"",$E11&lt;&gt;"",$F11&lt;&gt;"",$G11&lt;&gt;"",$H11&lt;&gt;"",$I11&lt;&gt;"")),"",IF(NOT(ISNUMBER($A11)),"入金日がありません",IF(AND($F11&lt;&gt;"",$O11="なし"),"請求Noが請求台帳にありません",IF(AND(ISNUMBER($O11),$C11&lt;&gt;"",$C11&lt;&gt;$P11),"請求の得意先は "&amp;$P11&amp;" です",IF(ROUND(IF($B11&lt;&gt;"",SUMIF($B$5:$B$1004,$B11,$E$5:$E$1004)-SUMIF($B$5:$B$1004,$B11,$G$5:$G$1004),N($E11)-N($G11)),0)&lt;&gt;0,"通帳の額と当てた額の差 "&amp;TEXT(IF($B11&lt;&gt;"",SUMIF($B$5:$B$1004,$B11,$E$5:$E$1004)-SUMIF($B$5:$B$1004,$B11,$G$5:$G$1004),N($E11)-N($G11)),"#,##0"),IF(AND(ISNUMBER($O11),N($K11)&lt;0),"請求額より多く消し込んでいます",IF($F11="","消込先が未定","OK")))))))</f>
        <v/>
      </c>
      <c r="M11" s="19" t="n"/>
      <c r="N11" s="56" t="n"/>
      <c r="O11" s="32">
        <f>IF($F11="","",IFERROR(MATCH($F11,'請求台帳'!$A$5:$A$1004,0),"なし"))</f>
        <v/>
      </c>
      <c r="P11" s="37">
        <f>IF(NOT(OR($A11&lt;&gt;"",$E11&lt;&gt;"",$F11&lt;&gt;"",$G11&lt;&gt;"",$H11&lt;&gt;"",$I11&lt;&gt;"")),"",IF(ISNUMBER($O11),IF(INDEX('請求台帳'!$C$5:$C$1004,$O11)="","",INDEX('請求台帳'!$C$5:$C$1004,$O11)),IF($C11="","",$C11)))</f>
        <v/>
      </c>
      <c r="Q11" s="35">
        <f>IF(OR(NOT(OR($A11&lt;&gt;"",$E11&lt;&gt;"",$F11&lt;&gt;"",$G11&lt;&gt;"",$H11&lt;&gt;"",$I11&lt;&gt;"")),$P11="",$P11&lt;&gt;'売掛帳'!$B$3,NOT(ISNUMBER($A11)),N($G11)+N($H11)+N($I11)=0),"",IF(AND($A11&gt;='売掛帳'!$Q$3,$A11&lt;='売掛帳'!$Q$4),$A11+0.5+ROW()/10000000,""))</f>
        <v/>
      </c>
      <c r="R11" s="32">
        <f>IF(AND(OR($A11&lt;&gt;"",$E11&lt;&gt;"",$F11&lt;&gt;"",$G11&lt;&gt;"",$H11&lt;&gt;"",$I11&lt;&gt;""),NOT(ISNUMBER($O11))),1,"")</f>
        <v/>
      </c>
    </row>
    <row r="12" ht="18" customHeight="1">
      <c r="A12" s="26" t="n"/>
      <c r="B12" s="18" t="n"/>
      <c r="C12" s="18" t="n"/>
      <c r="D12" s="20">
        <f>IF($P12="","",IFERROR(INDEX('得意先'!$C$5:$C$104,MATCH($P12,'得意先'!$B$5:$B$104,0))&amp;"","※得意先にないコード"))</f>
        <v/>
      </c>
      <c r="E12" s="27" t="n"/>
      <c r="F12" s="18" t="n"/>
      <c r="G12" s="27" t="n"/>
      <c r="H12" s="27" t="n"/>
      <c r="I12" s="27" t="n"/>
      <c r="J12" s="28">
        <f>IF(NOT(OR($A12&lt;&gt;"",$E12&lt;&gt;"",$F12&lt;&gt;"",$G12&lt;&gt;"",$H12&lt;&gt;"",$I12&lt;&gt;"")),"",N($G12)+N($H12)+N($I12))</f>
        <v/>
      </c>
      <c r="K12" s="28">
        <f>IF(ISNUMBER($O12),INDEX('請求台帳'!$R$5:$R$1004,$O12),"")</f>
        <v/>
      </c>
      <c r="L12" s="20">
        <f>IF(NOT(OR($A12&lt;&gt;"",$E12&lt;&gt;"",$F12&lt;&gt;"",$G12&lt;&gt;"",$H12&lt;&gt;"",$I12&lt;&gt;"")),"",IF(NOT(ISNUMBER($A12)),"入金日がありません",IF(AND($F12&lt;&gt;"",$O12="なし"),"請求Noが請求台帳にありません",IF(AND(ISNUMBER($O12),$C12&lt;&gt;"",$C12&lt;&gt;$P12),"請求の得意先は "&amp;$P12&amp;" です",IF(ROUND(IF($B12&lt;&gt;"",SUMIF($B$5:$B$1004,$B12,$E$5:$E$1004)-SUMIF($B$5:$B$1004,$B12,$G$5:$G$1004),N($E12)-N($G12)),0)&lt;&gt;0,"通帳の額と当てた額の差 "&amp;TEXT(IF($B12&lt;&gt;"",SUMIF($B$5:$B$1004,$B12,$E$5:$E$1004)-SUMIF($B$5:$B$1004,$B12,$G$5:$G$1004),N($E12)-N($G12)),"#,##0"),IF(AND(ISNUMBER($O12),N($K12)&lt;0),"請求額より多く消し込んでいます",IF($F12="","消込先が未定","OK")))))))</f>
        <v/>
      </c>
      <c r="M12" s="19" t="n"/>
      <c r="N12" s="56" t="n"/>
      <c r="O12" s="32">
        <f>IF($F12="","",IFERROR(MATCH($F12,'請求台帳'!$A$5:$A$1004,0),"なし"))</f>
        <v/>
      </c>
      <c r="P12" s="37">
        <f>IF(NOT(OR($A12&lt;&gt;"",$E12&lt;&gt;"",$F12&lt;&gt;"",$G12&lt;&gt;"",$H12&lt;&gt;"",$I12&lt;&gt;"")),"",IF(ISNUMBER($O12),IF(INDEX('請求台帳'!$C$5:$C$1004,$O12)="","",INDEX('請求台帳'!$C$5:$C$1004,$O12)),IF($C12="","",$C12)))</f>
        <v/>
      </c>
      <c r="Q12" s="35">
        <f>IF(OR(NOT(OR($A12&lt;&gt;"",$E12&lt;&gt;"",$F12&lt;&gt;"",$G12&lt;&gt;"",$H12&lt;&gt;"",$I12&lt;&gt;"")),$P12="",$P12&lt;&gt;'売掛帳'!$B$3,NOT(ISNUMBER($A12)),N($G12)+N($H12)+N($I12)=0),"",IF(AND($A12&gt;='売掛帳'!$Q$3,$A12&lt;='売掛帳'!$Q$4),$A12+0.5+ROW()/10000000,""))</f>
        <v/>
      </c>
      <c r="R12" s="32">
        <f>IF(AND(OR($A12&lt;&gt;"",$E12&lt;&gt;"",$F12&lt;&gt;"",$G12&lt;&gt;"",$H12&lt;&gt;"",$I12&lt;&gt;""),NOT(ISNUMBER($O12))),1,"")</f>
        <v/>
      </c>
    </row>
    <row r="13" ht="18" customHeight="1">
      <c r="A13" s="26" t="n"/>
      <c r="B13" s="18" t="n"/>
      <c r="C13" s="18" t="n"/>
      <c r="D13" s="20">
        <f>IF($P13="","",IFERROR(INDEX('得意先'!$C$5:$C$104,MATCH($P13,'得意先'!$B$5:$B$104,0))&amp;"","※得意先にないコード"))</f>
        <v/>
      </c>
      <c r="E13" s="27" t="n"/>
      <c r="F13" s="18" t="n"/>
      <c r="G13" s="27" t="n"/>
      <c r="H13" s="27" t="n"/>
      <c r="I13" s="27" t="n"/>
      <c r="J13" s="28">
        <f>IF(NOT(OR($A13&lt;&gt;"",$E13&lt;&gt;"",$F13&lt;&gt;"",$G13&lt;&gt;"",$H13&lt;&gt;"",$I13&lt;&gt;"")),"",N($G13)+N($H13)+N($I13))</f>
        <v/>
      </c>
      <c r="K13" s="28">
        <f>IF(ISNUMBER($O13),INDEX('請求台帳'!$R$5:$R$1004,$O13),"")</f>
        <v/>
      </c>
      <c r="L13" s="20">
        <f>IF(NOT(OR($A13&lt;&gt;"",$E13&lt;&gt;"",$F13&lt;&gt;"",$G13&lt;&gt;"",$H13&lt;&gt;"",$I13&lt;&gt;"")),"",IF(NOT(ISNUMBER($A13)),"入金日がありません",IF(AND($F13&lt;&gt;"",$O13="なし"),"請求Noが請求台帳にありません",IF(AND(ISNUMBER($O13),$C13&lt;&gt;"",$C13&lt;&gt;$P13),"請求の得意先は "&amp;$P13&amp;" です",IF(ROUND(IF($B13&lt;&gt;"",SUMIF($B$5:$B$1004,$B13,$E$5:$E$1004)-SUMIF($B$5:$B$1004,$B13,$G$5:$G$1004),N($E13)-N($G13)),0)&lt;&gt;0,"通帳の額と当てた額の差 "&amp;TEXT(IF($B13&lt;&gt;"",SUMIF($B$5:$B$1004,$B13,$E$5:$E$1004)-SUMIF($B$5:$B$1004,$B13,$G$5:$G$1004),N($E13)-N($G13)),"#,##0"),IF(AND(ISNUMBER($O13),N($K13)&lt;0),"請求額より多く消し込んでいます",IF($F13="","消込先が未定","OK")))))))</f>
        <v/>
      </c>
      <c r="M13" s="19" t="n"/>
      <c r="N13" s="56" t="n"/>
      <c r="O13" s="32">
        <f>IF($F13="","",IFERROR(MATCH($F13,'請求台帳'!$A$5:$A$1004,0),"なし"))</f>
        <v/>
      </c>
      <c r="P13" s="37">
        <f>IF(NOT(OR($A13&lt;&gt;"",$E13&lt;&gt;"",$F13&lt;&gt;"",$G13&lt;&gt;"",$H13&lt;&gt;"",$I13&lt;&gt;"")),"",IF(ISNUMBER($O13),IF(INDEX('請求台帳'!$C$5:$C$1004,$O13)="","",INDEX('請求台帳'!$C$5:$C$1004,$O13)),IF($C13="","",$C13)))</f>
        <v/>
      </c>
      <c r="Q13" s="35">
        <f>IF(OR(NOT(OR($A13&lt;&gt;"",$E13&lt;&gt;"",$F13&lt;&gt;"",$G13&lt;&gt;"",$H13&lt;&gt;"",$I13&lt;&gt;"")),$P13="",$P13&lt;&gt;'売掛帳'!$B$3,NOT(ISNUMBER($A13)),N($G13)+N($H13)+N($I13)=0),"",IF(AND($A13&gt;='売掛帳'!$Q$3,$A13&lt;='売掛帳'!$Q$4),$A13+0.5+ROW()/10000000,""))</f>
        <v/>
      </c>
      <c r="R13" s="32">
        <f>IF(AND(OR($A13&lt;&gt;"",$E13&lt;&gt;"",$F13&lt;&gt;"",$G13&lt;&gt;"",$H13&lt;&gt;"",$I13&lt;&gt;""),NOT(ISNUMBER($O13))),1,"")</f>
        <v/>
      </c>
    </row>
    <row r="14" ht="18" customHeight="1">
      <c r="A14" s="26" t="n"/>
      <c r="B14" s="18" t="n"/>
      <c r="C14" s="18" t="n"/>
      <c r="D14" s="20">
        <f>IF($P14="","",IFERROR(INDEX('得意先'!$C$5:$C$104,MATCH($P14,'得意先'!$B$5:$B$104,0))&amp;"","※得意先にないコード"))</f>
        <v/>
      </c>
      <c r="E14" s="27" t="n"/>
      <c r="F14" s="18" t="n"/>
      <c r="G14" s="27" t="n"/>
      <c r="H14" s="27" t="n"/>
      <c r="I14" s="27" t="n"/>
      <c r="J14" s="28">
        <f>IF(NOT(OR($A14&lt;&gt;"",$E14&lt;&gt;"",$F14&lt;&gt;"",$G14&lt;&gt;"",$H14&lt;&gt;"",$I14&lt;&gt;"")),"",N($G14)+N($H14)+N($I14))</f>
        <v/>
      </c>
      <c r="K14" s="28">
        <f>IF(ISNUMBER($O14),INDEX('請求台帳'!$R$5:$R$1004,$O14),"")</f>
        <v/>
      </c>
      <c r="L14" s="20">
        <f>IF(NOT(OR($A14&lt;&gt;"",$E14&lt;&gt;"",$F14&lt;&gt;"",$G14&lt;&gt;"",$H14&lt;&gt;"",$I14&lt;&gt;"")),"",IF(NOT(ISNUMBER($A14)),"入金日がありません",IF(AND($F14&lt;&gt;"",$O14="なし"),"請求Noが請求台帳にありません",IF(AND(ISNUMBER($O14),$C14&lt;&gt;"",$C14&lt;&gt;$P14),"請求の得意先は "&amp;$P14&amp;" です",IF(ROUND(IF($B14&lt;&gt;"",SUMIF($B$5:$B$1004,$B14,$E$5:$E$1004)-SUMIF($B$5:$B$1004,$B14,$G$5:$G$1004),N($E14)-N($G14)),0)&lt;&gt;0,"通帳の額と当てた額の差 "&amp;TEXT(IF($B14&lt;&gt;"",SUMIF($B$5:$B$1004,$B14,$E$5:$E$1004)-SUMIF($B$5:$B$1004,$B14,$G$5:$G$1004),N($E14)-N($G14)),"#,##0"),IF(AND(ISNUMBER($O14),N($K14)&lt;0),"請求額より多く消し込んでいます",IF($F14="","消込先が未定","OK")))))))</f>
        <v/>
      </c>
      <c r="M14" s="19" t="n"/>
      <c r="N14" s="56" t="n"/>
      <c r="O14" s="32">
        <f>IF($F14="","",IFERROR(MATCH($F14,'請求台帳'!$A$5:$A$1004,0),"なし"))</f>
        <v/>
      </c>
      <c r="P14" s="37">
        <f>IF(NOT(OR($A14&lt;&gt;"",$E14&lt;&gt;"",$F14&lt;&gt;"",$G14&lt;&gt;"",$H14&lt;&gt;"",$I14&lt;&gt;"")),"",IF(ISNUMBER($O14),IF(INDEX('請求台帳'!$C$5:$C$1004,$O14)="","",INDEX('請求台帳'!$C$5:$C$1004,$O14)),IF($C14="","",$C14)))</f>
        <v/>
      </c>
      <c r="Q14" s="35">
        <f>IF(OR(NOT(OR($A14&lt;&gt;"",$E14&lt;&gt;"",$F14&lt;&gt;"",$G14&lt;&gt;"",$H14&lt;&gt;"",$I14&lt;&gt;"")),$P14="",$P14&lt;&gt;'売掛帳'!$B$3,NOT(ISNUMBER($A14)),N($G14)+N($H14)+N($I14)=0),"",IF(AND($A14&gt;='売掛帳'!$Q$3,$A14&lt;='売掛帳'!$Q$4),$A14+0.5+ROW()/10000000,""))</f>
        <v/>
      </c>
      <c r="R14" s="32">
        <f>IF(AND(OR($A14&lt;&gt;"",$E14&lt;&gt;"",$F14&lt;&gt;"",$G14&lt;&gt;"",$H14&lt;&gt;"",$I14&lt;&gt;""),NOT(ISNUMBER($O14))),1,"")</f>
        <v/>
      </c>
    </row>
    <row r="15" ht="18" customHeight="1">
      <c r="A15" s="26" t="n"/>
      <c r="B15" s="18" t="n"/>
      <c r="C15" s="18" t="n"/>
      <c r="D15" s="20">
        <f>IF($P15="","",IFERROR(INDEX('得意先'!$C$5:$C$104,MATCH($P15,'得意先'!$B$5:$B$104,0))&amp;"","※得意先にないコード"))</f>
        <v/>
      </c>
      <c r="E15" s="27" t="n"/>
      <c r="F15" s="18" t="n"/>
      <c r="G15" s="27" t="n"/>
      <c r="H15" s="27" t="n"/>
      <c r="I15" s="27" t="n"/>
      <c r="J15" s="28">
        <f>IF(NOT(OR($A15&lt;&gt;"",$E15&lt;&gt;"",$F15&lt;&gt;"",$G15&lt;&gt;"",$H15&lt;&gt;"",$I15&lt;&gt;"")),"",N($G15)+N($H15)+N($I15))</f>
        <v/>
      </c>
      <c r="K15" s="28">
        <f>IF(ISNUMBER($O15),INDEX('請求台帳'!$R$5:$R$1004,$O15),"")</f>
        <v/>
      </c>
      <c r="L15" s="20">
        <f>IF(NOT(OR($A15&lt;&gt;"",$E15&lt;&gt;"",$F15&lt;&gt;"",$G15&lt;&gt;"",$H15&lt;&gt;"",$I15&lt;&gt;"")),"",IF(NOT(ISNUMBER($A15)),"入金日がありません",IF(AND($F15&lt;&gt;"",$O15="なし"),"請求Noが請求台帳にありません",IF(AND(ISNUMBER($O15),$C15&lt;&gt;"",$C15&lt;&gt;$P15),"請求の得意先は "&amp;$P15&amp;" です",IF(ROUND(IF($B15&lt;&gt;"",SUMIF($B$5:$B$1004,$B15,$E$5:$E$1004)-SUMIF($B$5:$B$1004,$B15,$G$5:$G$1004),N($E15)-N($G15)),0)&lt;&gt;0,"通帳の額と当てた額の差 "&amp;TEXT(IF($B15&lt;&gt;"",SUMIF($B$5:$B$1004,$B15,$E$5:$E$1004)-SUMIF($B$5:$B$1004,$B15,$G$5:$G$1004),N($E15)-N($G15)),"#,##0"),IF(AND(ISNUMBER($O15),N($K15)&lt;0),"請求額より多く消し込んでいます",IF($F15="","消込先が未定","OK")))))))</f>
        <v/>
      </c>
      <c r="M15" s="19" t="n"/>
      <c r="N15" s="56" t="n"/>
      <c r="O15" s="32">
        <f>IF($F15="","",IFERROR(MATCH($F15,'請求台帳'!$A$5:$A$1004,0),"なし"))</f>
        <v/>
      </c>
      <c r="P15" s="37">
        <f>IF(NOT(OR($A15&lt;&gt;"",$E15&lt;&gt;"",$F15&lt;&gt;"",$G15&lt;&gt;"",$H15&lt;&gt;"",$I15&lt;&gt;"")),"",IF(ISNUMBER($O15),IF(INDEX('請求台帳'!$C$5:$C$1004,$O15)="","",INDEX('請求台帳'!$C$5:$C$1004,$O15)),IF($C15="","",$C15)))</f>
        <v/>
      </c>
      <c r="Q15" s="35">
        <f>IF(OR(NOT(OR($A15&lt;&gt;"",$E15&lt;&gt;"",$F15&lt;&gt;"",$G15&lt;&gt;"",$H15&lt;&gt;"",$I15&lt;&gt;"")),$P15="",$P15&lt;&gt;'売掛帳'!$B$3,NOT(ISNUMBER($A15)),N($G15)+N($H15)+N($I15)=0),"",IF(AND($A15&gt;='売掛帳'!$Q$3,$A15&lt;='売掛帳'!$Q$4),$A15+0.5+ROW()/10000000,""))</f>
        <v/>
      </c>
      <c r="R15" s="32">
        <f>IF(AND(OR($A15&lt;&gt;"",$E15&lt;&gt;"",$F15&lt;&gt;"",$G15&lt;&gt;"",$H15&lt;&gt;"",$I15&lt;&gt;""),NOT(ISNUMBER($O15))),1,"")</f>
        <v/>
      </c>
    </row>
    <row r="16" ht="18" customHeight="1">
      <c r="A16" s="26" t="n"/>
      <c r="B16" s="18" t="n"/>
      <c r="C16" s="18" t="n"/>
      <c r="D16" s="20">
        <f>IF($P16="","",IFERROR(INDEX('得意先'!$C$5:$C$104,MATCH($P16,'得意先'!$B$5:$B$104,0))&amp;"","※得意先にないコード"))</f>
        <v/>
      </c>
      <c r="E16" s="27" t="n"/>
      <c r="F16" s="18" t="n"/>
      <c r="G16" s="27" t="n"/>
      <c r="H16" s="27" t="n"/>
      <c r="I16" s="27" t="n"/>
      <c r="J16" s="28">
        <f>IF(NOT(OR($A16&lt;&gt;"",$E16&lt;&gt;"",$F16&lt;&gt;"",$G16&lt;&gt;"",$H16&lt;&gt;"",$I16&lt;&gt;"")),"",N($G16)+N($H16)+N($I16))</f>
        <v/>
      </c>
      <c r="K16" s="28">
        <f>IF(ISNUMBER($O16),INDEX('請求台帳'!$R$5:$R$1004,$O16),"")</f>
        <v/>
      </c>
      <c r="L16" s="20">
        <f>IF(NOT(OR($A16&lt;&gt;"",$E16&lt;&gt;"",$F16&lt;&gt;"",$G16&lt;&gt;"",$H16&lt;&gt;"",$I16&lt;&gt;"")),"",IF(NOT(ISNUMBER($A16)),"入金日がありません",IF(AND($F16&lt;&gt;"",$O16="なし"),"請求Noが請求台帳にありません",IF(AND(ISNUMBER($O16),$C16&lt;&gt;"",$C16&lt;&gt;$P16),"請求の得意先は "&amp;$P16&amp;" です",IF(ROUND(IF($B16&lt;&gt;"",SUMIF($B$5:$B$1004,$B16,$E$5:$E$1004)-SUMIF($B$5:$B$1004,$B16,$G$5:$G$1004),N($E16)-N($G16)),0)&lt;&gt;0,"通帳の額と当てた額の差 "&amp;TEXT(IF($B16&lt;&gt;"",SUMIF($B$5:$B$1004,$B16,$E$5:$E$1004)-SUMIF($B$5:$B$1004,$B16,$G$5:$G$1004),N($E16)-N($G16)),"#,##0"),IF(AND(ISNUMBER($O16),N($K16)&lt;0),"請求額より多く消し込んでいます",IF($F16="","消込先が未定","OK")))))))</f>
        <v/>
      </c>
      <c r="M16" s="19" t="n"/>
      <c r="N16" s="56" t="n"/>
      <c r="O16" s="32">
        <f>IF($F16="","",IFERROR(MATCH($F16,'請求台帳'!$A$5:$A$1004,0),"なし"))</f>
        <v/>
      </c>
      <c r="P16" s="37">
        <f>IF(NOT(OR($A16&lt;&gt;"",$E16&lt;&gt;"",$F16&lt;&gt;"",$G16&lt;&gt;"",$H16&lt;&gt;"",$I16&lt;&gt;"")),"",IF(ISNUMBER($O16),IF(INDEX('請求台帳'!$C$5:$C$1004,$O16)="","",INDEX('請求台帳'!$C$5:$C$1004,$O16)),IF($C16="","",$C16)))</f>
        <v/>
      </c>
      <c r="Q16" s="35">
        <f>IF(OR(NOT(OR($A16&lt;&gt;"",$E16&lt;&gt;"",$F16&lt;&gt;"",$G16&lt;&gt;"",$H16&lt;&gt;"",$I16&lt;&gt;"")),$P16="",$P16&lt;&gt;'売掛帳'!$B$3,NOT(ISNUMBER($A16)),N($G16)+N($H16)+N($I16)=0),"",IF(AND($A16&gt;='売掛帳'!$Q$3,$A16&lt;='売掛帳'!$Q$4),$A16+0.5+ROW()/10000000,""))</f>
        <v/>
      </c>
      <c r="R16" s="32">
        <f>IF(AND(OR($A16&lt;&gt;"",$E16&lt;&gt;"",$F16&lt;&gt;"",$G16&lt;&gt;"",$H16&lt;&gt;"",$I16&lt;&gt;""),NOT(ISNUMBER($O16))),1,"")</f>
        <v/>
      </c>
    </row>
    <row r="17" ht="18" customHeight="1">
      <c r="A17" s="26" t="n"/>
      <c r="B17" s="18" t="n"/>
      <c r="C17" s="18" t="n"/>
      <c r="D17" s="20">
        <f>IF($P17="","",IFERROR(INDEX('得意先'!$C$5:$C$104,MATCH($P17,'得意先'!$B$5:$B$104,0))&amp;"","※得意先にないコード"))</f>
        <v/>
      </c>
      <c r="E17" s="27" t="n"/>
      <c r="F17" s="18" t="n"/>
      <c r="G17" s="27" t="n"/>
      <c r="H17" s="27" t="n"/>
      <c r="I17" s="27" t="n"/>
      <c r="J17" s="28">
        <f>IF(NOT(OR($A17&lt;&gt;"",$E17&lt;&gt;"",$F17&lt;&gt;"",$G17&lt;&gt;"",$H17&lt;&gt;"",$I17&lt;&gt;"")),"",N($G17)+N($H17)+N($I17))</f>
        <v/>
      </c>
      <c r="K17" s="28">
        <f>IF(ISNUMBER($O17),INDEX('請求台帳'!$R$5:$R$1004,$O17),"")</f>
        <v/>
      </c>
      <c r="L17" s="20">
        <f>IF(NOT(OR($A17&lt;&gt;"",$E17&lt;&gt;"",$F17&lt;&gt;"",$G17&lt;&gt;"",$H17&lt;&gt;"",$I17&lt;&gt;"")),"",IF(NOT(ISNUMBER($A17)),"入金日がありません",IF(AND($F17&lt;&gt;"",$O17="なし"),"請求Noが請求台帳にありません",IF(AND(ISNUMBER($O17),$C17&lt;&gt;"",$C17&lt;&gt;$P17),"請求の得意先は "&amp;$P17&amp;" です",IF(ROUND(IF($B17&lt;&gt;"",SUMIF($B$5:$B$1004,$B17,$E$5:$E$1004)-SUMIF($B$5:$B$1004,$B17,$G$5:$G$1004),N($E17)-N($G17)),0)&lt;&gt;0,"通帳の額と当てた額の差 "&amp;TEXT(IF($B17&lt;&gt;"",SUMIF($B$5:$B$1004,$B17,$E$5:$E$1004)-SUMIF($B$5:$B$1004,$B17,$G$5:$G$1004),N($E17)-N($G17)),"#,##0"),IF(AND(ISNUMBER($O17),N($K17)&lt;0),"請求額より多く消し込んでいます",IF($F17="","消込先が未定","OK")))))))</f>
        <v/>
      </c>
      <c r="M17" s="19" t="n"/>
      <c r="N17" s="56" t="n"/>
      <c r="O17" s="32">
        <f>IF($F17="","",IFERROR(MATCH($F17,'請求台帳'!$A$5:$A$1004,0),"なし"))</f>
        <v/>
      </c>
      <c r="P17" s="37">
        <f>IF(NOT(OR($A17&lt;&gt;"",$E17&lt;&gt;"",$F17&lt;&gt;"",$G17&lt;&gt;"",$H17&lt;&gt;"",$I17&lt;&gt;"")),"",IF(ISNUMBER($O17),IF(INDEX('請求台帳'!$C$5:$C$1004,$O17)="","",INDEX('請求台帳'!$C$5:$C$1004,$O17)),IF($C17="","",$C17)))</f>
        <v/>
      </c>
      <c r="Q17" s="35">
        <f>IF(OR(NOT(OR($A17&lt;&gt;"",$E17&lt;&gt;"",$F17&lt;&gt;"",$G17&lt;&gt;"",$H17&lt;&gt;"",$I17&lt;&gt;"")),$P17="",$P17&lt;&gt;'売掛帳'!$B$3,NOT(ISNUMBER($A17)),N($G17)+N($H17)+N($I17)=0),"",IF(AND($A17&gt;='売掛帳'!$Q$3,$A17&lt;='売掛帳'!$Q$4),$A17+0.5+ROW()/10000000,""))</f>
        <v/>
      </c>
      <c r="R17" s="32">
        <f>IF(AND(OR($A17&lt;&gt;"",$E17&lt;&gt;"",$F17&lt;&gt;"",$G17&lt;&gt;"",$H17&lt;&gt;"",$I17&lt;&gt;""),NOT(ISNUMBER($O17))),1,"")</f>
        <v/>
      </c>
    </row>
    <row r="18" ht="18" customHeight="1">
      <c r="A18" s="26" t="n"/>
      <c r="B18" s="18" t="n"/>
      <c r="C18" s="18" t="n"/>
      <c r="D18" s="20">
        <f>IF($P18="","",IFERROR(INDEX('得意先'!$C$5:$C$104,MATCH($P18,'得意先'!$B$5:$B$104,0))&amp;"","※得意先にないコード"))</f>
        <v/>
      </c>
      <c r="E18" s="27" t="n"/>
      <c r="F18" s="18" t="n"/>
      <c r="G18" s="27" t="n"/>
      <c r="H18" s="27" t="n"/>
      <c r="I18" s="27" t="n"/>
      <c r="J18" s="28">
        <f>IF(NOT(OR($A18&lt;&gt;"",$E18&lt;&gt;"",$F18&lt;&gt;"",$G18&lt;&gt;"",$H18&lt;&gt;"",$I18&lt;&gt;"")),"",N($G18)+N($H18)+N($I18))</f>
        <v/>
      </c>
      <c r="K18" s="28">
        <f>IF(ISNUMBER($O18),INDEX('請求台帳'!$R$5:$R$1004,$O18),"")</f>
        <v/>
      </c>
      <c r="L18" s="20">
        <f>IF(NOT(OR($A18&lt;&gt;"",$E18&lt;&gt;"",$F18&lt;&gt;"",$G18&lt;&gt;"",$H18&lt;&gt;"",$I18&lt;&gt;"")),"",IF(NOT(ISNUMBER($A18)),"入金日がありません",IF(AND($F18&lt;&gt;"",$O18="なし"),"請求Noが請求台帳にありません",IF(AND(ISNUMBER($O18),$C18&lt;&gt;"",$C18&lt;&gt;$P18),"請求の得意先は "&amp;$P18&amp;" です",IF(ROUND(IF($B18&lt;&gt;"",SUMIF($B$5:$B$1004,$B18,$E$5:$E$1004)-SUMIF($B$5:$B$1004,$B18,$G$5:$G$1004),N($E18)-N($G18)),0)&lt;&gt;0,"通帳の額と当てた額の差 "&amp;TEXT(IF($B18&lt;&gt;"",SUMIF($B$5:$B$1004,$B18,$E$5:$E$1004)-SUMIF($B$5:$B$1004,$B18,$G$5:$G$1004),N($E18)-N($G18)),"#,##0"),IF(AND(ISNUMBER($O18),N($K18)&lt;0),"請求額より多く消し込んでいます",IF($F18="","消込先が未定","OK")))))))</f>
        <v/>
      </c>
      <c r="M18" s="19" t="n"/>
      <c r="N18" s="56" t="n"/>
      <c r="O18" s="32">
        <f>IF($F18="","",IFERROR(MATCH($F18,'請求台帳'!$A$5:$A$1004,0),"なし"))</f>
        <v/>
      </c>
      <c r="P18" s="37">
        <f>IF(NOT(OR($A18&lt;&gt;"",$E18&lt;&gt;"",$F18&lt;&gt;"",$G18&lt;&gt;"",$H18&lt;&gt;"",$I18&lt;&gt;"")),"",IF(ISNUMBER($O18),IF(INDEX('請求台帳'!$C$5:$C$1004,$O18)="","",INDEX('請求台帳'!$C$5:$C$1004,$O18)),IF($C18="","",$C18)))</f>
        <v/>
      </c>
      <c r="Q18" s="35">
        <f>IF(OR(NOT(OR($A18&lt;&gt;"",$E18&lt;&gt;"",$F18&lt;&gt;"",$G18&lt;&gt;"",$H18&lt;&gt;"",$I18&lt;&gt;"")),$P18="",$P18&lt;&gt;'売掛帳'!$B$3,NOT(ISNUMBER($A18)),N($G18)+N($H18)+N($I18)=0),"",IF(AND($A18&gt;='売掛帳'!$Q$3,$A18&lt;='売掛帳'!$Q$4),$A18+0.5+ROW()/10000000,""))</f>
        <v/>
      </c>
      <c r="R18" s="32">
        <f>IF(AND(OR($A18&lt;&gt;"",$E18&lt;&gt;"",$F18&lt;&gt;"",$G18&lt;&gt;"",$H18&lt;&gt;"",$I18&lt;&gt;""),NOT(ISNUMBER($O18))),1,"")</f>
        <v/>
      </c>
    </row>
    <row r="19" ht="18" customHeight="1">
      <c r="A19" s="26" t="n"/>
      <c r="B19" s="18" t="n"/>
      <c r="C19" s="18" t="n"/>
      <c r="D19" s="20">
        <f>IF($P19="","",IFERROR(INDEX('得意先'!$C$5:$C$104,MATCH($P19,'得意先'!$B$5:$B$104,0))&amp;"","※得意先にないコード"))</f>
        <v/>
      </c>
      <c r="E19" s="27" t="n"/>
      <c r="F19" s="18" t="n"/>
      <c r="G19" s="27" t="n"/>
      <c r="H19" s="27" t="n"/>
      <c r="I19" s="27" t="n"/>
      <c r="J19" s="28">
        <f>IF(NOT(OR($A19&lt;&gt;"",$E19&lt;&gt;"",$F19&lt;&gt;"",$G19&lt;&gt;"",$H19&lt;&gt;"",$I19&lt;&gt;"")),"",N($G19)+N($H19)+N($I19))</f>
        <v/>
      </c>
      <c r="K19" s="28">
        <f>IF(ISNUMBER($O19),INDEX('請求台帳'!$R$5:$R$1004,$O19),"")</f>
        <v/>
      </c>
      <c r="L19" s="20">
        <f>IF(NOT(OR($A19&lt;&gt;"",$E19&lt;&gt;"",$F19&lt;&gt;"",$G19&lt;&gt;"",$H19&lt;&gt;"",$I19&lt;&gt;"")),"",IF(NOT(ISNUMBER($A19)),"入金日がありません",IF(AND($F19&lt;&gt;"",$O19="なし"),"請求Noが請求台帳にありません",IF(AND(ISNUMBER($O19),$C19&lt;&gt;"",$C19&lt;&gt;$P19),"請求の得意先は "&amp;$P19&amp;" です",IF(ROUND(IF($B19&lt;&gt;"",SUMIF($B$5:$B$1004,$B19,$E$5:$E$1004)-SUMIF($B$5:$B$1004,$B19,$G$5:$G$1004),N($E19)-N($G19)),0)&lt;&gt;0,"通帳の額と当てた額の差 "&amp;TEXT(IF($B19&lt;&gt;"",SUMIF($B$5:$B$1004,$B19,$E$5:$E$1004)-SUMIF($B$5:$B$1004,$B19,$G$5:$G$1004),N($E19)-N($G19)),"#,##0"),IF(AND(ISNUMBER($O19),N($K19)&lt;0),"請求額より多く消し込んでいます",IF($F19="","消込先が未定","OK")))))))</f>
        <v/>
      </c>
      <c r="M19" s="19" t="n"/>
      <c r="N19" s="56" t="n"/>
      <c r="O19" s="32">
        <f>IF($F19="","",IFERROR(MATCH($F19,'請求台帳'!$A$5:$A$1004,0),"なし"))</f>
        <v/>
      </c>
      <c r="P19" s="37">
        <f>IF(NOT(OR($A19&lt;&gt;"",$E19&lt;&gt;"",$F19&lt;&gt;"",$G19&lt;&gt;"",$H19&lt;&gt;"",$I19&lt;&gt;"")),"",IF(ISNUMBER($O19),IF(INDEX('請求台帳'!$C$5:$C$1004,$O19)="","",INDEX('請求台帳'!$C$5:$C$1004,$O19)),IF($C19="","",$C19)))</f>
        <v/>
      </c>
      <c r="Q19" s="35">
        <f>IF(OR(NOT(OR($A19&lt;&gt;"",$E19&lt;&gt;"",$F19&lt;&gt;"",$G19&lt;&gt;"",$H19&lt;&gt;"",$I19&lt;&gt;"")),$P19="",$P19&lt;&gt;'売掛帳'!$B$3,NOT(ISNUMBER($A19)),N($G19)+N($H19)+N($I19)=0),"",IF(AND($A19&gt;='売掛帳'!$Q$3,$A19&lt;='売掛帳'!$Q$4),$A19+0.5+ROW()/10000000,""))</f>
        <v/>
      </c>
      <c r="R19" s="32">
        <f>IF(AND(OR($A19&lt;&gt;"",$E19&lt;&gt;"",$F19&lt;&gt;"",$G19&lt;&gt;"",$H19&lt;&gt;"",$I19&lt;&gt;""),NOT(ISNUMBER($O19))),1,"")</f>
        <v/>
      </c>
    </row>
    <row r="20" ht="18" customHeight="1">
      <c r="A20" s="26" t="n"/>
      <c r="B20" s="18" t="n"/>
      <c r="C20" s="18" t="n"/>
      <c r="D20" s="20">
        <f>IF($P20="","",IFERROR(INDEX('得意先'!$C$5:$C$104,MATCH($P20,'得意先'!$B$5:$B$104,0))&amp;"","※得意先にないコード"))</f>
        <v/>
      </c>
      <c r="E20" s="27" t="n"/>
      <c r="F20" s="18" t="n"/>
      <c r="G20" s="27" t="n"/>
      <c r="H20" s="27" t="n"/>
      <c r="I20" s="27" t="n"/>
      <c r="J20" s="28">
        <f>IF(NOT(OR($A20&lt;&gt;"",$E20&lt;&gt;"",$F20&lt;&gt;"",$G20&lt;&gt;"",$H20&lt;&gt;"",$I20&lt;&gt;"")),"",N($G20)+N($H20)+N($I20))</f>
        <v/>
      </c>
      <c r="K20" s="28">
        <f>IF(ISNUMBER($O20),INDEX('請求台帳'!$R$5:$R$1004,$O20),"")</f>
        <v/>
      </c>
      <c r="L20" s="20">
        <f>IF(NOT(OR($A20&lt;&gt;"",$E20&lt;&gt;"",$F20&lt;&gt;"",$G20&lt;&gt;"",$H20&lt;&gt;"",$I20&lt;&gt;"")),"",IF(NOT(ISNUMBER($A20)),"入金日がありません",IF(AND($F20&lt;&gt;"",$O20="なし"),"請求Noが請求台帳にありません",IF(AND(ISNUMBER($O20),$C20&lt;&gt;"",$C20&lt;&gt;$P20),"請求の得意先は "&amp;$P20&amp;" です",IF(ROUND(IF($B20&lt;&gt;"",SUMIF($B$5:$B$1004,$B20,$E$5:$E$1004)-SUMIF($B$5:$B$1004,$B20,$G$5:$G$1004),N($E20)-N($G20)),0)&lt;&gt;0,"通帳の額と当てた額の差 "&amp;TEXT(IF($B20&lt;&gt;"",SUMIF($B$5:$B$1004,$B20,$E$5:$E$1004)-SUMIF($B$5:$B$1004,$B20,$G$5:$G$1004),N($E20)-N($G20)),"#,##0"),IF(AND(ISNUMBER($O20),N($K20)&lt;0),"請求額より多く消し込んでいます",IF($F20="","消込先が未定","OK")))))))</f>
        <v/>
      </c>
      <c r="M20" s="19" t="n"/>
      <c r="N20" s="56" t="n"/>
      <c r="O20" s="32">
        <f>IF($F20="","",IFERROR(MATCH($F20,'請求台帳'!$A$5:$A$1004,0),"なし"))</f>
        <v/>
      </c>
      <c r="P20" s="37">
        <f>IF(NOT(OR($A20&lt;&gt;"",$E20&lt;&gt;"",$F20&lt;&gt;"",$G20&lt;&gt;"",$H20&lt;&gt;"",$I20&lt;&gt;"")),"",IF(ISNUMBER($O20),IF(INDEX('請求台帳'!$C$5:$C$1004,$O20)="","",INDEX('請求台帳'!$C$5:$C$1004,$O20)),IF($C20="","",$C20)))</f>
        <v/>
      </c>
      <c r="Q20" s="35">
        <f>IF(OR(NOT(OR($A20&lt;&gt;"",$E20&lt;&gt;"",$F20&lt;&gt;"",$G20&lt;&gt;"",$H20&lt;&gt;"",$I20&lt;&gt;"")),$P20="",$P20&lt;&gt;'売掛帳'!$B$3,NOT(ISNUMBER($A20)),N($G20)+N($H20)+N($I20)=0),"",IF(AND($A20&gt;='売掛帳'!$Q$3,$A20&lt;='売掛帳'!$Q$4),$A20+0.5+ROW()/10000000,""))</f>
        <v/>
      </c>
      <c r="R20" s="32">
        <f>IF(AND(OR($A20&lt;&gt;"",$E20&lt;&gt;"",$F20&lt;&gt;"",$G20&lt;&gt;"",$H20&lt;&gt;"",$I20&lt;&gt;""),NOT(ISNUMBER($O20))),1,"")</f>
        <v/>
      </c>
    </row>
    <row r="21" ht="18" customHeight="1">
      <c r="A21" s="26" t="n"/>
      <c r="B21" s="18" t="n"/>
      <c r="C21" s="18" t="n"/>
      <c r="D21" s="20">
        <f>IF($P21="","",IFERROR(INDEX('得意先'!$C$5:$C$104,MATCH($P21,'得意先'!$B$5:$B$104,0))&amp;"","※得意先にないコード"))</f>
        <v/>
      </c>
      <c r="E21" s="27" t="n"/>
      <c r="F21" s="18" t="n"/>
      <c r="G21" s="27" t="n"/>
      <c r="H21" s="27" t="n"/>
      <c r="I21" s="27" t="n"/>
      <c r="J21" s="28">
        <f>IF(NOT(OR($A21&lt;&gt;"",$E21&lt;&gt;"",$F21&lt;&gt;"",$G21&lt;&gt;"",$H21&lt;&gt;"",$I21&lt;&gt;"")),"",N($G21)+N($H21)+N($I21))</f>
        <v/>
      </c>
      <c r="K21" s="28">
        <f>IF(ISNUMBER($O21),INDEX('請求台帳'!$R$5:$R$1004,$O21),"")</f>
        <v/>
      </c>
      <c r="L21" s="20">
        <f>IF(NOT(OR($A21&lt;&gt;"",$E21&lt;&gt;"",$F21&lt;&gt;"",$G21&lt;&gt;"",$H21&lt;&gt;"",$I21&lt;&gt;"")),"",IF(NOT(ISNUMBER($A21)),"入金日がありません",IF(AND($F21&lt;&gt;"",$O21="なし"),"請求Noが請求台帳にありません",IF(AND(ISNUMBER($O21),$C21&lt;&gt;"",$C21&lt;&gt;$P21),"請求の得意先は "&amp;$P21&amp;" です",IF(ROUND(IF($B21&lt;&gt;"",SUMIF($B$5:$B$1004,$B21,$E$5:$E$1004)-SUMIF($B$5:$B$1004,$B21,$G$5:$G$1004),N($E21)-N($G21)),0)&lt;&gt;0,"通帳の額と当てた額の差 "&amp;TEXT(IF($B21&lt;&gt;"",SUMIF($B$5:$B$1004,$B21,$E$5:$E$1004)-SUMIF($B$5:$B$1004,$B21,$G$5:$G$1004),N($E21)-N($G21)),"#,##0"),IF(AND(ISNUMBER($O21),N($K21)&lt;0),"請求額より多く消し込んでいます",IF($F21="","消込先が未定","OK")))))))</f>
        <v/>
      </c>
      <c r="M21" s="19" t="n"/>
      <c r="N21" s="56" t="n"/>
      <c r="O21" s="32">
        <f>IF($F21="","",IFERROR(MATCH($F21,'請求台帳'!$A$5:$A$1004,0),"なし"))</f>
        <v/>
      </c>
      <c r="P21" s="37">
        <f>IF(NOT(OR($A21&lt;&gt;"",$E21&lt;&gt;"",$F21&lt;&gt;"",$G21&lt;&gt;"",$H21&lt;&gt;"",$I21&lt;&gt;"")),"",IF(ISNUMBER($O21),IF(INDEX('請求台帳'!$C$5:$C$1004,$O21)="","",INDEX('請求台帳'!$C$5:$C$1004,$O21)),IF($C21="","",$C21)))</f>
        <v/>
      </c>
      <c r="Q21" s="35">
        <f>IF(OR(NOT(OR($A21&lt;&gt;"",$E21&lt;&gt;"",$F21&lt;&gt;"",$G21&lt;&gt;"",$H21&lt;&gt;"",$I21&lt;&gt;"")),$P21="",$P21&lt;&gt;'売掛帳'!$B$3,NOT(ISNUMBER($A21)),N($G21)+N($H21)+N($I21)=0),"",IF(AND($A21&gt;='売掛帳'!$Q$3,$A21&lt;='売掛帳'!$Q$4),$A21+0.5+ROW()/10000000,""))</f>
        <v/>
      </c>
      <c r="R21" s="32">
        <f>IF(AND(OR($A21&lt;&gt;"",$E21&lt;&gt;"",$F21&lt;&gt;"",$G21&lt;&gt;"",$H21&lt;&gt;"",$I21&lt;&gt;""),NOT(ISNUMBER($O21))),1,"")</f>
        <v/>
      </c>
    </row>
    <row r="22" ht="18" customHeight="1">
      <c r="A22" s="26" t="n"/>
      <c r="B22" s="18" t="n"/>
      <c r="C22" s="18" t="n"/>
      <c r="D22" s="20">
        <f>IF($P22="","",IFERROR(INDEX('得意先'!$C$5:$C$104,MATCH($P22,'得意先'!$B$5:$B$104,0))&amp;"","※得意先にないコード"))</f>
        <v/>
      </c>
      <c r="E22" s="27" t="n"/>
      <c r="F22" s="18" t="n"/>
      <c r="G22" s="27" t="n"/>
      <c r="H22" s="27" t="n"/>
      <c r="I22" s="27" t="n"/>
      <c r="J22" s="28">
        <f>IF(NOT(OR($A22&lt;&gt;"",$E22&lt;&gt;"",$F22&lt;&gt;"",$G22&lt;&gt;"",$H22&lt;&gt;"",$I22&lt;&gt;"")),"",N($G22)+N($H22)+N($I22))</f>
        <v/>
      </c>
      <c r="K22" s="28">
        <f>IF(ISNUMBER($O22),INDEX('請求台帳'!$R$5:$R$1004,$O22),"")</f>
        <v/>
      </c>
      <c r="L22" s="20">
        <f>IF(NOT(OR($A22&lt;&gt;"",$E22&lt;&gt;"",$F22&lt;&gt;"",$G22&lt;&gt;"",$H22&lt;&gt;"",$I22&lt;&gt;"")),"",IF(NOT(ISNUMBER($A22)),"入金日がありません",IF(AND($F22&lt;&gt;"",$O22="なし"),"請求Noが請求台帳にありません",IF(AND(ISNUMBER($O22),$C22&lt;&gt;"",$C22&lt;&gt;$P22),"請求の得意先は "&amp;$P22&amp;" です",IF(ROUND(IF($B22&lt;&gt;"",SUMIF($B$5:$B$1004,$B22,$E$5:$E$1004)-SUMIF($B$5:$B$1004,$B22,$G$5:$G$1004),N($E22)-N($G22)),0)&lt;&gt;0,"通帳の額と当てた額の差 "&amp;TEXT(IF($B22&lt;&gt;"",SUMIF($B$5:$B$1004,$B22,$E$5:$E$1004)-SUMIF($B$5:$B$1004,$B22,$G$5:$G$1004),N($E22)-N($G22)),"#,##0"),IF(AND(ISNUMBER($O22),N($K22)&lt;0),"請求額より多く消し込んでいます",IF($F22="","消込先が未定","OK")))))))</f>
        <v/>
      </c>
      <c r="M22" s="19" t="n"/>
      <c r="N22" s="56" t="n"/>
      <c r="O22" s="32">
        <f>IF($F22="","",IFERROR(MATCH($F22,'請求台帳'!$A$5:$A$1004,0),"なし"))</f>
        <v/>
      </c>
      <c r="P22" s="37">
        <f>IF(NOT(OR($A22&lt;&gt;"",$E22&lt;&gt;"",$F22&lt;&gt;"",$G22&lt;&gt;"",$H22&lt;&gt;"",$I22&lt;&gt;"")),"",IF(ISNUMBER($O22),IF(INDEX('請求台帳'!$C$5:$C$1004,$O22)="","",INDEX('請求台帳'!$C$5:$C$1004,$O22)),IF($C22="","",$C22)))</f>
        <v/>
      </c>
      <c r="Q22" s="35">
        <f>IF(OR(NOT(OR($A22&lt;&gt;"",$E22&lt;&gt;"",$F22&lt;&gt;"",$G22&lt;&gt;"",$H22&lt;&gt;"",$I22&lt;&gt;"")),$P22="",$P22&lt;&gt;'売掛帳'!$B$3,NOT(ISNUMBER($A22)),N($G22)+N($H22)+N($I22)=0),"",IF(AND($A22&gt;='売掛帳'!$Q$3,$A22&lt;='売掛帳'!$Q$4),$A22+0.5+ROW()/10000000,""))</f>
        <v/>
      </c>
      <c r="R22" s="32">
        <f>IF(AND(OR($A22&lt;&gt;"",$E22&lt;&gt;"",$F22&lt;&gt;"",$G22&lt;&gt;"",$H22&lt;&gt;"",$I22&lt;&gt;""),NOT(ISNUMBER($O22))),1,"")</f>
        <v/>
      </c>
    </row>
    <row r="23" ht="18" customHeight="1">
      <c r="A23" s="26" t="n"/>
      <c r="B23" s="18" t="n"/>
      <c r="C23" s="18" t="n"/>
      <c r="D23" s="20">
        <f>IF($P23="","",IFERROR(INDEX('得意先'!$C$5:$C$104,MATCH($P23,'得意先'!$B$5:$B$104,0))&amp;"","※得意先にないコード"))</f>
        <v/>
      </c>
      <c r="E23" s="27" t="n"/>
      <c r="F23" s="18" t="n"/>
      <c r="G23" s="27" t="n"/>
      <c r="H23" s="27" t="n"/>
      <c r="I23" s="27" t="n"/>
      <c r="J23" s="28">
        <f>IF(NOT(OR($A23&lt;&gt;"",$E23&lt;&gt;"",$F23&lt;&gt;"",$G23&lt;&gt;"",$H23&lt;&gt;"",$I23&lt;&gt;"")),"",N($G23)+N($H23)+N($I23))</f>
        <v/>
      </c>
      <c r="K23" s="28">
        <f>IF(ISNUMBER($O23),INDEX('請求台帳'!$R$5:$R$1004,$O23),"")</f>
        <v/>
      </c>
      <c r="L23" s="20">
        <f>IF(NOT(OR($A23&lt;&gt;"",$E23&lt;&gt;"",$F23&lt;&gt;"",$G23&lt;&gt;"",$H23&lt;&gt;"",$I23&lt;&gt;"")),"",IF(NOT(ISNUMBER($A23)),"入金日がありません",IF(AND($F23&lt;&gt;"",$O23="なし"),"請求Noが請求台帳にありません",IF(AND(ISNUMBER($O23),$C23&lt;&gt;"",$C23&lt;&gt;$P23),"請求の得意先は "&amp;$P23&amp;" です",IF(ROUND(IF($B23&lt;&gt;"",SUMIF($B$5:$B$1004,$B23,$E$5:$E$1004)-SUMIF($B$5:$B$1004,$B23,$G$5:$G$1004),N($E23)-N($G23)),0)&lt;&gt;0,"通帳の額と当てた額の差 "&amp;TEXT(IF($B23&lt;&gt;"",SUMIF($B$5:$B$1004,$B23,$E$5:$E$1004)-SUMIF($B$5:$B$1004,$B23,$G$5:$G$1004),N($E23)-N($G23)),"#,##0"),IF(AND(ISNUMBER($O23),N($K23)&lt;0),"請求額より多く消し込んでいます",IF($F23="","消込先が未定","OK")))))))</f>
        <v/>
      </c>
      <c r="M23" s="19" t="n"/>
      <c r="N23" s="56" t="n"/>
      <c r="O23" s="32">
        <f>IF($F23="","",IFERROR(MATCH($F23,'請求台帳'!$A$5:$A$1004,0),"なし"))</f>
        <v/>
      </c>
      <c r="P23" s="37">
        <f>IF(NOT(OR($A23&lt;&gt;"",$E23&lt;&gt;"",$F23&lt;&gt;"",$G23&lt;&gt;"",$H23&lt;&gt;"",$I23&lt;&gt;"")),"",IF(ISNUMBER($O23),IF(INDEX('請求台帳'!$C$5:$C$1004,$O23)="","",INDEX('請求台帳'!$C$5:$C$1004,$O23)),IF($C23="","",$C23)))</f>
        <v/>
      </c>
      <c r="Q23" s="35">
        <f>IF(OR(NOT(OR($A23&lt;&gt;"",$E23&lt;&gt;"",$F23&lt;&gt;"",$G23&lt;&gt;"",$H23&lt;&gt;"",$I23&lt;&gt;"")),$P23="",$P23&lt;&gt;'売掛帳'!$B$3,NOT(ISNUMBER($A23)),N($G23)+N($H23)+N($I23)=0),"",IF(AND($A23&gt;='売掛帳'!$Q$3,$A23&lt;='売掛帳'!$Q$4),$A23+0.5+ROW()/10000000,""))</f>
        <v/>
      </c>
      <c r="R23" s="32">
        <f>IF(AND(OR($A23&lt;&gt;"",$E23&lt;&gt;"",$F23&lt;&gt;"",$G23&lt;&gt;"",$H23&lt;&gt;"",$I23&lt;&gt;""),NOT(ISNUMBER($O23))),1,"")</f>
        <v/>
      </c>
    </row>
    <row r="24" ht="18" customHeight="1">
      <c r="A24" s="26" t="n"/>
      <c r="B24" s="18" t="n"/>
      <c r="C24" s="18" t="n"/>
      <c r="D24" s="20">
        <f>IF($P24="","",IFERROR(INDEX('得意先'!$C$5:$C$104,MATCH($P24,'得意先'!$B$5:$B$104,0))&amp;"","※得意先にないコード"))</f>
        <v/>
      </c>
      <c r="E24" s="27" t="n"/>
      <c r="F24" s="18" t="n"/>
      <c r="G24" s="27" t="n"/>
      <c r="H24" s="27" t="n"/>
      <c r="I24" s="27" t="n"/>
      <c r="J24" s="28">
        <f>IF(NOT(OR($A24&lt;&gt;"",$E24&lt;&gt;"",$F24&lt;&gt;"",$G24&lt;&gt;"",$H24&lt;&gt;"",$I24&lt;&gt;"")),"",N($G24)+N($H24)+N($I24))</f>
        <v/>
      </c>
      <c r="K24" s="28">
        <f>IF(ISNUMBER($O24),INDEX('請求台帳'!$R$5:$R$1004,$O24),"")</f>
        <v/>
      </c>
      <c r="L24" s="20">
        <f>IF(NOT(OR($A24&lt;&gt;"",$E24&lt;&gt;"",$F24&lt;&gt;"",$G24&lt;&gt;"",$H24&lt;&gt;"",$I24&lt;&gt;"")),"",IF(NOT(ISNUMBER($A24)),"入金日がありません",IF(AND($F24&lt;&gt;"",$O24="なし"),"請求Noが請求台帳にありません",IF(AND(ISNUMBER($O24),$C24&lt;&gt;"",$C24&lt;&gt;$P24),"請求の得意先は "&amp;$P24&amp;" です",IF(ROUND(IF($B24&lt;&gt;"",SUMIF($B$5:$B$1004,$B24,$E$5:$E$1004)-SUMIF($B$5:$B$1004,$B24,$G$5:$G$1004),N($E24)-N($G24)),0)&lt;&gt;0,"通帳の額と当てた額の差 "&amp;TEXT(IF($B24&lt;&gt;"",SUMIF($B$5:$B$1004,$B24,$E$5:$E$1004)-SUMIF($B$5:$B$1004,$B24,$G$5:$G$1004),N($E24)-N($G24)),"#,##0"),IF(AND(ISNUMBER($O24),N($K24)&lt;0),"請求額より多く消し込んでいます",IF($F24="","消込先が未定","OK")))))))</f>
        <v/>
      </c>
      <c r="M24" s="19" t="n"/>
      <c r="N24" s="56" t="n"/>
      <c r="O24" s="32">
        <f>IF($F24="","",IFERROR(MATCH($F24,'請求台帳'!$A$5:$A$1004,0),"なし"))</f>
        <v/>
      </c>
      <c r="P24" s="37">
        <f>IF(NOT(OR($A24&lt;&gt;"",$E24&lt;&gt;"",$F24&lt;&gt;"",$G24&lt;&gt;"",$H24&lt;&gt;"",$I24&lt;&gt;"")),"",IF(ISNUMBER($O24),IF(INDEX('請求台帳'!$C$5:$C$1004,$O24)="","",INDEX('請求台帳'!$C$5:$C$1004,$O24)),IF($C24="","",$C24)))</f>
        <v/>
      </c>
      <c r="Q24" s="35">
        <f>IF(OR(NOT(OR($A24&lt;&gt;"",$E24&lt;&gt;"",$F24&lt;&gt;"",$G24&lt;&gt;"",$H24&lt;&gt;"",$I24&lt;&gt;"")),$P24="",$P24&lt;&gt;'売掛帳'!$B$3,NOT(ISNUMBER($A24)),N($G24)+N($H24)+N($I24)=0),"",IF(AND($A24&gt;='売掛帳'!$Q$3,$A24&lt;='売掛帳'!$Q$4),$A24+0.5+ROW()/10000000,""))</f>
        <v/>
      </c>
      <c r="R24" s="32">
        <f>IF(AND(OR($A24&lt;&gt;"",$E24&lt;&gt;"",$F24&lt;&gt;"",$G24&lt;&gt;"",$H24&lt;&gt;"",$I24&lt;&gt;""),NOT(ISNUMBER($O24))),1,"")</f>
        <v/>
      </c>
    </row>
    <row r="25" ht="18" customHeight="1">
      <c r="A25" s="26" t="n"/>
      <c r="B25" s="18" t="n"/>
      <c r="C25" s="18" t="n"/>
      <c r="D25" s="20">
        <f>IF($P25="","",IFERROR(INDEX('得意先'!$C$5:$C$104,MATCH($P25,'得意先'!$B$5:$B$104,0))&amp;"","※得意先にないコード"))</f>
        <v/>
      </c>
      <c r="E25" s="27" t="n"/>
      <c r="F25" s="18" t="n"/>
      <c r="G25" s="27" t="n"/>
      <c r="H25" s="27" t="n"/>
      <c r="I25" s="27" t="n"/>
      <c r="J25" s="28">
        <f>IF(NOT(OR($A25&lt;&gt;"",$E25&lt;&gt;"",$F25&lt;&gt;"",$G25&lt;&gt;"",$H25&lt;&gt;"",$I25&lt;&gt;"")),"",N($G25)+N($H25)+N($I25))</f>
        <v/>
      </c>
      <c r="K25" s="28">
        <f>IF(ISNUMBER($O25),INDEX('請求台帳'!$R$5:$R$1004,$O25),"")</f>
        <v/>
      </c>
      <c r="L25" s="20">
        <f>IF(NOT(OR($A25&lt;&gt;"",$E25&lt;&gt;"",$F25&lt;&gt;"",$G25&lt;&gt;"",$H25&lt;&gt;"",$I25&lt;&gt;"")),"",IF(NOT(ISNUMBER($A25)),"入金日がありません",IF(AND($F25&lt;&gt;"",$O25="なし"),"請求Noが請求台帳にありません",IF(AND(ISNUMBER($O25),$C25&lt;&gt;"",$C25&lt;&gt;$P25),"請求の得意先は "&amp;$P25&amp;" です",IF(ROUND(IF($B25&lt;&gt;"",SUMIF($B$5:$B$1004,$B25,$E$5:$E$1004)-SUMIF($B$5:$B$1004,$B25,$G$5:$G$1004),N($E25)-N($G25)),0)&lt;&gt;0,"通帳の額と当てた額の差 "&amp;TEXT(IF($B25&lt;&gt;"",SUMIF($B$5:$B$1004,$B25,$E$5:$E$1004)-SUMIF($B$5:$B$1004,$B25,$G$5:$G$1004),N($E25)-N($G25)),"#,##0"),IF(AND(ISNUMBER($O25),N($K25)&lt;0),"請求額より多く消し込んでいます",IF($F25="","消込先が未定","OK")))))))</f>
        <v/>
      </c>
      <c r="M25" s="19" t="n"/>
      <c r="N25" s="56" t="n"/>
      <c r="O25" s="32">
        <f>IF($F25="","",IFERROR(MATCH($F25,'請求台帳'!$A$5:$A$1004,0),"なし"))</f>
        <v/>
      </c>
      <c r="P25" s="37">
        <f>IF(NOT(OR($A25&lt;&gt;"",$E25&lt;&gt;"",$F25&lt;&gt;"",$G25&lt;&gt;"",$H25&lt;&gt;"",$I25&lt;&gt;"")),"",IF(ISNUMBER($O25),IF(INDEX('請求台帳'!$C$5:$C$1004,$O25)="","",INDEX('請求台帳'!$C$5:$C$1004,$O25)),IF($C25="","",$C25)))</f>
        <v/>
      </c>
      <c r="Q25" s="35">
        <f>IF(OR(NOT(OR($A25&lt;&gt;"",$E25&lt;&gt;"",$F25&lt;&gt;"",$G25&lt;&gt;"",$H25&lt;&gt;"",$I25&lt;&gt;"")),$P25="",$P25&lt;&gt;'売掛帳'!$B$3,NOT(ISNUMBER($A25)),N($G25)+N($H25)+N($I25)=0),"",IF(AND($A25&gt;='売掛帳'!$Q$3,$A25&lt;='売掛帳'!$Q$4),$A25+0.5+ROW()/10000000,""))</f>
        <v/>
      </c>
      <c r="R25" s="32">
        <f>IF(AND(OR($A25&lt;&gt;"",$E25&lt;&gt;"",$F25&lt;&gt;"",$G25&lt;&gt;"",$H25&lt;&gt;"",$I25&lt;&gt;""),NOT(ISNUMBER($O25))),1,"")</f>
        <v/>
      </c>
    </row>
    <row r="26" ht="18" customHeight="1">
      <c r="A26" s="26" t="n"/>
      <c r="B26" s="18" t="n"/>
      <c r="C26" s="18" t="n"/>
      <c r="D26" s="20">
        <f>IF($P26="","",IFERROR(INDEX('得意先'!$C$5:$C$104,MATCH($P26,'得意先'!$B$5:$B$104,0))&amp;"","※得意先にないコード"))</f>
        <v/>
      </c>
      <c r="E26" s="27" t="n"/>
      <c r="F26" s="18" t="n"/>
      <c r="G26" s="27" t="n"/>
      <c r="H26" s="27" t="n"/>
      <c r="I26" s="27" t="n"/>
      <c r="J26" s="28">
        <f>IF(NOT(OR($A26&lt;&gt;"",$E26&lt;&gt;"",$F26&lt;&gt;"",$G26&lt;&gt;"",$H26&lt;&gt;"",$I26&lt;&gt;"")),"",N($G26)+N($H26)+N($I26))</f>
        <v/>
      </c>
      <c r="K26" s="28">
        <f>IF(ISNUMBER($O26),INDEX('請求台帳'!$R$5:$R$1004,$O26),"")</f>
        <v/>
      </c>
      <c r="L26" s="20">
        <f>IF(NOT(OR($A26&lt;&gt;"",$E26&lt;&gt;"",$F26&lt;&gt;"",$G26&lt;&gt;"",$H26&lt;&gt;"",$I26&lt;&gt;"")),"",IF(NOT(ISNUMBER($A26)),"入金日がありません",IF(AND($F26&lt;&gt;"",$O26="なし"),"請求Noが請求台帳にありません",IF(AND(ISNUMBER($O26),$C26&lt;&gt;"",$C26&lt;&gt;$P26),"請求の得意先は "&amp;$P26&amp;" です",IF(ROUND(IF($B26&lt;&gt;"",SUMIF($B$5:$B$1004,$B26,$E$5:$E$1004)-SUMIF($B$5:$B$1004,$B26,$G$5:$G$1004),N($E26)-N($G26)),0)&lt;&gt;0,"通帳の額と当てた額の差 "&amp;TEXT(IF($B26&lt;&gt;"",SUMIF($B$5:$B$1004,$B26,$E$5:$E$1004)-SUMIF($B$5:$B$1004,$B26,$G$5:$G$1004),N($E26)-N($G26)),"#,##0"),IF(AND(ISNUMBER($O26),N($K26)&lt;0),"請求額より多く消し込んでいます",IF($F26="","消込先が未定","OK")))))))</f>
        <v/>
      </c>
      <c r="M26" s="19" t="n"/>
      <c r="N26" s="56" t="n"/>
      <c r="O26" s="32">
        <f>IF($F26="","",IFERROR(MATCH($F26,'請求台帳'!$A$5:$A$1004,0),"なし"))</f>
        <v/>
      </c>
      <c r="P26" s="37">
        <f>IF(NOT(OR($A26&lt;&gt;"",$E26&lt;&gt;"",$F26&lt;&gt;"",$G26&lt;&gt;"",$H26&lt;&gt;"",$I26&lt;&gt;"")),"",IF(ISNUMBER($O26),IF(INDEX('請求台帳'!$C$5:$C$1004,$O26)="","",INDEX('請求台帳'!$C$5:$C$1004,$O26)),IF($C26="","",$C26)))</f>
        <v/>
      </c>
      <c r="Q26" s="35">
        <f>IF(OR(NOT(OR($A26&lt;&gt;"",$E26&lt;&gt;"",$F26&lt;&gt;"",$G26&lt;&gt;"",$H26&lt;&gt;"",$I26&lt;&gt;"")),$P26="",$P26&lt;&gt;'売掛帳'!$B$3,NOT(ISNUMBER($A26)),N($G26)+N($H26)+N($I26)=0),"",IF(AND($A26&gt;='売掛帳'!$Q$3,$A26&lt;='売掛帳'!$Q$4),$A26+0.5+ROW()/10000000,""))</f>
        <v/>
      </c>
      <c r="R26" s="32">
        <f>IF(AND(OR($A26&lt;&gt;"",$E26&lt;&gt;"",$F26&lt;&gt;"",$G26&lt;&gt;"",$H26&lt;&gt;"",$I26&lt;&gt;""),NOT(ISNUMBER($O26))),1,"")</f>
        <v/>
      </c>
    </row>
    <row r="27" ht="18" customHeight="1">
      <c r="A27" s="26" t="n"/>
      <c r="B27" s="18" t="n"/>
      <c r="C27" s="18" t="n"/>
      <c r="D27" s="20">
        <f>IF($P27="","",IFERROR(INDEX('得意先'!$C$5:$C$104,MATCH($P27,'得意先'!$B$5:$B$104,0))&amp;"","※得意先にないコード"))</f>
        <v/>
      </c>
      <c r="E27" s="27" t="n"/>
      <c r="F27" s="18" t="n"/>
      <c r="G27" s="27" t="n"/>
      <c r="H27" s="27" t="n"/>
      <c r="I27" s="27" t="n"/>
      <c r="J27" s="28">
        <f>IF(NOT(OR($A27&lt;&gt;"",$E27&lt;&gt;"",$F27&lt;&gt;"",$G27&lt;&gt;"",$H27&lt;&gt;"",$I27&lt;&gt;"")),"",N($G27)+N($H27)+N($I27))</f>
        <v/>
      </c>
      <c r="K27" s="28">
        <f>IF(ISNUMBER($O27),INDEX('請求台帳'!$R$5:$R$1004,$O27),"")</f>
        <v/>
      </c>
      <c r="L27" s="20">
        <f>IF(NOT(OR($A27&lt;&gt;"",$E27&lt;&gt;"",$F27&lt;&gt;"",$G27&lt;&gt;"",$H27&lt;&gt;"",$I27&lt;&gt;"")),"",IF(NOT(ISNUMBER($A27)),"入金日がありません",IF(AND($F27&lt;&gt;"",$O27="なし"),"請求Noが請求台帳にありません",IF(AND(ISNUMBER($O27),$C27&lt;&gt;"",$C27&lt;&gt;$P27),"請求の得意先は "&amp;$P27&amp;" です",IF(ROUND(IF($B27&lt;&gt;"",SUMIF($B$5:$B$1004,$B27,$E$5:$E$1004)-SUMIF($B$5:$B$1004,$B27,$G$5:$G$1004),N($E27)-N($G27)),0)&lt;&gt;0,"通帳の額と当てた額の差 "&amp;TEXT(IF($B27&lt;&gt;"",SUMIF($B$5:$B$1004,$B27,$E$5:$E$1004)-SUMIF($B$5:$B$1004,$B27,$G$5:$G$1004),N($E27)-N($G27)),"#,##0"),IF(AND(ISNUMBER($O27),N($K27)&lt;0),"請求額より多く消し込んでいます",IF($F27="","消込先が未定","OK")))))))</f>
        <v/>
      </c>
      <c r="M27" s="19" t="n"/>
      <c r="N27" s="56" t="n"/>
      <c r="O27" s="32">
        <f>IF($F27="","",IFERROR(MATCH($F27,'請求台帳'!$A$5:$A$1004,0),"なし"))</f>
        <v/>
      </c>
      <c r="P27" s="37">
        <f>IF(NOT(OR($A27&lt;&gt;"",$E27&lt;&gt;"",$F27&lt;&gt;"",$G27&lt;&gt;"",$H27&lt;&gt;"",$I27&lt;&gt;"")),"",IF(ISNUMBER($O27),IF(INDEX('請求台帳'!$C$5:$C$1004,$O27)="","",INDEX('請求台帳'!$C$5:$C$1004,$O27)),IF($C27="","",$C27)))</f>
        <v/>
      </c>
      <c r="Q27" s="35">
        <f>IF(OR(NOT(OR($A27&lt;&gt;"",$E27&lt;&gt;"",$F27&lt;&gt;"",$G27&lt;&gt;"",$H27&lt;&gt;"",$I27&lt;&gt;"")),$P27="",$P27&lt;&gt;'売掛帳'!$B$3,NOT(ISNUMBER($A27)),N($G27)+N($H27)+N($I27)=0),"",IF(AND($A27&gt;='売掛帳'!$Q$3,$A27&lt;='売掛帳'!$Q$4),$A27+0.5+ROW()/10000000,""))</f>
        <v/>
      </c>
      <c r="R27" s="32">
        <f>IF(AND(OR($A27&lt;&gt;"",$E27&lt;&gt;"",$F27&lt;&gt;"",$G27&lt;&gt;"",$H27&lt;&gt;"",$I27&lt;&gt;""),NOT(ISNUMBER($O27))),1,"")</f>
        <v/>
      </c>
    </row>
    <row r="28" ht="18" customHeight="1">
      <c r="A28" s="26" t="n"/>
      <c r="B28" s="18" t="n"/>
      <c r="C28" s="18" t="n"/>
      <c r="D28" s="20">
        <f>IF($P28="","",IFERROR(INDEX('得意先'!$C$5:$C$104,MATCH($P28,'得意先'!$B$5:$B$104,0))&amp;"","※得意先にないコード"))</f>
        <v/>
      </c>
      <c r="E28" s="27" t="n"/>
      <c r="F28" s="18" t="n"/>
      <c r="G28" s="27" t="n"/>
      <c r="H28" s="27" t="n"/>
      <c r="I28" s="27" t="n"/>
      <c r="J28" s="28">
        <f>IF(NOT(OR($A28&lt;&gt;"",$E28&lt;&gt;"",$F28&lt;&gt;"",$G28&lt;&gt;"",$H28&lt;&gt;"",$I28&lt;&gt;"")),"",N($G28)+N($H28)+N($I28))</f>
        <v/>
      </c>
      <c r="K28" s="28">
        <f>IF(ISNUMBER($O28),INDEX('請求台帳'!$R$5:$R$1004,$O28),"")</f>
        <v/>
      </c>
      <c r="L28" s="20">
        <f>IF(NOT(OR($A28&lt;&gt;"",$E28&lt;&gt;"",$F28&lt;&gt;"",$G28&lt;&gt;"",$H28&lt;&gt;"",$I28&lt;&gt;"")),"",IF(NOT(ISNUMBER($A28)),"入金日がありません",IF(AND($F28&lt;&gt;"",$O28="なし"),"請求Noが請求台帳にありません",IF(AND(ISNUMBER($O28),$C28&lt;&gt;"",$C28&lt;&gt;$P28),"請求の得意先は "&amp;$P28&amp;" です",IF(ROUND(IF($B28&lt;&gt;"",SUMIF($B$5:$B$1004,$B28,$E$5:$E$1004)-SUMIF($B$5:$B$1004,$B28,$G$5:$G$1004),N($E28)-N($G28)),0)&lt;&gt;0,"通帳の額と当てた額の差 "&amp;TEXT(IF($B28&lt;&gt;"",SUMIF($B$5:$B$1004,$B28,$E$5:$E$1004)-SUMIF($B$5:$B$1004,$B28,$G$5:$G$1004),N($E28)-N($G28)),"#,##0"),IF(AND(ISNUMBER($O28),N($K28)&lt;0),"請求額より多く消し込んでいます",IF($F28="","消込先が未定","OK")))))))</f>
        <v/>
      </c>
      <c r="M28" s="19" t="n"/>
      <c r="N28" s="56" t="n"/>
      <c r="O28" s="32">
        <f>IF($F28="","",IFERROR(MATCH($F28,'請求台帳'!$A$5:$A$1004,0),"なし"))</f>
        <v/>
      </c>
      <c r="P28" s="37">
        <f>IF(NOT(OR($A28&lt;&gt;"",$E28&lt;&gt;"",$F28&lt;&gt;"",$G28&lt;&gt;"",$H28&lt;&gt;"",$I28&lt;&gt;"")),"",IF(ISNUMBER($O28),IF(INDEX('請求台帳'!$C$5:$C$1004,$O28)="","",INDEX('請求台帳'!$C$5:$C$1004,$O28)),IF($C28="","",$C28)))</f>
        <v/>
      </c>
      <c r="Q28" s="35">
        <f>IF(OR(NOT(OR($A28&lt;&gt;"",$E28&lt;&gt;"",$F28&lt;&gt;"",$G28&lt;&gt;"",$H28&lt;&gt;"",$I28&lt;&gt;"")),$P28="",$P28&lt;&gt;'売掛帳'!$B$3,NOT(ISNUMBER($A28)),N($G28)+N($H28)+N($I28)=0),"",IF(AND($A28&gt;='売掛帳'!$Q$3,$A28&lt;='売掛帳'!$Q$4),$A28+0.5+ROW()/10000000,""))</f>
        <v/>
      </c>
      <c r="R28" s="32">
        <f>IF(AND(OR($A28&lt;&gt;"",$E28&lt;&gt;"",$F28&lt;&gt;"",$G28&lt;&gt;"",$H28&lt;&gt;"",$I28&lt;&gt;""),NOT(ISNUMBER($O28))),1,"")</f>
        <v/>
      </c>
    </row>
    <row r="29" ht="18" customHeight="1">
      <c r="A29" s="26" t="n"/>
      <c r="B29" s="18" t="n"/>
      <c r="C29" s="18" t="n"/>
      <c r="D29" s="20">
        <f>IF($P29="","",IFERROR(INDEX('得意先'!$C$5:$C$104,MATCH($P29,'得意先'!$B$5:$B$104,0))&amp;"","※得意先にないコード"))</f>
        <v/>
      </c>
      <c r="E29" s="27" t="n"/>
      <c r="F29" s="18" t="n"/>
      <c r="G29" s="27" t="n"/>
      <c r="H29" s="27" t="n"/>
      <c r="I29" s="27" t="n"/>
      <c r="J29" s="28">
        <f>IF(NOT(OR($A29&lt;&gt;"",$E29&lt;&gt;"",$F29&lt;&gt;"",$G29&lt;&gt;"",$H29&lt;&gt;"",$I29&lt;&gt;"")),"",N($G29)+N($H29)+N($I29))</f>
        <v/>
      </c>
      <c r="K29" s="28">
        <f>IF(ISNUMBER($O29),INDEX('請求台帳'!$R$5:$R$1004,$O29),"")</f>
        <v/>
      </c>
      <c r="L29" s="20">
        <f>IF(NOT(OR($A29&lt;&gt;"",$E29&lt;&gt;"",$F29&lt;&gt;"",$G29&lt;&gt;"",$H29&lt;&gt;"",$I29&lt;&gt;"")),"",IF(NOT(ISNUMBER($A29)),"入金日がありません",IF(AND($F29&lt;&gt;"",$O29="なし"),"請求Noが請求台帳にありません",IF(AND(ISNUMBER($O29),$C29&lt;&gt;"",$C29&lt;&gt;$P29),"請求の得意先は "&amp;$P29&amp;" です",IF(ROUND(IF($B29&lt;&gt;"",SUMIF($B$5:$B$1004,$B29,$E$5:$E$1004)-SUMIF($B$5:$B$1004,$B29,$G$5:$G$1004),N($E29)-N($G29)),0)&lt;&gt;0,"通帳の額と当てた額の差 "&amp;TEXT(IF($B29&lt;&gt;"",SUMIF($B$5:$B$1004,$B29,$E$5:$E$1004)-SUMIF($B$5:$B$1004,$B29,$G$5:$G$1004),N($E29)-N($G29)),"#,##0"),IF(AND(ISNUMBER($O29),N($K29)&lt;0),"請求額より多く消し込んでいます",IF($F29="","消込先が未定","OK")))))))</f>
        <v/>
      </c>
      <c r="M29" s="19" t="n"/>
      <c r="N29" s="56" t="n"/>
      <c r="O29" s="32">
        <f>IF($F29="","",IFERROR(MATCH($F29,'請求台帳'!$A$5:$A$1004,0),"なし"))</f>
        <v/>
      </c>
      <c r="P29" s="37">
        <f>IF(NOT(OR($A29&lt;&gt;"",$E29&lt;&gt;"",$F29&lt;&gt;"",$G29&lt;&gt;"",$H29&lt;&gt;"",$I29&lt;&gt;"")),"",IF(ISNUMBER($O29),IF(INDEX('請求台帳'!$C$5:$C$1004,$O29)="","",INDEX('請求台帳'!$C$5:$C$1004,$O29)),IF($C29="","",$C29)))</f>
        <v/>
      </c>
      <c r="Q29" s="35">
        <f>IF(OR(NOT(OR($A29&lt;&gt;"",$E29&lt;&gt;"",$F29&lt;&gt;"",$G29&lt;&gt;"",$H29&lt;&gt;"",$I29&lt;&gt;"")),$P29="",$P29&lt;&gt;'売掛帳'!$B$3,NOT(ISNUMBER($A29)),N($G29)+N($H29)+N($I29)=0),"",IF(AND($A29&gt;='売掛帳'!$Q$3,$A29&lt;='売掛帳'!$Q$4),$A29+0.5+ROW()/10000000,""))</f>
        <v/>
      </c>
      <c r="R29" s="32">
        <f>IF(AND(OR($A29&lt;&gt;"",$E29&lt;&gt;"",$F29&lt;&gt;"",$G29&lt;&gt;"",$H29&lt;&gt;"",$I29&lt;&gt;""),NOT(ISNUMBER($O29))),1,"")</f>
        <v/>
      </c>
    </row>
    <row r="30" ht="18" customHeight="1">
      <c r="A30" s="26" t="n"/>
      <c r="B30" s="18" t="n"/>
      <c r="C30" s="18" t="n"/>
      <c r="D30" s="20">
        <f>IF($P30="","",IFERROR(INDEX('得意先'!$C$5:$C$104,MATCH($P30,'得意先'!$B$5:$B$104,0))&amp;"","※得意先にないコード"))</f>
        <v/>
      </c>
      <c r="E30" s="27" t="n"/>
      <c r="F30" s="18" t="n"/>
      <c r="G30" s="27" t="n"/>
      <c r="H30" s="27" t="n"/>
      <c r="I30" s="27" t="n"/>
      <c r="J30" s="28">
        <f>IF(NOT(OR($A30&lt;&gt;"",$E30&lt;&gt;"",$F30&lt;&gt;"",$G30&lt;&gt;"",$H30&lt;&gt;"",$I30&lt;&gt;"")),"",N($G30)+N($H30)+N($I30))</f>
        <v/>
      </c>
      <c r="K30" s="28">
        <f>IF(ISNUMBER($O30),INDEX('請求台帳'!$R$5:$R$1004,$O30),"")</f>
        <v/>
      </c>
      <c r="L30" s="20">
        <f>IF(NOT(OR($A30&lt;&gt;"",$E30&lt;&gt;"",$F30&lt;&gt;"",$G30&lt;&gt;"",$H30&lt;&gt;"",$I30&lt;&gt;"")),"",IF(NOT(ISNUMBER($A30)),"入金日がありません",IF(AND($F30&lt;&gt;"",$O30="なし"),"請求Noが請求台帳にありません",IF(AND(ISNUMBER($O30),$C30&lt;&gt;"",$C30&lt;&gt;$P30),"請求の得意先は "&amp;$P30&amp;" です",IF(ROUND(IF($B30&lt;&gt;"",SUMIF($B$5:$B$1004,$B30,$E$5:$E$1004)-SUMIF($B$5:$B$1004,$B30,$G$5:$G$1004),N($E30)-N($G30)),0)&lt;&gt;0,"通帳の額と当てた額の差 "&amp;TEXT(IF($B30&lt;&gt;"",SUMIF($B$5:$B$1004,$B30,$E$5:$E$1004)-SUMIF($B$5:$B$1004,$B30,$G$5:$G$1004),N($E30)-N($G30)),"#,##0"),IF(AND(ISNUMBER($O30),N($K30)&lt;0),"請求額より多く消し込んでいます",IF($F30="","消込先が未定","OK")))))))</f>
        <v/>
      </c>
      <c r="M30" s="19" t="n"/>
      <c r="N30" s="56" t="n"/>
      <c r="O30" s="32">
        <f>IF($F30="","",IFERROR(MATCH($F30,'請求台帳'!$A$5:$A$1004,0),"なし"))</f>
        <v/>
      </c>
      <c r="P30" s="37">
        <f>IF(NOT(OR($A30&lt;&gt;"",$E30&lt;&gt;"",$F30&lt;&gt;"",$G30&lt;&gt;"",$H30&lt;&gt;"",$I30&lt;&gt;"")),"",IF(ISNUMBER($O30),IF(INDEX('請求台帳'!$C$5:$C$1004,$O30)="","",INDEX('請求台帳'!$C$5:$C$1004,$O30)),IF($C30="","",$C30)))</f>
        <v/>
      </c>
      <c r="Q30" s="35">
        <f>IF(OR(NOT(OR($A30&lt;&gt;"",$E30&lt;&gt;"",$F30&lt;&gt;"",$G30&lt;&gt;"",$H30&lt;&gt;"",$I30&lt;&gt;"")),$P30="",$P30&lt;&gt;'売掛帳'!$B$3,NOT(ISNUMBER($A30)),N($G30)+N($H30)+N($I30)=0),"",IF(AND($A30&gt;='売掛帳'!$Q$3,$A30&lt;='売掛帳'!$Q$4),$A30+0.5+ROW()/10000000,""))</f>
        <v/>
      </c>
      <c r="R30" s="32">
        <f>IF(AND(OR($A30&lt;&gt;"",$E30&lt;&gt;"",$F30&lt;&gt;"",$G30&lt;&gt;"",$H30&lt;&gt;"",$I30&lt;&gt;""),NOT(ISNUMBER($O30))),1,"")</f>
        <v/>
      </c>
    </row>
    <row r="31" ht="18" customHeight="1">
      <c r="A31" s="26" t="n"/>
      <c r="B31" s="18" t="n"/>
      <c r="C31" s="18" t="n"/>
      <c r="D31" s="20">
        <f>IF($P31="","",IFERROR(INDEX('得意先'!$C$5:$C$104,MATCH($P31,'得意先'!$B$5:$B$104,0))&amp;"","※得意先にないコード"))</f>
        <v/>
      </c>
      <c r="E31" s="27" t="n"/>
      <c r="F31" s="18" t="n"/>
      <c r="G31" s="27" t="n"/>
      <c r="H31" s="27" t="n"/>
      <c r="I31" s="27" t="n"/>
      <c r="J31" s="28">
        <f>IF(NOT(OR($A31&lt;&gt;"",$E31&lt;&gt;"",$F31&lt;&gt;"",$G31&lt;&gt;"",$H31&lt;&gt;"",$I31&lt;&gt;"")),"",N($G31)+N($H31)+N($I31))</f>
        <v/>
      </c>
      <c r="K31" s="28">
        <f>IF(ISNUMBER($O31),INDEX('請求台帳'!$R$5:$R$1004,$O31),"")</f>
        <v/>
      </c>
      <c r="L31" s="20">
        <f>IF(NOT(OR($A31&lt;&gt;"",$E31&lt;&gt;"",$F31&lt;&gt;"",$G31&lt;&gt;"",$H31&lt;&gt;"",$I31&lt;&gt;"")),"",IF(NOT(ISNUMBER($A31)),"入金日がありません",IF(AND($F31&lt;&gt;"",$O31="なし"),"請求Noが請求台帳にありません",IF(AND(ISNUMBER($O31),$C31&lt;&gt;"",$C31&lt;&gt;$P31),"請求の得意先は "&amp;$P31&amp;" です",IF(ROUND(IF($B31&lt;&gt;"",SUMIF($B$5:$B$1004,$B31,$E$5:$E$1004)-SUMIF($B$5:$B$1004,$B31,$G$5:$G$1004),N($E31)-N($G31)),0)&lt;&gt;0,"通帳の額と当てた額の差 "&amp;TEXT(IF($B31&lt;&gt;"",SUMIF($B$5:$B$1004,$B31,$E$5:$E$1004)-SUMIF($B$5:$B$1004,$B31,$G$5:$G$1004),N($E31)-N($G31)),"#,##0"),IF(AND(ISNUMBER($O31),N($K31)&lt;0),"請求額より多く消し込んでいます",IF($F31="","消込先が未定","OK")))))))</f>
        <v/>
      </c>
      <c r="M31" s="19" t="n"/>
      <c r="N31" s="56" t="n"/>
      <c r="O31" s="32">
        <f>IF($F31="","",IFERROR(MATCH($F31,'請求台帳'!$A$5:$A$1004,0),"なし"))</f>
        <v/>
      </c>
      <c r="P31" s="37">
        <f>IF(NOT(OR($A31&lt;&gt;"",$E31&lt;&gt;"",$F31&lt;&gt;"",$G31&lt;&gt;"",$H31&lt;&gt;"",$I31&lt;&gt;"")),"",IF(ISNUMBER($O31),IF(INDEX('請求台帳'!$C$5:$C$1004,$O31)="","",INDEX('請求台帳'!$C$5:$C$1004,$O31)),IF($C31="","",$C31)))</f>
        <v/>
      </c>
      <c r="Q31" s="35">
        <f>IF(OR(NOT(OR($A31&lt;&gt;"",$E31&lt;&gt;"",$F31&lt;&gt;"",$G31&lt;&gt;"",$H31&lt;&gt;"",$I31&lt;&gt;"")),$P31="",$P31&lt;&gt;'売掛帳'!$B$3,NOT(ISNUMBER($A31)),N($G31)+N($H31)+N($I31)=0),"",IF(AND($A31&gt;='売掛帳'!$Q$3,$A31&lt;='売掛帳'!$Q$4),$A31+0.5+ROW()/10000000,""))</f>
        <v/>
      </c>
      <c r="R31" s="32">
        <f>IF(AND(OR($A31&lt;&gt;"",$E31&lt;&gt;"",$F31&lt;&gt;"",$G31&lt;&gt;"",$H31&lt;&gt;"",$I31&lt;&gt;""),NOT(ISNUMBER($O31))),1,"")</f>
        <v/>
      </c>
    </row>
    <row r="32" ht="18" customHeight="1">
      <c r="A32" s="26" t="n"/>
      <c r="B32" s="18" t="n"/>
      <c r="C32" s="18" t="n"/>
      <c r="D32" s="20">
        <f>IF($P32="","",IFERROR(INDEX('得意先'!$C$5:$C$104,MATCH($P32,'得意先'!$B$5:$B$104,0))&amp;"","※得意先にないコード"))</f>
        <v/>
      </c>
      <c r="E32" s="27" t="n"/>
      <c r="F32" s="18" t="n"/>
      <c r="G32" s="27" t="n"/>
      <c r="H32" s="27" t="n"/>
      <c r="I32" s="27" t="n"/>
      <c r="J32" s="28">
        <f>IF(NOT(OR($A32&lt;&gt;"",$E32&lt;&gt;"",$F32&lt;&gt;"",$G32&lt;&gt;"",$H32&lt;&gt;"",$I32&lt;&gt;"")),"",N($G32)+N($H32)+N($I32))</f>
        <v/>
      </c>
      <c r="K32" s="28">
        <f>IF(ISNUMBER($O32),INDEX('請求台帳'!$R$5:$R$1004,$O32),"")</f>
        <v/>
      </c>
      <c r="L32" s="20">
        <f>IF(NOT(OR($A32&lt;&gt;"",$E32&lt;&gt;"",$F32&lt;&gt;"",$G32&lt;&gt;"",$H32&lt;&gt;"",$I32&lt;&gt;"")),"",IF(NOT(ISNUMBER($A32)),"入金日がありません",IF(AND($F32&lt;&gt;"",$O32="なし"),"請求Noが請求台帳にありません",IF(AND(ISNUMBER($O32),$C32&lt;&gt;"",$C32&lt;&gt;$P32),"請求の得意先は "&amp;$P32&amp;" です",IF(ROUND(IF($B32&lt;&gt;"",SUMIF($B$5:$B$1004,$B32,$E$5:$E$1004)-SUMIF($B$5:$B$1004,$B32,$G$5:$G$1004),N($E32)-N($G32)),0)&lt;&gt;0,"通帳の額と当てた額の差 "&amp;TEXT(IF($B32&lt;&gt;"",SUMIF($B$5:$B$1004,$B32,$E$5:$E$1004)-SUMIF($B$5:$B$1004,$B32,$G$5:$G$1004),N($E32)-N($G32)),"#,##0"),IF(AND(ISNUMBER($O32),N($K32)&lt;0),"請求額より多く消し込んでいます",IF($F32="","消込先が未定","OK")))))))</f>
        <v/>
      </c>
      <c r="M32" s="19" t="n"/>
      <c r="N32" s="56" t="n"/>
      <c r="O32" s="32">
        <f>IF($F32="","",IFERROR(MATCH($F32,'請求台帳'!$A$5:$A$1004,0),"なし"))</f>
        <v/>
      </c>
      <c r="P32" s="37">
        <f>IF(NOT(OR($A32&lt;&gt;"",$E32&lt;&gt;"",$F32&lt;&gt;"",$G32&lt;&gt;"",$H32&lt;&gt;"",$I32&lt;&gt;"")),"",IF(ISNUMBER($O32),IF(INDEX('請求台帳'!$C$5:$C$1004,$O32)="","",INDEX('請求台帳'!$C$5:$C$1004,$O32)),IF($C32="","",$C32)))</f>
        <v/>
      </c>
      <c r="Q32" s="35">
        <f>IF(OR(NOT(OR($A32&lt;&gt;"",$E32&lt;&gt;"",$F32&lt;&gt;"",$G32&lt;&gt;"",$H32&lt;&gt;"",$I32&lt;&gt;"")),$P32="",$P32&lt;&gt;'売掛帳'!$B$3,NOT(ISNUMBER($A32)),N($G32)+N($H32)+N($I32)=0),"",IF(AND($A32&gt;='売掛帳'!$Q$3,$A32&lt;='売掛帳'!$Q$4),$A32+0.5+ROW()/10000000,""))</f>
        <v/>
      </c>
      <c r="R32" s="32">
        <f>IF(AND(OR($A32&lt;&gt;"",$E32&lt;&gt;"",$F32&lt;&gt;"",$G32&lt;&gt;"",$H32&lt;&gt;"",$I32&lt;&gt;""),NOT(ISNUMBER($O32))),1,"")</f>
        <v/>
      </c>
    </row>
    <row r="33" ht="18" customHeight="1">
      <c r="A33" s="26" t="n"/>
      <c r="B33" s="18" t="n"/>
      <c r="C33" s="18" t="n"/>
      <c r="D33" s="20">
        <f>IF($P33="","",IFERROR(INDEX('得意先'!$C$5:$C$104,MATCH($P33,'得意先'!$B$5:$B$104,0))&amp;"","※得意先にないコード"))</f>
        <v/>
      </c>
      <c r="E33" s="27" t="n"/>
      <c r="F33" s="18" t="n"/>
      <c r="G33" s="27" t="n"/>
      <c r="H33" s="27" t="n"/>
      <c r="I33" s="27" t="n"/>
      <c r="J33" s="28">
        <f>IF(NOT(OR($A33&lt;&gt;"",$E33&lt;&gt;"",$F33&lt;&gt;"",$G33&lt;&gt;"",$H33&lt;&gt;"",$I33&lt;&gt;"")),"",N($G33)+N($H33)+N($I33))</f>
        <v/>
      </c>
      <c r="K33" s="28">
        <f>IF(ISNUMBER($O33),INDEX('請求台帳'!$R$5:$R$1004,$O33),"")</f>
        <v/>
      </c>
      <c r="L33" s="20">
        <f>IF(NOT(OR($A33&lt;&gt;"",$E33&lt;&gt;"",$F33&lt;&gt;"",$G33&lt;&gt;"",$H33&lt;&gt;"",$I33&lt;&gt;"")),"",IF(NOT(ISNUMBER($A33)),"入金日がありません",IF(AND($F33&lt;&gt;"",$O33="なし"),"請求Noが請求台帳にありません",IF(AND(ISNUMBER($O33),$C33&lt;&gt;"",$C33&lt;&gt;$P33),"請求の得意先は "&amp;$P33&amp;" です",IF(ROUND(IF($B33&lt;&gt;"",SUMIF($B$5:$B$1004,$B33,$E$5:$E$1004)-SUMIF($B$5:$B$1004,$B33,$G$5:$G$1004),N($E33)-N($G33)),0)&lt;&gt;0,"通帳の額と当てた額の差 "&amp;TEXT(IF($B33&lt;&gt;"",SUMIF($B$5:$B$1004,$B33,$E$5:$E$1004)-SUMIF($B$5:$B$1004,$B33,$G$5:$G$1004),N($E33)-N($G33)),"#,##0"),IF(AND(ISNUMBER($O33),N($K33)&lt;0),"請求額より多く消し込んでいます",IF($F33="","消込先が未定","OK")))))))</f>
        <v/>
      </c>
      <c r="M33" s="19" t="n"/>
      <c r="N33" s="56" t="n"/>
      <c r="O33" s="32">
        <f>IF($F33="","",IFERROR(MATCH($F33,'請求台帳'!$A$5:$A$1004,0),"なし"))</f>
        <v/>
      </c>
      <c r="P33" s="37">
        <f>IF(NOT(OR($A33&lt;&gt;"",$E33&lt;&gt;"",$F33&lt;&gt;"",$G33&lt;&gt;"",$H33&lt;&gt;"",$I33&lt;&gt;"")),"",IF(ISNUMBER($O33),IF(INDEX('請求台帳'!$C$5:$C$1004,$O33)="","",INDEX('請求台帳'!$C$5:$C$1004,$O33)),IF($C33="","",$C33)))</f>
        <v/>
      </c>
      <c r="Q33" s="35">
        <f>IF(OR(NOT(OR($A33&lt;&gt;"",$E33&lt;&gt;"",$F33&lt;&gt;"",$G33&lt;&gt;"",$H33&lt;&gt;"",$I33&lt;&gt;"")),$P33="",$P33&lt;&gt;'売掛帳'!$B$3,NOT(ISNUMBER($A33)),N($G33)+N($H33)+N($I33)=0),"",IF(AND($A33&gt;='売掛帳'!$Q$3,$A33&lt;='売掛帳'!$Q$4),$A33+0.5+ROW()/10000000,""))</f>
        <v/>
      </c>
      <c r="R33" s="32">
        <f>IF(AND(OR($A33&lt;&gt;"",$E33&lt;&gt;"",$F33&lt;&gt;"",$G33&lt;&gt;"",$H33&lt;&gt;"",$I33&lt;&gt;""),NOT(ISNUMBER($O33))),1,"")</f>
        <v/>
      </c>
    </row>
    <row r="34" ht="18" customHeight="1">
      <c r="A34" s="26" t="n"/>
      <c r="B34" s="18" t="n"/>
      <c r="C34" s="18" t="n"/>
      <c r="D34" s="20">
        <f>IF($P34="","",IFERROR(INDEX('得意先'!$C$5:$C$104,MATCH($P34,'得意先'!$B$5:$B$104,0))&amp;"","※得意先にないコード"))</f>
        <v/>
      </c>
      <c r="E34" s="27" t="n"/>
      <c r="F34" s="18" t="n"/>
      <c r="G34" s="27" t="n"/>
      <c r="H34" s="27" t="n"/>
      <c r="I34" s="27" t="n"/>
      <c r="J34" s="28">
        <f>IF(NOT(OR($A34&lt;&gt;"",$E34&lt;&gt;"",$F34&lt;&gt;"",$G34&lt;&gt;"",$H34&lt;&gt;"",$I34&lt;&gt;"")),"",N($G34)+N($H34)+N($I34))</f>
        <v/>
      </c>
      <c r="K34" s="28">
        <f>IF(ISNUMBER($O34),INDEX('請求台帳'!$R$5:$R$1004,$O34),"")</f>
        <v/>
      </c>
      <c r="L34" s="20">
        <f>IF(NOT(OR($A34&lt;&gt;"",$E34&lt;&gt;"",$F34&lt;&gt;"",$G34&lt;&gt;"",$H34&lt;&gt;"",$I34&lt;&gt;"")),"",IF(NOT(ISNUMBER($A34)),"入金日がありません",IF(AND($F34&lt;&gt;"",$O34="なし"),"請求Noが請求台帳にありません",IF(AND(ISNUMBER($O34),$C34&lt;&gt;"",$C34&lt;&gt;$P34),"請求の得意先は "&amp;$P34&amp;" です",IF(ROUND(IF($B34&lt;&gt;"",SUMIF($B$5:$B$1004,$B34,$E$5:$E$1004)-SUMIF($B$5:$B$1004,$B34,$G$5:$G$1004),N($E34)-N($G34)),0)&lt;&gt;0,"通帳の額と当てた額の差 "&amp;TEXT(IF($B34&lt;&gt;"",SUMIF($B$5:$B$1004,$B34,$E$5:$E$1004)-SUMIF($B$5:$B$1004,$B34,$G$5:$G$1004),N($E34)-N($G34)),"#,##0"),IF(AND(ISNUMBER($O34),N($K34)&lt;0),"請求額より多く消し込んでいます",IF($F34="","消込先が未定","OK")))))))</f>
        <v/>
      </c>
      <c r="M34" s="19" t="n"/>
      <c r="N34" s="56" t="n"/>
      <c r="O34" s="32">
        <f>IF($F34="","",IFERROR(MATCH($F34,'請求台帳'!$A$5:$A$1004,0),"なし"))</f>
        <v/>
      </c>
      <c r="P34" s="37">
        <f>IF(NOT(OR($A34&lt;&gt;"",$E34&lt;&gt;"",$F34&lt;&gt;"",$G34&lt;&gt;"",$H34&lt;&gt;"",$I34&lt;&gt;"")),"",IF(ISNUMBER($O34),IF(INDEX('請求台帳'!$C$5:$C$1004,$O34)="","",INDEX('請求台帳'!$C$5:$C$1004,$O34)),IF($C34="","",$C34)))</f>
        <v/>
      </c>
      <c r="Q34" s="35">
        <f>IF(OR(NOT(OR($A34&lt;&gt;"",$E34&lt;&gt;"",$F34&lt;&gt;"",$G34&lt;&gt;"",$H34&lt;&gt;"",$I34&lt;&gt;"")),$P34="",$P34&lt;&gt;'売掛帳'!$B$3,NOT(ISNUMBER($A34)),N($G34)+N($H34)+N($I34)=0),"",IF(AND($A34&gt;='売掛帳'!$Q$3,$A34&lt;='売掛帳'!$Q$4),$A34+0.5+ROW()/10000000,""))</f>
        <v/>
      </c>
      <c r="R34" s="32">
        <f>IF(AND(OR($A34&lt;&gt;"",$E34&lt;&gt;"",$F34&lt;&gt;"",$G34&lt;&gt;"",$H34&lt;&gt;"",$I34&lt;&gt;""),NOT(ISNUMBER($O34))),1,"")</f>
        <v/>
      </c>
    </row>
    <row r="35" ht="18" customHeight="1">
      <c r="A35" s="26" t="n"/>
      <c r="B35" s="18" t="n"/>
      <c r="C35" s="18" t="n"/>
      <c r="D35" s="20">
        <f>IF($P35="","",IFERROR(INDEX('得意先'!$C$5:$C$104,MATCH($P35,'得意先'!$B$5:$B$104,0))&amp;"","※得意先にないコード"))</f>
        <v/>
      </c>
      <c r="E35" s="27" t="n"/>
      <c r="F35" s="18" t="n"/>
      <c r="G35" s="27" t="n"/>
      <c r="H35" s="27" t="n"/>
      <c r="I35" s="27" t="n"/>
      <c r="J35" s="28">
        <f>IF(NOT(OR($A35&lt;&gt;"",$E35&lt;&gt;"",$F35&lt;&gt;"",$G35&lt;&gt;"",$H35&lt;&gt;"",$I35&lt;&gt;"")),"",N($G35)+N($H35)+N($I35))</f>
        <v/>
      </c>
      <c r="K35" s="28">
        <f>IF(ISNUMBER($O35),INDEX('請求台帳'!$R$5:$R$1004,$O35),"")</f>
        <v/>
      </c>
      <c r="L35" s="20">
        <f>IF(NOT(OR($A35&lt;&gt;"",$E35&lt;&gt;"",$F35&lt;&gt;"",$G35&lt;&gt;"",$H35&lt;&gt;"",$I35&lt;&gt;"")),"",IF(NOT(ISNUMBER($A35)),"入金日がありません",IF(AND($F35&lt;&gt;"",$O35="なし"),"請求Noが請求台帳にありません",IF(AND(ISNUMBER($O35),$C35&lt;&gt;"",$C35&lt;&gt;$P35),"請求の得意先は "&amp;$P35&amp;" です",IF(ROUND(IF($B35&lt;&gt;"",SUMIF($B$5:$B$1004,$B35,$E$5:$E$1004)-SUMIF($B$5:$B$1004,$B35,$G$5:$G$1004),N($E35)-N($G35)),0)&lt;&gt;0,"通帳の額と当てた額の差 "&amp;TEXT(IF($B35&lt;&gt;"",SUMIF($B$5:$B$1004,$B35,$E$5:$E$1004)-SUMIF($B$5:$B$1004,$B35,$G$5:$G$1004),N($E35)-N($G35)),"#,##0"),IF(AND(ISNUMBER($O35),N($K35)&lt;0),"請求額より多く消し込んでいます",IF($F35="","消込先が未定","OK")))))))</f>
        <v/>
      </c>
      <c r="M35" s="19" t="n"/>
      <c r="N35" s="56" t="n"/>
      <c r="O35" s="32">
        <f>IF($F35="","",IFERROR(MATCH($F35,'請求台帳'!$A$5:$A$1004,0),"なし"))</f>
        <v/>
      </c>
      <c r="P35" s="37">
        <f>IF(NOT(OR($A35&lt;&gt;"",$E35&lt;&gt;"",$F35&lt;&gt;"",$G35&lt;&gt;"",$H35&lt;&gt;"",$I35&lt;&gt;"")),"",IF(ISNUMBER($O35),IF(INDEX('請求台帳'!$C$5:$C$1004,$O35)="","",INDEX('請求台帳'!$C$5:$C$1004,$O35)),IF($C35="","",$C35)))</f>
        <v/>
      </c>
      <c r="Q35" s="35">
        <f>IF(OR(NOT(OR($A35&lt;&gt;"",$E35&lt;&gt;"",$F35&lt;&gt;"",$G35&lt;&gt;"",$H35&lt;&gt;"",$I35&lt;&gt;"")),$P35="",$P35&lt;&gt;'売掛帳'!$B$3,NOT(ISNUMBER($A35)),N($G35)+N($H35)+N($I35)=0),"",IF(AND($A35&gt;='売掛帳'!$Q$3,$A35&lt;='売掛帳'!$Q$4),$A35+0.5+ROW()/10000000,""))</f>
        <v/>
      </c>
      <c r="R35" s="32">
        <f>IF(AND(OR($A35&lt;&gt;"",$E35&lt;&gt;"",$F35&lt;&gt;"",$G35&lt;&gt;"",$H35&lt;&gt;"",$I35&lt;&gt;""),NOT(ISNUMBER($O35))),1,"")</f>
        <v/>
      </c>
    </row>
    <row r="36" ht="18" customHeight="1">
      <c r="A36" s="26" t="n"/>
      <c r="B36" s="18" t="n"/>
      <c r="C36" s="18" t="n"/>
      <c r="D36" s="20">
        <f>IF($P36="","",IFERROR(INDEX('得意先'!$C$5:$C$104,MATCH($P36,'得意先'!$B$5:$B$104,0))&amp;"","※得意先にないコード"))</f>
        <v/>
      </c>
      <c r="E36" s="27" t="n"/>
      <c r="F36" s="18" t="n"/>
      <c r="G36" s="27" t="n"/>
      <c r="H36" s="27" t="n"/>
      <c r="I36" s="27" t="n"/>
      <c r="J36" s="28">
        <f>IF(NOT(OR($A36&lt;&gt;"",$E36&lt;&gt;"",$F36&lt;&gt;"",$G36&lt;&gt;"",$H36&lt;&gt;"",$I36&lt;&gt;"")),"",N($G36)+N($H36)+N($I36))</f>
        <v/>
      </c>
      <c r="K36" s="28">
        <f>IF(ISNUMBER($O36),INDEX('請求台帳'!$R$5:$R$1004,$O36),"")</f>
        <v/>
      </c>
      <c r="L36" s="20">
        <f>IF(NOT(OR($A36&lt;&gt;"",$E36&lt;&gt;"",$F36&lt;&gt;"",$G36&lt;&gt;"",$H36&lt;&gt;"",$I36&lt;&gt;"")),"",IF(NOT(ISNUMBER($A36)),"入金日がありません",IF(AND($F36&lt;&gt;"",$O36="なし"),"請求Noが請求台帳にありません",IF(AND(ISNUMBER($O36),$C36&lt;&gt;"",$C36&lt;&gt;$P36),"請求の得意先は "&amp;$P36&amp;" です",IF(ROUND(IF($B36&lt;&gt;"",SUMIF($B$5:$B$1004,$B36,$E$5:$E$1004)-SUMIF($B$5:$B$1004,$B36,$G$5:$G$1004),N($E36)-N($G36)),0)&lt;&gt;0,"通帳の額と当てた額の差 "&amp;TEXT(IF($B36&lt;&gt;"",SUMIF($B$5:$B$1004,$B36,$E$5:$E$1004)-SUMIF($B$5:$B$1004,$B36,$G$5:$G$1004),N($E36)-N($G36)),"#,##0"),IF(AND(ISNUMBER($O36),N($K36)&lt;0),"請求額より多く消し込んでいます",IF($F36="","消込先が未定","OK")))))))</f>
        <v/>
      </c>
      <c r="M36" s="19" t="n"/>
      <c r="N36" s="56" t="n"/>
      <c r="O36" s="32">
        <f>IF($F36="","",IFERROR(MATCH($F36,'請求台帳'!$A$5:$A$1004,0),"なし"))</f>
        <v/>
      </c>
      <c r="P36" s="37">
        <f>IF(NOT(OR($A36&lt;&gt;"",$E36&lt;&gt;"",$F36&lt;&gt;"",$G36&lt;&gt;"",$H36&lt;&gt;"",$I36&lt;&gt;"")),"",IF(ISNUMBER($O36),IF(INDEX('請求台帳'!$C$5:$C$1004,$O36)="","",INDEX('請求台帳'!$C$5:$C$1004,$O36)),IF($C36="","",$C36)))</f>
        <v/>
      </c>
      <c r="Q36" s="35">
        <f>IF(OR(NOT(OR($A36&lt;&gt;"",$E36&lt;&gt;"",$F36&lt;&gt;"",$G36&lt;&gt;"",$H36&lt;&gt;"",$I36&lt;&gt;"")),$P36="",$P36&lt;&gt;'売掛帳'!$B$3,NOT(ISNUMBER($A36)),N($G36)+N($H36)+N($I36)=0),"",IF(AND($A36&gt;='売掛帳'!$Q$3,$A36&lt;='売掛帳'!$Q$4),$A36+0.5+ROW()/10000000,""))</f>
        <v/>
      </c>
      <c r="R36" s="32">
        <f>IF(AND(OR($A36&lt;&gt;"",$E36&lt;&gt;"",$F36&lt;&gt;"",$G36&lt;&gt;"",$H36&lt;&gt;"",$I36&lt;&gt;""),NOT(ISNUMBER($O36))),1,"")</f>
        <v/>
      </c>
    </row>
    <row r="37" ht="18" customHeight="1">
      <c r="A37" s="26" t="n"/>
      <c r="B37" s="18" t="n"/>
      <c r="C37" s="18" t="n"/>
      <c r="D37" s="20">
        <f>IF($P37="","",IFERROR(INDEX('得意先'!$C$5:$C$104,MATCH($P37,'得意先'!$B$5:$B$104,0))&amp;"","※得意先にないコード"))</f>
        <v/>
      </c>
      <c r="E37" s="27" t="n"/>
      <c r="F37" s="18" t="n"/>
      <c r="G37" s="27" t="n"/>
      <c r="H37" s="27" t="n"/>
      <c r="I37" s="27" t="n"/>
      <c r="J37" s="28">
        <f>IF(NOT(OR($A37&lt;&gt;"",$E37&lt;&gt;"",$F37&lt;&gt;"",$G37&lt;&gt;"",$H37&lt;&gt;"",$I37&lt;&gt;"")),"",N($G37)+N($H37)+N($I37))</f>
        <v/>
      </c>
      <c r="K37" s="28">
        <f>IF(ISNUMBER($O37),INDEX('請求台帳'!$R$5:$R$1004,$O37),"")</f>
        <v/>
      </c>
      <c r="L37" s="20">
        <f>IF(NOT(OR($A37&lt;&gt;"",$E37&lt;&gt;"",$F37&lt;&gt;"",$G37&lt;&gt;"",$H37&lt;&gt;"",$I37&lt;&gt;"")),"",IF(NOT(ISNUMBER($A37)),"入金日がありません",IF(AND($F37&lt;&gt;"",$O37="なし"),"請求Noが請求台帳にありません",IF(AND(ISNUMBER($O37),$C37&lt;&gt;"",$C37&lt;&gt;$P37),"請求の得意先は "&amp;$P37&amp;" です",IF(ROUND(IF($B37&lt;&gt;"",SUMIF($B$5:$B$1004,$B37,$E$5:$E$1004)-SUMIF($B$5:$B$1004,$B37,$G$5:$G$1004),N($E37)-N($G37)),0)&lt;&gt;0,"通帳の額と当てた額の差 "&amp;TEXT(IF($B37&lt;&gt;"",SUMIF($B$5:$B$1004,$B37,$E$5:$E$1004)-SUMIF($B$5:$B$1004,$B37,$G$5:$G$1004),N($E37)-N($G37)),"#,##0"),IF(AND(ISNUMBER($O37),N($K37)&lt;0),"請求額より多く消し込んでいます",IF($F37="","消込先が未定","OK")))))))</f>
        <v/>
      </c>
      <c r="M37" s="19" t="n"/>
      <c r="N37" s="56" t="n"/>
      <c r="O37" s="32">
        <f>IF($F37="","",IFERROR(MATCH($F37,'請求台帳'!$A$5:$A$1004,0),"なし"))</f>
        <v/>
      </c>
      <c r="P37" s="37">
        <f>IF(NOT(OR($A37&lt;&gt;"",$E37&lt;&gt;"",$F37&lt;&gt;"",$G37&lt;&gt;"",$H37&lt;&gt;"",$I37&lt;&gt;"")),"",IF(ISNUMBER($O37),IF(INDEX('請求台帳'!$C$5:$C$1004,$O37)="","",INDEX('請求台帳'!$C$5:$C$1004,$O37)),IF($C37="","",$C37)))</f>
        <v/>
      </c>
      <c r="Q37" s="35">
        <f>IF(OR(NOT(OR($A37&lt;&gt;"",$E37&lt;&gt;"",$F37&lt;&gt;"",$G37&lt;&gt;"",$H37&lt;&gt;"",$I37&lt;&gt;"")),$P37="",$P37&lt;&gt;'売掛帳'!$B$3,NOT(ISNUMBER($A37)),N($G37)+N($H37)+N($I37)=0),"",IF(AND($A37&gt;='売掛帳'!$Q$3,$A37&lt;='売掛帳'!$Q$4),$A37+0.5+ROW()/10000000,""))</f>
        <v/>
      </c>
      <c r="R37" s="32">
        <f>IF(AND(OR($A37&lt;&gt;"",$E37&lt;&gt;"",$F37&lt;&gt;"",$G37&lt;&gt;"",$H37&lt;&gt;"",$I37&lt;&gt;""),NOT(ISNUMBER($O37))),1,"")</f>
        <v/>
      </c>
    </row>
    <row r="38" ht="18" customHeight="1">
      <c r="A38" s="26" t="n"/>
      <c r="B38" s="18" t="n"/>
      <c r="C38" s="18" t="n"/>
      <c r="D38" s="20">
        <f>IF($P38="","",IFERROR(INDEX('得意先'!$C$5:$C$104,MATCH($P38,'得意先'!$B$5:$B$104,0))&amp;"","※得意先にないコード"))</f>
        <v/>
      </c>
      <c r="E38" s="27" t="n"/>
      <c r="F38" s="18" t="n"/>
      <c r="G38" s="27" t="n"/>
      <c r="H38" s="27" t="n"/>
      <c r="I38" s="27" t="n"/>
      <c r="J38" s="28">
        <f>IF(NOT(OR($A38&lt;&gt;"",$E38&lt;&gt;"",$F38&lt;&gt;"",$G38&lt;&gt;"",$H38&lt;&gt;"",$I38&lt;&gt;"")),"",N($G38)+N($H38)+N($I38))</f>
        <v/>
      </c>
      <c r="K38" s="28">
        <f>IF(ISNUMBER($O38),INDEX('請求台帳'!$R$5:$R$1004,$O38),"")</f>
        <v/>
      </c>
      <c r="L38" s="20">
        <f>IF(NOT(OR($A38&lt;&gt;"",$E38&lt;&gt;"",$F38&lt;&gt;"",$G38&lt;&gt;"",$H38&lt;&gt;"",$I38&lt;&gt;"")),"",IF(NOT(ISNUMBER($A38)),"入金日がありません",IF(AND($F38&lt;&gt;"",$O38="なし"),"請求Noが請求台帳にありません",IF(AND(ISNUMBER($O38),$C38&lt;&gt;"",$C38&lt;&gt;$P38),"請求の得意先は "&amp;$P38&amp;" です",IF(ROUND(IF($B38&lt;&gt;"",SUMIF($B$5:$B$1004,$B38,$E$5:$E$1004)-SUMIF($B$5:$B$1004,$B38,$G$5:$G$1004),N($E38)-N($G38)),0)&lt;&gt;0,"通帳の額と当てた額の差 "&amp;TEXT(IF($B38&lt;&gt;"",SUMIF($B$5:$B$1004,$B38,$E$5:$E$1004)-SUMIF($B$5:$B$1004,$B38,$G$5:$G$1004),N($E38)-N($G38)),"#,##0"),IF(AND(ISNUMBER($O38),N($K38)&lt;0),"請求額より多く消し込んでいます",IF($F38="","消込先が未定","OK")))))))</f>
        <v/>
      </c>
      <c r="M38" s="19" t="n"/>
      <c r="N38" s="56" t="n"/>
      <c r="O38" s="32">
        <f>IF($F38="","",IFERROR(MATCH($F38,'請求台帳'!$A$5:$A$1004,0),"なし"))</f>
        <v/>
      </c>
      <c r="P38" s="37">
        <f>IF(NOT(OR($A38&lt;&gt;"",$E38&lt;&gt;"",$F38&lt;&gt;"",$G38&lt;&gt;"",$H38&lt;&gt;"",$I38&lt;&gt;"")),"",IF(ISNUMBER($O38),IF(INDEX('請求台帳'!$C$5:$C$1004,$O38)="","",INDEX('請求台帳'!$C$5:$C$1004,$O38)),IF($C38="","",$C38)))</f>
        <v/>
      </c>
      <c r="Q38" s="35">
        <f>IF(OR(NOT(OR($A38&lt;&gt;"",$E38&lt;&gt;"",$F38&lt;&gt;"",$G38&lt;&gt;"",$H38&lt;&gt;"",$I38&lt;&gt;"")),$P38="",$P38&lt;&gt;'売掛帳'!$B$3,NOT(ISNUMBER($A38)),N($G38)+N($H38)+N($I38)=0),"",IF(AND($A38&gt;='売掛帳'!$Q$3,$A38&lt;='売掛帳'!$Q$4),$A38+0.5+ROW()/10000000,""))</f>
        <v/>
      </c>
      <c r="R38" s="32">
        <f>IF(AND(OR($A38&lt;&gt;"",$E38&lt;&gt;"",$F38&lt;&gt;"",$G38&lt;&gt;"",$H38&lt;&gt;"",$I38&lt;&gt;""),NOT(ISNUMBER($O38))),1,"")</f>
        <v/>
      </c>
    </row>
    <row r="39" ht="18" customHeight="1">
      <c r="A39" s="26" t="n"/>
      <c r="B39" s="18" t="n"/>
      <c r="C39" s="18" t="n"/>
      <c r="D39" s="20">
        <f>IF($P39="","",IFERROR(INDEX('得意先'!$C$5:$C$104,MATCH($P39,'得意先'!$B$5:$B$104,0))&amp;"","※得意先にないコード"))</f>
        <v/>
      </c>
      <c r="E39" s="27" t="n"/>
      <c r="F39" s="18" t="n"/>
      <c r="G39" s="27" t="n"/>
      <c r="H39" s="27" t="n"/>
      <c r="I39" s="27" t="n"/>
      <c r="J39" s="28">
        <f>IF(NOT(OR($A39&lt;&gt;"",$E39&lt;&gt;"",$F39&lt;&gt;"",$G39&lt;&gt;"",$H39&lt;&gt;"",$I39&lt;&gt;"")),"",N($G39)+N($H39)+N($I39))</f>
        <v/>
      </c>
      <c r="K39" s="28">
        <f>IF(ISNUMBER($O39),INDEX('請求台帳'!$R$5:$R$1004,$O39),"")</f>
        <v/>
      </c>
      <c r="L39" s="20">
        <f>IF(NOT(OR($A39&lt;&gt;"",$E39&lt;&gt;"",$F39&lt;&gt;"",$G39&lt;&gt;"",$H39&lt;&gt;"",$I39&lt;&gt;"")),"",IF(NOT(ISNUMBER($A39)),"入金日がありません",IF(AND($F39&lt;&gt;"",$O39="なし"),"請求Noが請求台帳にありません",IF(AND(ISNUMBER($O39),$C39&lt;&gt;"",$C39&lt;&gt;$P39),"請求の得意先は "&amp;$P39&amp;" です",IF(ROUND(IF($B39&lt;&gt;"",SUMIF($B$5:$B$1004,$B39,$E$5:$E$1004)-SUMIF($B$5:$B$1004,$B39,$G$5:$G$1004),N($E39)-N($G39)),0)&lt;&gt;0,"通帳の額と当てた額の差 "&amp;TEXT(IF($B39&lt;&gt;"",SUMIF($B$5:$B$1004,$B39,$E$5:$E$1004)-SUMIF($B$5:$B$1004,$B39,$G$5:$G$1004),N($E39)-N($G39)),"#,##0"),IF(AND(ISNUMBER($O39),N($K39)&lt;0),"請求額より多く消し込んでいます",IF($F39="","消込先が未定","OK")))))))</f>
        <v/>
      </c>
      <c r="M39" s="19" t="n"/>
      <c r="N39" s="56" t="n"/>
      <c r="O39" s="32">
        <f>IF($F39="","",IFERROR(MATCH($F39,'請求台帳'!$A$5:$A$1004,0),"なし"))</f>
        <v/>
      </c>
      <c r="P39" s="37">
        <f>IF(NOT(OR($A39&lt;&gt;"",$E39&lt;&gt;"",$F39&lt;&gt;"",$G39&lt;&gt;"",$H39&lt;&gt;"",$I39&lt;&gt;"")),"",IF(ISNUMBER($O39),IF(INDEX('請求台帳'!$C$5:$C$1004,$O39)="","",INDEX('請求台帳'!$C$5:$C$1004,$O39)),IF($C39="","",$C39)))</f>
        <v/>
      </c>
      <c r="Q39" s="35">
        <f>IF(OR(NOT(OR($A39&lt;&gt;"",$E39&lt;&gt;"",$F39&lt;&gt;"",$G39&lt;&gt;"",$H39&lt;&gt;"",$I39&lt;&gt;"")),$P39="",$P39&lt;&gt;'売掛帳'!$B$3,NOT(ISNUMBER($A39)),N($G39)+N($H39)+N($I39)=0),"",IF(AND($A39&gt;='売掛帳'!$Q$3,$A39&lt;='売掛帳'!$Q$4),$A39+0.5+ROW()/10000000,""))</f>
        <v/>
      </c>
      <c r="R39" s="32">
        <f>IF(AND(OR($A39&lt;&gt;"",$E39&lt;&gt;"",$F39&lt;&gt;"",$G39&lt;&gt;"",$H39&lt;&gt;"",$I39&lt;&gt;""),NOT(ISNUMBER($O39))),1,"")</f>
        <v/>
      </c>
    </row>
    <row r="40" ht="18" customHeight="1">
      <c r="A40" s="26" t="n"/>
      <c r="B40" s="18" t="n"/>
      <c r="C40" s="18" t="n"/>
      <c r="D40" s="20">
        <f>IF($P40="","",IFERROR(INDEX('得意先'!$C$5:$C$104,MATCH($P40,'得意先'!$B$5:$B$104,0))&amp;"","※得意先にないコード"))</f>
        <v/>
      </c>
      <c r="E40" s="27" t="n"/>
      <c r="F40" s="18" t="n"/>
      <c r="G40" s="27" t="n"/>
      <c r="H40" s="27" t="n"/>
      <c r="I40" s="27" t="n"/>
      <c r="J40" s="28">
        <f>IF(NOT(OR($A40&lt;&gt;"",$E40&lt;&gt;"",$F40&lt;&gt;"",$G40&lt;&gt;"",$H40&lt;&gt;"",$I40&lt;&gt;"")),"",N($G40)+N($H40)+N($I40))</f>
        <v/>
      </c>
      <c r="K40" s="28">
        <f>IF(ISNUMBER($O40),INDEX('請求台帳'!$R$5:$R$1004,$O40),"")</f>
        <v/>
      </c>
      <c r="L40" s="20">
        <f>IF(NOT(OR($A40&lt;&gt;"",$E40&lt;&gt;"",$F40&lt;&gt;"",$G40&lt;&gt;"",$H40&lt;&gt;"",$I40&lt;&gt;"")),"",IF(NOT(ISNUMBER($A40)),"入金日がありません",IF(AND($F40&lt;&gt;"",$O40="なし"),"請求Noが請求台帳にありません",IF(AND(ISNUMBER($O40),$C40&lt;&gt;"",$C40&lt;&gt;$P40),"請求の得意先は "&amp;$P40&amp;" です",IF(ROUND(IF($B40&lt;&gt;"",SUMIF($B$5:$B$1004,$B40,$E$5:$E$1004)-SUMIF($B$5:$B$1004,$B40,$G$5:$G$1004),N($E40)-N($G40)),0)&lt;&gt;0,"通帳の額と当てた額の差 "&amp;TEXT(IF($B40&lt;&gt;"",SUMIF($B$5:$B$1004,$B40,$E$5:$E$1004)-SUMIF($B$5:$B$1004,$B40,$G$5:$G$1004),N($E40)-N($G40)),"#,##0"),IF(AND(ISNUMBER($O40),N($K40)&lt;0),"請求額より多く消し込んでいます",IF($F40="","消込先が未定","OK")))))))</f>
        <v/>
      </c>
      <c r="M40" s="19" t="n"/>
      <c r="N40" s="56" t="n"/>
      <c r="O40" s="32">
        <f>IF($F40="","",IFERROR(MATCH($F40,'請求台帳'!$A$5:$A$1004,0),"なし"))</f>
        <v/>
      </c>
      <c r="P40" s="37">
        <f>IF(NOT(OR($A40&lt;&gt;"",$E40&lt;&gt;"",$F40&lt;&gt;"",$G40&lt;&gt;"",$H40&lt;&gt;"",$I40&lt;&gt;"")),"",IF(ISNUMBER($O40),IF(INDEX('請求台帳'!$C$5:$C$1004,$O40)="","",INDEX('請求台帳'!$C$5:$C$1004,$O40)),IF($C40="","",$C40)))</f>
        <v/>
      </c>
      <c r="Q40" s="35">
        <f>IF(OR(NOT(OR($A40&lt;&gt;"",$E40&lt;&gt;"",$F40&lt;&gt;"",$G40&lt;&gt;"",$H40&lt;&gt;"",$I40&lt;&gt;"")),$P40="",$P40&lt;&gt;'売掛帳'!$B$3,NOT(ISNUMBER($A40)),N($G40)+N($H40)+N($I40)=0),"",IF(AND($A40&gt;='売掛帳'!$Q$3,$A40&lt;='売掛帳'!$Q$4),$A40+0.5+ROW()/10000000,""))</f>
        <v/>
      </c>
      <c r="R40" s="32">
        <f>IF(AND(OR($A40&lt;&gt;"",$E40&lt;&gt;"",$F40&lt;&gt;"",$G40&lt;&gt;"",$H40&lt;&gt;"",$I40&lt;&gt;""),NOT(ISNUMBER($O40))),1,"")</f>
        <v/>
      </c>
    </row>
    <row r="41" ht="18" customHeight="1">
      <c r="A41" s="26" t="n"/>
      <c r="B41" s="18" t="n"/>
      <c r="C41" s="18" t="n"/>
      <c r="D41" s="20">
        <f>IF($P41="","",IFERROR(INDEX('得意先'!$C$5:$C$104,MATCH($P41,'得意先'!$B$5:$B$104,0))&amp;"","※得意先にないコード"))</f>
        <v/>
      </c>
      <c r="E41" s="27" t="n"/>
      <c r="F41" s="18" t="n"/>
      <c r="G41" s="27" t="n"/>
      <c r="H41" s="27" t="n"/>
      <c r="I41" s="27" t="n"/>
      <c r="J41" s="28">
        <f>IF(NOT(OR($A41&lt;&gt;"",$E41&lt;&gt;"",$F41&lt;&gt;"",$G41&lt;&gt;"",$H41&lt;&gt;"",$I41&lt;&gt;"")),"",N($G41)+N($H41)+N($I41))</f>
        <v/>
      </c>
      <c r="K41" s="28">
        <f>IF(ISNUMBER($O41),INDEX('請求台帳'!$R$5:$R$1004,$O41),"")</f>
        <v/>
      </c>
      <c r="L41" s="20">
        <f>IF(NOT(OR($A41&lt;&gt;"",$E41&lt;&gt;"",$F41&lt;&gt;"",$G41&lt;&gt;"",$H41&lt;&gt;"",$I41&lt;&gt;"")),"",IF(NOT(ISNUMBER($A41)),"入金日がありません",IF(AND($F41&lt;&gt;"",$O41="なし"),"請求Noが請求台帳にありません",IF(AND(ISNUMBER($O41),$C41&lt;&gt;"",$C41&lt;&gt;$P41),"請求の得意先は "&amp;$P41&amp;" です",IF(ROUND(IF($B41&lt;&gt;"",SUMIF($B$5:$B$1004,$B41,$E$5:$E$1004)-SUMIF($B$5:$B$1004,$B41,$G$5:$G$1004),N($E41)-N($G41)),0)&lt;&gt;0,"通帳の額と当てた額の差 "&amp;TEXT(IF($B41&lt;&gt;"",SUMIF($B$5:$B$1004,$B41,$E$5:$E$1004)-SUMIF($B$5:$B$1004,$B41,$G$5:$G$1004),N($E41)-N($G41)),"#,##0"),IF(AND(ISNUMBER($O41),N($K41)&lt;0),"請求額より多く消し込んでいます",IF($F41="","消込先が未定","OK")))))))</f>
        <v/>
      </c>
      <c r="M41" s="19" t="n"/>
      <c r="N41" s="56" t="n"/>
      <c r="O41" s="32">
        <f>IF($F41="","",IFERROR(MATCH($F41,'請求台帳'!$A$5:$A$1004,0),"なし"))</f>
        <v/>
      </c>
      <c r="P41" s="37">
        <f>IF(NOT(OR($A41&lt;&gt;"",$E41&lt;&gt;"",$F41&lt;&gt;"",$G41&lt;&gt;"",$H41&lt;&gt;"",$I41&lt;&gt;"")),"",IF(ISNUMBER($O41),IF(INDEX('請求台帳'!$C$5:$C$1004,$O41)="","",INDEX('請求台帳'!$C$5:$C$1004,$O41)),IF($C41="","",$C41)))</f>
        <v/>
      </c>
      <c r="Q41" s="35">
        <f>IF(OR(NOT(OR($A41&lt;&gt;"",$E41&lt;&gt;"",$F41&lt;&gt;"",$G41&lt;&gt;"",$H41&lt;&gt;"",$I41&lt;&gt;"")),$P41="",$P41&lt;&gt;'売掛帳'!$B$3,NOT(ISNUMBER($A41)),N($G41)+N($H41)+N($I41)=0),"",IF(AND($A41&gt;='売掛帳'!$Q$3,$A41&lt;='売掛帳'!$Q$4),$A41+0.5+ROW()/10000000,""))</f>
        <v/>
      </c>
      <c r="R41" s="32">
        <f>IF(AND(OR($A41&lt;&gt;"",$E41&lt;&gt;"",$F41&lt;&gt;"",$G41&lt;&gt;"",$H41&lt;&gt;"",$I41&lt;&gt;""),NOT(ISNUMBER($O41))),1,"")</f>
        <v/>
      </c>
    </row>
    <row r="42" ht="18" customHeight="1">
      <c r="A42" s="26" t="n"/>
      <c r="B42" s="18" t="n"/>
      <c r="C42" s="18" t="n"/>
      <c r="D42" s="20">
        <f>IF($P42="","",IFERROR(INDEX('得意先'!$C$5:$C$104,MATCH($P42,'得意先'!$B$5:$B$104,0))&amp;"","※得意先にないコード"))</f>
        <v/>
      </c>
      <c r="E42" s="27" t="n"/>
      <c r="F42" s="18" t="n"/>
      <c r="G42" s="27" t="n"/>
      <c r="H42" s="27" t="n"/>
      <c r="I42" s="27" t="n"/>
      <c r="J42" s="28">
        <f>IF(NOT(OR($A42&lt;&gt;"",$E42&lt;&gt;"",$F42&lt;&gt;"",$G42&lt;&gt;"",$H42&lt;&gt;"",$I42&lt;&gt;"")),"",N($G42)+N($H42)+N($I42))</f>
        <v/>
      </c>
      <c r="K42" s="28">
        <f>IF(ISNUMBER($O42),INDEX('請求台帳'!$R$5:$R$1004,$O42),"")</f>
        <v/>
      </c>
      <c r="L42" s="20">
        <f>IF(NOT(OR($A42&lt;&gt;"",$E42&lt;&gt;"",$F42&lt;&gt;"",$G42&lt;&gt;"",$H42&lt;&gt;"",$I42&lt;&gt;"")),"",IF(NOT(ISNUMBER($A42)),"入金日がありません",IF(AND($F42&lt;&gt;"",$O42="なし"),"請求Noが請求台帳にありません",IF(AND(ISNUMBER($O42),$C42&lt;&gt;"",$C42&lt;&gt;$P42),"請求の得意先は "&amp;$P42&amp;" です",IF(ROUND(IF($B42&lt;&gt;"",SUMIF($B$5:$B$1004,$B42,$E$5:$E$1004)-SUMIF($B$5:$B$1004,$B42,$G$5:$G$1004),N($E42)-N($G42)),0)&lt;&gt;0,"通帳の額と当てた額の差 "&amp;TEXT(IF($B42&lt;&gt;"",SUMIF($B$5:$B$1004,$B42,$E$5:$E$1004)-SUMIF($B$5:$B$1004,$B42,$G$5:$G$1004),N($E42)-N($G42)),"#,##0"),IF(AND(ISNUMBER($O42),N($K42)&lt;0),"請求額より多く消し込んでいます",IF($F42="","消込先が未定","OK")))))))</f>
        <v/>
      </c>
      <c r="M42" s="19" t="n"/>
      <c r="N42" s="56" t="n"/>
      <c r="O42" s="32">
        <f>IF($F42="","",IFERROR(MATCH($F42,'請求台帳'!$A$5:$A$1004,0),"なし"))</f>
        <v/>
      </c>
      <c r="P42" s="37">
        <f>IF(NOT(OR($A42&lt;&gt;"",$E42&lt;&gt;"",$F42&lt;&gt;"",$G42&lt;&gt;"",$H42&lt;&gt;"",$I42&lt;&gt;"")),"",IF(ISNUMBER($O42),IF(INDEX('請求台帳'!$C$5:$C$1004,$O42)="","",INDEX('請求台帳'!$C$5:$C$1004,$O42)),IF($C42="","",$C42)))</f>
        <v/>
      </c>
      <c r="Q42" s="35">
        <f>IF(OR(NOT(OR($A42&lt;&gt;"",$E42&lt;&gt;"",$F42&lt;&gt;"",$G42&lt;&gt;"",$H42&lt;&gt;"",$I42&lt;&gt;"")),$P42="",$P42&lt;&gt;'売掛帳'!$B$3,NOT(ISNUMBER($A42)),N($G42)+N($H42)+N($I42)=0),"",IF(AND($A42&gt;='売掛帳'!$Q$3,$A42&lt;='売掛帳'!$Q$4),$A42+0.5+ROW()/10000000,""))</f>
        <v/>
      </c>
      <c r="R42" s="32">
        <f>IF(AND(OR($A42&lt;&gt;"",$E42&lt;&gt;"",$F42&lt;&gt;"",$G42&lt;&gt;"",$H42&lt;&gt;"",$I42&lt;&gt;""),NOT(ISNUMBER($O42))),1,"")</f>
        <v/>
      </c>
    </row>
    <row r="43" ht="18" customHeight="1">
      <c r="A43" s="26" t="n"/>
      <c r="B43" s="18" t="n"/>
      <c r="C43" s="18" t="n"/>
      <c r="D43" s="20">
        <f>IF($P43="","",IFERROR(INDEX('得意先'!$C$5:$C$104,MATCH($P43,'得意先'!$B$5:$B$104,0))&amp;"","※得意先にないコード"))</f>
        <v/>
      </c>
      <c r="E43" s="27" t="n"/>
      <c r="F43" s="18" t="n"/>
      <c r="G43" s="27" t="n"/>
      <c r="H43" s="27" t="n"/>
      <c r="I43" s="27" t="n"/>
      <c r="J43" s="28">
        <f>IF(NOT(OR($A43&lt;&gt;"",$E43&lt;&gt;"",$F43&lt;&gt;"",$G43&lt;&gt;"",$H43&lt;&gt;"",$I43&lt;&gt;"")),"",N($G43)+N($H43)+N($I43))</f>
        <v/>
      </c>
      <c r="K43" s="28">
        <f>IF(ISNUMBER($O43),INDEX('請求台帳'!$R$5:$R$1004,$O43),"")</f>
        <v/>
      </c>
      <c r="L43" s="20">
        <f>IF(NOT(OR($A43&lt;&gt;"",$E43&lt;&gt;"",$F43&lt;&gt;"",$G43&lt;&gt;"",$H43&lt;&gt;"",$I43&lt;&gt;"")),"",IF(NOT(ISNUMBER($A43)),"入金日がありません",IF(AND($F43&lt;&gt;"",$O43="なし"),"請求Noが請求台帳にありません",IF(AND(ISNUMBER($O43),$C43&lt;&gt;"",$C43&lt;&gt;$P43),"請求の得意先は "&amp;$P43&amp;" です",IF(ROUND(IF($B43&lt;&gt;"",SUMIF($B$5:$B$1004,$B43,$E$5:$E$1004)-SUMIF($B$5:$B$1004,$B43,$G$5:$G$1004),N($E43)-N($G43)),0)&lt;&gt;0,"通帳の額と当てた額の差 "&amp;TEXT(IF($B43&lt;&gt;"",SUMIF($B$5:$B$1004,$B43,$E$5:$E$1004)-SUMIF($B$5:$B$1004,$B43,$G$5:$G$1004),N($E43)-N($G43)),"#,##0"),IF(AND(ISNUMBER($O43),N($K43)&lt;0),"請求額より多く消し込んでいます",IF($F43="","消込先が未定","OK")))))))</f>
        <v/>
      </c>
      <c r="M43" s="19" t="n"/>
      <c r="N43" s="56" t="n"/>
      <c r="O43" s="32">
        <f>IF($F43="","",IFERROR(MATCH($F43,'請求台帳'!$A$5:$A$1004,0),"なし"))</f>
        <v/>
      </c>
      <c r="P43" s="37">
        <f>IF(NOT(OR($A43&lt;&gt;"",$E43&lt;&gt;"",$F43&lt;&gt;"",$G43&lt;&gt;"",$H43&lt;&gt;"",$I43&lt;&gt;"")),"",IF(ISNUMBER($O43),IF(INDEX('請求台帳'!$C$5:$C$1004,$O43)="","",INDEX('請求台帳'!$C$5:$C$1004,$O43)),IF($C43="","",$C43)))</f>
        <v/>
      </c>
      <c r="Q43" s="35">
        <f>IF(OR(NOT(OR($A43&lt;&gt;"",$E43&lt;&gt;"",$F43&lt;&gt;"",$G43&lt;&gt;"",$H43&lt;&gt;"",$I43&lt;&gt;"")),$P43="",$P43&lt;&gt;'売掛帳'!$B$3,NOT(ISNUMBER($A43)),N($G43)+N($H43)+N($I43)=0),"",IF(AND($A43&gt;='売掛帳'!$Q$3,$A43&lt;='売掛帳'!$Q$4),$A43+0.5+ROW()/10000000,""))</f>
        <v/>
      </c>
      <c r="R43" s="32">
        <f>IF(AND(OR($A43&lt;&gt;"",$E43&lt;&gt;"",$F43&lt;&gt;"",$G43&lt;&gt;"",$H43&lt;&gt;"",$I43&lt;&gt;""),NOT(ISNUMBER($O43))),1,"")</f>
        <v/>
      </c>
    </row>
    <row r="44" ht="18" customHeight="1">
      <c r="A44" s="26" t="n"/>
      <c r="B44" s="18" t="n"/>
      <c r="C44" s="18" t="n"/>
      <c r="D44" s="20">
        <f>IF($P44="","",IFERROR(INDEX('得意先'!$C$5:$C$104,MATCH($P44,'得意先'!$B$5:$B$104,0))&amp;"","※得意先にないコード"))</f>
        <v/>
      </c>
      <c r="E44" s="27" t="n"/>
      <c r="F44" s="18" t="n"/>
      <c r="G44" s="27" t="n"/>
      <c r="H44" s="27" t="n"/>
      <c r="I44" s="27" t="n"/>
      <c r="J44" s="28">
        <f>IF(NOT(OR($A44&lt;&gt;"",$E44&lt;&gt;"",$F44&lt;&gt;"",$G44&lt;&gt;"",$H44&lt;&gt;"",$I44&lt;&gt;"")),"",N($G44)+N($H44)+N($I44))</f>
        <v/>
      </c>
      <c r="K44" s="28">
        <f>IF(ISNUMBER($O44),INDEX('請求台帳'!$R$5:$R$1004,$O44),"")</f>
        <v/>
      </c>
      <c r="L44" s="20">
        <f>IF(NOT(OR($A44&lt;&gt;"",$E44&lt;&gt;"",$F44&lt;&gt;"",$G44&lt;&gt;"",$H44&lt;&gt;"",$I44&lt;&gt;"")),"",IF(NOT(ISNUMBER($A44)),"入金日がありません",IF(AND($F44&lt;&gt;"",$O44="なし"),"請求Noが請求台帳にありません",IF(AND(ISNUMBER($O44),$C44&lt;&gt;"",$C44&lt;&gt;$P44),"請求の得意先は "&amp;$P44&amp;" です",IF(ROUND(IF($B44&lt;&gt;"",SUMIF($B$5:$B$1004,$B44,$E$5:$E$1004)-SUMIF($B$5:$B$1004,$B44,$G$5:$G$1004),N($E44)-N($G44)),0)&lt;&gt;0,"通帳の額と当てた額の差 "&amp;TEXT(IF($B44&lt;&gt;"",SUMIF($B$5:$B$1004,$B44,$E$5:$E$1004)-SUMIF($B$5:$B$1004,$B44,$G$5:$G$1004),N($E44)-N($G44)),"#,##0"),IF(AND(ISNUMBER($O44),N($K44)&lt;0),"請求額より多く消し込んでいます",IF($F44="","消込先が未定","OK")))))))</f>
        <v/>
      </c>
      <c r="M44" s="19" t="n"/>
      <c r="N44" s="56" t="n"/>
      <c r="O44" s="32">
        <f>IF($F44="","",IFERROR(MATCH($F44,'請求台帳'!$A$5:$A$1004,0),"なし"))</f>
        <v/>
      </c>
      <c r="P44" s="37">
        <f>IF(NOT(OR($A44&lt;&gt;"",$E44&lt;&gt;"",$F44&lt;&gt;"",$G44&lt;&gt;"",$H44&lt;&gt;"",$I44&lt;&gt;"")),"",IF(ISNUMBER($O44),IF(INDEX('請求台帳'!$C$5:$C$1004,$O44)="","",INDEX('請求台帳'!$C$5:$C$1004,$O44)),IF($C44="","",$C44)))</f>
        <v/>
      </c>
      <c r="Q44" s="35">
        <f>IF(OR(NOT(OR($A44&lt;&gt;"",$E44&lt;&gt;"",$F44&lt;&gt;"",$G44&lt;&gt;"",$H44&lt;&gt;"",$I44&lt;&gt;"")),$P44="",$P44&lt;&gt;'売掛帳'!$B$3,NOT(ISNUMBER($A44)),N($G44)+N($H44)+N($I44)=0),"",IF(AND($A44&gt;='売掛帳'!$Q$3,$A44&lt;='売掛帳'!$Q$4),$A44+0.5+ROW()/10000000,""))</f>
        <v/>
      </c>
      <c r="R44" s="32">
        <f>IF(AND(OR($A44&lt;&gt;"",$E44&lt;&gt;"",$F44&lt;&gt;"",$G44&lt;&gt;"",$H44&lt;&gt;"",$I44&lt;&gt;""),NOT(ISNUMBER($O44))),1,"")</f>
        <v/>
      </c>
    </row>
    <row r="45" ht="18" customHeight="1">
      <c r="A45" s="26" t="n"/>
      <c r="B45" s="18" t="n"/>
      <c r="C45" s="18" t="n"/>
      <c r="D45" s="20">
        <f>IF($P45="","",IFERROR(INDEX('得意先'!$C$5:$C$104,MATCH($P45,'得意先'!$B$5:$B$104,0))&amp;"","※得意先にないコード"))</f>
        <v/>
      </c>
      <c r="E45" s="27" t="n"/>
      <c r="F45" s="18" t="n"/>
      <c r="G45" s="27" t="n"/>
      <c r="H45" s="27" t="n"/>
      <c r="I45" s="27" t="n"/>
      <c r="J45" s="28">
        <f>IF(NOT(OR($A45&lt;&gt;"",$E45&lt;&gt;"",$F45&lt;&gt;"",$G45&lt;&gt;"",$H45&lt;&gt;"",$I45&lt;&gt;"")),"",N($G45)+N($H45)+N($I45))</f>
        <v/>
      </c>
      <c r="K45" s="28">
        <f>IF(ISNUMBER($O45),INDEX('請求台帳'!$R$5:$R$1004,$O45),"")</f>
        <v/>
      </c>
      <c r="L45" s="20">
        <f>IF(NOT(OR($A45&lt;&gt;"",$E45&lt;&gt;"",$F45&lt;&gt;"",$G45&lt;&gt;"",$H45&lt;&gt;"",$I45&lt;&gt;"")),"",IF(NOT(ISNUMBER($A45)),"入金日がありません",IF(AND($F45&lt;&gt;"",$O45="なし"),"請求Noが請求台帳にありません",IF(AND(ISNUMBER($O45),$C45&lt;&gt;"",$C45&lt;&gt;$P45),"請求の得意先は "&amp;$P45&amp;" です",IF(ROUND(IF($B45&lt;&gt;"",SUMIF($B$5:$B$1004,$B45,$E$5:$E$1004)-SUMIF($B$5:$B$1004,$B45,$G$5:$G$1004),N($E45)-N($G45)),0)&lt;&gt;0,"通帳の額と当てた額の差 "&amp;TEXT(IF($B45&lt;&gt;"",SUMIF($B$5:$B$1004,$B45,$E$5:$E$1004)-SUMIF($B$5:$B$1004,$B45,$G$5:$G$1004),N($E45)-N($G45)),"#,##0"),IF(AND(ISNUMBER($O45),N($K45)&lt;0),"請求額より多く消し込んでいます",IF($F45="","消込先が未定","OK")))))))</f>
        <v/>
      </c>
      <c r="M45" s="19" t="n"/>
      <c r="N45" s="56" t="n"/>
      <c r="O45" s="32">
        <f>IF($F45="","",IFERROR(MATCH($F45,'請求台帳'!$A$5:$A$1004,0),"なし"))</f>
        <v/>
      </c>
      <c r="P45" s="37">
        <f>IF(NOT(OR($A45&lt;&gt;"",$E45&lt;&gt;"",$F45&lt;&gt;"",$G45&lt;&gt;"",$H45&lt;&gt;"",$I45&lt;&gt;"")),"",IF(ISNUMBER($O45),IF(INDEX('請求台帳'!$C$5:$C$1004,$O45)="","",INDEX('請求台帳'!$C$5:$C$1004,$O45)),IF($C45="","",$C45)))</f>
        <v/>
      </c>
      <c r="Q45" s="35">
        <f>IF(OR(NOT(OR($A45&lt;&gt;"",$E45&lt;&gt;"",$F45&lt;&gt;"",$G45&lt;&gt;"",$H45&lt;&gt;"",$I45&lt;&gt;"")),$P45="",$P45&lt;&gt;'売掛帳'!$B$3,NOT(ISNUMBER($A45)),N($G45)+N($H45)+N($I45)=0),"",IF(AND($A45&gt;='売掛帳'!$Q$3,$A45&lt;='売掛帳'!$Q$4),$A45+0.5+ROW()/10000000,""))</f>
        <v/>
      </c>
      <c r="R45" s="32">
        <f>IF(AND(OR($A45&lt;&gt;"",$E45&lt;&gt;"",$F45&lt;&gt;"",$G45&lt;&gt;"",$H45&lt;&gt;"",$I45&lt;&gt;""),NOT(ISNUMBER($O45))),1,"")</f>
        <v/>
      </c>
    </row>
    <row r="46" ht="18" customHeight="1">
      <c r="A46" s="26" t="n"/>
      <c r="B46" s="18" t="n"/>
      <c r="C46" s="18" t="n"/>
      <c r="D46" s="20">
        <f>IF($P46="","",IFERROR(INDEX('得意先'!$C$5:$C$104,MATCH($P46,'得意先'!$B$5:$B$104,0))&amp;"","※得意先にないコード"))</f>
        <v/>
      </c>
      <c r="E46" s="27" t="n"/>
      <c r="F46" s="18" t="n"/>
      <c r="G46" s="27" t="n"/>
      <c r="H46" s="27" t="n"/>
      <c r="I46" s="27" t="n"/>
      <c r="J46" s="28">
        <f>IF(NOT(OR($A46&lt;&gt;"",$E46&lt;&gt;"",$F46&lt;&gt;"",$G46&lt;&gt;"",$H46&lt;&gt;"",$I46&lt;&gt;"")),"",N($G46)+N($H46)+N($I46))</f>
        <v/>
      </c>
      <c r="K46" s="28">
        <f>IF(ISNUMBER($O46),INDEX('請求台帳'!$R$5:$R$1004,$O46),"")</f>
        <v/>
      </c>
      <c r="L46" s="20">
        <f>IF(NOT(OR($A46&lt;&gt;"",$E46&lt;&gt;"",$F46&lt;&gt;"",$G46&lt;&gt;"",$H46&lt;&gt;"",$I46&lt;&gt;"")),"",IF(NOT(ISNUMBER($A46)),"入金日がありません",IF(AND($F46&lt;&gt;"",$O46="なし"),"請求Noが請求台帳にありません",IF(AND(ISNUMBER($O46),$C46&lt;&gt;"",$C46&lt;&gt;$P46),"請求の得意先は "&amp;$P46&amp;" です",IF(ROUND(IF($B46&lt;&gt;"",SUMIF($B$5:$B$1004,$B46,$E$5:$E$1004)-SUMIF($B$5:$B$1004,$B46,$G$5:$G$1004),N($E46)-N($G46)),0)&lt;&gt;0,"通帳の額と当てた額の差 "&amp;TEXT(IF($B46&lt;&gt;"",SUMIF($B$5:$B$1004,$B46,$E$5:$E$1004)-SUMIF($B$5:$B$1004,$B46,$G$5:$G$1004),N($E46)-N($G46)),"#,##0"),IF(AND(ISNUMBER($O46),N($K46)&lt;0),"請求額より多く消し込んでいます",IF($F46="","消込先が未定","OK")))))))</f>
        <v/>
      </c>
      <c r="M46" s="19" t="n"/>
      <c r="N46" s="56" t="n"/>
      <c r="O46" s="32">
        <f>IF($F46="","",IFERROR(MATCH($F46,'請求台帳'!$A$5:$A$1004,0),"なし"))</f>
        <v/>
      </c>
      <c r="P46" s="37">
        <f>IF(NOT(OR($A46&lt;&gt;"",$E46&lt;&gt;"",$F46&lt;&gt;"",$G46&lt;&gt;"",$H46&lt;&gt;"",$I46&lt;&gt;"")),"",IF(ISNUMBER($O46),IF(INDEX('請求台帳'!$C$5:$C$1004,$O46)="","",INDEX('請求台帳'!$C$5:$C$1004,$O46)),IF($C46="","",$C46)))</f>
        <v/>
      </c>
      <c r="Q46" s="35">
        <f>IF(OR(NOT(OR($A46&lt;&gt;"",$E46&lt;&gt;"",$F46&lt;&gt;"",$G46&lt;&gt;"",$H46&lt;&gt;"",$I46&lt;&gt;"")),$P46="",$P46&lt;&gt;'売掛帳'!$B$3,NOT(ISNUMBER($A46)),N($G46)+N($H46)+N($I46)=0),"",IF(AND($A46&gt;='売掛帳'!$Q$3,$A46&lt;='売掛帳'!$Q$4),$A46+0.5+ROW()/10000000,""))</f>
        <v/>
      </c>
      <c r="R46" s="32">
        <f>IF(AND(OR($A46&lt;&gt;"",$E46&lt;&gt;"",$F46&lt;&gt;"",$G46&lt;&gt;"",$H46&lt;&gt;"",$I46&lt;&gt;""),NOT(ISNUMBER($O46))),1,"")</f>
        <v/>
      </c>
    </row>
    <row r="47" ht="18" customHeight="1">
      <c r="A47" s="26" t="n"/>
      <c r="B47" s="18" t="n"/>
      <c r="C47" s="18" t="n"/>
      <c r="D47" s="20">
        <f>IF($P47="","",IFERROR(INDEX('得意先'!$C$5:$C$104,MATCH($P47,'得意先'!$B$5:$B$104,0))&amp;"","※得意先にないコード"))</f>
        <v/>
      </c>
      <c r="E47" s="27" t="n"/>
      <c r="F47" s="18" t="n"/>
      <c r="G47" s="27" t="n"/>
      <c r="H47" s="27" t="n"/>
      <c r="I47" s="27" t="n"/>
      <c r="J47" s="28">
        <f>IF(NOT(OR($A47&lt;&gt;"",$E47&lt;&gt;"",$F47&lt;&gt;"",$G47&lt;&gt;"",$H47&lt;&gt;"",$I47&lt;&gt;"")),"",N($G47)+N($H47)+N($I47))</f>
        <v/>
      </c>
      <c r="K47" s="28">
        <f>IF(ISNUMBER($O47),INDEX('請求台帳'!$R$5:$R$1004,$O47),"")</f>
        <v/>
      </c>
      <c r="L47" s="20">
        <f>IF(NOT(OR($A47&lt;&gt;"",$E47&lt;&gt;"",$F47&lt;&gt;"",$G47&lt;&gt;"",$H47&lt;&gt;"",$I47&lt;&gt;"")),"",IF(NOT(ISNUMBER($A47)),"入金日がありません",IF(AND($F47&lt;&gt;"",$O47="なし"),"請求Noが請求台帳にありません",IF(AND(ISNUMBER($O47),$C47&lt;&gt;"",$C47&lt;&gt;$P47),"請求の得意先は "&amp;$P47&amp;" です",IF(ROUND(IF($B47&lt;&gt;"",SUMIF($B$5:$B$1004,$B47,$E$5:$E$1004)-SUMIF($B$5:$B$1004,$B47,$G$5:$G$1004),N($E47)-N($G47)),0)&lt;&gt;0,"通帳の額と当てた額の差 "&amp;TEXT(IF($B47&lt;&gt;"",SUMIF($B$5:$B$1004,$B47,$E$5:$E$1004)-SUMIF($B$5:$B$1004,$B47,$G$5:$G$1004),N($E47)-N($G47)),"#,##0"),IF(AND(ISNUMBER($O47),N($K47)&lt;0),"請求額より多く消し込んでいます",IF($F47="","消込先が未定","OK")))))))</f>
        <v/>
      </c>
      <c r="M47" s="19" t="n"/>
      <c r="N47" s="56" t="n"/>
      <c r="O47" s="32">
        <f>IF($F47="","",IFERROR(MATCH($F47,'請求台帳'!$A$5:$A$1004,0),"なし"))</f>
        <v/>
      </c>
      <c r="P47" s="37">
        <f>IF(NOT(OR($A47&lt;&gt;"",$E47&lt;&gt;"",$F47&lt;&gt;"",$G47&lt;&gt;"",$H47&lt;&gt;"",$I47&lt;&gt;"")),"",IF(ISNUMBER($O47),IF(INDEX('請求台帳'!$C$5:$C$1004,$O47)="","",INDEX('請求台帳'!$C$5:$C$1004,$O47)),IF($C47="","",$C47)))</f>
        <v/>
      </c>
      <c r="Q47" s="35">
        <f>IF(OR(NOT(OR($A47&lt;&gt;"",$E47&lt;&gt;"",$F47&lt;&gt;"",$G47&lt;&gt;"",$H47&lt;&gt;"",$I47&lt;&gt;"")),$P47="",$P47&lt;&gt;'売掛帳'!$B$3,NOT(ISNUMBER($A47)),N($G47)+N($H47)+N($I47)=0),"",IF(AND($A47&gt;='売掛帳'!$Q$3,$A47&lt;='売掛帳'!$Q$4),$A47+0.5+ROW()/10000000,""))</f>
        <v/>
      </c>
      <c r="R47" s="32">
        <f>IF(AND(OR($A47&lt;&gt;"",$E47&lt;&gt;"",$F47&lt;&gt;"",$G47&lt;&gt;"",$H47&lt;&gt;"",$I47&lt;&gt;""),NOT(ISNUMBER($O47))),1,"")</f>
        <v/>
      </c>
    </row>
    <row r="48" ht="18" customHeight="1">
      <c r="A48" s="26" t="n"/>
      <c r="B48" s="18" t="n"/>
      <c r="C48" s="18" t="n"/>
      <c r="D48" s="20">
        <f>IF($P48="","",IFERROR(INDEX('得意先'!$C$5:$C$104,MATCH($P48,'得意先'!$B$5:$B$104,0))&amp;"","※得意先にないコード"))</f>
        <v/>
      </c>
      <c r="E48" s="27" t="n"/>
      <c r="F48" s="18" t="n"/>
      <c r="G48" s="27" t="n"/>
      <c r="H48" s="27" t="n"/>
      <c r="I48" s="27" t="n"/>
      <c r="J48" s="28">
        <f>IF(NOT(OR($A48&lt;&gt;"",$E48&lt;&gt;"",$F48&lt;&gt;"",$G48&lt;&gt;"",$H48&lt;&gt;"",$I48&lt;&gt;"")),"",N($G48)+N($H48)+N($I48))</f>
        <v/>
      </c>
      <c r="K48" s="28">
        <f>IF(ISNUMBER($O48),INDEX('請求台帳'!$R$5:$R$1004,$O48),"")</f>
        <v/>
      </c>
      <c r="L48" s="20">
        <f>IF(NOT(OR($A48&lt;&gt;"",$E48&lt;&gt;"",$F48&lt;&gt;"",$G48&lt;&gt;"",$H48&lt;&gt;"",$I48&lt;&gt;"")),"",IF(NOT(ISNUMBER($A48)),"入金日がありません",IF(AND($F48&lt;&gt;"",$O48="なし"),"請求Noが請求台帳にありません",IF(AND(ISNUMBER($O48),$C48&lt;&gt;"",$C48&lt;&gt;$P48),"請求の得意先は "&amp;$P48&amp;" です",IF(ROUND(IF($B48&lt;&gt;"",SUMIF($B$5:$B$1004,$B48,$E$5:$E$1004)-SUMIF($B$5:$B$1004,$B48,$G$5:$G$1004),N($E48)-N($G48)),0)&lt;&gt;0,"通帳の額と当てた額の差 "&amp;TEXT(IF($B48&lt;&gt;"",SUMIF($B$5:$B$1004,$B48,$E$5:$E$1004)-SUMIF($B$5:$B$1004,$B48,$G$5:$G$1004),N($E48)-N($G48)),"#,##0"),IF(AND(ISNUMBER($O48),N($K48)&lt;0),"請求額より多く消し込んでいます",IF($F48="","消込先が未定","OK")))))))</f>
        <v/>
      </c>
      <c r="M48" s="19" t="n"/>
      <c r="N48" s="56" t="n"/>
      <c r="O48" s="32">
        <f>IF($F48="","",IFERROR(MATCH($F48,'請求台帳'!$A$5:$A$1004,0),"なし"))</f>
        <v/>
      </c>
      <c r="P48" s="37">
        <f>IF(NOT(OR($A48&lt;&gt;"",$E48&lt;&gt;"",$F48&lt;&gt;"",$G48&lt;&gt;"",$H48&lt;&gt;"",$I48&lt;&gt;"")),"",IF(ISNUMBER($O48),IF(INDEX('請求台帳'!$C$5:$C$1004,$O48)="","",INDEX('請求台帳'!$C$5:$C$1004,$O48)),IF($C48="","",$C48)))</f>
        <v/>
      </c>
      <c r="Q48" s="35">
        <f>IF(OR(NOT(OR($A48&lt;&gt;"",$E48&lt;&gt;"",$F48&lt;&gt;"",$G48&lt;&gt;"",$H48&lt;&gt;"",$I48&lt;&gt;"")),$P48="",$P48&lt;&gt;'売掛帳'!$B$3,NOT(ISNUMBER($A48)),N($G48)+N($H48)+N($I48)=0),"",IF(AND($A48&gt;='売掛帳'!$Q$3,$A48&lt;='売掛帳'!$Q$4),$A48+0.5+ROW()/10000000,""))</f>
        <v/>
      </c>
      <c r="R48" s="32">
        <f>IF(AND(OR($A48&lt;&gt;"",$E48&lt;&gt;"",$F48&lt;&gt;"",$G48&lt;&gt;"",$H48&lt;&gt;"",$I48&lt;&gt;""),NOT(ISNUMBER($O48))),1,"")</f>
        <v/>
      </c>
    </row>
    <row r="49" ht="18" customHeight="1">
      <c r="A49" s="26" t="n"/>
      <c r="B49" s="18" t="n"/>
      <c r="C49" s="18" t="n"/>
      <c r="D49" s="20">
        <f>IF($P49="","",IFERROR(INDEX('得意先'!$C$5:$C$104,MATCH($P49,'得意先'!$B$5:$B$104,0))&amp;"","※得意先にないコード"))</f>
        <v/>
      </c>
      <c r="E49" s="27" t="n"/>
      <c r="F49" s="18" t="n"/>
      <c r="G49" s="27" t="n"/>
      <c r="H49" s="27" t="n"/>
      <c r="I49" s="27" t="n"/>
      <c r="J49" s="28">
        <f>IF(NOT(OR($A49&lt;&gt;"",$E49&lt;&gt;"",$F49&lt;&gt;"",$G49&lt;&gt;"",$H49&lt;&gt;"",$I49&lt;&gt;"")),"",N($G49)+N($H49)+N($I49))</f>
        <v/>
      </c>
      <c r="K49" s="28">
        <f>IF(ISNUMBER($O49),INDEX('請求台帳'!$R$5:$R$1004,$O49),"")</f>
        <v/>
      </c>
      <c r="L49" s="20">
        <f>IF(NOT(OR($A49&lt;&gt;"",$E49&lt;&gt;"",$F49&lt;&gt;"",$G49&lt;&gt;"",$H49&lt;&gt;"",$I49&lt;&gt;"")),"",IF(NOT(ISNUMBER($A49)),"入金日がありません",IF(AND($F49&lt;&gt;"",$O49="なし"),"請求Noが請求台帳にありません",IF(AND(ISNUMBER($O49),$C49&lt;&gt;"",$C49&lt;&gt;$P49),"請求の得意先は "&amp;$P49&amp;" です",IF(ROUND(IF($B49&lt;&gt;"",SUMIF($B$5:$B$1004,$B49,$E$5:$E$1004)-SUMIF($B$5:$B$1004,$B49,$G$5:$G$1004),N($E49)-N($G49)),0)&lt;&gt;0,"通帳の額と当てた額の差 "&amp;TEXT(IF($B49&lt;&gt;"",SUMIF($B$5:$B$1004,$B49,$E$5:$E$1004)-SUMIF($B$5:$B$1004,$B49,$G$5:$G$1004),N($E49)-N($G49)),"#,##0"),IF(AND(ISNUMBER($O49),N($K49)&lt;0),"請求額より多く消し込んでいます",IF($F49="","消込先が未定","OK")))))))</f>
        <v/>
      </c>
      <c r="M49" s="19" t="n"/>
      <c r="N49" s="56" t="n"/>
      <c r="O49" s="32">
        <f>IF($F49="","",IFERROR(MATCH($F49,'請求台帳'!$A$5:$A$1004,0),"なし"))</f>
        <v/>
      </c>
      <c r="P49" s="37">
        <f>IF(NOT(OR($A49&lt;&gt;"",$E49&lt;&gt;"",$F49&lt;&gt;"",$G49&lt;&gt;"",$H49&lt;&gt;"",$I49&lt;&gt;"")),"",IF(ISNUMBER($O49),IF(INDEX('請求台帳'!$C$5:$C$1004,$O49)="","",INDEX('請求台帳'!$C$5:$C$1004,$O49)),IF($C49="","",$C49)))</f>
        <v/>
      </c>
      <c r="Q49" s="35">
        <f>IF(OR(NOT(OR($A49&lt;&gt;"",$E49&lt;&gt;"",$F49&lt;&gt;"",$G49&lt;&gt;"",$H49&lt;&gt;"",$I49&lt;&gt;"")),$P49="",$P49&lt;&gt;'売掛帳'!$B$3,NOT(ISNUMBER($A49)),N($G49)+N($H49)+N($I49)=0),"",IF(AND($A49&gt;='売掛帳'!$Q$3,$A49&lt;='売掛帳'!$Q$4),$A49+0.5+ROW()/10000000,""))</f>
        <v/>
      </c>
      <c r="R49" s="32">
        <f>IF(AND(OR($A49&lt;&gt;"",$E49&lt;&gt;"",$F49&lt;&gt;"",$G49&lt;&gt;"",$H49&lt;&gt;"",$I49&lt;&gt;""),NOT(ISNUMBER($O49))),1,"")</f>
        <v/>
      </c>
    </row>
    <row r="50" ht="18" customHeight="1">
      <c r="A50" s="26" t="n"/>
      <c r="B50" s="18" t="n"/>
      <c r="C50" s="18" t="n"/>
      <c r="D50" s="20">
        <f>IF($P50="","",IFERROR(INDEX('得意先'!$C$5:$C$104,MATCH($P50,'得意先'!$B$5:$B$104,0))&amp;"","※得意先にないコード"))</f>
        <v/>
      </c>
      <c r="E50" s="27" t="n"/>
      <c r="F50" s="18" t="n"/>
      <c r="G50" s="27" t="n"/>
      <c r="H50" s="27" t="n"/>
      <c r="I50" s="27" t="n"/>
      <c r="J50" s="28">
        <f>IF(NOT(OR($A50&lt;&gt;"",$E50&lt;&gt;"",$F50&lt;&gt;"",$G50&lt;&gt;"",$H50&lt;&gt;"",$I50&lt;&gt;"")),"",N($G50)+N($H50)+N($I50))</f>
        <v/>
      </c>
      <c r="K50" s="28">
        <f>IF(ISNUMBER($O50),INDEX('請求台帳'!$R$5:$R$1004,$O50),"")</f>
        <v/>
      </c>
      <c r="L50" s="20">
        <f>IF(NOT(OR($A50&lt;&gt;"",$E50&lt;&gt;"",$F50&lt;&gt;"",$G50&lt;&gt;"",$H50&lt;&gt;"",$I50&lt;&gt;"")),"",IF(NOT(ISNUMBER($A50)),"入金日がありません",IF(AND($F50&lt;&gt;"",$O50="なし"),"請求Noが請求台帳にありません",IF(AND(ISNUMBER($O50),$C50&lt;&gt;"",$C50&lt;&gt;$P50),"請求の得意先は "&amp;$P50&amp;" です",IF(ROUND(IF($B50&lt;&gt;"",SUMIF($B$5:$B$1004,$B50,$E$5:$E$1004)-SUMIF($B$5:$B$1004,$B50,$G$5:$G$1004),N($E50)-N($G50)),0)&lt;&gt;0,"通帳の額と当てた額の差 "&amp;TEXT(IF($B50&lt;&gt;"",SUMIF($B$5:$B$1004,$B50,$E$5:$E$1004)-SUMIF($B$5:$B$1004,$B50,$G$5:$G$1004),N($E50)-N($G50)),"#,##0"),IF(AND(ISNUMBER($O50),N($K50)&lt;0),"請求額より多く消し込んでいます",IF($F50="","消込先が未定","OK")))))))</f>
        <v/>
      </c>
      <c r="M50" s="19" t="n"/>
      <c r="N50" s="56" t="n"/>
      <c r="O50" s="32">
        <f>IF($F50="","",IFERROR(MATCH($F50,'請求台帳'!$A$5:$A$1004,0),"なし"))</f>
        <v/>
      </c>
      <c r="P50" s="37">
        <f>IF(NOT(OR($A50&lt;&gt;"",$E50&lt;&gt;"",$F50&lt;&gt;"",$G50&lt;&gt;"",$H50&lt;&gt;"",$I50&lt;&gt;"")),"",IF(ISNUMBER($O50),IF(INDEX('請求台帳'!$C$5:$C$1004,$O50)="","",INDEX('請求台帳'!$C$5:$C$1004,$O50)),IF($C50="","",$C50)))</f>
        <v/>
      </c>
      <c r="Q50" s="35">
        <f>IF(OR(NOT(OR($A50&lt;&gt;"",$E50&lt;&gt;"",$F50&lt;&gt;"",$G50&lt;&gt;"",$H50&lt;&gt;"",$I50&lt;&gt;"")),$P50="",$P50&lt;&gt;'売掛帳'!$B$3,NOT(ISNUMBER($A50)),N($G50)+N($H50)+N($I50)=0),"",IF(AND($A50&gt;='売掛帳'!$Q$3,$A50&lt;='売掛帳'!$Q$4),$A50+0.5+ROW()/10000000,""))</f>
        <v/>
      </c>
      <c r="R50" s="32">
        <f>IF(AND(OR($A50&lt;&gt;"",$E50&lt;&gt;"",$F50&lt;&gt;"",$G50&lt;&gt;"",$H50&lt;&gt;"",$I50&lt;&gt;""),NOT(ISNUMBER($O50))),1,"")</f>
        <v/>
      </c>
    </row>
    <row r="51" ht="18" customHeight="1">
      <c r="A51" s="26" t="n"/>
      <c r="B51" s="18" t="n"/>
      <c r="C51" s="18" t="n"/>
      <c r="D51" s="20">
        <f>IF($P51="","",IFERROR(INDEX('得意先'!$C$5:$C$104,MATCH($P51,'得意先'!$B$5:$B$104,0))&amp;"","※得意先にないコード"))</f>
        <v/>
      </c>
      <c r="E51" s="27" t="n"/>
      <c r="F51" s="18" t="n"/>
      <c r="G51" s="27" t="n"/>
      <c r="H51" s="27" t="n"/>
      <c r="I51" s="27" t="n"/>
      <c r="J51" s="28">
        <f>IF(NOT(OR($A51&lt;&gt;"",$E51&lt;&gt;"",$F51&lt;&gt;"",$G51&lt;&gt;"",$H51&lt;&gt;"",$I51&lt;&gt;"")),"",N($G51)+N($H51)+N($I51))</f>
        <v/>
      </c>
      <c r="K51" s="28">
        <f>IF(ISNUMBER($O51),INDEX('請求台帳'!$R$5:$R$1004,$O51),"")</f>
        <v/>
      </c>
      <c r="L51" s="20">
        <f>IF(NOT(OR($A51&lt;&gt;"",$E51&lt;&gt;"",$F51&lt;&gt;"",$G51&lt;&gt;"",$H51&lt;&gt;"",$I51&lt;&gt;"")),"",IF(NOT(ISNUMBER($A51)),"入金日がありません",IF(AND($F51&lt;&gt;"",$O51="なし"),"請求Noが請求台帳にありません",IF(AND(ISNUMBER($O51),$C51&lt;&gt;"",$C51&lt;&gt;$P51),"請求の得意先は "&amp;$P51&amp;" です",IF(ROUND(IF($B51&lt;&gt;"",SUMIF($B$5:$B$1004,$B51,$E$5:$E$1004)-SUMIF($B$5:$B$1004,$B51,$G$5:$G$1004),N($E51)-N($G51)),0)&lt;&gt;0,"通帳の額と当てた額の差 "&amp;TEXT(IF($B51&lt;&gt;"",SUMIF($B$5:$B$1004,$B51,$E$5:$E$1004)-SUMIF($B$5:$B$1004,$B51,$G$5:$G$1004),N($E51)-N($G51)),"#,##0"),IF(AND(ISNUMBER($O51),N($K51)&lt;0),"請求額より多く消し込んでいます",IF($F51="","消込先が未定","OK")))))))</f>
        <v/>
      </c>
      <c r="M51" s="19" t="n"/>
      <c r="N51" s="56" t="n"/>
      <c r="O51" s="32">
        <f>IF($F51="","",IFERROR(MATCH($F51,'請求台帳'!$A$5:$A$1004,0),"なし"))</f>
        <v/>
      </c>
      <c r="P51" s="37">
        <f>IF(NOT(OR($A51&lt;&gt;"",$E51&lt;&gt;"",$F51&lt;&gt;"",$G51&lt;&gt;"",$H51&lt;&gt;"",$I51&lt;&gt;"")),"",IF(ISNUMBER($O51),IF(INDEX('請求台帳'!$C$5:$C$1004,$O51)="","",INDEX('請求台帳'!$C$5:$C$1004,$O51)),IF($C51="","",$C51)))</f>
        <v/>
      </c>
      <c r="Q51" s="35">
        <f>IF(OR(NOT(OR($A51&lt;&gt;"",$E51&lt;&gt;"",$F51&lt;&gt;"",$G51&lt;&gt;"",$H51&lt;&gt;"",$I51&lt;&gt;"")),$P51="",$P51&lt;&gt;'売掛帳'!$B$3,NOT(ISNUMBER($A51)),N($G51)+N($H51)+N($I51)=0),"",IF(AND($A51&gt;='売掛帳'!$Q$3,$A51&lt;='売掛帳'!$Q$4),$A51+0.5+ROW()/10000000,""))</f>
        <v/>
      </c>
      <c r="R51" s="32">
        <f>IF(AND(OR($A51&lt;&gt;"",$E51&lt;&gt;"",$F51&lt;&gt;"",$G51&lt;&gt;"",$H51&lt;&gt;"",$I51&lt;&gt;""),NOT(ISNUMBER($O51))),1,"")</f>
        <v/>
      </c>
    </row>
    <row r="52" ht="18" customHeight="1">
      <c r="A52" s="26" t="n"/>
      <c r="B52" s="18" t="n"/>
      <c r="C52" s="18" t="n"/>
      <c r="D52" s="20">
        <f>IF($P52="","",IFERROR(INDEX('得意先'!$C$5:$C$104,MATCH($P52,'得意先'!$B$5:$B$104,0))&amp;"","※得意先にないコード"))</f>
        <v/>
      </c>
      <c r="E52" s="27" t="n"/>
      <c r="F52" s="18" t="n"/>
      <c r="G52" s="27" t="n"/>
      <c r="H52" s="27" t="n"/>
      <c r="I52" s="27" t="n"/>
      <c r="J52" s="28">
        <f>IF(NOT(OR($A52&lt;&gt;"",$E52&lt;&gt;"",$F52&lt;&gt;"",$G52&lt;&gt;"",$H52&lt;&gt;"",$I52&lt;&gt;"")),"",N($G52)+N($H52)+N($I52))</f>
        <v/>
      </c>
      <c r="K52" s="28">
        <f>IF(ISNUMBER($O52),INDEX('請求台帳'!$R$5:$R$1004,$O52),"")</f>
        <v/>
      </c>
      <c r="L52" s="20">
        <f>IF(NOT(OR($A52&lt;&gt;"",$E52&lt;&gt;"",$F52&lt;&gt;"",$G52&lt;&gt;"",$H52&lt;&gt;"",$I52&lt;&gt;"")),"",IF(NOT(ISNUMBER($A52)),"入金日がありません",IF(AND($F52&lt;&gt;"",$O52="なし"),"請求Noが請求台帳にありません",IF(AND(ISNUMBER($O52),$C52&lt;&gt;"",$C52&lt;&gt;$P52),"請求の得意先は "&amp;$P52&amp;" です",IF(ROUND(IF($B52&lt;&gt;"",SUMIF($B$5:$B$1004,$B52,$E$5:$E$1004)-SUMIF($B$5:$B$1004,$B52,$G$5:$G$1004),N($E52)-N($G52)),0)&lt;&gt;0,"通帳の額と当てた額の差 "&amp;TEXT(IF($B52&lt;&gt;"",SUMIF($B$5:$B$1004,$B52,$E$5:$E$1004)-SUMIF($B$5:$B$1004,$B52,$G$5:$G$1004),N($E52)-N($G52)),"#,##0"),IF(AND(ISNUMBER($O52),N($K52)&lt;0),"請求額より多く消し込んでいます",IF($F52="","消込先が未定","OK")))))))</f>
        <v/>
      </c>
      <c r="M52" s="19" t="n"/>
      <c r="N52" s="56" t="n"/>
      <c r="O52" s="32">
        <f>IF($F52="","",IFERROR(MATCH($F52,'請求台帳'!$A$5:$A$1004,0),"なし"))</f>
        <v/>
      </c>
      <c r="P52" s="37">
        <f>IF(NOT(OR($A52&lt;&gt;"",$E52&lt;&gt;"",$F52&lt;&gt;"",$G52&lt;&gt;"",$H52&lt;&gt;"",$I52&lt;&gt;"")),"",IF(ISNUMBER($O52),IF(INDEX('請求台帳'!$C$5:$C$1004,$O52)="","",INDEX('請求台帳'!$C$5:$C$1004,$O52)),IF($C52="","",$C52)))</f>
        <v/>
      </c>
      <c r="Q52" s="35">
        <f>IF(OR(NOT(OR($A52&lt;&gt;"",$E52&lt;&gt;"",$F52&lt;&gt;"",$G52&lt;&gt;"",$H52&lt;&gt;"",$I52&lt;&gt;"")),$P52="",$P52&lt;&gt;'売掛帳'!$B$3,NOT(ISNUMBER($A52)),N($G52)+N($H52)+N($I52)=0),"",IF(AND($A52&gt;='売掛帳'!$Q$3,$A52&lt;='売掛帳'!$Q$4),$A52+0.5+ROW()/10000000,""))</f>
        <v/>
      </c>
      <c r="R52" s="32">
        <f>IF(AND(OR($A52&lt;&gt;"",$E52&lt;&gt;"",$F52&lt;&gt;"",$G52&lt;&gt;"",$H52&lt;&gt;"",$I52&lt;&gt;""),NOT(ISNUMBER($O52))),1,"")</f>
        <v/>
      </c>
    </row>
    <row r="53" ht="18" customHeight="1">
      <c r="A53" s="26" t="n"/>
      <c r="B53" s="18" t="n"/>
      <c r="C53" s="18" t="n"/>
      <c r="D53" s="20">
        <f>IF($P53="","",IFERROR(INDEX('得意先'!$C$5:$C$104,MATCH($P53,'得意先'!$B$5:$B$104,0))&amp;"","※得意先にないコード"))</f>
        <v/>
      </c>
      <c r="E53" s="27" t="n"/>
      <c r="F53" s="18" t="n"/>
      <c r="G53" s="27" t="n"/>
      <c r="H53" s="27" t="n"/>
      <c r="I53" s="27" t="n"/>
      <c r="J53" s="28">
        <f>IF(NOT(OR($A53&lt;&gt;"",$E53&lt;&gt;"",$F53&lt;&gt;"",$G53&lt;&gt;"",$H53&lt;&gt;"",$I53&lt;&gt;"")),"",N($G53)+N($H53)+N($I53))</f>
        <v/>
      </c>
      <c r="K53" s="28">
        <f>IF(ISNUMBER($O53),INDEX('請求台帳'!$R$5:$R$1004,$O53),"")</f>
        <v/>
      </c>
      <c r="L53" s="20">
        <f>IF(NOT(OR($A53&lt;&gt;"",$E53&lt;&gt;"",$F53&lt;&gt;"",$G53&lt;&gt;"",$H53&lt;&gt;"",$I53&lt;&gt;"")),"",IF(NOT(ISNUMBER($A53)),"入金日がありません",IF(AND($F53&lt;&gt;"",$O53="なし"),"請求Noが請求台帳にありません",IF(AND(ISNUMBER($O53),$C53&lt;&gt;"",$C53&lt;&gt;$P53),"請求の得意先は "&amp;$P53&amp;" です",IF(ROUND(IF($B53&lt;&gt;"",SUMIF($B$5:$B$1004,$B53,$E$5:$E$1004)-SUMIF($B$5:$B$1004,$B53,$G$5:$G$1004),N($E53)-N($G53)),0)&lt;&gt;0,"通帳の額と当てた額の差 "&amp;TEXT(IF($B53&lt;&gt;"",SUMIF($B$5:$B$1004,$B53,$E$5:$E$1004)-SUMIF($B$5:$B$1004,$B53,$G$5:$G$1004),N($E53)-N($G53)),"#,##0"),IF(AND(ISNUMBER($O53),N($K53)&lt;0),"請求額より多く消し込んでいます",IF($F53="","消込先が未定","OK")))))))</f>
        <v/>
      </c>
      <c r="M53" s="19" t="n"/>
      <c r="N53" s="56" t="n"/>
      <c r="O53" s="32">
        <f>IF($F53="","",IFERROR(MATCH($F53,'請求台帳'!$A$5:$A$1004,0),"なし"))</f>
        <v/>
      </c>
      <c r="P53" s="37">
        <f>IF(NOT(OR($A53&lt;&gt;"",$E53&lt;&gt;"",$F53&lt;&gt;"",$G53&lt;&gt;"",$H53&lt;&gt;"",$I53&lt;&gt;"")),"",IF(ISNUMBER($O53),IF(INDEX('請求台帳'!$C$5:$C$1004,$O53)="","",INDEX('請求台帳'!$C$5:$C$1004,$O53)),IF($C53="","",$C53)))</f>
        <v/>
      </c>
      <c r="Q53" s="35">
        <f>IF(OR(NOT(OR($A53&lt;&gt;"",$E53&lt;&gt;"",$F53&lt;&gt;"",$G53&lt;&gt;"",$H53&lt;&gt;"",$I53&lt;&gt;"")),$P53="",$P53&lt;&gt;'売掛帳'!$B$3,NOT(ISNUMBER($A53)),N($G53)+N($H53)+N($I53)=0),"",IF(AND($A53&gt;='売掛帳'!$Q$3,$A53&lt;='売掛帳'!$Q$4),$A53+0.5+ROW()/10000000,""))</f>
        <v/>
      </c>
      <c r="R53" s="32">
        <f>IF(AND(OR($A53&lt;&gt;"",$E53&lt;&gt;"",$F53&lt;&gt;"",$G53&lt;&gt;"",$H53&lt;&gt;"",$I53&lt;&gt;""),NOT(ISNUMBER($O53))),1,"")</f>
        <v/>
      </c>
    </row>
    <row r="54" ht="18" customHeight="1">
      <c r="A54" s="26" t="n"/>
      <c r="B54" s="18" t="n"/>
      <c r="C54" s="18" t="n"/>
      <c r="D54" s="20">
        <f>IF($P54="","",IFERROR(INDEX('得意先'!$C$5:$C$104,MATCH($P54,'得意先'!$B$5:$B$104,0))&amp;"","※得意先にないコード"))</f>
        <v/>
      </c>
      <c r="E54" s="27" t="n"/>
      <c r="F54" s="18" t="n"/>
      <c r="G54" s="27" t="n"/>
      <c r="H54" s="27" t="n"/>
      <c r="I54" s="27" t="n"/>
      <c r="J54" s="28">
        <f>IF(NOT(OR($A54&lt;&gt;"",$E54&lt;&gt;"",$F54&lt;&gt;"",$G54&lt;&gt;"",$H54&lt;&gt;"",$I54&lt;&gt;"")),"",N($G54)+N($H54)+N($I54))</f>
        <v/>
      </c>
      <c r="K54" s="28">
        <f>IF(ISNUMBER($O54),INDEX('請求台帳'!$R$5:$R$1004,$O54),"")</f>
        <v/>
      </c>
      <c r="L54" s="20">
        <f>IF(NOT(OR($A54&lt;&gt;"",$E54&lt;&gt;"",$F54&lt;&gt;"",$G54&lt;&gt;"",$H54&lt;&gt;"",$I54&lt;&gt;"")),"",IF(NOT(ISNUMBER($A54)),"入金日がありません",IF(AND($F54&lt;&gt;"",$O54="なし"),"請求Noが請求台帳にありません",IF(AND(ISNUMBER($O54),$C54&lt;&gt;"",$C54&lt;&gt;$P54),"請求の得意先は "&amp;$P54&amp;" です",IF(ROUND(IF($B54&lt;&gt;"",SUMIF($B$5:$B$1004,$B54,$E$5:$E$1004)-SUMIF($B$5:$B$1004,$B54,$G$5:$G$1004),N($E54)-N($G54)),0)&lt;&gt;0,"通帳の額と当てた額の差 "&amp;TEXT(IF($B54&lt;&gt;"",SUMIF($B$5:$B$1004,$B54,$E$5:$E$1004)-SUMIF($B$5:$B$1004,$B54,$G$5:$G$1004),N($E54)-N($G54)),"#,##0"),IF(AND(ISNUMBER($O54),N($K54)&lt;0),"請求額より多く消し込んでいます",IF($F54="","消込先が未定","OK")))))))</f>
        <v/>
      </c>
      <c r="M54" s="19" t="n"/>
      <c r="N54" s="56" t="n"/>
      <c r="O54" s="32">
        <f>IF($F54="","",IFERROR(MATCH($F54,'請求台帳'!$A$5:$A$1004,0),"なし"))</f>
        <v/>
      </c>
      <c r="P54" s="37">
        <f>IF(NOT(OR($A54&lt;&gt;"",$E54&lt;&gt;"",$F54&lt;&gt;"",$G54&lt;&gt;"",$H54&lt;&gt;"",$I54&lt;&gt;"")),"",IF(ISNUMBER($O54),IF(INDEX('請求台帳'!$C$5:$C$1004,$O54)="","",INDEX('請求台帳'!$C$5:$C$1004,$O54)),IF($C54="","",$C54)))</f>
        <v/>
      </c>
      <c r="Q54" s="35">
        <f>IF(OR(NOT(OR($A54&lt;&gt;"",$E54&lt;&gt;"",$F54&lt;&gt;"",$G54&lt;&gt;"",$H54&lt;&gt;"",$I54&lt;&gt;"")),$P54="",$P54&lt;&gt;'売掛帳'!$B$3,NOT(ISNUMBER($A54)),N($G54)+N($H54)+N($I54)=0),"",IF(AND($A54&gt;='売掛帳'!$Q$3,$A54&lt;='売掛帳'!$Q$4),$A54+0.5+ROW()/10000000,""))</f>
        <v/>
      </c>
      <c r="R54" s="32">
        <f>IF(AND(OR($A54&lt;&gt;"",$E54&lt;&gt;"",$F54&lt;&gt;"",$G54&lt;&gt;"",$H54&lt;&gt;"",$I54&lt;&gt;""),NOT(ISNUMBER($O54))),1,"")</f>
        <v/>
      </c>
    </row>
    <row r="55" ht="18" customHeight="1">
      <c r="A55" s="26" t="n"/>
      <c r="B55" s="18" t="n"/>
      <c r="C55" s="18" t="n"/>
      <c r="D55" s="20">
        <f>IF($P55="","",IFERROR(INDEX('得意先'!$C$5:$C$104,MATCH($P55,'得意先'!$B$5:$B$104,0))&amp;"","※得意先にないコード"))</f>
        <v/>
      </c>
      <c r="E55" s="27" t="n"/>
      <c r="F55" s="18" t="n"/>
      <c r="G55" s="27" t="n"/>
      <c r="H55" s="27" t="n"/>
      <c r="I55" s="27" t="n"/>
      <c r="J55" s="28">
        <f>IF(NOT(OR($A55&lt;&gt;"",$E55&lt;&gt;"",$F55&lt;&gt;"",$G55&lt;&gt;"",$H55&lt;&gt;"",$I55&lt;&gt;"")),"",N($G55)+N($H55)+N($I55))</f>
        <v/>
      </c>
      <c r="K55" s="28">
        <f>IF(ISNUMBER($O55),INDEX('請求台帳'!$R$5:$R$1004,$O55),"")</f>
        <v/>
      </c>
      <c r="L55" s="20">
        <f>IF(NOT(OR($A55&lt;&gt;"",$E55&lt;&gt;"",$F55&lt;&gt;"",$G55&lt;&gt;"",$H55&lt;&gt;"",$I55&lt;&gt;"")),"",IF(NOT(ISNUMBER($A55)),"入金日がありません",IF(AND($F55&lt;&gt;"",$O55="なし"),"請求Noが請求台帳にありません",IF(AND(ISNUMBER($O55),$C55&lt;&gt;"",$C55&lt;&gt;$P55),"請求の得意先は "&amp;$P55&amp;" です",IF(ROUND(IF($B55&lt;&gt;"",SUMIF($B$5:$B$1004,$B55,$E$5:$E$1004)-SUMIF($B$5:$B$1004,$B55,$G$5:$G$1004),N($E55)-N($G55)),0)&lt;&gt;0,"通帳の額と当てた額の差 "&amp;TEXT(IF($B55&lt;&gt;"",SUMIF($B$5:$B$1004,$B55,$E$5:$E$1004)-SUMIF($B$5:$B$1004,$B55,$G$5:$G$1004),N($E55)-N($G55)),"#,##0"),IF(AND(ISNUMBER($O55),N($K55)&lt;0),"請求額より多く消し込んでいます",IF($F55="","消込先が未定","OK")))))))</f>
        <v/>
      </c>
      <c r="M55" s="19" t="n"/>
      <c r="N55" s="56" t="n"/>
      <c r="O55" s="32">
        <f>IF($F55="","",IFERROR(MATCH($F55,'請求台帳'!$A$5:$A$1004,0),"なし"))</f>
        <v/>
      </c>
      <c r="P55" s="37">
        <f>IF(NOT(OR($A55&lt;&gt;"",$E55&lt;&gt;"",$F55&lt;&gt;"",$G55&lt;&gt;"",$H55&lt;&gt;"",$I55&lt;&gt;"")),"",IF(ISNUMBER($O55),IF(INDEX('請求台帳'!$C$5:$C$1004,$O55)="","",INDEX('請求台帳'!$C$5:$C$1004,$O55)),IF($C55="","",$C55)))</f>
        <v/>
      </c>
      <c r="Q55" s="35">
        <f>IF(OR(NOT(OR($A55&lt;&gt;"",$E55&lt;&gt;"",$F55&lt;&gt;"",$G55&lt;&gt;"",$H55&lt;&gt;"",$I55&lt;&gt;"")),$P55="",$P55&lt;&gt;'売掛帳'!$B$3,NOT(ISNUMBER($A55)),N($G55)+N($H55)+N($I55)=0),"",IF(AND($A55&gt;='売掛帳'!$Q$3,$A55&lt;='売掛帳'!$Q$4),$A55+0.5+ROW()/10000000,""))</f>
        <v/>
      </c>
      <c r="R55" s="32">
        <f>IF(AND(OR($A55&lt;&gt;"",$E55&lt;&gt;"",$F55&lt;&gt;"",$G55&lt;&gt;"",$H55&lt;&gt;"",$I55&lt;&gt;""),NOT(ISNUMBER($O55))),1,"")</f>
        <v/>
      </c>
    </row>
    <row r="56" ht="18" customHeight="1">
      <c r="A56" s="26" t="n"/>
      <c r="B56" s="18" t="n"/>
      <c r="C56" s="18" t="n"/>
      <c r="D56" s="20">
        <f>IF($P56="","",IFERROR(INDEX('得意先'!$C$5:$C$104,MATCH($P56,'得意先'!$B$5:$B$104,0))&amp;"","※得意先にないコード"))</f>
        <v/>
      </c>
      <c r="E56" s="27" t="n"/>
      <c r="F56" s="18" t="n"/>
      <c r="G56" s="27" t="n"/>
      <c r="H56" s="27" t="n"/>
      <c r="I56" s="27" t="n"/>
      <c r="J56" s="28">
        <f>IF(NOT(OR($A56&lt;&gt;"",$E56&lt;&gt;"",$F56&lt;&gt;"",$G56&lt;&gt;"",$H56&lt;&gt;"",$I56&lt;&gt;"")),"",N($G56)+N($H56)+N($I56))</f>
        <v/>
      </c>
      <c r="K56" s="28">
        <f>IF(ISNUMBER($O56),INDEX('請求台帳'!$R$5:$R$1004,$O56),"")</f>
        <v/>
      </c>
      <c r="L56" s="20">
        <f>IF(NOT(OR($A56&lt;&gt;"",$E56&lt;&gt;"",$F56&lt;&gt;"",$G56&lt;&gt;"",$H56&lt;&gt;"",$I56&lt;&gt;"")),"",IF(NOT(ISNUMBER($A56)),"入金日がありません",IF(AND($F56&lt;&gt;"",$O56="なし"),"請求Noが請求台帳にありません",IF(AND(ISNUMBER($O56),$C56&lt;&gt;"",$C56&lt;&gt;$P56),"請求の得意先は "&amp;$P56&amp;" です",IF(ROUND(IF($B56&lt;&gt;"",SUMIF($B$5:$B$1004,$B56,$E$5:$E$1004)-SUMIF($B$5:$B$1004,$B56,$G$5:$G$1004),N($E56)-N($G56)),0)&lt;&gt;0,"通帳の額と当てた額の差 "&amp;TEXT(IF($B56&lt;&gt;"",SUMIF($B$5:$B$1004,$B56,$E$5:$E$1004)-SUMIF($B$5:$B$1004,$B56,$G$5:$G$1004),N($E56)-N($G56)),"#,##0"),IF(AND(ISNUMBER($O56),N($K56)&lt;0),"請求額より多く消し込んでいます",IF($F56="","消込先が未定","OK")))))))</f>
        <v/>
      </c>
      <c r="M56" s="19" t="n"/>
      <c r="N56" s="56" t="n"/>
      <c r="O56" s="32">
        <f>IF($F56="","",IFERROR(MATCH($F56,'請求台帳'!$A$5:$A$1004,0),"なし"))</f>
        <v/>
      </c>
      <c r="P56" s="37">
        <f>IF(NOT(OR($A56&lt;&gt;"",$E56&lt;&gt;"",$F56&lt;&gt;"",$G56&lt;&gt;"",$H56&lt;&gt;"",$I56&lt;&gt;"")),"",IF(ISNUMBER($O56),IF(INDEX('請求台帳'!$C$5:$C$1004,$O56)="","",INDEX('請求台帳'!$C$5:$C$1004,$O56)),IF($C56="","",$C56)))</f>
        <v/>
      </c>
      <c r="Q56" s="35">
        <f>IF(OR(NOT(OR($A56&lt;&gt;"",$E56&lt;&gt;"",$F56&lt;&gt;"",$G56&lt;&gt;"",$H56&lt;&gt;"",$I56&lt;&gt;"")),$P56="",$P56&lt;&gt;'売掛帳'!$B$3,NOT(ISNUMBER($A56)),N($G56)+N($H56)+N($I56)=0),"",IF(AND($A56&gt;='売掛帳'!$Q$3,$A56&lt;='売掛帳'!$Q$4),$A56+0.5+ROW()/10000000,""))</f>
        <v/>
      </c>
      <c r="R56" s="32">
        <f>IF(AND(OR($A56&lt;&gt;"",$E56&lt;&gt;"",$F56&lt;&gt;"",$G56&lt;&gt;"",$H56&lt;&gt;"",$I56&lt;&gt;""),NOT(ISNUMBER($O56))),1,"")</f>
        <v/>
      </c>
    </row>
    <row r="57" ht="18" customHeight="1">
      <c r="A57" s="26" t="n"/>
      <c r="B57" s="18" t="n"/>
      <c r="C57" s="18" t="n"/>
      <c r="D57" s="20">
        <f>IF($P57="","",IFERROR(INDEX('得意先'!$C$5:$C$104,MATCH($P57,'得意先'!$B$5:$B$104,0))&amp;"","※得意先にないコード"))</f>
        <v/>
      </c>
      <c r="E57" s="27" t="n"/>
      <c r="F57" s="18" t="n"/>
      <c r="G57" s="27" t="n"/>
      <c r="H57" s="27" t="n"/>
      <c r="I57" s="27" t="n"/>
      <c r="J57" s="28">
        <f>IF(NOT(OR($A57&lt;&gt;"",$E57&lt;&gt;"",$F57&lt;&gt;"",$G57&lt;&gt;"",$H57&lt;&gt;"",$I57&lt;&gt;"")),"",N($G57)+N($H57)+N($I57))</f>
        <v/>
      </c>
      <c r="K57" s="28">
        <f>IF(ISNUMBER($O57),INDEX('請求台帳'!$R$5:$R$1004,$O57),"")</f>
        <v/>
      </c>
      <c r="L57" s="20">
        <f>IF(NOT(OR($A57&lt;&gt;"",$E57&lt;&gt;"",$F57&lt;&gt;"",$G57&lt;&gt;"",$H57&lt;&gt;"",$I57&lt;&gt;"")),"",IF(NOT(ISNUMBER($A57)),"入金日がありません",IF(AND($F57&lt;&gt;"",$O57="なし"),"請求Noが請求台帳にありません",IF(AND(ISNUMBER($O57),$C57&lt;&gt;"",$C57&lt;&gt;$P57),"請求の得意先は "&amp;$P57&amp;" です",IF(ROUND(IF($B57&lt;&gt;"",SUMIF($B$5:$B$1004,$B57,$E$5:$E$1004)-SUMIF($B$5:$B$1004,$B57,$G$5:$G$1004),N($E57)-N($G57)),0)&lt;&gt;0,"通帳の額と当てた額の差 "&amp;TEXT(IF($B57&lt;&gt;"",SUMIF($B$5:$B$1004,$B57,$E$5:$E$1004)-SUMIF($B$5:$B$1004,$B57,$G$5:$G$1004),N($E57)-N($G57)),"#,##0"),IF(AND(ISNUMBER($O57),N($K57)&lt;0),"請求額より多く消し込んでいます",IF($F57="","消込先が未定","OK")))))))</f>
        <v/>
      </c>
      <c r="M57" s="19" t="n"/>
      <c r="N57" s="56" t="n"/>
      <c r="O57" s="32">
        <f>IF($F57="","",IFERROR(MATCH($F57,'請求台帳'!$A$5:$A$1004,0),"なし"))</f>
        <v/>
      </c>
      <c r="P57" s="37">
        <f>IF(NOT(OR($A57&lt;&gt;"",$E57&lt;&gt;"",$F57&lt;&gt;"",$G57&lt;&gt;"",$H57&lt;&gt;"",$I57&lt;&gt;"")),"",IF(ISNUMBER($O57),IF(INDEX('請求台帳'!$C$5:$C$1004,$O57)="","",INDEX('請求台帳'!$C$5:$C$1004,$O57)),IF($C57="","",$C57)))</f>
        <v/>
      </c>
      <c r="Q57" s="35">
        <f>IF(OR(NOT(OR($A57&lt;&gt;"",$E57&lt;&gt;"",$F57&lt;&gt;"",$G57&lt;&gt;"",$H57&lt;&gt;"",$I57&lt;&gt;"")),$P57="",$P57&lt;&gt;'売掛帳'!$B$3,NOT(ISNUMBER($A57)),N($G57)+N($H57)+N($I57)=0),"",IF(AND($A57&gt;='売掛帳'!$Q$3,$A57&lt;='売掛帳'!$Q$4),$A57+0.5+ROW()/10000000,""))</f>
        <v/>
      </c>
      <c r="R57" s="32">
        <f>IF(AND(OR($A57&lt;&gt;"",$E57&lt;&gt;"",$F57&lt;&gt;"",$G57&lt;&gt;"",$H57&lt;&gt;"",$I57&lt;&gt;""),NOT(ISNUMBER($O57))),1,"")</f>
        <v/>
      </c>
    </row>
    <row r="58" ht="18" customHeight="1">
      <c r="A58" s="26" t="n"/>
      <c r="B58" s="18" t="n"/>
      <c r="C58" s="18" t="n"/>
      <c r="D58" s="20">
        <f>IF($P58="","",IFERROR(INDEX('得意先'!$C$5:$C$104,MATCH($P58,'得意先'!$B$5:$B$104,0))&amp;"","※得意先にないコード"))</f>
        <v/>
      </c>
      <c r="E58" s="27" t="n"/>
      <c r="F58" s="18" t="n"/>
      <c r="G58" s="27" t="n"/>
      <c r="H58" s="27" t="n"/>
      <c r="I58" s="27" t="n"/>
      <c r="J58" s="28">
        <f>IF(NOT(OR($A58&lt;&gt;"",$E58&lt;&gt;"",$F58&lt;&gt;"",$G58&lt;&gt;"",$H58&lt;&gt;"",$I58&lt;&gt;"")),"",N($G58)+N($H58)+N($I58))</f>
        <v/>
      </c>
      <c r="K58" s="28">
        <f>IF(ISNUMBER($O58),INDEX('請求台帳'!$R$5:$R$1004,$O58),"")</f>
        <v/>
      </c>
      <c r="L58" s="20">
        <f>IF(NOT(OR($A58&lt;&gt;"",$E58&lt;&gt;"",$F58&lt;&gt;"",$G58&lt;&gt;"",$H58&lt;&gt;"",$I58&lt;&gt;"")),"",IF(NOT(ISNUMBER($A58)),"入金日がありません",IF(AND($F58&lt;&gt;"",$O58="なし"),"請求Noが請求台帳にありません",IF(AND(ISNUMBER($O58),$C58&lt;&gt;"",$C58&lt;&gt;$P58),"請求の得意先は "&amp;$P58&amp;" です",IF(ROUND(IF($B58&lt;&gt;"",SUMIF($B$5:$B$1004,$B58,$E$5:$E$1004)-SUMIF($B$5:$B$1004,$B58,$G$5:$G$1004),N($E58)-N($G58)),0)&lt;&gt;0,"通帳の額と当てた額の差 "&amp;TEXT(IF($B58&lt;&gt;"",SUMIF($B$5:$B$1004,$B58,$E$5:$E$1004)-SUMIF($B$5:$B$1004,$B58,$G$5:$G$1004),N($E58)-N($G58)),"#,##0"),IF(AND(ISNUMBER($O58),N($K58)&lt;0),"請求額より多く消し込んでいます",IF($F58="","消込先が未定","OK")))))))</f>
        <v/>
      </c>
      <c r="M58" s="19" t="n"/>
      <c r="N58" s="56" t="n"/>
      <c r="O58" s="32">
        <f>IF($F58="","",IFERROR(MATCH($F58,'請求台帳'!$A$5:$A$1004,0),"なし"))</f>
        <v/>
      </c>
      <c r="P58" s="37">
        <f>IF(NOT(OR($A58&lt;&gt;"",$E58&lt;&gt;"",$F58&lt;&gt;"",$G58&lt;&gt;"",$H58&lt;&gt;"",$I58&lt;&gt;"")),"",IF(ISNUMBER($O58),IF(INDEX('請求台帳'!$C$5:$C$1004,$O58)="","",INDEX('請求台帳'!$C$5:$C$1004,$O58)),IF($C58="","",$C58)))</f>
        <v/>
      </c>
      <c r="Q58" s="35">
        <f>IF(OR(NOT(OR($A58&lt;&gt;"",$E58&lt;&gt;"",$F58&lt;&gt;"",$G58&lt;&gt;"",$H58&lt;&gt;"",$I58&lt;&gt;"")),$P58="",$P58&lt;&gt;'売掛帳'!$B$3,NOT(ISNUMBER($A58)),N($G58)+N($H58)+N($I58)=0),"",IF(AND($A58&gt;='売掛帳'!$Q$3,$A58&lt;='売掛帳'!$Q$4),$A58+0.5+ROW()/10000000,""))</f>
        <v/>
      </c>
      <c r="R58" s="32">
        <f>IF(AND(OR($A58&lt;&gt;"",$E58&lt;&gt;"",$F58&lt;&gt;"",$G58&lt;&gt;"",$H58&lt;&gt;"",$I58&lt;&gt;""),NOT(ISNUMBER($O58))),1,"")</f>
        <v/>
      </c>
    </row>
    <row r="59" ht="18" customHeight="1">
      <c r="A59" s="26" t="n"/>
      <c r="B59" s="18" t="n"/>
      <c r="C59" s="18" t="n"/>
      <c r="D59" s="20">
        <f>IF($P59="","",IFERROR(INDEX('得意先'!$C$5:$C$104,MATCH($P59,'得意先'!$B$5:$B$104,0))&amp;"","※得意先にないコード"))</f>
        <v/>
      </c>
      <c r="E59" s="27" t="n"/>
      <c r="F59" s="18" t="n"/>
      <c r="G59" s="27" t="n"/>
      <c r="H59" s="27" t="n"/>
      <c r="I59" s="27" t="n"/>
      <c r="J59" s="28">
        <f>IF(NOT(OR($A59&lt;&gt;"",$E59&lt;&gt;"",$F59&lt;&gt;"",$G59&lt;&gt;"",$H59&lt;&gt;"",$I59&lt;&gt;"")),"",N($G59)+N($H59)+N($I59))</f>
        <v/>
      </c>
      <c r="K59" s="28">
        <f>IF(ISNUMBER($O59),INDEX('請求台帳'!$R$5:$R$1004,$O59),"")</f>
        <v/>
      </c>
      <c r="L59" s="20">
        <f>IF(NOT(OR($A59&lt;&gt;"",$E59&lt;&gt;"",$F59&lt;&gt;"",$G59&lt;&gt;"",$H59&lt;&gt;"",$I59&lt;&gt;"")),"",IF(NOT(ISNUMBER($A59)),"入金日がありません",IF(AND($F59&lt;&gt;"",$O59="なし"),"請求Noが請求台帳にありません",IF(AND(ISNUMBER($O59),$C59&lt;&gt;"",$C59&lt;&gt;$P59),"請求の得意先は "&amp;$P59&amp;" です",IF(ROUND(IF($B59&lt;&gt;"",SUMIF($B$5:$B$1004,$B59,$E$5:$E$1004)-SUMIF($B$5:$B$1004,$B59,$G$5:$G$1004),N($E59)-N($G59)),0)&lt;&gt;0,"通帳の額と当てた額の差 "&amp;TEXT(IF($B59&lt;&gt;"",SUMIF($B$5:$B$1004,$B59,$E$5:$E$1004)-SUMIF($B$5:$B$1004,$B59,$G$5:$G$1004),N($E59)-N($G59)),"#,##0"),IF(AND(ISNUMBER($O59),N($K59)&lt;0),"請求額より多く消し込んでいます",IF($F59="","消込先が未定","OK")))))))</f>
        <v/>
      </c>
      <c r="M59" s="19" t="n"/>
      <c r="N59" s="56" t="n"/>
      <c r="O59" s="32">
        <f>IF($F59="","",IFERROR(MATCH($F59,'請求台帳'!$A$5:$A$1004,0),"なし"))</f>
        <v/>
      </c>
      <c r="P59" s="37">
        <f>IF(NOT(OR($A59&lt;&gt;"",$E59&lt;&gt;"",$F59&lt;&gt;"",$G59&lt;&gt;"",$H59&lt;&gt;"",$I59&lt;&gt;"")),"",IF(ISNUMBER($O59),IF(INDEX('請求台帳'!$C$5:$C$1004,$O59)="","",INDEX('請求台帳'!$C$5:$C$1004,$O59)),IF($C59="","",$C59)))</f>
        <v/>
      </c>
      <c r="Q59" s="35">
        <f>IF(OR(NOT(OR($A59&lt;&gt;"",$E59&lt;&gt;"",$F59&lt;&gt;"",$G59&lt;&gt;"",$H59&lt;&gt;"",$I59&lt;&gt;"")),$P59="",$P59&lt;&gt;'売掛帳'!$B$3,NOT(ISNUMBER($A59)),N($G59)+N($H59)+N($I59)=0),"",IF(AND($A59&gt;='売掛帳'!$Q$3,$A59&lt;='売掛帳'!$Q$4),$A59+0.5+ROW()/10000000,""))</f>
        <v/>
      </c>
      <c r="R59" s="32">
        <f>IF(AND(OR($A59&lt;&gt;"",$E59&lt;&gt;"",$F59&lt;&gt;"",$G59&lt;&gt;"",$H59&lt;&gt;"",$I59&lt;&gt;""),NOT(ISNUMBER($O59))),1,"")</f>
        <v/>
      </c>
    </row>
    <row r="60" ht="18" customHeight="1">
      <c r="A60" s="26" t="n"/>
      <c r="B60" s="18" t="n"/>
      <c r="C60" s="18" t="n"/>
      <c r="D60" s="20">
        <f>IF($P60="","",IFERROR(INDEX('得意先'!$C$5:$C$104,MATCH($P60,'得意先'!$B$5:$B$104,0))&amp;"","※得意先にないコード"))</f>
        <v/>
      </c>
      <c r="E60" s="27" t="n"/>
      <c r="F60" s="18" t="n"/>
      <c r="G60" s="27" t="n"/>
      <c r="H60" s="27" t="n"/>
      <c r="I60" s="27" t="n"/>
      <c r="J60" s="28">
        <f>IF(NOT(OR($A60&lt;&gt;"",$E60&lt;&gt;"",$F60&lt;&gt;"",$G60&lt;&gt;"",$H60&lt;&gt;"",$I60&lt;&gt;"")),"",N($G60)+N($H60)+N($I60))</f>
        <v/>
      </c>
      <c r="K60" s="28">
        <f>IF(ISNUMBER($O60),INDEX('請求台帳'!$R$5:$R$1004,$O60),"")</f>
        <v/>
      </c>
      <c r="L60" s="20">
        <f>IF(NOT(OR($A60&lt;&gt;"",$E60&lt;&gt;"",$F60&lt;&gt;"",$G60&lt;&gt;"",$H60&lt;&gt;"",$I60&lt;&gt;"")),"",IF(NOT(ISNUMBER($A60)),"入金日がありません",IF(AND($F60&lt;&gt;"",$O60="なし"),"請求Noが請求台帳にありません",IF(AND(ISNUMBER($O60),$C60&lt;&gt;"",$C60&lt;&gt;$P60),"請求の得意先は "&amp;$P60&amp;" です",IF(ROUND(IF($B60&lt;&gt;"",SUMIF($B$5:$B$1004,$B60,$E$5:$E$1004)-SUMIF($B$5:$B$1004,$B60,$G$5:$G$1004),N($E60)-N($G60)),0)&lt;&gt;0,"通帳の額と当てた額の差 "&amp;TEXT(IF($B60&lt;&gt;"",SUMIF($B$5:$B$1004,$B60,$E$5:$E$1004)-SUMIF($B$5:$B$1004,$B60,$G$5:$G$1004),N($E60)-N($G60)),"#,##0"),IF(AND(ISNUMBER($O60),N($K60)&lt;0),"請求額より多く消し込んでいます",IF($F60="","消込先が未定","OK")))))))</f>
        <v/>
      </c>
      <c r="M60" s="19" t="n"/>
      <c r="N60" s="56" t="n"/>
      <c r="O60" s="32">
        <f>IF($F60="","",IFERROR(MATCH($F60,'請求台帳'!$A$5:$A$1004,0),"なし"))</f>
        <v/>
      </c>
      <c r="P60" s="37">
        <f>IF(NOT(OR($A60&lt;&gt;"",$E60&lt;&gt;"",$F60&lt;&gt;"",$G60&lt;&gt;"",$H60&lt;&gt;"",$I60&lt;&gt;"")),"",IF(ISNUMBER($O60),IF(INDEX('請求台帳'!$C$5:$C$1004,$O60)="","",INDEX('請求台帳'!$C$5:$C$1004,$O60)),IF($C60="","",$C60)))</f>
        <v/>
      </c>
      <c r="Q60" s="35">
        <f>IF(OR(NOT(OR($A60&lt;&gt;"",$E60&lt;&gt;"",$F60&lt;&gt;"",$G60&lt;&gt;"",$H60&lt;&gt;"",$I60&lt;&gt;"")),$P60="",$P60&lt;&gt;'売掛帳'!$B$3,NOT(ISNUMBER($A60)),N($G60)+N($H60)+N($I60)=0),"",IF(AND($A60&gt;='売掛帳'!$Q$3,$A60&lt;='売掛帳'!$Q$4),$A60+0.5+ROW()/10000000,""))</f>
        <v/>
      </c>
      <c r="R60" s="32">
        <f>IF(AND(OR($A60&lt;&gt;"",$E60&lt;&gt;"",$F60&lt;&gt;"",$G60&lt;&gt;"",$H60&lt;&gt;"",$I60&lt;&gt;""),NOT(ISNUMBER($O60))),1,"")</f>
        <v/>
      </c>
    </row>
    <row r="61" ht="18" customHeight="1">
      <c r="A61" s="26" t="n"/>
      <c r="B61" s="18" t="n"/>
      <c r="C61" s="18" t="n"/>
      <c r="D61" s="20">
        <f>IF($P61="","",IFERROR(INDEX('得意先'!$C$5:$C$104,MATCH($P61,'得意先'!$B$5:$B$104,0))&amp;"","※得意先にないコード"))</f>
        <v/>
      </c>
      <c r="E61" s="27" t="n"/>
      <c r="F61" s="18" t="n"/>
      <c r="G61" s="27" t="n"/>
      <c r="H61" s="27" t="n"/>
      <c r="I61" s="27" t="n"/>
      <c r="J61" s="28">
        <f>IF(NOT(OR($A61&lt;&gt;"",$E61&lt;&gt;"",$F61&lt;&gt;"",$G61&lt;&gt;"",$H61&lt;&gt;"",$I61&lt;&gt;"")),"",N($G61)+N($H61)+N($I61))</f>
        <v/>
      </c>
      <c r="K61" s="28">
        <f>IF(ISNUMBER($O61),INDEX('請求台帳'!$R$5:$R$1004,$O61),"")</f>
        <v/>
      </c>
      <c r="L61" s="20">
        <f>IF(NOT(OR($A61&lt;&gt;"",$E61&lt;&gt;"",$F61&lt;&gt;"",$G61&lt;&gt;"",$H61&lt;&gt;"",$I61&lt;&gt;"")),"",IF(NOT(ISNUMBER($A61)),"入金日がありません",IF(AND($F61&lt;&gt;"",$O61="なし"),"請求Noが請求台帳にありません",IF(AND(ISNUMBER($O61),$C61&lt;&gt;"",$C61&lt;&gt;$P61),"請求の得意先は "&amp;$P61&amp;" です",IF(ROUND(IF($B61&lt;&gt;"",SUMIF($B$5:$B$1004,$B61,$E$5:$E$1004)-SUMIF($B$5:$B$1004,$B61,$G$5:$G$1004),N($E61)-N($G61)),0)&lt;&gt;0,"通帳の額と当てた額の差 "&amp;TEXT(IF($B61&lt;&gt;"",SUMIF($B$5:$B$1004,$B61,$E$5:$E$1004)-SUMIF($B$5:$B$1004,$B61,$G$5:$G$1004),N($E61)-N($G61)),"#,##0"),IF(AND(ISNUMBER($O61),N($K61)&lt;0),"請求額より多く消し込んでいます",IF($F61="","消込先が未定","OK")))))))</f>
        <v/>
      </c>
      <c r="M61" s="19" t="n"/>
      <c r="N61" s="56" t="n"/>
      <c r="O61" s="32">
        <f>IF($F61="","",IFERROR(MATCH($F61,'請求台帳'!$A$5:$A$1004,0),"なし"))</f>
        <v/>
      </c>
      <c r="P61" s="37">
        <f>IF(NOT(OR($A61&lt;&gt;"",$E61&lt;&gt;"",$F61&lt;&gt;"",$G61&lt;&gt;"",$H61&lt;&gt;"",$I61&lt;&gt;"")),"",IF(ISNUMBER($O61),IF(INDEX('請求台帳'!$C$5:$C$1004,$O61)="","",INDEX('請求台帳'!$C$5:$C$1004,$O61)),IF($C61="","",$C61)))</f>
        <v/>
      </c>
      <c r="Q61" s="35">
        <f>IF(OR(NOT(OR($A61&lt;&gt;"",$E61&lt;&gt;"",$F61&lt;&gt;"",$G61&lt;&gt;"",$H61&lt;&gt;"",$I61&lt;&gt;"")),$P61="",$P61&lt;&gt;'売掛帳'!$B$3,NOT(ISNUMBER($A61)),N($G61)+N($H61)+N($I61)=0),"",IF(AND($A61&gt;='売掛帳'!$Q$3,$A61&lt;='売掛帳'!$Q$4),$A61+0.5+ROW()/10000000,""))</f>
        <v/>
      </c>
      <c r="R61" s="32">
        <f>IF(AND(OR($A61&lt;&gt;"",$E61&lt;&gt;"",$F61&lt;&gt;"",$G61&lt;&gt;"",$H61&lt;&gt;"",$I61&lt;&gt;""),NOT(ISNUMBER($O61))),1,"")</f>
        <v/>
      </c>
    </row>
    <row r="62" ht="18" customHeight="1">
      <c r="A62" s="26" t="n"/>
      <c r="B62" s="18" t="n"/>
      <c r="C62" s="18" t="n"/>
      <c r="D62" s="20">
        <f>IF($P62="","",IFERROR(INDEX('得意先'!$C$5:$C$104,MATCH($P62,'得意先'!$B$5:$B$104,0))&amp;"","※得意先にないコード"))</f>
        <v/>
      </c>
      <c r="E62" s="27" t="n"/>
      <c r="F62" s="18" t="n"/>
      <c r="G62" s="27" t="n"/>
      <c r="H62" s="27" t="n"/>
      <c r="I62" s="27" t="n"/>
      <c r="J62" s="28">
        <f>IF(NOT(OR($A62&lt;&gt;"",$E62&lt;&gt;"",$F62&lt;&gt;"",$G62&lt;&gt;"",$H62&lt;&gt;"",$I62&lt;&gt;"")),"",N($G62)+N($H62)+N($I62))</f>
        <v/>
      </c>
      <c r="K62" s="28">
        <f>IF(ISNUMBER($O62),INDEX('請求台帳'!$R$5:$R$1004,$O62),"")</f>
        <v/>
      </c>
      <c r="L62" s="20">
        <f>IF(NOT(OR($A62&lt;&gt;"",$E62&lt;&gt;"",$F62&lt;&gt;"",$G62&lt;&gt;"",$H62&lt;&gt;"",$I62&lt;&gt;"")),"",IF(NOT(ISNUMBER($A62)),"入金日がありません",IF(AND($F62&lt;&gt;"",$O62="なし"),"請求Noが請求台帳にありません",IF(AND(ISNUMBER($O62),$C62&lt;&gt;"",$C62&lt;&gt;$P62),"請求の得意先は "&amp;$P62&amp;" です",IF(ROUND(IF($B62&lt;&gt;"",SUMIF($B$5:$B$1004,$B62,$E$5:$E$1004)-SUMIF($B$5:$B$1004,$B62,$G$5:$G$1004),N($E62)-N($G62)),0)&lt;&gt;0,"通帳の額と当てた額の差 "&amp;TEXT(IF($B62&lt;&gt;"",SUMIF($B$5:$B$1004,$B62,$E$5:$E$1004)-SUMIF($B$5:$B$1004,$B62,$G$5:$G$1004),N($E62)-N($G62)),"#,##0"),IF(AND(ISNUMBER($O62),N($K62)&lt;0),"請求額より多く消し込んでいます",IF($F62="","消込先が未定","OK")))))))</f>
        <v/>
      </c>
      <c r="M62" s="19" t="n"/>
      <c r="N62" s="56" t="n"/>
      <c r="O62" s="32">
        <f>IF($F62="","",IFERROR(MATCH($F62,'請求台帳'!$A$5:$A$1004,0),"なし"))</f>
        <v/>
      </c>
      <c r="P62" s="37">
        <f>IF(NOT(OR($A62&lt;&gt;"",$E62&lt;&gt;"",$F62&lt;&gt;"",$G62&lt;&gt;"",$H62&lt;&gt;"",$I62&lt;&gt;"")),"",IF(ISNUMBER($O62),IF(INDEX('請求台帳'!$C$5:$C$1004,$O62)="","",INDEX('請求台帳'!$C$5:$C$1004,$O62)),IF($C62="","",$C62)))</f>
        <v/>
      </c>
      <c r="Q62" s="35">
        <f>IF(OR(NOT(OR($A62&lt;&gt;"",$E62&lt;&gt;"",$F62&lt;&gt;"",$G62&lt;&gt;"",$H62&lt;&gt;"",$I62&lt;&gt;"")),$P62="",$P62&lt;&gt;'売掛帳'!$B$3,NOT(ISNUMBER($A62)),N($G62)+N($H62)+N($I62)=0),"",IF(AND($A62&gt;='売掛帳'!$Q$3,$A62&lt;='売掛帳'!$Q$4),$A62+0.5+ROW()/10000000,""))</f>
        <v/>
      </c>
      <c r="R62" s="32">
        <f>IF(AND(OR($A62&lt;&gt;"",$E62&lt;&gt;"",$F62&lt;&gt;"",$G62&lt;&gt;"",$H62&lt;&gt;"",$I62&lt;&gt;""),NOT(ISNUMBER($O62))),1,"")</f>
        <v/>
      </c>
    </row>
    <row r="63" ht="18" customHeight="1">
      <c r="A63" s="26" t="n"/>
      <c r="B63" s="18" t="n"/>
      <c r="C63" s="18" t="n"/>
      <c r="D63" s="20">
        <f>IF($P63="","",IFERROR(INDEX('得意先'!$C$5:$C$104,MATCH($P63,'得意先'!$B$5:$B$104,0))&amp;"","※得意先にないコード"))</f>
        <v/>
      </c>
      <c r="E63" s="27" t="n"/>
      <c r="F63" s="18" t="n"/>
      <c r="G63" s="27" t="n"/>
      <c r="H63" s="27" t="n"/>
      <c r="I63" s="27" t="n"/>
      <c r="J63" s="28">
        <f>IF(NOT(OR($A63&lt;&gt;"",$E63&lt;&gt;"",$F63&lt;&gt;"",$G63&lt;&gt;"",$H63&lt;&gt;"",$I63&lt;&gt;"")),"",N($G63)+N($H63)+N($I63))</f>
        <v/>
      </c>
      <c r="K63" s="28">
        <f>IF(ISNUMBER($O63),INDEX('請求台帳'!$R$5:$R$1004,$O63),"")</f>
        <v/>
      </c>
      <c r="L63" s="20">
        <f>IF(NOT(OR($A63&lt;&gt;"",$E63&lt;&gt;"",$F63&lt;&gt;"",$G63&lt;&gt;"",$H63&lt;&gt;"",$I63&lt;&gt;"")),"",IF(NOT(ISNUMBER($A63)),"入金日がありません",IF(AND($F63&lt;&gt;"",$O63="なし"),"請求Noが請求台帳にありません",IF(AND(ISNUMBER($O63),$C63&lt;&gt;"",$C63&lt;&gt;$P63),"請求の得意先は "&amp;$P63&amp;" です",IF(ROUND(IF($B63&lt;&gt;"",SUMIF($B$5:$B$1004,$B63,$E$5:$E$1004)-SUMIF($B$5:$B$1004,$B63,$G$5:$G$1004),N($E63)-N($G63)),0)&lt;&gt;0,"通帳の額と当てた額の差 "&amp;TEXT(IF($B63&lt;&gt;"",SUMIF($B$5:$B$1004,$B63,$E$5:$E$1004)-SUMIF($B$5:$B$1004,$B63,$G$5:$G$1004),N($E63)-N($G63)),"#,##0"),IF(AND(ISNUMBER($O63),N($K63)&lt;0),"請求額より多く消し込んでいます",IF($F63="","消込先が未定","OK")))))))</f>
        <v/>
      </c>
      <c r="M63" s="19" t="n"/>
      <c r="N63" s="56" t="n"/>
      <c r="O63" s="32">
        <f>IF($F63="","",IFERROR(MATCH($F63,'請求台帳'!$A$5:$A$1004,0),"なし"))</f>
        <v/>
      </c>
      <c r="P63" s="37">
        <f>IF(NOT(OR($A63&lt;&gt;"",$E63&lt;&gt;"",$F63&lt;&gt;"",$G63&lt;&gt;"",$H63&lt;&gt;"",$I63&lt;&gt;"")),"",IF(ISNUMBER($O63),IF(INDEX('請求台帳'!$C$5:$C$1004,$O63)="","",INDEX('請求台帳'!$C$5:$C$1004,$O63)),IF($C63="","",$C63)))</f>
        <v/>
      </c>
      <c r="Q63" s="35">
        <f>IF(OR(NOT(OR($A63&lt;&gt;"",$E63&lt;&gt;"",$F63&lt;&gt;"",$G63&lt;&gt;"",$H63&lt;&gt;"",$I63&lt;&gt;"")),$P63="",$P63&lt;&gt;'売掛帳'!$B$3,NOT(ISNUMBER($A63)),N($G63)+N($H63)+N($I63)=0),"",IF(AND($A63&gt;='売掛帳'!$Q$3,$A63&lt;='売掛帳'!$Q$4),$A63+0.5+ROW()/10000000,""))</f>
        <v/>
      </c>
      <c r="R63" s="32">
        <f>IF(AND(OR($A63&lt;&gt;"",$E63&lt;&gt;"",$F63&lt;&gt;"",$G63&lt;&gt;"",$H63&lt;&gt;"",$I63&lt;&gt;""),NOT(ISNUMBER($O63))),1,"")</f>
        <v/>
      </c>
    </row>
    <row r="64" ht="18" customHeight="1">
      <c r="A64" s="26" t="n"/>
      <c r="B64" s="18" t="n"/>
      <c r="C64" s="18" t="n"/>
      <c r="D64" s="20">
        <f>IF($P64="","",IFERROR(INDEX('得意先'!$C$5:$C$104,MATCH($P64,'得意先'!$B$5:$B$104,0))&amp;"","※得意先にないコード"))</f>
        <v/>
      </c>
      <c r="E64" s="27" t="n"/>
      <c r="F64" s="18" t="n"/>
      <c r="G64" s="27" t="n"/>
      <c r="H64" s="27" t="n"/>
      <c r="I64" s="27" t="n"/>
      <c r="J64" s="28">
        <f>IF(NOT(OR($A64&lt;&gt;"",$E64&lt;&gt;"",$F64&lt;&gt;"",$G64&lt;&gt;"",$H64&lt;&gt;"",$I64&lt;&gt;"")),"",N($G64)+N($H64)+N($I64))</f>
        <v/>
      </c>
      <c r="K64" s="28">
        <f>IF(ISNUMBER($O64),INDEX('請求台帳'!$R$5:$R$1004,$O64),"")</f>
        <v/>
      </c>
      <c r="L64" s="20">
        <f>IF(NOT(OR($A64&lt;&gt;"",$E64&lt;&gt;"",$F64&lt;&gt;"",$G64&lt;&gt;"",$H64&lt;&gt;"",$I64&lt;&gt;"")),"",IF(NOT(ISNUMBER($A64)),"入金日がありません",IF(AND($F64&lt;&gt;"",$O64="なし"),"請求Noが請求台帳にありません",IF(AND(ISNUMBER($O64),$C64&lt;&gt;"",$C64&lt;&gt;$P64),"請求の得意先は "&amp;$P64&amp;" です",IF(ROUND(IF($B64&lt;&gt;"",SUMIF($B$5:$B$1004,$B64,$E$5:$E$1004)-SUMIF($B$5:$B$1004,$B64,$G$5:$G$1004),N($E64)-N($G64)),0)&lt;&gt;0,"通帳の額と当てた額の差 "&amp;TEXT(IF($B64&lt;&gt;"",SUMIF($B$5:$B$1004,$B64,$E$5:$E$1004)-SUMIF($B$5:$B$1004,$B64,$G$5:$G$1004),N($E64)-N($G64)),"#,##0"),IF(AND(ISNUMBER($O64),N($K64)&lt;0),"請求額より多く消し込んでいます",IF($F64="","消込先が未定","OK")))))))</f>
        <v/>
      </c>
      <c r="M64" s="19" t="n"/>
      <c r="N64" s="56" t="n"/>
      <c r="O64" s="32">
        <f>IF($F64="","",IFERROR(MATCH($F64,'請求台帳'!$A$5:$A$1004,0),"なし"))</f>
        <v/>
      </c>
      <c r="P64" s="37">
        <f>IF(NOT(OR($A64&lt;&gt;"",$E64&lt;&gt;"",$F64&lt;&gt;"",$G64&lt;&gt;"",$H64&lt;&gt;"",$I64&lt;&gt;"")),"",IF(ISNUMBER($O64),IF(INDEX('請求台帳'!$C$5:$C$1004,$O64)="","",INDEX('請求台帳'!$C$5:$C$1004,$O64)),IF($C64="","",$C64)))</f>
        <v/>
      </c>
      <c r="Q64" s="35">
        <f>IF(OR(NOT(OR($A64&lt;&gt;"",$E64&lt;&gt;"",$F64&lt;&gt;"",$G64&lt;&gt;"",$H64&lt;&gt;"",$I64&lt;&gt;"")),$P64="",$P64&lt;&gt;'売掛帳'!$B$3,NOT(ISNUMBER($A64)),N($G64)+N($H64)+N($I64)=0),"",IF(AND($A64&gt;='売掛帳'!$Q$3,$A64&lt;='売掛帳'!$Q$4),$A64+0.5+ROW()/10000000,""))</f>
        <v/>
      </c>
      <c r="R64" s="32">
        <f>IF(AND(OR($A64&lt;&gt;"",$E64&lt;&gt;"",$F64&lt;&gt;"",$G64&lt;&gt;"",$H64&lt;&gt;"",$I64&lt;&gt;""),NOT(ISNUMBER($O64))),1,"")</f>
        <v/>
      </c>
    </row>
    <row r="65" ht="18" customHeight="1">
      <c r="A65" s="26" t="n"/>
      <c r="B65" s="18" t="n"/>
      <c r="C65" s="18" t="n"/>
      <c r="D65" s="20">
        <f>IF($P65="","",IFERROR(INDEX('得意先'!$C$5:$C$104,MATCH($P65,'得意先'!$B$5:$B$104,0))&amp;"","※得意先にないコード"))</f>
        <v/>
      </c>
      <c r="E65" s="27" t="n"/>
      <c r="F65" s="18" t="n"/>
      <c r="G65" s="27" t="n"/>
      <c r="H65" s="27" t="n"/>
      <c r="I65" s="27" t="n"/>
      <c r="J65" s="28">
        <f>IF(NOT(OR($A65&lt;&gt;"",$E65&lt;&gt;"",$F65&lt;&gt;"",$G65&lt;&gt;"",$H65&lt;&gt;"",$I65&lt;&gt;"")),"",N($G65)+N($H65)+N($I65))</f>
        <v/>
      </c>
      <c r="K65" s="28">
        <f>IF(ISNUMBER($O65),INDEX('請求台帳'!$R$5:$R$1004,$O65),"")</f>
        <v/>
      </c>
      <c r="L65" s="20">
        <f>IF(NOT(OR($A65&lt;&gt;"",$E65&lt;&gt;"",$F65&lt;&gt;"",$G65&lt;&gt;"",$H65&lt;&gt;"",$I65&lt;&gt;"")),"",IF(NOT(ISNUMBER($A65)),"入金日がありません",IF(AND($F65&lt;&gt;"",$O65="なし"),"請求Noが請求台帳にありません",IF(AND(ISNUMBER($O65),$C65&lt;&gt;"",$C65&lt;&gt;$P65),"請求の得意先は "&amp;$P65&amp;" です",IF(ROUND(IF($B65&lt;&gt;"",SUMIF($B$5:$B$1004,$B65,$E$5:$E$1004)-SUMIF($B$5:$B$1004,$B65,$G$5:$G$1004),N($E65)-N($G65)),0)&lt;&gt;0,"通帳の額と当てた額の差 "&amp;TEXT(IF($B65&lt;&gt;"",SUMIF($B$5:$B$1004,$B65,$E$5:$E$1004)-SUMIF($B$5:$B$1004,$B65,$G$5:$G$1004),N($E65)-N($G65)),"#,##0"),IF(AND(ISNUMBER($O65),N($K65)&lt;0),"請求額より多く消し込んでいます",IF($F65="","消込先が未定","OK")))))))</f>
        <v/>
      </c>
      <c r="M65" s="19" t="n"/>
      <c r="N65" s="56" t="n"/>
      <c r="O65" s="32">
        <f>IF($F65="","",IFERROR(MATCH($F65,'請求台帳'!$A$5:$A$1004,0),"なし"))</f>
        <v/>
      </c>
      <c r="P65" s="37">
        <f>IF(NOT(OR($A65&lt;&gt;"",$E65&lt;&gt;"",$F65&lt;&gt;"",$G65&lt;&gt;"",$H65&lt;&gt;"",$I65&lt;&gt;"")),"",IF(ISNUMBER($O65),IF(INDEX('請求台帳'!$C$5:$C$1004,$O65)="","",INDEX('請求台帳'!$C$5:$C$1004,$O65)),IF($C65="","",$C65)))</f>
        <v/>
      </c>
      <c r="Q65" s="35">
        <f>IF(OR(NOT(OR($A65&lt;&gt;"",$E65&lt;&gt;"",$F65&lt;&gt;"",$G65&lt;&gt;"",$H65&lt;&gt;"",$I65&lt;&gt;"")),$P65="",$P65&lt;&gt;'売掛帳'!$B$3,NOT(ISNUMBER($A65)),N($G65)+N($H65)+N($I65)=0),"",IF(AND($A65&gt;='売掛帳'!$Q$3,$A65&lt;='売掛帳'!$Q$4),$A65+0.5+ROW()/10000000,""))</f>
        <v/>
      </c>
      <c r="R65" s="32">
        <f>IF(AND(OR($A65&lt;&gt;"",$E65&lt;&gt;"",$F65&lt;&gt;"",$G65&lt;&gt;"",$H65&lt;&gt;"",$I65&lt;&gt;""),NOT(ISNUMBER($O65))),1,"")</f>
        <v/>
      </c>
    </row>
    <row r="66" ht="18" customHeight="1">
      <c r="A66" s="26" t="n"/>
      <c r="B66" s="18" t="n"/>
      <c r="C66" s="18" t="n"/>
      <c r="D66" s="20">
        <f>IF($P66="","",IFERROR(INDEX('得意先'!$C$5:$C$104,MATCH($P66,'得意先'!$B$5:$B$104,0))&amp;"","※得意先にないコード"))</f>
        <v/>
      </c>
      <c r="E66" s="27" t="n"/>
      <c r="F66" s="18" t="n"/>
      <c r="G66" s="27" t="n"/>
      <c r="H66" s="27" t="n"/>
      <c r="I66" s="27" t="n"/>
      <c r="J66" s="28">
        <f>IF(NOT(OR($A66&lt;&gt;"",$E66&lt;&gt;"",$F66&lt;&gt;"",$G66&lt;&gt;"",$H66&lt;&gt;"",$I66&lt;&gt;"")),"",N($G66)+N($H66)+N($I66))</f>
        <v/>
      </c>
      <c r="K66" s="28">
        <f>IF(ISNUMBER($O66),INDEX('請求台帳'!$R$5:$R$1004,$O66),"")</f>
        <v/>
      </c>
      <c r="L66" s="20">
        <f>IF(NOT(OR($A66&lt;&gt;"",$E66&lt;&gt;"",$F66&lt;&gt;"",$G66&lt;&gt;"",$H66&lt;&gt;"",$I66&lt;&gt;"")),"",IF(NOT(ISNUMBER($A66)),"入金日がありません",IF(AND($F66&lt;&gt;"",$O66="なし"),"請求Noが請求台帳にありません",IF(AND(ISNUMBER($O66),$C66&lt;&gt;"",$C66&lt;&gt;$P66),"請求の得意先は "&amp;$P66&amp;" です",IF(ROUND(IF($B66&lt;&gt;"",SUMIF($B$5:$B$1004,$B66,$E$5:$E$1004)-SUMIF($B$5:$B$1004,$B66,$G$5:$G$1004),N($E66)-N($G66)),0)&lt;&gt;0,"通帳の額と当てた額の差 "&amp;TEXT(IF($B66&lt;&gt;"",SUMIF($B$5:$B$1004,$B66,$E$5:$E$1004)-SUMIF($B$5:$B$1004,$B66,$G$5:$G$1004),N($E66)-N($G66)),"#,##0"),IF(AND(ISNUMBER($O66),N($K66)&lt;0),"請求額より多く消し込んでいます",IF($F66="","消込先が未定","OK")))))))</f>
        <v/>
      </c>
      <c r="M66" s="19" t="n"/>
      <c r="N66" s="56" t="n"/>
      <c r="O66" s="32">
        <f>IF($F66="","",IFERROR(MATCH($F66,'請求台帳'!$A$5:$A$1004,0),"なし"))</f>
        <v/>
      </c>
      <c r="P66" s="37">
        <f>IF(NOT(OR($A66&lt;&gt;"",$E66&lt;&gt;"",$F66&lt;&gt;"",$G66&lt;&gt;"",$H66&lt;&gt;"",$I66&lt;&gt;"")),"",IF(ISNUMBER($O66),IF(INDEX('請求台帳'!$C$5:$C$1004,$O66)="","",INDEX('請求台帳'!$C$5:$C$1004,$O66)),IF($C66="","",$C66)))</f>
        <v/>
      </c>
      <c r="Q66" s="35">
        <f>IF(OR(NOT(OR($A66&lt;&gt;"",$E66&lt;&gt;"",$F66&lt;&gt;"",$G66&lt;&gt;"",$H66&lt;&gt;"",$I66&lt;&gt;"")),$P66="",$P66&lt;&gt;'売掛帳'!$B$3,NOT(ISNUMBER($A66)),N($G66)+N($H66)+N($I66)=0),"",IF(AND($A66&gt;='売掛帳'!$Q$3,$A66&lt;='売掛帳'!$Q$4),$A66+0.5+ROW()/10000000,""))</f>
        <v/>
      </c>
      <c r="R66" s="32">
        <f>IF(AND(OR($A66&lt;&gt;"",$E66&lt;&gt;"",$F66&lt;&gt;"",$G66&lt;&gt;"",$H66&lt;&gt;"",$I66&lt;&gt;""),NOT(ISNUMBER($O66))),1,"")</f>
        <v/>
      </c>
    </row>
    <row r="67" ht="18" customHeight="1">
      <c r="A67" s="26" t="n"/>
      <c r="B67" s="18" t="n"/>
      <c r="C67" s="18" t="n"/>
      <c r="D67" s="20">
        <f>IF($P67="","",IFERROR(INDEX('得意先'!$C$5:$C$104,MATCH($P67,'得意先'!$B$5:$B$104,0))&amp;"","※得意先にないコード"))</f>
        <v/>
      </c>
      <c r="E67" s="27" t="n"/>
      <c r="F67" s="18" t="n"/>
      <c r="G67" s="27" t="n"/>
      <c r="H67" s="27" t="n"/>
      <c r="I67" s="27" t="n"/>
      <c r="J67" s="28">
        <f>IF(NOT(OR($A67&lt;&gt;"",$E67&lt;&gt;"",$F67&lt;&gt;"",$G67&lt;&gt;"",$H67&lt;&gt;"",$I67&lt;&gt;"")),"",N($G67)+N($H67)+N($I67))</f>
        <v/>
      </c>
      <c r="K67" s="28">
        <f>IF(ISNUMBER($O67),INDEX('請求台帳'!$R$5:$R$1004,$O67),"")</f>
        <v/>
      </c>
      <c r="L67" s="20">
        <f>IF(NOT(OR($A67&lt;&gt;"",$E67&lt;&gt;"",$F67&lt;&gt;"",$G67&lt;&gt;"",$H67&lt;&gt;"",$I67&lt;&gt;"")),"",IF(NOT(ISNUMBER($A67)),"入金日がありません",IF(AND($F67&lt;&gt;"",$O67="なし"),"請求Noが請求台帳にありません",IF(AND(ISNUMBER($O67),$C67&lt;&gt;"",$C67&lt;&gt;$P67),"請求の得意先は "&amp;$P67&amp;" です",IF(ROUND(IF($B67&lt;&gt;"",SUMIF($B$5:$B$1004,$B67,$E$5:$E$1004)-SUMIF($B$5:$B$1004,$B67,$G$5:$G$1004),N($E67)-N($G67)),0)&lt;&gt;0,"通帳の額と当てた額の差 "&amp;TEXT(IF($B67&lt;&gt;"",SUMIF($B$5:$B$1004,$B67,$E$5:$E$1004)-SUMIF($B$5:$B$1004,$B67,$G$5:$G$1004),N($E67)-N($G67)),"#,##0"),IF(AND(ISNUMBER($O67),N($K67)&lt;0),"請求額より多く消し込んでいます",IF($F67="","消込先が未定","OK")))))))</f>
        <v/>
      </c>
      <c r="M67" s="19" t="n"/>
      <c r="N67" s="56" t="n"/>
      <c r="O67" s="32">
        <f>IF($F67="","",IFERROR(MATCH($F67,'請求台帳'!$A$5:$A$1004,0),"なし"))</f>
        <v/>
      </c>
      <c r="P67" s="37">
        <f>IF(NOT(OR($A67&lt;&gt;"",$E67&lt;&gt;"",$F67&lt;&gt;"",$G67&lt;&gt;"",$H67&lt;&gt;"",$I67&lt;&gt;"")),"",IF(ISNUMBER($O67),IF(INDEX('請求台帳'!$C$5:$C$1004,$O67)="","",INDEX('請求台帳'!$C$5:$C$1004,$O67)),IF($C67="","",$C67)))</f>
        <v/>
      </c>
      <c r="Q67" s="35">
        <f>IF(OR(NOT(OR($A67&lt;&gt;"",$E67&lt;&gt;"",$F67&lt;&gt;"",$G67&lt;&gt;"",$H67&lt;&gt;"",$I67&lt;&gt;"")),$P67="",$P67&lt;&gt;'売掛帳'!$B$3,NOT(ISNUMBER($A67)),N($G67)+N($H67)+N($I67)=0),"",IF(AND($A67&gt;='売掛帳'!$Q$3,$A67&lt;='売掛帳'!$Q$4),$A67+0.5+ROW()/10000000,""))</f>
        <v/>
      </c>
      <c r="R67" s="32">
        <f>IF(AND(OR($A67&lt;&gt;"",$E67&lt;&gt;"",$F67&lt;&gt;"",$G67&lt;&gt;"",$H67&lt;&gt;"",$I67&lt;&gt;""),NOT(ISNUMBER($O67))),1,"")</f>
        <v/>
      </c>
    </row>
    <row r="68" ht="18" customHeight="1">
      <c r="A68" s="26" t="n"/>
      <c r="B68" s="18" t="n"/>
      <c r="C68" s="18" t="n"/>
      <c r="D68" s="20">
        <f>IF($P68="","",IFERROR(INDEX('得意先'!$C$5:$C$104,MATCH($P68,'得意先'!$B$5:$B$104,0))&amp;"","※得意先にないコード"))</f>
        <v/>
      </c>
      <c r="E68" s="27" t="n"/>
      <c r="F68" s="18" t="n"/>
      <c r="G68" s="27" t="n"/>
      <c r="H68" s="27" t="n"/>
      <c r="I68" s="27" t="n"/>
      <c r="J68" s="28">
        <f>IF(NOT(OR($A68&lt;&gt;"",$E68&lt;&gt;"",$F68&lt;&gt;"",$G68&lt;&gt;"",$H68&lt;&gt;"",$I68&lt;&gt;"")),"",N($G68)+N($H68)+N($I68))</f>
        <v/>
      </c>
      <c r="K68" s="28">
        <f>IF(ISNUMBER($O68),INDEX('請求台帳'!$R$5:$R$1004,$O68),"")</f>
        <v/>
      </c>
      <c r="L68" s="20">
        <f>IF(NOT(OR($A68&lt;&gt;"",$E68&lt;&gt;"",$F68&lt;&gt;"",$G68&lt;&gt;"",$H68&lt;&gt;"",$I68&lt;&gt;"")),"",IF(NOT(ISNUMBER($A68)),"入金日がありません",IF(AND($F68&lt;&gt;"",$O68="なし"),"請求Noが請求台帳にありません",IF(AND(ISNUMBER($O68),$C68&lt;&gt;"",$C68&lt;&gt;$P68),"請求の得意先は "&amp;$P68&amp;" です",IF(ROUND(IF($B68&lt;&gt;"",SUMIF($B$5:$B$1004,$B68,$E$5:$E$1004)-SUMIF($B$5:$B$1004,$B68,$G$5:$G$1004),N($E68)-N($G68)),0)&lt;&gt;0,"通帳の額と当てた額の差 "&amp;TEXT(IF($B68&lt;&gt;"",SUMIF($B$5:$B$1004,$B68,$E$5:$E$1004)-SUMIF($B$5:$B$1004,$B68,$G$5:$G$1004),N($E68)-N($G68)),"#,##0"),IF(AND(ISNUMBER($O68),N($K68)&lt;0),"請求額より多く消し込んでいます",IF($F68="","消込先が未定","OK")))))))</f>
        <v/>
      </c>
      <c r="M68" s="19" t="n"/>
      <c r="N68" s="56" t="n"/>
      <c r="O68" s="32">
        <f>IF($F68="","",IFERROR(MATCH($F68,'請求台帳'!$A$5:$A$1004,0),"なし"))</f>
        <v/>
      </c>
      <c r="P68" s="37">
        <f>IF(NOT(OR($A68&lt;&gt;"",$E68&lt;&gt;"",$F68&lt;&gt;"",$G68&lt;&gt;"",$H68&lt;&gt;"",$I68&lt;&gt;"")),"",IF(ISNUMBER($O68),IF(INDEX('請求台帳'!$C$5:$C$1004,$O68)="","",INDEX('請求台帳'!$C$5:$C$1004,$O68)),IF($C68="","",$C68)))</f>
        <v/>
      </c>
      <c r="Q68" s="35">
        <f>IF(OR(NOT(OR($A68&lt;&gt;"",$E68&lt;&gt;"",$F68&lt;&gt;"",$G68&lt;&gt;"",$H68&lt;&gt;"",$I68&lt;&gt;"")),$P68="",$P68&lt;&gt;'売掛帳'!$B$3,NOT(ISNUMBER($A68)),N($G68)+N($H68)+N($I68)=0),"",IF(AND($A68&gt;='売掛帳'!$Q$3,$A68&lt;='売掛帳'!$Q$4),$A68+0.5+ROW()/10000000,""))</f>
        <v/>
      </c>
      <c r="R68" s="32">
        <f>IF(AND(OR($A68&lt;&gt;"",$E68&lt;&gt;"",$F68&lt;&gt;"",$G68&lt;&gt;"",$H68&lt;&gt;"",$I68&lt;&gt;""),NOT(ISNUMBER($O68))),1,"")</f>
        <v/>
      </c>
    </row>
    <row r="69" ht="18" customHeight="1">
      <c r="A69" s="26" t="n"/>
      <c r="B69" s="18" t="n"/>
      <c r="C69" s="18" t="n"/>
      <c r="D69" s="20">
        <f>IF($P69="","",IFERROR(INDEX('得意先'!$C$5:$C$104,MATCH($P69,'得意先'!$B$5:$B$104,0))&amp;"","※得意先にないコード"))</f>
        <v/>
      </c>
      <c r="E69" s="27" t="n"/>
      <c r="F69" s="18" t="n"/>
      <c r="G69" s="27" t="n"/>
      <c r="H69" s="27" t="n"/>
      <c r="I69" s="27" t="n"/>
      <c r="J69" s="28">
        <f>IF(NOT(OR($A69&lt;&gt;"",$E69&lt;&gt;"",$F69&lt;&gt;"",$G69&lt;&gt;"",$H69&lt;&gt;"",$I69&lt;&gt;"")),"",N($G69)+N($H69)+N($I69))</f>
        <v/>
      </c>
      <c r="K69" s="28">
        <f>IF(ISNUMBER($O69),INDEX('請求台帳'!$R$5:$R$1004,$O69),"")</f>
        <v/>
      </c>
      <c r="L69" s="20">
        <f>IF(NOT(OR($A69&lt;&gt;"",$E69&lt;&gt;"",$F69&lt;&gt;"",$G69&lt;&gt;"",$H69&lt;&gt;"",$I69&lt;&gt;"")),"",IF(NOT(ISNUMBER($A69)),"入金日がありません",IF(AND($F69&lt;&gt;"",$O69="なし"),"請求Noが請求台帳にありません",IF(AND(ISNUMBER($O69),$C69&lt;&gt;"",$C69&lt;&gt;$P69),"請求の得意先は "&amp;$P69&amp;" です",IF(ROUND(IF($B69&lt;&gt;"",SUMIF($B$5:$B$1004,$B69,$E$5:$E$1004)-SUMIF($B$5:$B$1004,$B69,$G$5:$G$1004),N($E69)-N($G69)),0)&lt;&gt;0,"通帳の額と当てた額の差 "&amp;TEXT(IF($B69&lt;&gt;"",SUMIF($B$5:$B$1004,$B69,$E$5:$E$1004)-SUMIF($B$5:$B$1004,$B69,$G$5:$G$1004),N($E69)-N($G69)),"#,##0"),IF(AND(ISNUMBER($O69),N($K69)&lt;0),"請求額より多く消し込んでいます",IF($F69="","消込先が未定","OK")))))))</f>
        <v/>
      </c>
      <c r="M69" s="19" t="n"/>
      <c r="N69" s="56" t="n"/>
      <c r="O69" s="32">
        <f>IF($F69="","",IFERROR(MATCH($F69,'請求台帳'!$A$5:$A$1004,0),"なし"))</f>
        <v/>
      </c>
      <c r="P69" s="37">
        <f>IF(NOT(OR($A69&lt;&gt;"",$E69&lt;&gt;"",$F69&lt;&gt;"",$G69&lt;&gt;"",$H69&lt;&gt;"",$I69&lt;&gt;"")),"",IF(ISNUMBER($O69),IF(INDEX('請求台帳'!$C$5:$C$1004,$O69)="","",INDEX('請求台帳'!$C$5:$C$1004,$O69)),IF($C69="","",$C69)))</f>
        <v/>
      </c>
      <c r="Q69" s="35">
        <f>IF(OR(NOT(OR($A69&lt;&gt;"",$E69&lt;&gt;"",$F69&lt;&gt;"",$G69&lt;&gt;"",$H69&lt;&gt;"",$I69&lt;&gt;"")),$P69="",$P69&lt;&gt;'売掛帳'!$B$3,NOT(ISNUMBER($A69)),N($G69)+N($H69)+N($I69)=0),"",IF(AND($A69&gt;='売掛帳'!$Q$3,$A69&lt;='売掛帳'!$Q$4),$A69+0.5+ROW()/10000000,""))</f>
        <v/>
      </c>
      <c r="R69" s="32">
        <f>IF(AND(OR($A69&lt;&gt;"",$E69&lt;&gt;"",$F69&lt;&gt;"",$G69&lt;&gt;"",$H69&lt;&gt;"",$I69&lt;&gt;""),NOT(ISNUMBER($O69))),1,"")</f>
        <v/>
      </c>
    </row>
    <row r="70" ht="18" customHeight="1">
      <c r="A70" s="26" t="n"/>
      <c r="B70" s="18" t="n"/>
      <c r="C70" s="18" t="n"/>
      <c r="D70" s="20">
        <f>IF($P70="","",IFERROR(INDEX('得意先'!$C$5:$C$104,MATCH($P70,'得意先'!$B$5:$B$104,0))&amp;"","※得意先にないコード"))</f>
        <v/>
      </c>
      <c r="E70" s="27" t="n"/>
      <c r="F70" s="18" t="n"/>
      <c r="G70" s="27" t="n"/>
      <c r="H70" s="27" t="n"/>
      <c r="I70" s="27" t="n"/>
      <c r="J70" s="28">
        <f>IF(NOT(OR($A70&lt;&gt;"",$E70&lt;&gt;"",$F70&lt;&gt;"",$G70&lt;&gt;"",$H70&lt;&gt;"",$I70&lt;&gt;"")),"",N($G70)+N($H70)+N($I70))</f>
        <v/>
      </c>
      <c r="K70" s="28">
        <f>IF(ISNUMBER($O70),INDEX('請求台帳'!$R$5:$R$1004,$O70),"")</f>
        <v/>
      </c>
      <c r="L70" s="20">
        <f>IF(NOT(OR($A70&lt;&gt;"",$E70&lt;&gt;"",$F70&lt;&gt;"",$G70&lt;&gt;"",$H70&lt;&gt;"",$I70&lt;&gt;"")),"",IF(NOT(ISNUMBER($A70)),"入金日がありません",IF(AND($F70&lt;&gt;"",$O70="なし"),"請求Noが請求台帳にありません",IF(AND(ISNUMBER($O70),$C70&lt;&gt;"",$C70&lt;&gt;$P70),"請求の得意先は "&amp;$P70&amp;" です",IF(ROUND(IF($B70&lt;&gt;"",SUMIF($B$5:$B$1004,$B70,$E$5:$E$1004)-SUMIF($B$5:$B$1004,$B70,$G$5:$G$1004),N($E70)-N($G70)),0)&lt;&gt;0,"通帳の額と当てた額の差 "&amp;TEXT(IF($B70&lt;&gt;"",SUMIF($B$5:$B$1004,$B70,$E$5:$E$1004)-SUMIF($B$5:$B$1004,$B70,$G$5:$G$1004),N($E70)-N($G70)),"#,##0"),IF(AND(ISNUMBER($O70),N($K70)&lt;0),"請求額より多く消し込んでいます",IF($F70="","消込先が未定","OK")))))))</f>
        <v/>
      </c>
      <c r="M70" s="19" t="n"/>
      <c r="N70" s="56" t="n"/>
      <c r="O70" s="32">
        <f>IF($F70="","",IFERROR(MATCH($F70,'請求台帳'!$A$5:$A$1004,0),"なし"))</f>
        <v/>
      </c>
      <c r="P70" s="37">
        <f>IF(NOT(OR($A70&lt;&gt;"",$E70&lt;&gt;"",$F70&lt;&gt;"",$G70&lt;&gt;"",$H70&lt;&gt;"",$I70&lt;&gt;"")),"",IF(ISNUMBER($O70),IF(INDEX('請求台帳'!$C$5:$C$1004,$O70)="","",INDEX('請求台帳'!$C$5:$C$1004,$O70)),IF($C70="","",$C70)))</f>
        <v/>
      </c>
      <c r="Q70" s="35">
        <f>IF(OR(NOT(OR($A70&lt;&gt;"",$E70&lt;&gt;"",$F70&lt;&gt;"",$G70&lt;&gt;"",$H70&lt;&gt;"",$I70&lt;&gt;"")),$P70="",$P70&lt;&gt;'売掛帳'!$B$3,NOT(ISNUMBER($A70)),N($G70)+N($H70)+N($I70)=0),"",IF(AND($A70&gt;='売掛帳'!$Q$3,$A70&lt;='売掛帳'!$Q$4),$A70+0.5+ROW()/10000000,""))</f>
        <v/>
      </c>
      <c r="R70" s="32">
        <f>IF(AND(OR($A70&lt;&gt;"",$E70&lt;&gt;"",$F70&lt;&gt;"",$G70&lt;&gt;"",$H70&lt;&gt;"",$I70&lt;&gt;""),NOT(ISNUMBER($O70))),1,"")</f>
        <v/>
      </c>
    </row>
    <row r="71" ht="18" customHeight="1">
      <c r="A71" s="26" t="n"/>
      <c r="B71" s="18" t="n"/>
      <c r="C71" s="18" t="n"/>
      <c r="D71" s="20">
        <f>IF($P71="","",IFERROR(INDEX('得意先'!$C$5:$C$104,MATCH($P71,'得意先'!$B$5:$B$104,0))&amp;"","※得意先にないコード"))</f>
        <v/>
      </c>
      <c r="E71" s="27" t="n"/>
      <c r="F71" s="18" t="n"/>
      <c r="G71" s="27" t="n"/>
      <c r="H71" s="27" t="n"/>
      <c r="I71" s="27" t="n"/>
      <c r="J71" s="28">
        <f>IF(NOT(OR($A71&lt;&gt;"",$E71&lt;&gt;"",$F71&lt;&gt;"",$G71&lt;&gt;"",$H71&lt;&gt;"",$I71&lt;&gt;"")),"",N($G71)+N($H71)+N($I71))</f>
        <v/>
      </c>
      <c r="K71" s="28">
        <f>IF(ISNUMBER($O71),INDEX('請求台帳'!$R$5:$R$1004,$O71),"")</f>
        <v/>
      </c>
      <c r="L71" s="20">
        <f>IF(NOT(OR($A71&lt;&gt;"",$E71&lt;&gt;"",$F71&lt;&gt;"",$G71&lt;&gt;"",$H71&lt;&gt;"",$I71&lt;&gt;"")),"",IF(NOT(ISNUMBER($A71)),"入金日がありません",IF(AND($F71&lt;&gt;"",$O71="なし"),"請求Noが請求台帳にありません",IF(AND(ISNUMBER($O71),$C71&lt;&gt;"",$C71&lt;&gt;$P71),"請求の得意先は "&amp;$P71&amp;" です",IF(ROUND(IF($B71&lt;&gt;"",SUMIF($B$5:$B$1004,$B71,$E$5:$E$1004)-SUMIF($B$5:$B$1004,$B71,$G$5:$G$1004),N($E71)-N($G71)),0)&lt;&gt;0,"通帳の額と当てた額の差 "&amp;TEXT(IF($B71&lt;&gt;"",SUMIF($B$5:$B$1004,$B71,$E$5:$E$1004)-SUMIF($B$5:$B$1004,$B71,$G$5:$G$1004),N($E71)-N($G71)),"#,##0"),IF(AND(ISNUMBER($O71),N($K71)&lt;0),"請求額より多く消し込んでいます",IF($F71="","消込先が未定","OK")))))))</f>
        <v/>
      </c>
      <c r="M71" s="19" t="n"/>
      <c r="N71" s="56" t="n"/>
      <c r="O71" s="32">
        <f>IF($F71="","",IFERROR(MATCH($F71,'請求台帳'!$A$5:$A$1004,0),"なし"))</f>
        <v/>
      </c>
      <c r="P71" s="37">
        <f>IF(NOT(OR($A71&lt;&gt;"",$E71&lt;&gt;"",$F71&lt;&gt;"",$G71&lt;&gt;"",$H71&lt;&gt;"",$I71&lt;&gt;"")),"",IF(ISNUMBER($O71),IF(INDEX('請求台帳'!$C$5:$C$1004,$O71)="","",INDEX('請求台帳'!$C$5:$C$1004,$O71)),IF($C71="","",$C71)))</f>
        <v/>
      </c>
      <c r="Q71" s="35">
        <f>IF(OR(NOT(OR($A71&lt;&gt;"",$E71&lt;&gt;"",$F71&lt;&gt;"",$G71&lt;&gt;"",$H71&lt;&gt;"",$I71&lt;&gt;"")),$P71="",$P71&lt;&gt;'売掛帳'!$B$3,NOT(ISNUMBER($A71)),N($G71)+N($H71)+N($I71)=0),"",IF(AND($A71&gt;='売掛帳'!$Q$3,$A71&lt;='売掛帳'!$Q$4),$A71+0.5+ROW()/10000000,""))</f>
        <v/>
      </c>
      <c r="R71" s="32">
        <f>IF(AND(OR($A71&lt;&gt;"",$E71&lt;&gt;"",$F71&lt;&gt;"",$G71&lt;&gt;"",$H71&lt;&gt;"",$I71&lt;&gt;""),NOT(ISNUMBER($O71))),1,"")</f>
        <v/>
      </c>
    </row>
    <row r="72" ht="18" customHeight="1">
      <c r="A72" s="26" t="n"/>
      <c r="B72" s="18" t="n"/>
      <c r="C72" s="18" t="n"/>
      <c r="D72" s="20">
        <f>IF($P72="","",IFERROR(INDEX('得意先'!$C$5:$C$104,MATCH($P72,'得意先'!$B$5:$B$104,0))&amp;"","※得意先にないコード"))</f>
        <v/>
      </c>
      <c r="E72" s="27" t="n"/>
      <c r="F72" s="18" t="n"/>
      <c r="G72" s="27" t="n"/>
      <c r="H72" s="27" t="n"/>
      <c r="I72" s="27" t="n"/>
      <c r="J72" s="28">
        <f>IF(NOT(OR($A72&lt;&gt;"",$E72&lt;&gt;"",$F72&lt;&gt;"",$G72&lt;&gt;"",$H72&lt;&gt;"",$I72&lt;&gt;"")),"",N($G72)+N($H72)+N($I72))</f>
        <v/>
      </c>
      <c r="K72" s="28">
        <f>IF(ISNUMBER($O72),INDEX('請求台帳'!$R$5:$R$1004,$O72),"")</f>
        <v/>
      </c>
      <c r="L72" s="20">
        <f>IF(NOT(OR($A72&lt;&gt;"",$E72&lt;&gt;"",$F72&lt;&gt;"",$G72&lt;&gt;"",$H72&lt;&gt;"",$I72&lt;&gt;"")),"",IF(NOT(ISNUMBER($A72)),"入金日がありません",IF(AND($F72&lt;&gt;"",$O72="なし"),"請求Noが請求台帳にありません",IF(AND(ISNUMBER($O72),$C72&lt;&gt;"",$C72&lt;&gt;$P72),"請求の得意先は "&amp;$P72&amp;" です",IF(ROUND(IF($B72&lt;&gt;"",SUMIF($B$5:$B$1004,$B72,$E$5:$E$1004)-SUMIF($B$5:$B$1004,$B72,$G$5:$G$1004),N($E72)-N($G72)),0)&lt;&gt;0,"通帳の額と当てた額の差 "&amp;TEXT(IF($B72&lt;&gt;"",SUMIF($B$5:$B$1004,$B72,$E$5:$E$1004)-SUMIF($B$5:$B$1004,$B72,$G$5:$G$1004),N($E72)-N($G72)),"#,##0"),IF(AND(ISNUMBER($O72),N($K72)&lt;0),"請求額より多く消し込んでいます",IF($F72="","消込先が未定","OK")))))))</f>
        <v/>
      </c>
      <c r="M72" s="19" t="n"/>
      <c r="N72" s="56" t="n"/>
      <c r="O72" s="32">
        <f>IF($F72="","",IFERROR(MATCH($F72,'請求台帳'!$A$5:$A$1004,0),"なし"))</f>
        <v/>
      </c>
      <c r="P72" s="37">
        <f>IF(NOT(OR($A72&lt;&gt;"",$E72&lt;&gt;"",$F72&lt;&gt;"",$G72&lt;&gt;"",$H72&lt;&gt;"",$I72&lt;&gt;"")),"",IF(ISNUMBER($O72),IF(INDEX('請求台帳'!$C$5:$C$1004,$O72)="","",INDEX('請求台帳'!$C$5:$C$1004,$O72)),IF($C72="","",$C72)))</f>
        <v/>
      </c>
      <c r="Q72" s="35">
        <f>IF(OR(NOT(OR($A72&lt;&gt;"",$E72&lt;&gt;"",$F72&lt;&gt;"",$G72&lt;&gt;"",$H72&lt;&gt;"",$I72&lt;&gt;"")),$P72="",$P72&lt;&gt;'売掛帳'!$B$3,NOT(ISNUMBER($A72)),N($G72)+N($H72)+N($I72)=0),"",IF(AND($A72&gt;='売掛帳'!$Q$3,$A72&lt;='売掛帳'!$Q$4),$A72+0.5+ROW()/10000000,""))</f>
        <v/>
      </c>
      <c r="R72" s="32">
        <f>IF(AND(OR($A72&lt;&gt;"",$E72&lt;&gt;"",$F72&lt;&gt;"",$G72&lt;&gt;"",$H72&lt;&gt;"",$I72&lt;&gt;""),NOT(ISNUMBER($O72))),1,"")</f>
        <v/>
      </c>
    </row>
    <row r="73" ht="18" customHeight="1">
      <c r="A73" s="26" t="n"/>
      <c r="B73" s="18" t="n"/>
      <c r="C73" s="18" t="n"/>
      <c r="D73" s="20">
        <f>IF($P73="","",IFERROR(INDEX('得意先'!$C$5:$C$104,MATCH($P73,'得意先'!$B$5:$B$104,0))&amp;"","※得意先にないコード"))</f>
        <v/>
      </c>
      <c r="E73" s="27" t="n"/>
      <c r="F73" s="18" t="n"/>
      <c r="G73" s="27" t="n"/>
      <c r="H73" s="27" t="n"/>
      <c r="I73" s="27" t="n"/>
      <c r="J73" s="28">
        <f>IF(NOT(OR($A73&lt;&gt;"",$E73&lt;&gt;"",$F73&lt;&gt;"",$G73&lt;&gt;"",$H73&lt;&gt;"",$I73&lt;&gt;"")),"",N($G73)+N($H73)+N($I73))</f>
        <v/>
      </c>
      <c r="K73" s="28">
        <f>IF(ISNUMBER($O73),INDEX('請求台帳'!$R$5:$R$1004,$O73),"")</f>
        <v/>
      </c>
      <c r="L73" s="20">
        <f>IF(NOT(OR($A73&lt;&gt;"",$E73&lt;&gt;"",$F73&lt;&gt;"",$G73&lt;&gt;"",$H73&lt;&gt;"",$I73&lt;&gt;"")),"",IF(NOT(ISNUMBER($A73)),"入金日がありません",IF(AND($F73&lt;&gt;"",$O73="なし"),"請求Noが請求台帳にありません",IF(AND(ISNUMBER($O73),$C73&lt;&gt;"",$C73&lt;&gt;$P73),"請求の得意先は "&amp;$P73&amp;" です",IF(ROUND(IF($B73&lt;&gt;"",SUMIF($B$5:$B$1004,$B73,$E$5:$E$1004)-SUMIF($B$5:$B$1004,$B73,$G$5:$G$1004),N($E73)-N($G73)),0)&lt;&gt;0,"通帳の額と当てた額の差 "&amp;TEXT(IF($B73&lt;&gt;"",SUMIF($B$5:$B$1004,$B73,$E$5:$E$1004)-SUMIF($B$5:$B$1004,$B73,$G$5:$G$1004),N($E73)-N($G73)),"#,##0"),IF(AND(ISNUMBER($O73),N($K73)&lt;0),"請求額より多く消し込んでいます",IF($F73="","消込先が未定","OK")))))))</f>
        <v/>
      </c>
      <c r="M73" s="19" t="n"/>
      <c r="N73" s="56" t="n"/>
      <c r="O73" s="32">
        <f>IF($F73="","",IFERROR(MATCH($F73,'請求台帳'!$A$5:$A$1004,0),"なし"))</f>
        <v/>
      </c>
      <c r="P73" s="37">
        <f>IF(NOT(OR($A73&lt;&gt;"",$E73&lt;&gt;"",$F73&lt;&gt;"",$G73&lt;&gt;"",$H73&lt;&gt;"",$I73&lt;&gt;"")),"",IF(ISNUMBER($O73),IF(INDEX('請求台帳'!$C$5:$C$1004,$O73)="","",INDEX('請求台帳'!$C$5:$C$1004,$O73)),IF($C73="","",$C73)))</f>
        <v/>
      </c>
      <c r="Q73" s="35">
        <f>IF(OR(NOT(OR($A73&lt;&gt;"",$E73&lt;&gt;"",$F73&lt;&gt;"",$G73&lt;&gt;"",$H73&lt;&gt;"",$I73&lt;&gt;"")),$P73="",$P73&lt;&gt;'売掛帳'!$B$3,NOT(ISNUMBER($A73)),N($G73)+N($H73)+N($I73)=0),"",IF(AND($A73&gt;='売掛帳'!$Q$3,$A73&lt;='売掛帳'!$Q$4),$A73+0.5+ROW()/10000000,""))</f>
        <v/>
      </c>
      <c r="R73" s="32">
        <f>IF(AND(OR($A73&lt;&gt;"",$E73&lt;&gt;"",$F73&lt;&gt;"",$G73&lt;&gt;"",$H73&lt;&gt;"",$I73&lt;&gt;""),NOT(ISNUMBER($O73))),1,"")</f>
        <v/>
      </c>
    </row>
    <row r="74" ht="18" customHeight="1">
      <c r="A74" s="26" t="n"/>
      <c r="B74" s="18" t="n"/>
      <c r="C74" s="18" t="n"/>
      <c r="D74" s="20">
        <f>IF($P74="","",IFERROR(INDEX('得意先'!$C$5:$C$104,MATCH($P74,'得意先'!$B$5:$B$104,0))&amp;"","※得意先にないコード"))</f>
        <v/>
      </c>
      <c r="E74" s="27" t="n"/>
      <c r="F74" s="18" t="n"/>
      <c r="G74" s="27" t="n"/>
      <c r="H74" s="27" t="n"/>
      <c r="I74" s="27" t="n"/>
      <c r="J74" s="28">
        <f>IF(NOT(OR($A74&lt;&gt;"",$E74&lt;&gt;"",$F74&lt;&gt;"",$G74&lt;&gt;"",$H74&lt;&gt;"",$I74&lt;&gt;"")),"",N($G74)+N($H74)+N($I74))</f>
        <v/>
      </c>
      <c r="K74" s="28">
        <f>IF(ISNUMBER($O74),INDEX('請求台帳'!$R$5:$R$1004,$O74),"")</f>
        <v/>
      </c>
      <c r="L74" s="20">
        <f>IF(NOT(OR($A74&lt;&gt;"",$E74&lt;&gt;"",$F74&lt;&gt;"",$G74&lt;&gt;"",$H74&lt;&gt;"",$I74&lt;&gt;"")),"",IF(NOT(ISNUMBER($A74)),"入金日がありません",IF(AND($F74&lt;&gt;"",$O74="なし"),"請求Noが請求台帳にありません",IF(AND(ISNUMBER($O74),$C74&lt;&gt;"",$C74&lt;&gt;$P74),"請求の得意先は "&amp;$P74&amp;" です",IF(ROUND(IF($B74&lt;&gt;"",SUMIF($B$5:$B$1004,$B74,$E$5:$E$1004)-SUMIF($B$5:$B$1004,$B74,$G$5:$G$1004),N($E74)-N($G74)),0)&lt;&gt;0,"通帳の額と当てた額の差 "&amp;TEXT(IF($B74&lt;&gt;"",SUMIF($B$5:$B$1004,$B74,$E$5:$E$1004)-SUMIF($B$5:$B$1004,$B74,$G$5:$G$1004),N($E74)-N($G74)),"#,##0"),IF(AND(ISNUMBER($O74),N($K74)&lt;0),"請求額より多く消し込んでいます",IF($F74="","消込先が未定","OK")))))))</f>
        <v/>
      </c>
      <c r="M74" s="19" t="n"/>
      <c r="N74" s="56" t="n"/>
      <c r="O74" s="32">
        <f>IF($F74="","",IFERROR(MATCH($F74,'請求台帳'!$A$5:$A$1004,0),"なし"))</f>
        <v/>
      </c>
      <c r="P74" s="37">
        <f>IF(NOT(OR($A74&lt;&gt;"",$E74&lt;&gt;"",$F74&lt;&gt;"",$G74&lt;&gt;"",$H74&lt;&gt;"",$I74&lt;&gt;"")),"",IF(ISNUMBER($O74),IF(INDEX('請求台帳'!$C$5:$C$1004,$O74)="","",INDEX('請求台帳'!$C$5:$C$1004,$O74)),IF($C74="","",$C74)))</f>
        <v/>
      </c>
      <c r="Q74" s="35">
        <f>IF(OR(NOT(OR($A74&lt;&gt;"",$E74&lt;&gt;"",$F74&lt;&gt;"",$G74&lt;&gt;"",$H74&lt;&gt;"",$I74&lt;&gt;"")),$P74="",$P74&lt;&gt;'売掛帳'!$B$3,NOT(ISNUMBER($A74)),N($G74)+N($H74)+N($I74)=0),"",IF(AND($A74&gt;='売掛帳'!$Q$3,$A74&lt;='売掛帳'!$Q$4),$A74+0.5+ROW()/10000000,""))</f>
        <v/>
      </c>
      <c r="R74" s="32">
        <f>IF(AND(OR($A74&lt;&gt;"",$E74&lt;&gt;"",$F74&lt;&gt;"",$G74&lt;&gt;"",$H74&lt;&gt;"",$I74&lt;&gt;""),NOT(ISNUMBER($O74))),1,"")</f>
        <v/>
      </c>
    </row>
    <row r="75" ht="18" customHeight="1">
      <c r="A75" s="26" t="n"/>
      <c r="B75" s="18" t="n"/>
      <c r="C75" s="18" t="n"/>
      <c r="D75" s="20">
        <f>IF($P75="","",IFERROR(INDEX('得意先'!$C$5:$C$104,MATCH($P75,'得意先'!$B$5:$B$104,0))&amp;"","※得意先にないコード"))</f>
        <v/>
      </c>
      <c r="E75" s="27" t="n"/>
      <c r="F75" s="18" t="n"/>
      <c r="G75" s="27" t="n"/>
      <c r="H75" s="27" t="n"/>
      <c r="I75" s="27" t="n"/>
      <c r="J75" s="28">
        <f>IF(NOT(OR($A75&lt;&gt;"",$E75&lt;&gt;"",$F75&lt;&gt;"",$G75&lt;&gt;"",$H75&lt;&gt;"",$I75&lt;&gt;"")),"",N($G75)+N($H75)+N($I75))</f>
        <v/>
      </c>
      <c r="K75" s="28">
        <f>IF(ISNUMBER($O75),INDEX('請求台帳'!$R$5:$R$1004,$O75),"")</f>
        <v/>
      </c>
      <c r="L75" s="20">
        <f>IF(NOT(OR($A75&lt;&gt;"",$E75&lt;&gt;"",$F75&lt;&gt;"",$G75&lt;&gt;"",$H75&lt;&gt;"",$I75&lt;&gt;"")),"",IF(NOT(ISNUMBER($A75)),"入金日がありません",IF(AND($F75&lt;&gt;"",$O75="なし"),"請求Noが請求台帳にありません",IF(AND(ISNUMBER($O75),$C75&lt;&gt;"",$C75&lt;&gt;$P75),"請求の得意先は "&amp;$P75&amp;" です",IF(ROUND(IF($B75&lt;&gt;"",SUMIF($B$5:$B$1004,$B75,$E$5:$E$1004)-SUMIF($B$5:$B$1004,$B75,$G$5:$G$1004),N($E75)-N($G75)),0)&lt;&gt;0,"通帳の額と当てた額の差 "&amp;TEXT(IF($B75&lt;&gt;"",SUMIF($B$5:$B$1004,$B75,$E$5:$E$1004)-SUMIF($B$5:$B$1004,$B75,$G$5:$G$1004),N($E75)-N($G75)),"#,##0"),IF(AND(ISNUMBER($O75),N($K75)&lt;0),"請求額より多く消し込んでいます",IF($F75="","消込先が未定","OK")))))))</f>
        <v/>
      </c>
      <c r="M75" s="19" t="n"/>
      <c r="N75" s="56" t="n"/>
      <c r="O75" s="32">
        <f>IF($F75="","",IFERROR(MATCH($F75,'請求台帳'!$A$5:$A$1004,0),"なし"))</f>
        <v/>
      </c>
      <c r="P75" s="37">
        <f>IF(NOT(OR($A75&lt;&gt;"",$E75&lt;&gt;"",$F75&lt;&gt;"",$G75&lt;&gt;"",$H75&lt;&gt;"",$I75&lt;&gt;"")),"",IF(ISNUMBER($O75),IF(INDEX('請求台帳'!$C$5:$C$1004,$O75)="","",INDEX('請求台帳'!$C$5:$C$1004,$O75)),IF($C75="","",$C75)))</f>
        <v/>
      </c>
      <c r="Q75" s="35">
        <f>IF(OR(NOT(OR($A75&lt;&gt;"",$E75&lt;&gt;"",$F75&lt;&gt;"",$G75&lt;&gt;"",$H75&lt;&gt;"",$I75&lt;&gt;"")),$P75="",$P75&lt;&gt;'売掛帳'!$B$3,NOT(ISNUMBER($A75)),N($G75)+N($H75)+N($I75)=0),"",IF(AND($A75&gt;='売掛帳'!$Q$3,$A75&lt;='売掛帳'!$Q$4),$A75+0.5+ROW()/10000000,""))</f>
        <v/>
      </c>
      <c r="R75" s="32">
        <f>IF(AND(OR($A75&lt;&gt;"",$E75&lt;&gt;"",$F75&lt;&gt;"",$G75&lt;&gt;"",$H75&lt;&gt;"",$I75&lt;&gt;""),NOT(ISNUMBER($O75))),1,"")</f>
        <v/>
      </c>
    </row>
    <row r="76" ht="18" customHeight="1">
      <c r="A76" s="26" t="n"/>
      <c r="B76" s="18" t="n"/>
      <c r="C76" s="18" t="n"/>
      <c r="D76" s="20">
        <f>IF($P76="","",IFERROR(INDEX('得意先'!$C$5:$C$104,MATCH($P76,'得意先'!$B$5:$B$104,0))&amp;"","※得意先にないコード"))</f>
        <v/>
      </c>
      <c r="E76" s="27" t="n"/>
      <c r="F76" s="18" t="n"/>
      <c r="G76" s="27" t="n"/>
      <c r="H76" s="27" t="n"/>
      <c r="I76" s="27" t="n"/>
      <c r="J76" s="28">
        <f>IF(NOT(OR($A76&lt;&gt;"",$E76&lt;&gt;"",$F76&lt;&gt;"",$G76&lt;&gt;"",$H76&lt;&gt;"",$I76&lt;&gt;"")),"",N($G76)+N($H76)+N($I76))</f>
        <v/>
      </c>
      <c r="K76" s="28">
        <f>IF(ISNUMBER($O76),INDEX('請求台帳'!$R$5:$R$1004,$O76),"")</f>
        <v/>
      </c>
      <c r="L76" s="20">
        <f>IF(NOT(OR($A76&lt;&gt;"",$E76&lt;&gt;"",$F76&lt;&gt;"",$G76&lt;&gt;"",$H76&lt;&gt;"",$I76&lt;&gt;"")),"",IF(NOT(ISNUMBER($A76)),"入金日がありません",IF(AND($F76&lt;&gt;"",$O76="なし"),"請求Noが請求台帳にありません",IF(AND(ISNUMBER($O76),$C76&lt;&gt;"",$C76&lt;&gt;$P76),"請求の得意先は "&amp;$P76&amp;" です",IF(ROUND(IF($B76&lt;&gt;"",SUMIF($B$5:$B$1004,$B76,$E$5:$E$1004)-SUMIF($B$5:$B$1004,$B76,$G$5:$G$1004),N($E76)-N($G76)),0)&lt;&gt;0,"通帳の額と当てた額の差 "&amp;TEXT(IF($B76&lt;&gt;"",SUMIF($B$5:$B$1004,$B76,$E$5:$E$1004)-SUMIF($B$5:$B$1004,$B76,$G$5:$G$1004),N($E76)-N($G76)),"#,##0"),IF(AND(ISNUMBER($O76),N($K76)&lt;0),"請求額より多く消し込んでいます",IF($F76="","消込先が未定","OK")))))))</f>
        <v/>
      </c>
      <c r="M76" s="19" t="n"/>
      <c r="N76" s="56" t="n"/>
      <c r="O76" s="32">
        <f>IF($F76="","",IFERROR(MATCH($F76,'請求台帳'!$A$5:$A$1004,0),"なし"))</f>
        <v/>
      </c>
      <c r="P76" s="37">
        <f>IF(NOT(OR($A76&lt;&gt;"",$E76&lt;&gt;"",$F76&lt;&gt;"",$G76&lt;&gt;"",$H76&lt;&gt;"",$I76&lt;&gt;"")),"",IF(ISNUMBER($O76),IF(INDEX('請求台帳'!$C$5:$C$1004,$O76)="","",INDEX('請求台帳'!$C$5:$C$1004,$O76)),IF($C76="","",$C76)))</f>
        <v/>
      </c>
      <c r="Q76" s="35">
        <f>IF(OR(NOT(OR($A76&lt;&gt;"",$E76&lt;&gt;"",$F76&lt;&gt;"",$G76&lt;&gt;"",$H76&lt;&gt;"",$I76&lt;&gt;"")),$P76="",$P76&lt;&gt;'売掛帳'!$B$3,NOT(ISNUMBER($A76)),N($G76)+N($H76)+N($I76)=0),"",IF(AND($A76&gt;='売掛帳'!$Q$3,$A76&lt;='売掛帳'!$Q$4),$A76+0.5+ROW()/10000000,""))</f>
        <v/>
      </c>
      <c r="R76" s="32">
        <f>IF(AND(OR($A76&lt;&gt;"",$E76&lt;&gt;"",$F76&lt;&gt;"",$G76&lt;&gt;"",$H76&lt;&gt;"",$I76&lt;&gt;""),NOT(ISNUMBER($O76))),1,"")</f>
        <v/>
      </c>
    </row>
    <row r="77" ht="18" customHeight="1">
      <c r="A77" s="26" t="n"/>
      <c r="B77" s="18" t="n"/>
      <c r="C77" s="18" t="n"/>
      <c r="D77" s="20">
        <f>IF($P77="","",IFERROR(INDEX('得意先'!$C$5:$C$104,MATCH($P77,'得意先'!$B$5:$B$104,0))&amp;"","※得意先にないコード"))</f>
        <v/>
      </c>
      <c r="E77" s="27" t="n"/>
      <c r="F77" s="18" t="n"/>
      <c r="G77" s="27" t="n"/>
      <c r="H77" s="27" t="n"/>
      <c r="I77" s="27" t="n"/>
      <c r="J77" s="28">
        <f>IF(NOT(OR($A77&lt;&gt;"",$E77&lt;&gt;"",$F77&lt;&gt;"",$G77&lt;&gt;"",$H77&lt;&gt;"",$I77&lt;&gt;"")),"",N($G77)+N($H77)+N($I77))</f>
        <v/>
      </c>
      <c r="K77" s="28">
        <f>IF(ISNUMBER($O77),INDEX('請求台帳'!$R$5:$R$1004,$O77),"")</f>
        <v/>
      </c>
      <c r="L77" s="20">
        <f>IF(NOT(OR($A77&lt;&gt;"",$E77&lt;&gt;"",$F77&lt;&gt;"",$G77&lt;&gt;"",$H77&lt;&gt;"",$I77&lt;&gt;"")),"",IF(NOT(ISNUMBER($A77)),"入金日がありません",IF(AND($F77&lt;&gt;"",$O77="なし"),"請求Noが請求台帳にありません",IF(AND(ISNUMBER($O77),$C77&lt;&gt;"",$C77&lt;&gt;$P77),"請求の得意先は "&amp;$P77&amp;" です",IF(ROUND(IF($B77&lt;&gt;"",SUMIF($B$5:$B$1004,$B77,$E$5:$E$1004)-SUMIF($B$5:$B$1004,$B77,$G$5:$G$1004),N($E77)-N($G77)),0)&lt;&gt;0,"通帳の額と当てた額の差 "&amp;TEXT(IF($B77&lt;&gt;"",SUMIF($B$5:$B$1004,$B77,$E$5:$E$1004)-SUMIF($B$5:$B$1004,$B77,$G$5:$G$1004),N($E77)-N($G77)),"#,##0"),IF(AND(ISNUMBER($O77),N($K77)&lt;0),"請求額より多く消し込んでいます",IF($F77="","消込先が未定","OK")))))))</f>
        <v/>
      </c>
      <c r="M77" s="19" t="n"/>
      <c r="N77" s="56" t="n"/>
      <c r="O77" s="32">
        <f>IF($F77="","",IFERROR(MATCH($F77,'請求台帳'!$A$5:$A$1004,0),"なし"))</f>
        <v/>
      </c>
      <c r="P77" s="37">
        <f>IF(NOT(OR($A77&lt;&gt;"",$E77&lt;&gt;"",$F77&lt;&gt;"",$G77&lt;&gt;"",$H77&lt;&gt;"",$I77&lt;&gt;"")),"",IF(ISNUMBER($O77),IF(INDEX('請求台帳'!$C$5:$C$1004,$O77)="","",INDEX('請求台帳'!$C$5:$C$1004,$O77)),IF($C77="","",$C77)))</f>
        <v/>
      </c>
      <c r="Q77" s="35">
        <f>IF(OR(NOT(OR($A77&lt;&gt;"",$E77&lt;&gt;"",$F77&lt;&gt;"",$G77&lt;&gt;"",$H77&lt;&gt;"",$I77&lt;&gt;"")),$P77="",$P77&lt;&gt;'売掛帳'!$B$3,NOT(ISNUMBER($A77)),N($G77)+N($H77)+N($I77)=0),"",IF(AND($A77&gt;='売掛帳'!$Q$3,$A77&lt;='売掛帳'!$Q$4),$A77+0.5+ROW()/10000000,""))</f>
        <v/>
      </c>
      <c r="R77" s="32">
        <f>IF(AND(OR($A77&lt;&gt;"",$E77&lt;&gt;"",$F77&lt;&gt;"",$G77&lt;&gt;"",$H77&lt;&gt;"",$I77&lt;&gt;""),NOT(ISNUMBER($O77))),1,"")</f>
        <v/>
      </c>
    </row>
    <row r="78" ht="18" customHeight="1">
      <c r="A78" s="26" t="n"/>
      <c r="B78" s="18" t="n"/>
      <c r="C78" s="18" t="n"/>
      <c r="D78" s="20">
        <f>IF($P78="","",IFERROR(INDEX('得意先'!$C$5:$C$104,MATCH($P78,'得意先'!$B$5:$B$104,0))&amp;"","※得意先にないコード"))</f>
        <v/>
      </c>
      <c r="E78" s="27" t="n"/>
      <c r="F78" s="18" t="n"/>
      <c r="G78" s="27" t="n"/>
      <c r="H78" s="27" t="n"/>
      <c r="I78" s="27" t="n"/>
      <c r="J78" s="28">
        <f>IF(NOT(OR($A78&lt;&gt;"",$E78&lt;&gt;"",$F78&lt;&gt;"",$G78&lt;&gt;"",$H78&lt;&gt;"",$I78&lt;&gt;"")),"",N($G78)+N($H78)+N($I78))</f>
        <v/>
      </c>
      <c r="K78" s="28">
        <f>IF(ISNUMBER($O78),INDEX('請求台帳'!$R$5:$R$1004,$O78),"")</f>
        <v/>
      </c>
      <c r="L78" s="20">
        <f>IF(NOT(OR($A78&lt;&gt;"",$E78&lt;&gt;"",$F78&lt;&gt;"",$G78&lt;&gt;"",$H78&lt;&gt;"",$I78&lt;&gt;"")),"",IF(NOT(ISNUMBER($A78)),"入金日がありません",IF(AND($F78&lt;&gt;"",$O78="なし"),"請求Noが請求台帳にありません",IF(AND(ISNUMBER($O78),$C78&lt;&gt;"",$C78&lt;&gt;$P78),"請求の得意先は "&amp;$P78&amp;" です",IF(ROUND(IF($B78&lt;&gt;"",SUMIF($B$5:$B$1004,$B78,$E$5:$E$1004)-SUMIF($B$5:$B$1004,$B78,$G$5:$G$1004),N($E78)-N($G78)),0)&lt;&gt;0,"通帳の額と当てた額の差 "&amp;TEXT(IF($B78&lt;&gt;"",SUMIF($B$5:$B$1004,$B78,$E$5:$E$1004)-SUMIF($B$5:$B$1004,$B78,$G$5:$G$1004),N($E78)-N($G78)),"#,##0"),IF(AND(ISNUMBER($O78),N($K78)&lt;0),"請求額より多く消し込んでいます",IF($F78="","消込先が未定","OK")))))))</f>
        <v/>
      </c>
      <c r="M78" s="19" t="n"/>
      <c r="N78" s="56" t="n"/>
      <c r="O78" s="32">
        <f>IF($F78="","",IFERROR(MATCH($F78,'請求台帳'!$A$5:$A$1004,0),"なし"))</f>
        <v/>
      </c>
      <c r="P78" s="37">
        <f>IF(NOT(OR($A78&lt;&gt;"",$E78&lt;&gt;"",$F78&lt;&gt;"",$G78&lt;&gt;"",$H78&lt;&gt;"",$I78&lt;&gt;"")),"",IF(ISNUMBER($O78),IF(INDEX('請求台帳'!$C$5:$C$1004,$O78)="","",INDEX('請求台帳'!$C$5:$C$1004,$O78)),IF($C78="","",$C78)))</f>
        <v/>
      </c>
      <c r="Q78" s="35">
        <f>IF(OR(NOT(OR($A78&lt;&gt;"",$E78&lt;&gt;"",$F78&lt;&gt;"",$G78&lt;&gt;"",$H78&lt;&gt;"",$I78&lt;&gt;"")),$P78="",$P78&lt;&gt;'売掛帳'!$B$3,NOT(ISNUMBER($A78)),N($G78)+N($H78)+N($I78)=0),"",IF(AND($A78&gt;='売掛帳'!$Q$3,$A78&lt;='売掛帳'!$Q$4),$A78+0.5+ROW()/10000000,""))</f>
        <v/>
      </c>
      <c r="R78" s="32">
        <f>IF(AND(OR($A78&lt;&gt;"",$E78&lt;&gt;"",$F78&lt;&gt;"",$G78&lt;&gt;"",$H78&lt;&gt;"",$I78&lt;&gt;""),NOT(ISNUMBER($O78))),1,"")</f>
        <v/>
      </c>
    </row>
    <row r="79" ht="18" customHeight="1">
      <c r="A79" s="26" t="n"/>
      <c r="B79" s="18" t="n"/>
      <c r="C79" s="18" t="n"/>
      <c r="D79" s="20">
        <f>IF($P79="","",IFERROR(INDEX('得意先'!$C$5:$C$104,MATCH($P79,'得意先'!$B$5:$B$104,0))&amp;"","※得意先にないコード"))</f>
        <v/>
      </c>
      <c r="E79" s="27" t="n"/>
      <c r="F79" s="18" t="n"/>
      <c r="G79" s="27" t="n"/>
      <c r="H79" s="27" t="n"/>
      <c r="I79" s="27" t="n"/>
      <c r="J79" s="28">
        <f>IF(NOT(OR($A79&lt;&gt;"",$E79&lt;&gt;"",$F79&lt;&gt;"",$G79&lt;&gt;"",$H79&lt;&gt;"",$I79&lt;&gt;"")),"",N($G79)+N($H79)+N($I79))</f>
        <v/>
      </c>
      <c r="K79" s="28">
        <f>IF(ISNUMBER($O79),INDEX('請求台帳'!$R$5:$R$1004,$O79),"")</f>
        <v/>
      </c>
      <c r="L79" s="20">
        <f>IF(NOT(OR($A79&lt;&gt;"",$E79&lt;&gt;"",$F79&lt;&gt;"",$G79&lt;&gt;"",$H79&lt;&gt;"",$I79&lt;&gt;"")),"",IF(NOT(ISNUMBER($A79)),"入金日がありません",IF(AND($F79&lt;&gt;"",$O79="なし"),"請求Noが請求台帳にありません",IF(AND(ISNUMBER($O79),$C79&lt;&gt;"",$C79&lt;&gt;$P79),"請求の得意先は "&amp;$P79&amp;" です",IF(ROUND(IF($B79&lt;&gt;"",SUMIF($B$5:$B$1004,$B79,$E$5:$E$1004)-SUMIF($B$5:$B$1004,$B79,$G$5:$G$1004),N($E79)-N($G79)),0)&lt;&gt;0,"通帳の額と当てた額の差 "&amp;TEXT(IF($B79&lt;&gt;"",SUMIF($B$5:$B$1004,$B79,$E$5:$E$1004)-SUMIF($B$5:$B$1004,$B79,$G$5:$G$1004),N($E79)-N($G79)),"#,##0"),IF(AND(ISNUMBER($O79),N($K79)&lt;0),"請求額より多く消し込んでいます",IF($F79="","消込先が未定","OK")))))))</f>
        <v/>
      </c>
      <c r="M79" s="19" t="n"/>
      <c r="N79" s="56" t="n"/>
      <c r="O79" s="32">
        <f>IF($F79="","",IFERROR(MATCH($F79,'請求台帳'!$A$5:$A$1004,0),"なし"))</f>
        <v/>
      </c>
      <c r="P79" s="37">
        <f>IF(NOT(OR($A79&lt;&gt;"",$E79&lt;&gt;"",$F79&lt;&gt;"",$G79&lt;&gt;"",$H79&lt;&gt;"",$I79&lt;&gt;"")),"",IF(ISNUMBER($O79),IF(INDEX('請求台帳'!$C$5:$C$1004,$O79)="","",INDEX('請求台帳'!$C$5:$C$1004,$O79)),IF($C79="","",$C79)))</f>
        <v/>
      </c>
      <c r="Q79" s="35">
        <f>IF(OR(NOT(OR($A79&lt;&gt;"",$E79&lt;&gt;"",$F79&lt;&gt;"",$G79&lt;&gt;"",$H79&lt;&gt;"",$I79&lt;&gt;"")),$P79="",$P79&lt;&gt;'売掛帳'!$B$3,NOT(ISNUMBER($A79)),N($G79)+N($H79)+N($I79)=0),"",IF(AND($A79&gt;='売掛帳'!$Q$3,$A79&lt;='売掛帳'!$Q$4),$A79+0.5+ROW()/10000000,""))</f>
        <v/>
      </c>
      <c r="R79" s="32">
        <f>IF(AND(OR($A79&lt;&gt;"",$E79&lt;&gt;"",$F79&lt;&gt;"",$G79&lt;&gt;"",$H79&lt;&gt;"",$I79&lt;&gt;""),NOT(ISNUMBER($O79))),1,"")</f>
        <v/>
      </c>
    </row>
    <row r="80" ht="18" customHeight="1">
      <c r="A80" s="26" t="n"/>
      <c r="B80" s="18" t="n"/>
      <c r="C80" s="18" t="n"/>
      <c r="D80" s="20">
        <f>IF($P80="","",IFERROR(INDEX('得意先'!$C$5:$C$104,MATCH($P80,'得意先'!$B$5:$B$104,0))&amp;"","※得意先にないコード"))</f>
        <v/>
      </c>
      <c r="E80" s="27" t="n"/>
      <c r="F80" s="18" t="n"/>
      <c r="G80" s="27" t="n"/>
      <c r="H80" s="27" t="n"/>
      <c r="I80" s="27" t="n"/>
      <c r="J80" s="28">
        <f>IF(NOT(OR($A80&lt;&gt;"",$E80&lt;&gt;"",$F80&lt;&gt;"",$G80&lt;&gt;"",$H80&lt;&gt;"",$I80&lt;&gt;"")),"",N($G80)+N($H80)+N($I80))</f>
        <v/>
      </c>
      <c r="K80" s="28">
        <f>IF(ISNUMBER($O80),INDEX('請求台帳'!$R$5:$R$1004,$O80),"")</f>
        <v/>
      </c>
      <c r="L80" s="20">
        <f>IF(NOT(OR($A80&lt;&gt;"",$E80&lt;&gt;"",$F80&lt;&gt;"",$G80&lt;&gt;"",$H80&lt;&gt;"",$I80&lt;&gt;"")),"",IF(NOT(ISNUMBER($A80)),"入金日がありません",IF(AND($F80&lt;&gt;"",$O80="なし"),"請求Noが請求台帳にありません",IF(AND(ISNUMBER($O80),$C80&lt;&gt;"",$C80&lt;&gt;$P80),"請求の得意先は "&amp;$P80&amp;" です",IF(ROUND(IF($B80&lt;&gt;"",SUMIF($B$5:$B$1004,$B80,$E$5:$E$1004)-SUMIF($B$5:$B$1004,$B80,$G$5:$G$1004),N($E80)-N($G80)),0)&lt;&gt;0,"通帳の額と当てた額の差 "&amp;TEXT(IF($B80&lt;&gt;"",SUMIF($B$5:$B$1004,$B80,$E$5:$E$1004)-SUMIF($B$5:$B$1004,$B80,$G$5:$G$1004),N($E80)-N($G80)),"#,##0"),IF(AND(ISNUMBER($O80),N($K80)&lt;0),"請求額より多く消し込んでいます",IF($F80="","消込先が未定","OK")))))))</f>
        <v/>
      </c>
      <c r="M80" s="19" t="n"/>
      <c r="N80" s="56" t="n"/>
      <c r="O80" s="32">
        <f>IF($F80="","",IFERROR(MATCH($F80,'請求台帳'!$A$5:$A$1004,0),"なし"))</f>
        <v/>
      </c>
      <c r="P80" s="37">
        <f>IF(NOT(OR($A80&lt;&gt;"",$E80&lt;&gt;"",$F80&lt;&gt;"",$G80&lt;&gt;"",$H80&lt;&gt;"",$I80&lt;&gt;"")),"",IF(ISNUMBER($O80),IF(INDEX('請求台帳'!$C$5:$C$1004,$O80)="","",INDEX('請求台帳'!$C$5:$C$1004,$O80)),IF($C80="","",$C80)))</f>
        <v/>
      </c>
      <c r="Q80" s="35">
        <f>IF(OR(NOT(OR($A80&lt;&gt;"",$E80&lt;&gt;"",$F80&lt;&gt;"",$G80&lt;&gt;"",$H80&lt;&gt;"",$I80&lt;&gt;"")),$P80="",$P80&lt;&gt;'売掛帳'!$B$3,NOT(ISNUMBER($A80)),N($G80)+N($H80)+N($I80)=0),"",IF(AND($A80&gt;='売掛帳'!$Q$3,$A80&lt;='売掛帳'!$Q$4),$A80+0.5+ROW()/10000000,""))</f>
        <v/>
      </c>
      <c r="R80" s="32">
        <f>IF(AND(OR($A80&lt;&gt;"",$E80&lt;&gt;"",$F80&lt;&gt;"",$G80&lt;&gt;"",$H80&lt;&gt;"",$I80&lt;&gt;""),NOT(ISNUMBER($O80))),1,"")</f>
        <v/>
      </c>
    </row>
    <row r="81" ht="18" customHeight="1">
      <c r="A81" s="26" t="n"/>
      <c r="B81" s="18" t="n"/>
      <c r="C81" s="18" t="n"/>
      <c r="D81" s="20">
        <f>IF($P81="","",IFERROR(INDEX('得意先'!$C$5:$C$104,MATCH($P81,'得意先'!$B$5:$B$104,0))&amp;"","※得意先にないコード"))</f>
        <v/>
      </c>
      <c r="E81" s="27" t="n"/>
      <c r="F81" s="18" t="n"/>
      <c r="G81" s="27" t="n"/>
      <c r="H81" s="27" t="n"/>
      <c r="I81" s="27" t="n"/>
      <c r="J81" s="28">
        <f>IF(NOT(OR($A81&lt;&gt;"",$E81&lt;&gt;"",$F81&lt;&gt;"",$G81&lt;&gt;"",$H81&lt;&gt;"",$I81&lt;&gt;"")),"",N($G81)+N($H81)+N($I81))</f>
        <v/>
      </c>
      <c r="K81" s="28">
        <f>IF(ISNUMBER($O81),INDEX('請求台帳'!$R$5:$R$1004,$O81),"")</f>
        <v/>
      </c>
      <c r="L81" s="20">
        <f>IF(NOT(OR($A81&lt;&gt;"",$E81&lt;&gt;"",$F81&lt;&gt;"",$G81&lt;&gt;"",$H81&lt;&gt;"",$I81&lt;&gt;"")),"",IF(NOT(ISNUMBER($A81)),"入金日がありません",IF(AND($F81&lt;&gt;"",$O81="なし"),"請求Noが請求台帳にありません",IF(AND(ISNUMBER($O81),$C81&lt;&gt;"",$C81&lt;&gt;$P81),"請求の得意先は "&amp;$P81&amp;" です",IF(ROUND(IF($B81&lt;&gt;"",SUMIF($B$5:$B$1004,$B81,$E$5:$E$1004)-SUMIF($B$5:$B$1004,$B81,$G$5:$G$1004),N($E81)-N($G81)),0)&lt;&gt;0,"通帳の額と当てた額の差 "&amp;TEXT(IF($B81&lt;&gt;"",SUMIF($B$5:$B$1004,$B81,$E$5:$E$1004)-SUMIF($B$5:$B$1004,$B81,$G$5:$G$1004),N($E81)-N($G81)),"#,##0"),IF(AND(ISNUMBER($O81),N($K81)&lt;0),"請求額より多く消し込んでいます",IF($F81="","消込先が未定","OK")))))))</f>
        <v/>
      </c>
      <c r="M81" s="19" t="n"/>
      <c r="N81" s="56" t="n"/>
      <c r="O81" s="32">
        <f>IF($F81="","",IFERROR(MATCH($F81,'請求台帳'!$A$5:$A$1004,0),"なし"))</f>
        <v/>
      </c>
      <c r="P81" s="37">
        <f>IF(NOT(OR($A81&lt;&gt;"",$E81&lt;&gt;"",$F81&lt;&gt;"",$G81&lt;&gt;"",$H81&lt;&gt;"",$I81&lt;&gt;"")),"",IF(ISNUMBER($O81),IF(INDEX('請求台帳'!$C$5:$C$1004,$O81)="","",INDEX('請求台帳'!$C$5:$C$1004,$O81)),IF($C81="","",$C81)))</f>
        <v/>
      </c>
      <c r="Q81" s="35">
        <f>IF(OR(NOT(OR($A81&lt;&gt;"",$E81&lt;&gt;"",$F81&lt;&gt;"",$G81&lt;&gt;"",$H81&lt;&gt;"",$I81&lt;&gt;"")),$P81="",$P81&lt;&gt;'売掛帳'!$B$3,NOT(ISNUMBER($A81)),N($G81)+N($H81)+N($I81)=0),"",IF(AND($A81&gt;='売掛帳'!$Q$3,$A81&lt;='売掛帳'!$Q$4),$A81+0.5+ROW()/10000000,""))</f>
        <v/>
      </c>
      <c r="R81" s="32">
        <f>IF(AND(OR($A81&lt;&gt;"",$E81&lt;&gt;"",$F81&lt;&gt;"",$G81&lt;&gt;"",$H81&lt;&gt;"",$I81&lt;&gt;""),NOT(ISNUMBER($O81))),1,"")</f>
        <v/>
      </c>
    </row>
    <row r="82" ht="18" customHeight="1">
      <c r="A82" s="26" t="n"/>
      <c r="B82" s="18" t="n"/>
      <c r="C82" s="18" t="n"/>
      <c r="D82" s="20">
        <f>IF($P82="","",IFERROR(INDEX('得意先'!$C$5:$C$104,MATCH($P82,'得意先'!$B$5:$B$104,0))&amp;"","※得意先にないコード"))</f>
        <v/>
      </c>
      <c r="E82" s="27" t="n"/>
      <c r="F82" s="18" t="n"/>
      <c r="G82" s="27" t="n"/>
      <c r="H82" s="27" t="n"/>
      <c r="I82" s="27" t="n"/>
      <c r="J82" s="28">
        <f>IF(NOT(OR($A82&lt;&gt;"",$E82&lt;&gt;"",$F82&lt;&gt;"",$G82&lt;&gt;"",$H82&lt;&gt;"",$I82&lt;&gt;"")),"",N($G82)+N($H82)+N($I82))</f>
        <v/>
      </c>
      <c r="K82" s="28">
        <f>IF(ISNUMBER($O82),INDEX('請求台帳'!$R$5:$R$1004,$O82),"")</f>
        <v/>
      </c>
      <c r="L82" s="20">
        <f>IF(NOT(OR($A82&lt;&gt;"",$E82&lt;&gt;"",$F82&lt;&gt;"",$G82&lt;&gt;"",$H82&lt;&gt;"",$I82&lt;&gt;"")),"",IF(NOT(ISNUMBER($A82)),"入金日がありません",IF(AND($F82&lt;&gt;"",$O82="なし"),"請求Noが請求台帳にありません",IF(AND(ISNUMBER($O82),$C82&lt;&gt;"",$C82&lt;&gt;$P82),"請求の得意先は "&amp;$P82&amp;" です",IF(ROUND(IF($B82&lt;&gt;"",SUMIF($B$5:$B$1004,$B82,$E$5:$E$1004)-SUMIF($B$5:$B$1004,$B82,$G$5:$G$1004),N($E82)-N($G82)),0)&lt;&gt;0,"通帳の額と当てた額の差 "&amp;TEXT(IF($B82&lt;&gt;"",SUMIF($B$5:$B$1004,$B82,$E$5:$E$1004)-SUMIF($B$5:$B$1004,$B82,$G$5:$G$1004),N($E82)-N($G82)),"#,##0"),IF(AND(ISNUMBER($O82),N($K82)&lt;0),"請求額より多く消し込んでいます",IF($F82="","消込先が未定","OK")))))))</f>
        <v/>
      </c>
      <c r="M82" s="19" t="n"/>
      <c r="N82" s="56" t="n"/>
      <c r="O82" s="32">
        <f>IF($F82="","",IFERROR(MATCH($F82,'請求台帳'!$A$5:$A$1004,0),"なし"))</f>
        <v/>
      </c>
      <c r="P82" s="37">
        <f>IF(NOT(OR($A82&lt;&gt;"",$E82&lt;&gt;"",$F82&lt;&gt;"",$G82&lt;&gt;"",$H82&lt;&gt;"",$I82&lt;&gt;"")),"",IF(ISNUMBER($O82),IF(INDEX('請求台帳'!$C$5:$C$1004,$O82)="","",INDEX('請求台帳'!$C$5:$C$1004,$O82)),IF($C82="","",$C82)))</f>
        <v/>
      </c>
      <c r="Q82" s="35">
        <f>IF(OR(NOT(OR($A82&lt;&gt;"",$E82&lt;&gt;"",$F82&lt;&gt;"",$G82&lt;&gt;"",$H82&lt;&gt;"",$I82&lt;&gt;"")),$P82="",$P82&lt;&gt;'売掛帳'!$B$3,NOT(ISNUMBER($A82)),N($G82)+N($H82)+N($I82)=0),"",IF(AND($A82&gt;='売掛帳'!$Q$3,$A82&lt;='売掛帳'!$Q$4),$A82+0.5+ROW()/10000000,""))</f>
        <v/>
      </c>
      <c r="R82" s="32">
        <f>IF(AND(OR($A82&lt;&gt;"",$E82&lt;&gt;"",$F82&lt;&gt;"",$G82&lt;&gt;"",$H82&lt;&gt;"",$I82&lt;&gt;""),NOT(ISNUMBER($O82))),1,"")</f>
        <v/>
      </c>
    </row>
    <row r="83" ht="18" customHeight="1">
      <c r="A83" s="26" t="n"/>
      <c r="B83" s="18" t="n"/>
      <c r="C83" s="18" t="n"/>
      <c r="D83" s="20">
        <f>IF($P83="","",IFERROR(INDEX('得意先'!$C$5:$C$104,MATCH($P83,'得意先'!$B$5:$B$104,0))&amp;"","※得意先にないコード"))</f>
        <v/>
      </c>
      <c r="E83" s="27" t="n"/>
      <c r="F83" s="18" t="n"/>
      <c r="G83" s="27" t="n"/>
      <c r="H83" s="27" t="n"/>
      <c r="I83" s="27" t="n"/>
      <c r="J83" s="28">
        <f>IF(NOT(OR($A83&lt;&gt;"",$E83&lt;&gt;"",$F83&lt;&gt;"",$G83&lt;&gt;"",$H83&lt;&gt;"",$I83&lt;&gt;"")),"",N($G83)+N($H83)+N($I83))</f>
        <v/>
      </c>
      <c r="K83" s="28">
        <f>IF(ISNUMBER($O83),INDEX('請求台帳'!$R$5:$R$1004,$O83),"")</f>
        <v/>
      </c>
      <c r="L83" s="20">
        <f>IF(NOT(OR($A83&lt;&gt;"",$E83&lt;&gt;"",$F83&lt;&gt;"",$G83&lt;&gt;"",$H83&lt;&gt;"",$I83&lt;&gt;"")),"",IF(NOT(ISNUMBER($A83)),"入金日がありません",IF(AND($F83&lt;&gt;"",$O83="なし"),"請求Noが請求台帳にありません",IF(AND(ISNUMBER($O83),$C83&lt;&gt;"",$C83&lt;&gt;$P83),"請求の得意先は "&amp;$P83&amp;" です",IF(ROUND(IF($B83&lt;&gt;"",SUMIF($B$5:$B$1004,$B83,$E$5:$E$1004)-SUMIF($B$5:$B$1004,$B83,$G$5:$G$1004),N($E83)-N($G83)),0)&lt;&gt;0,"通帳の額と当てた額の差 "&amp;TEXT(IF($B83&lt;&gt;"",SUMIF($B$5:$B$1004,$B83,$E$5:$E$1004)-SUMIF($B$5:$B$1004,$B83,$G$5:$G$1004),N($E83)-N($G83)),"#,##0"),IF(AND(ISNUMBER($O83),N($K83)&lt;0),"請求額より多く消し込んでいます",IF($F83="","消込先が未定","OK")))))))</f>
        <v/>
      </c>
      <c r="M83" s="19" t="n"/>
      <c r="N83" s="56" t="n"/>
      <c r="O83" s="32">
        <f>IF($F83="","",IFERROR(MATCH($F83,'請求台帳'!$A$5:$A$1004,0),"なし"))</f>
        <v/>
      </c>
      <c r="P83" s="37">
        <f>IF(NOT(OR($A83&lt;&gt;"",$E83&lt;&gt;"",$F83&lt;&gt;"",$G83&lt;&gt;"",$H83&lt;&gt;"",$I83&lt;&gt;"")),"",IF(ISNUMBER($O83),IF(INDEX('請求台帳'!$C$5:$C$1004,$O83)="","",INDEX('請求台帳'!$C$5:$C$1004,$O83)),IF($C83="","",$C83)))</f>
        <v/>
      </c>
      <c r="Q83" s="35">
        <f>IF(OR(NOT(OR($A83&lt;&gt;"",$E83&lt;&gt;"",$F83&lt;&gt;"",$G83&lt;&gt;"",$H83&lt;&gt;"",$I83&lt;&gt;"")),$P83="",$P83&lt;&gt;'売掛帳'!$B$3,NOT(ISNUMBER($A83)),N($G83)+N($H83)+N($I83)=0),"",IF(AND($A83&gt;='売掛帳'!$Q$3,$A83&lt;='売掛帳'!$Q$4),$A83+0.5+ROW()/10000000,""))</f>
        <v/>
      </c>
      <c r="R83" s="32">
        <f>IF(AND(OR($A83&lt;&gt;"",$E83&lt;&gt;"",$F83&lt;&gt;"",$G83&lt;&gt;"",$H83&lt;&gt;"",$I83&lt;&gt;""),NOT(ISNUMBER($O83))),1,"")</f>
        <v/>
      </c>
    </row>
    <row r="84" ht="18" customHeight="1">
      <c r="A84" s="26" t="n"/>
      <c r="B84" s="18" t="n"/>
      <c r="C84" s="18" t="n"/>
      <c r="D84" s="20">
        <f>IF($P84="","",IFERROR(INDEX('得意先'!$C$5:$C$104,MATCH($P84,'得意先'!$B$5:$B$104,0))&amp;"","※得意先にないコード"))</f>
        <v/>
      </c>
      <c r="E84" s="27" t="n"/>
      <c r="F84" s="18" t="n"/>
      <c r="G84" s="27" t="n"/>
      <c r="H84" s="27" t="n"/>
      <c r="I84" s="27" t="n"/>
      <c r="J84" s="28">
        <f>IF(NOT(OR($A84&lt;&gt;"",$E84&lt;&gt;"",$F84&lt;&gt;"",$G84&lt;&gt;"",$H84&lt;&gt;"",$I84&lt;&gt;"")),"",N($G84)+N($H84)+N($I84))</f>
        <v/>
      </c>
      <c r="K84" s="28">
        <f>IF(ISNUMBER($O84),INDEX('請求台帳'!$R$5:$R$1004,$O84),"")</f>
        <v/>
      </c>
      <c r="L84" s="20">
        <f>IF(NOT(OR($A84&lt;&gt;"",$E84&lt;&gt;"",$F84&lt;&gt;"",$G84&lt;&gt;"",$H84&lt;&gt;"",$I84&lt;&gt;"")),"",IF(NOT(ISNUMBER($A84)),"入金日がありません",IF(AND($F84&lt;&gt;"",$O84="なし"),"請求Noが請求台帳にありません",IF(AND(ISNUMBER($O84),$C84&lt;&gt;"",$C84&lt;&gt;$P84),"請求の得意先は "&amp;$P84&amp;" です",IF(ROUND(IF($B84&lt;&gt;"",SUMIF($B$5:$B$1004,$B84,$E$5:$E$1004)-SUMIF($B$5:$B$1004,$B84,$G$5:$G$1004),N($E84)-N($G84)),0)&lt;&gt;0,"通帳の額と当てた額の差 "&amp;TEXT(IF($B84&lt;&gt;"",SUMIF($B$5:$B$1004,$B84,$E$5:$E$1004)-SUMIF($B$5:$B$1004,$B84,$G$5:$G$1004),N($E84)-N($G84)),"#,##0"),IF(AND(ISNUMBER($O84),N($K84)&lt;0),"請求額より多く消し込んでいます",IF($F84="","消込先が未定","OK")))))))</f>
        <v/>
      </c>
      <c r="M84" s="19" t="n"/>
      <c r="N84" s="56" t="n"/>
      <c r="O84" s="32">
        <f>IF($F84="","",IFERROR(MATCH($F84,'請求台帳'!$A$5:$A$1004,0),"なし"))</f>
        <v/>
      </c>
      <c r="P84" s="37">
        <f>IF(NOT(OR($A84&lt;&gt;"",$E84&lt;&gt;"",$F84&lt;&gt;"",$G84&lt;&gt;"",$H84&lt;&gt;"",$I84&lt;&gt;"")),"",IF(ISNUMBER($O84),IF(INDEX('請求台帳'!$C$5:$C$1004,$O84)="","",INDEX('請求台帳'!$C$5:$C$1004,$O84)),IF($C84="","",$C84)))</f>
        <v/>
      </c>
      <c r="Q84" s="35">
        <f>IF(OR(NOT(OR($A84&lt;&gt;"",$E84&lt;&gt;"",$F84&lt;&gt;"",$G84&lt;&gt;"",$H84&lt;&gt;"",$I84&lt;&gt;"")),$P84="",$P84&lt;&gt;'売掛帳'!$B$3,NOT(ISNUMBER($A84)),N($G84)+N($H84)+N($I84)=0),"",IF(AND($A84&gt;='売掛帳'!$Q$3,$A84&lt;='売掛帳'!$Q$4),$A84+0.5+ROW()/10000000,""))</f>
        <v/>
      </c>
      <c r="R84" s="32">
        <f>IF(AND(OR($A84&lt;&gt;"",$E84&lt;&gt;"",$F84&lt;&gt;"",$G84&lt;&gt;"",$H84&lt;&gt;"",$I84&lt;&gt;""),NOT(ISNUMBER($O84))),1,"")</f>
        <v/>
      </c>
    </row>
    <row r="85" ht="18" customHeight="1">
      <c r="A85" s="26" t="n"/>
      <c r="B85" s="18" t="n"/>
      <c r="C85" s="18" t="n"/>
      <c r="D85" s="20">
        <f>IF($P85="","",IFERROR(INDEX('得意先'!$C$5:$C$104,MATCH($P85,'得意先'!$B$5:$B$104,0))&amp;"","※得意先にないコード"))</f>
        <v/>
      </c>
      <c r="E85" s="27" t="n"/>
      <c r="F85" s="18" t="n"/>
      <c r="G85" s="27" t="n"/>
      <c r="H85" s="27" t="n"/>
      <c r="I85" s="27" t="n"/>
      <c r="J85" s="28">
        <f>IF(NOT(OR($A85&lt;&gt;"",$E85&lt;&gt;"",$F85&lt;&gt;"",$G85&lt;&gt;"",$H85&lt;&gt;"",$I85&lt;&gt;"")),"",N($G85)+N($H85)+N($I85))</f>
        <v/>
      </c>
      <c r="K85" s="28">
        <f>IF(ISNUMBER($O85),INDEX('請求台帳'!$R$5:$R$1004,$O85),"")</f>
        <v/>
      </c>
      <c r="L85" s="20">
        <f>IF(NOT(OR($A85&lt;&gt;"",$E85&lt;&gt;"",$F85&lt;&gt;"",$G85&lt;&gt;"",$H85&lt;&gt;"",$I85&lt;&gt;"")),"",IF(NOT(ISNUMBER($A85)),"入金日がありません",IF(AND($F85&lt;&gt;"",$O85="なし"),"請求Noが請求台帳にありません",IF(AND(ISNUMBER($O85),$C85&lt;&gt;"",$C85&lt;&gt;$P85),"請求の得意先は "&amp;$P85&amp;" です",IF(ROUND(IF($B85&lt;&gt;"",SUMIF($B$5:$B$1004,$B85,$E$5:$E$1004)-SUMIF($B$5:$B$1004,$B85,$G$5:$G$1004),N($E85)-N($G85)),0)&lt;&gt;0,"通帳の額と当てた額の差 "&amp;TEXT(IF($B85&lt;&gt;"",SUMIF($B$5:$B$1004,$B85,$E$5:$E$1004)-SUMIF($B$5:$B$1004,$B85,$G$5:$G$1004),N($E85)-N($G85)),"#,##0"),IF(AND(ISNUMBER($O85),N($K85)&lt;0),"請求額より多く消し込んでいます",IF($F85="","消込先が未定","OK")))))))</f>
        <v/>
      </c>
      <c r="M85" s="19" t="n"/>
      <c r="N85" s="56" t="n"/>
      <c r="O85" s="32">
        <f>IF($F85="","",IFERROR(MATCH($F85,'請求台帳'!$A$5:$A$1004,0),"なし"))</f>
        <v/>
      </c>
      <c r="P85" s="37">
        <f>IF(NOT(OR($A85&lt;&gt;"",$E85&lt;&gt;"",$F85&lt;&gt;"",$G85&lt;&gt;"",$H85&lt;&gt;"",$I85&lt;&gt;"")),"",IF(ISNUMBER($O85),IF(INDEX('請求台帳'!$C$5:$C$1004,$O85)="","",INDEX('請求台帳'!$C$5:$C$1004,$O85)),IF($C85="","",$C85)))</f>
        <v/>
      </c>
      <c r="Q85" s="35">
        <f>IF(OR(NOT(OR($A85&lt;&gt;"",$E85&lt;&gt;"",$F85&lt;&gt;"",$G85&lt;&gt;"",$H85&lt;&gt;"",$I85&lt;&gt;"")),$P85="",$P85&lt;&gt;'売掛帳'!$B$3,NOT(ISNUMBER($A85)),N($G85)+N($H85)+N($I85)=0),"",IF(AND($A85&gt;='売掛帳'!$Q$3,$A85&lt;='売掛帳'!$Q$4),$A85+0.5+ROW()/10000000,""))</f>
        <v/>
      </c>
      <c r="R85" s="32">
        <f>IF(AND(OR($A85&lt;&gt;"",$E85&lt;&gt;"",$F85&lt;&gt;"",$G85&lt;&gt;"",$H85&lt;&gt;"",$I85&lt;&gt;""),NOT(ISNUMBER($O85))),1,"")</f>
        <v/>
      </c>
    </row>
    <row r="86" ht="18" customHeight="1">
      <c r="A86" s="26" t="n"/>
      <c r="B86" s="18" t="n"/>
      <c r="C86" s="18" t="n"/>
      <c r="D86" s="20">
        <f>IF($P86="","",IFERROR(INDEX('得意先'!$C$5:$C$104,MATCH($P86,'得意先'!$B$5:$B$104,0))&amp;"","※得意先にないコード"))</f>
        <v/>
      </c>
      <c r="E86" s="27" t="n"/>
      <c r="F86" s="18" t="n"/>
      <c r="G86" s="27" t="n"/>
      <c r="H86" s="27" t="n"/>
      <c r="I86" s="27" t="n"/>
      <c r="J86" s="28">
        <f>IF(NOT(OR($A86&lt;&gt;"",$E86&lt;&gt;"",$F86&lt;&gt;"",$G86&lt;&gt;"",$H86&lt;&gt;"",$I86&lt;&gt;"")),"",N($G86)+N($H86)+N($I86))</f>
        <v/>
      </c>
      <c r="K86" s="28">
        <f>IF(ISNUMBER($O86),INDEX('請求台帳'!$R$5:$R$1004,$O86),"")</f>
        <v/>
      </c>
      <c r="L86" s="20">
        <f>IF(NOT(OR($A86&lt;&gt;"",$E86&lt;&gt;"",$F86&lt;&gt;"",$G86&lt;&gt;"",$H86&lt;&gt;"",$I86&lt;&gt;"")),"",IF(NOT(ISNUMBER($A86)),"入金日がありません",IF(AND($F86&lt;&gt;"",$O86="なし"),"請求Noが請求台帳にありません",IF(AND(ISNUMBER($O86),$C86&lt;&gt;"",$C86&lt;&gt;$P86),"請求の得意先は "&amp;$P86&amp;" です",IF(ROUND(IF($B86&lt;&gt;"",SUMIF($B$5:$B$1004,$B86,$E$5:$E$1004)-SUMIF($B$5:$B$1004,$B86,$G$5:$G$1004),N($E86)-N($G86)),0)&lt;&gt;0,"通帳の額と当てた額の差 "&amp;TEXT(IF($B86&lt;&gt;"",SUMIF($B$5:$B$1004,$B86,$E$5:$E$1004)-SUMIF($B$5:$B$1004,$B86,$G$5:$G$1004),N($E86)-N($G86)),"#,##0"),IF(AND(ISNUMBER($O86),N($K86)&lt;0),"請求額より多く消し込んでいます",IF($F86="","消込先が未定","OK")))))))</f>
        <v/>
      </c>
      <c r="M86" s="19" t="n"/>
      <c r="N86" s="56" t="n"/>
      <c r="O86" s="32">
        <f>IF($F86="","",IFERROR(MATCH($F86,'請求台帳'!$A$5:$A$1004,0),"なし"))</f>
        <v/>
      </c>
      <c r="P86" s="37">
        <f>IF(NOT(OR($A86&lt;&gt;"",$E86&lt;&gt;"",$F86&lt;&gt;"",$G86&lt;&gt;"",$H86&lt;&gt;"",$I86&lt;&gt;"")),"",IF(ISNUMBER($O86),IF(INDEX('請求台帳'!$C$5:$C$1004,$O86)="","",INDEX('請求台帳'!$C$5:$C$1004,$O86)),IF($C86="","",$C86)))</f>
        <v/>
      </c>
      <c r="Q86" s="35">
        <f>IF(OR(NOT(OR($A86&lt;&gt;"",$E86&lt;&gt;"",$F86&lt;&gt;"",$G86&lt;&gt;"",$H86&lt;&gt;"",$I86&lt;&gt;"")),$P86="",$P86&lt;&gt;'売掛帳'!$B$3,NOT(ISNUMBER($A86)),N($G86)+N($H86)+N($I86)=0),"",IF(AND($A86&gt;='売掛帳'!$Q$3,$A86&lt;='売掛帳'!$Q$4),$A86+0.5+ROW()/10000000,""))</f>
        <v/>
      </c>
      <c r="R86" s="32">
        <f>IF(AND(OR($A86&lt;&gt;"",$E86&lt;&gt;"",$F86&lt;&gt;"",$G86&lt;&gt;"",$H86&lt;&gt;"",$I86&lt;&gt;""),NOT(ISNUMBER($O86))),1,"")</f>
        <v/>
      </c>
    </row>
    <row r="87" ht="18" customHeight="1">
      <c r="A87" s="26" t="n"/>
      <c r="B87" s="18" t="n"/>
      <c r="C87" s="18" t="n"/>
      <c r="D87" s="20">
        <f>IF($P87="","",IFERROR(INDEX('得意先'!$C$5:$C$104,MATCH($P87,'得意先'!$B$5:$B$104,0))&amp;"","※得意先にないコード"))</f>
        <v/>
      </c>
      <c r="E87" s="27" t="n"/>
      <c r="F87" s="18" t="n"/>
      <c r="G87" s="27" t="n"/>
      <c r="H87" s="27" t="n"/>
      <c r="I87" s="27" t="n"/>
      <c r="J87" s="28">
        <f>IF(NOT(OR($A87&lt;&gt;"",$E87&lt;&gt;"",$F87&lt;&gt;"",$G87&lt;&gt;"",$H87&lt;&gt;"",$I87&lt;&gt;"")),"",N($G87)+N($H87)+N($I87))</f>
        <v/>
      </c>
      <c r="K87" s="28">
        <f>IF(ISNUMBER($O87),INDEX('請求台帳'!$R$5:$R$1004,$O87),"")</f>
        <v/>
      </c>
      <c r="L87" s="20">
        <f>IF(NOT(OR($A87&lt;&gt;"",$E87&lt;&gt;"",$F87&lt;&gt;"",$G87&lt;&gt;"",$H87&lt;&gt;"",$I87&lt;&gt;"")),"",IF(NOT(ISNUMBER($A87)),"入金日がありません",IF(AND($F87&lt;&gt;"",$O87="なし"),"請求Noが請求台帳にありません",IF(AND(ISNUMBER($O87),$C87&lt;&gt;"",$C87&lt;&gt;$P87),"請求の得意先は "&amp;$P87&amp;" です",IF(ROUND(IF($B87&lt;&gt;"",SUMIF($B$5:$B$1004,$B87,$E$5:$E$1004)-SUMIF($B$5:$B$1004,$B87,$G$5:$G$1004),N($E87)-N($G87)),0)&lt;&gt;0,"通帳の額と当てた額の差 "&amp;TEXT(IF($B87&lt;&gt;"",SUMIF($B$5:$B$1004,$B87,$E$5:$E$1004)-SUMIF($B$5:$B$1004,$B87,$G$5:$G$1004),N($E87)-N($G87)),"#,##0"),IF(AND(ISNUMBER($O87),N($K87)&lt;0),"請求額より多く消し込んでいます",IF($F87="","消込先が未定","OK")))))))</f>
        <v/>
      </c>
      <c r="M87" s="19" t="n"/>
      <c r="N87" s="56" t="n"/>
      <c r="O87" s="32">
        <f>IF($F87="","",IFERROR(MATCH($F87,'請求台帳'!$A$5:$A$1004,0),"なし"))</f>
        <v/>
      </c>
      <c r="P87" s="37">
        <f>IF(NOT(OR($A87&lt;&gt;"",$E87&lt;&gt;"",$F87&lt;&gt;"",$G87&lt;&gt;"",$H87&lt;&gt;"",$I87&lt;&gt;"")),"",IF(ISNUMBER($O87),IF(INDEX('請求台帳'!$C$5:$C$1004,$O87)="","",INDEX('請求台帳'!$C$5:$C$1004,$O87)),IF($C87="","",$C87)))</f>
        <v/>
      </c>
      <c r="Q87" s="35">
        <f>IF(OR(NOT(OR($A87&lt;&gt;"",$E87&lt;&gt;"",$F87&lt;&gt;"",$G87&lt;&gt;"",$H87&lt;&gt;"",$I87&lt;&gt;"")),$P87="",$P87&lt;&gt;'売掛帳'!$B$3,NOT(ISNUMBER($A87)),N($G87)+N($H87)+N($I87)=0),"",IF(AND($A87&gt;='売掛帳'!$Q$3,$A87&lt;='売掛帳'!$Q$4),$A87+0.5+ROW()/10000000,""))</f>
        <v/>
      </c>
      <c r="R87" s="32">
        <f>IF(AND(OR($A87&lt;&gt;"",$E87&lt;&gt;"",$F87&lt;&gt;"",$G87&lt;&gt;"",$H87&lt;&gt;"",$I87&lt;&gt;""),NOT(ISNUMBER($O87))),1,"")</f>
        <v/>
      </c>
    </row>
    <row r="88" ht="18" customHeight="1">
      <c r="A88" s="26" t="n"/>
      <c r="B88" s="18" t="n"/>
      <c r="C88" s="18" t="n"/>
      <c r="D88" s="20">
        <f>IF($P88="","",IFERROR(INDEX('得意先'!$C$5:$C$104,MATCH($P88,'得意先'!$B$5:$B$104,0))&amp;"","※得意先にないコード"))</f>
        <v/>
      </c>
      <c r="E88" s="27" t="n"/>
      <c r="F88" s="18" t="n"/>
      <c r="G88" s="27" t="n"/>
      <c r="H88" s="27" t="n"/>
      <c r="I88" s="27" t="n"/>
      <c r="J88" s="28">
        <f>IF(NOT(OR($A88&lt;&gt;"",$E88&lt;&gt;"",$F88&lt;&gt;"",$G88&lt;&gt;"",$H88&lt;&gt;"",$I88&lt;&gt;"")),"",N($G88)+N($H88)+N($I88))</f>
        <v/>
      </c>
      <c r="K88" s="28">
        <f>IF(ISNUMBER($O88),INDEX('請求台帳'!$R$5:$R$1004,$O88),"")</f>
        <v/>
      </c>
      <c r="L88" s="20">
        <f>IF(NOT(OR($A88&lt;&gt;"",$E88&lt;&gt;"",$F88&lt;&gt;"",$G88&lt;&gt;"",$H88&lt;&gt;"",$I88&lt;&gt;"")),"",IF(NOT(ISNUMBER($A88)),"入金日がありません",IF(AND($F88&lt;&gt;"",$O88="なし"),"請求Noが請求台帳にありません",IF(AND(ISNUMBER($O88),$C88&lt;&gt;"",$C88&lt;&gt;$P88),"請求の得意先は "&amp;$P88&amp;" です",IF(ROUND(IF($B88&lt;&gt;"",SUMIF($B$5:$B$1004,$B88,$E$5:$E$1004)-SUMIF($B$5:$B$1004,$B88,$G$5:$G$1004),N($E88)-N($G88)),0)&lt;&gt;0,"通帳の額と当てた額の差 "&amp;TEXT(IF($B88&lt;&gt;"",SUMIF($B$5:$B$1004,$B88,$E$5:$E$1004)-SUMIF($B$5:$B$1004,$B88,$G$5:$G$1004),N($E88)-N($G88)),"#,##0"),IF(AND(ISNUMBER($O88),N($K88)&lt;0),"請求額より多く消し込んでいます",IF($F88="","消込先が未定","OK")))))))</f>
        <v/>
      </c>
      <c r="M88" s="19" t="n"/>
      <c r="N88" s="56" t="n"/>
      <c r="O88" s="32">
        <f>IF($F88="","",IFERROR(MATCH($F88,'請求台帳'!$A$5:$A$1004,0),"なし"))</f>
        <v/>
      </c>
      <c r="P88" s="37">
        <f>IF(NOT(OR($A88&lt;&gt;"",$E88&lt;&gt;"",$F88&lt;&gt;"",$G88&lt;&gt;"",$H88&lt;&gt;"",$I88&lt;&gt;"")),"",IF(ISNUMBER($O88),IF(INDEX('請求台帳'!$C$5:$C$1004,$O88)="","",INDEX('請求台帳'!$C$5:$C$1004,$O88)),IF($C88="","",$C88)))</f>
        <v/>
      </c>
      <c r="Q88" s="35">
        <f>IF(OR(NOT(OR($A88&lt;&gt;"",$E88&lt;&gt;"",$F88&lt;&gt;"",$G88&lt;&gt;"",$H88&lt;&gt;"",$I88&lt;&gt;"")),$P88="",$P88&lt;&gt;'売掛帳'!$B$3,NOT(ISNUMBER($A88)),N($G88)+N($H88)+N($I88)=0),"",IF(AND($A88&gt;='売掛帳'!$Q$3,$A88&lt;='売掛帳'!$Q$4),$A88+0.5+ROW()/10000000,""))</f>
        <v/>
      </c>
      <c r="R88" s="32">
        <f>IF(AND(OR($A88&lt;&gt;"",$E88&lt;&gt;"",$F88&lt;&gt;"",$G88&lt;&gt;"",$H88&lt;&gt;"",$I88&lt;&gt;""),NOT(ISNUMBER($O88))),1,"")</f>
        <v/>
      </c>
    </row>
    <row r="89" ht="18" customHeight="1">
      <c r="A89" s="26" t="n"/>
      <c r="B89" s="18" t="n"/>
      <c r="C89" s="18" t="n"/>
      <c r="D89" s="20">
        <f>IF($P89="","",IFERROR(INDEX('得意先'!$C$5:$C$104,MATCH($P89,'得意先'!$B$5:$B$104,0))&amp;"","※得意先にないコード"))</f>
        <v/>
      </c>
      <c r="E89" s="27" t="n"/>
      <c r="F89" s="18" t="n"/>
      <c r="G89" s="27" t="n"/>
      <c r="H89" s="27" t="n"/>
      <c r="I89" s="27" t="n"/>
      <c r="J89" s="28">
        <f>IF(NOT(OR($A89&lt;&gt;"",$E89&lt;&gt;"",$F89&lt;&gt;"",$G89&lt;&gt;"",$H89&lt;&gt;"",$I89&lt;&gt;"")),"",N($G89)+N($H89)+N($I89))</f>
        <v/>
      </c>
      <c r="K89" s="28">
        <f>IF(ISNUMBER($O89),INDEX('請求台帳'!$R$5:$R$1004,$O89),"")</f>
        <v/>
      </c>
      <c r="L89" s="20">
        <f>IF(NOT(OR($A89&lt;&gt;"",$E89&lt;&gt;"",$F89&lt;&gt;"",$G89&lt;&gt;"",$H89&lt;&gt;"",$I89&lt;&gt;"")),"",IF(NOT(ISNUMBER($A89)),"入金日がありません",IF(AND($F89&lt;&gt;"",$O89="なし"),"請求Noが請求台帳にありません",IF(AND(ISNUMBER($O89),$C89&lt;&gt;"",$C89&lt;&gt;$P89),"請求の得意先は "&amp;$P89&amp;" です",IF(ROUND(IF($B89&lt;&gt;"",SUMIF($B$5:$B$1004,$B89,$E$5:$E$1004)-SUMIF($B$5:$B$1004,$B89,$G$5:$G$1004),N($E89)-N($G89)),0)&lt;&gt;0,"通帳の額と当てた額の差 "&amp;TEXT(IF($B89&lt;&gt;"",SUMIF($B$5:$B$1004,$B89,$E$5:$E$1004)-SUMIF($B$5:$B$1004,$B89,$G$5:$G$1004),N($E89)-N($G89)),"#,##0"),IF(AND(ISNUMBER($O89),N($K89)&lt;0),"請求額より多く消し込んでいます",IF($F89="","消込先が未定","OK")))))))</f>
        <v/>
      </c>
      <c r="M89" s="19" t="n"/>
      <c r="N89" s="56" t="n"/>
      <c r="O89" s="32">
        <f>IF($F89="","",IFERROR(MATCH($F89,'請求台帳'!$A$5:$A$1004,0),"なし"))</f>
        <v/>
      </c>
      <c r="P89" s="37">
        <f>IF(NOT(OR($A89&lt;&gt;"",$E89&lt;&gt;"",$F89&lt;&gt;"",$G89&lt;&gt;"",$H89&lt;&gt;"",$I89&lt;&gt;"")),"",IF(ISNUMBER($O89),IF(INDEX('請求台帳'!$C$5:$C$1004,$O89)="","",INDEX('請求台帳'!$C$5:$C$1004,$O89)),IF($C89="","",$C89)))</f>
        <v/>
      </c>
      <c r="Q89" s="35">
        <f>IF(OR(NOT(OR($A89&lt;&gt;"",$E89&lt;&gt;"",$F89&lt;&gt;"",$G89&lt;&gt;"",$H89&lt;&gt;"",$I89&lt;&gt;"")),$P89="",$P89&lt;&gt;'売掛帳'!$B$3,NOT(ISNUMBER($A89)),N($G89)+N($H89)+N($I89)=0),"",IF(AND($A89&gt;='売掛帳'!$Q$3,$A89&lt;='売掛帳'!$Q$4),$A89+0.5+ROW()/10000000,""))</f>
        <v/>
      </c>
      <c r="R89" s="32">
        <f>IF(AND(OR($A89&lt;&gt;"",$E89&lt;&gt;"",$F89&lt;&gt;"",$G89&lt;&gt;"",$H89&lt;&gt;"",$I89&lt;&gt;""),NOT(ISNUMBER($O89))),1,"")</f>
        <v/>
      </c>
    </row>
    <row r="90" ht="18" customHeight="1">
      <c r="A90" s="26" t="n"/>
      <c r="B90" s="18" t="n"/>
      <c r="C90" s="18" t="n"/>
      <c r="D90" s="20">
        <f>IF($P90="","",IFERROR(INDEX('得意先'!$C$5:$C$104,MATCH($P90,'得意先'!$B$5:$B$104,0))&amp;"","※得意先にないコード"))</f>
        <v/>
      </c>
      <c r="E90" s="27" t="n"/>
      <c r="F90" s="18" t="n"/>
      <c r="G90" s="27" t="n"/>
      <c r="H90" s="27" t="n"/>
      <c r="I90" s="27" t="n"/>
      <c r="J90" s="28">
        <f>IF(NOT(OR($A90&lt;&gt;"",$E90&lt;&gt;"",$F90&lt;&gt;"",$G90&lt;&gt;"",$H90&lt;&gt;"",$I90&lt;&gt;"")),"",N($G90)+N($H90)+N($I90))</f>
        <v/>
      </c>
      <c r="K90" s="28">
        <f>IF(ISNUMBER($O90),INDEX('請求台帳'!$R$5:$R$1004,$O90),"")</f>
        <v/>
      </c>
      <c r="L90" s="20">
        <f>IF(NOT(OR($A90&lt;&gt;"",$E90&lt;&gt;"",$F90&lt;&gt;"",$G90&lt;&gt;"",$H90&lt;&gt;"",$I90&lt;&gt;"")),"",IF(NOT(ISNUMBER($A90)),"入金日がありません",IF(AND($F90&lt;&gt;"",$O90="なし"),"請求Noが請求台帳にありません",IF(AND(ISNUMBER($O90),$C90&lt;&gt;"",$C90&lt;&gt;$P90),"請求の得意先は "&amp;$P90&amp;" です",IF(ROUND(IF($B90&lt;&gt;"",SUMIF($B$5:$B$1004,$B90,$E$5:$E$1004)-SUMIF($B$5:$B$1004,$B90,$G$5:$G$1004),N($E90)-N($G90)),0)&lt;&gt;0,"通帳の額と当てた額の差 "&amp;TEXT(IF($B90&lt;&gt;"",SUMIF($B$5:$B$1004,$B90,$E$5:$E$1004)-SUMIF($B$5:$B$1004,$B90,$G$5:$G$1004),N($E90)-N($G90)),"#,##0"),IF(AND(ISNUMBER($O90),N($K90)&lt;0),"請求額より多く消し込んでいます",IF($F90="","消込先が未定","OK")))))))</f>
        <v/>
      </c>
      <c r="M90" s="19" t="n"/>
      <c r="N90" s="56" t="n"/>
      <c r="O90" s="32">
        <f>IF($F90="","",IFERROR(MATCH($F90,'請求台帳'!$A$5:$A$1004,0),"なし"))</f>
        <v/>
      </c>
      <c r="P90" s="37">
        <f>IF(NOT(OR($A90&lt;&gt;"",$E90&lt;&gt;"",$F90&lt;&gt;"",$G90&lt;&gt;"",$H90&lt;&gt;"",$I90&lt;&gt;"")),"",IF(ISNUMBER($O90),IF(INDEX('請求台帳'!$C$5:$C$1004,$O90)="","",INDEX('請求台帳'!$C$5:$C$1004,$O90)),IF($C90="","",$C90)))</f>
        <v/>
      </c>
      <c r="Q90" s="35">
        <f>IF(OR(NOT(OR($A90&lt;&gt;"",$E90&lt;&gt;"",$F90&lt;&gt;"",$G90&lt;&gt;"",$H90&lt;&gt;"",$I90&lt;&gt;"")),$P90="",$P90&lt;&gt;'売掛帳'!$B$3,NOT(ISNUMBER($A90)),N($G90)+N($H90)+N($I90)=0),"",IF(AND($A90&gt;='売掛帳'!$Q$3,$A90&lt;='売掛帳'!$Q$4),$A90+0.5+ROW()/10000000,""))</f>
        <v/>
      </c>
      <c r="R90" s="32">
        <f>IF(AND(OR($A90&lt;&gt;"",$E90&lt;&gt;"",$F90&lt;&gt;"",$G90&lt;&gt;"",$H90&lt;&gt;"",$I90&lt;&gt;""),NOT(ISNUMBER($O90))),1,"")</f>
        <v/>
      </c>
    </row>
    <row r="91" ht="18" customHeight="1">
      <c r="A91" s="26" t="n"/>
      <c r="B91" s="18" t="n"/>
      <c r="C91" s="18" t="n"/>
      <c r="D91" s="20">
        <f>IF($P91="","",IFERROR(INDEX('得意先'!$C$5:$C$104,MATCH($P91,'得意先'!$B$5:$B$104,0))&amp;"","※得意先にないコード"))</f>
        <v/>
      </c>
      <c r="E91" s="27" t="n"/>
      <c r="F91" s="18" t="n"/>
      <c r="G91" s="27" t="n"/>
      <c r="H91" s="27" t="n"/>
      <c r="I91" s="27" t="n"/>
      <c r="J91" s="28">
        <f>IF(NOT(OR($A91&lt;&gt;"",$E91&lt;&gt;"",$F91&lt;&gt;"",$G91&lt;&gt;"",$H91&lt;&gt;"",$I91&lt;&gt;"")),"",N($G91)+N($H91)+N($I91))</f>
        <v/>
      </c>
      <c r="K91" s="28">
        <f>IF(ISNUMBER($O91),INDEX('請求台帳'!$R$5:$R$1004,$O91),"")</f>
        <v/>
      </c>
      <c r="L91" s="20">
        <f>IF(NOT(OR($A91&lt;&gt;"",$E91&lt;&gt;"",$F91&lt;&gt;"",$G91&lt;&gt;"",$H91&lt;&gt;"",$I91&lt;&gt;"")),"",IF(NOT(ISNUMBER($A91)),"入金日がありません",IF(AND($F91&lt;&gt;"",$O91="なし"),"請求Noが請求台帳にありません",IF(AND(ISNUMBER($O91),$C91&lt;&gt;"",$C91&lt;&gt;$P91),"請求の得意先は "&amp;$P91&amp;" です",IF(ROUND(IF($B91&lt;&gt;"",SUMIF($B$5:$B$1004,$B91,$E$5:$E$1004)-SUMIF($B$5:$B$1004,$B91,$G$5:$G$1004),N($E91)-N($G91)),0)&lt;&gt;0,"通帳の額と当てた額の差 "&amp;TEXT(IF($B91&lt;&gt;"",SUMIF($B$5:$B$1004,$B91,$E$5:$E$1004)-SUMIF($B$5:$B$1004,$B91,$G$5:$G$1004),N($E91)-N($G91)),"#,##0"),IF(AND(ISNUMBER($O91),N($K91)&lt;0),"請求額より多く消し込んでいます",IF($F91="","消込先が未定","OK")))))))</f>
        <v/>
      </c>
      <c r="M91" s="19" t="n"/>
      <c r="N91" s="56" t="n"/>
      <c r="O91" s="32">
        <f>IF($F91="","",IFERROR(MATCH($F91,'請求台帳'!$A$5:$A$1004,0),"なし"))</f>
        <v/>
      </c>
      <c r="P91" s="37">
        <f>IF(NOT(OR($A91&lt;&gt;"",$E91&lt;&gt;"",$F91&lt;&gt;"",$G91&lt;&gt;"",$H91&lt;&gt;"",$I91&lt;&gt;"")),"",IF(ISNUMBER($O91),IF(INDEX('請求台帳'!$C$5:$C$1004,$O91)="","",INDEX('請求台帳'!$C$5:$C$1004,$O91)),IF($C91="","",$C91)))</f>
        <v/>
      </c>
      <c r="Q91" s="35">
        <f>IF(OR(NOT(OR($A91&lt;&gt;"",$E91&lt;&gt;"",$F91&lt;&gt;"",$G91&lt;&gt;"",$H91&lt;&gt;"",$I91&lt;&gt;"")),$P91="",$P91&lt;&gt;'売掛帳'!$B$3,NOT(ISNUMBER($A91)),N($G91)+N($H91)+N($I91)=0),"",IF(AND($A91&gt;='売掛帳'!$Q$3,$A91&lt;='売掛帳'!$Q$4),$A91+0.5+ROW()/10000000,""))</f>
        <v/>
      </c>
      <c r="R91" s="32">
        <f>IF(AND(OR($A91&lt;&gt;"",$E91&lt;&gt;"",$F91&lt;&gt;"",$G91&lt;&gt;"",$H91&lt;&gt;"",$I91&lt;&gt;""),NOT(ISNUMBER($O91))),1,"")</f>
        <v/>
      </c>
    </row>
    <row r="92" ht="18" customHeight="1">
      <c r="A92" s="26" t="n"/>
      <c r="B92" s="18" t="n"/>
      <c r="C92" s="18" t="n"/>
      <c r="D92" s="20">
        <f>IF($P92="","",IFERROR(INDEX('得意先'!$C$5:$C$104,MATCH($P92,'得意先'!$B$5:$B$104,0))&amp;"","※得意先にないコード"))</f>
        <v/>
      </c>
      <c r="E92" s="27" t="n"/>
      <c r="F92" s="18" t="n"/>
      <c r="G92" s="27" t="n"/>
      <c r="H92" s="27" t="n"/>
      <c r="I92" s="27" t="n"/>
      <c r="J92" s="28">
        <f>IF(NOT(OR($A92&lt;&gt;"",$E92&lt;&gt;"",$F92&lt;&gt;"",$G92&lt;&gt;"",$H92&lt;&gt;"",$I92&lt;&gt;"")),"",N($G92)+N($H92)+N($I92))</f>
        <v/>
      </c>
      <c r="K92" s="28">
        <f>IF(ISNUMBER($O92),INDEX('請求台帳'!$R$5:$R$1004,$O92),"")</f>
        <v/>
      </c>
      <c r="L92" s="20">
        <f>IF(NOT(OR($A92&lt;&gt;"",$E92&lt;&gt;"",$F92&lt;&gt;"",$G92&lt;&gt;"",$H92&lt;&gt;"",$I92&lt;&gt;"")),"",IF(NOT(ISNUMBER($A92)),"入金日がありません",IF(AND($F92&lt;&gt;"",$O92="なし"),"請求Noが請求台帳にありません",IF(AND(ISNUMBER($O92),$C92&lt;&gt;"",$C92&lt;&gt;$P92),"請求の得意先は "&amp;$P92&amp;" です",IF(ROUND(IF($B92&lt;&gt;"",SUMIF($B$5:$B$1004,$B92,$E$5:$E$1004)-SUMIF($B$5:$B$1004,$B92,$G$5:$G$1004),N($E92)-N($G92)),0)&lt;&gt;0,"通帳の額と当てた額の差 "&amp;TEXT(IF($B92&lt;&gt;"",SUMIF($B$5:$B$1004,$B92,$E$5:$E$1004)-SUMIF($B$5:$B$1004,$B92,$G$5:$G$1004),N($E92)-N($G92)),"#,##0"),IF(AND(ISNUMBER($O92),N($K92)&lt;0),"請求額より多く消し込んでいます",IF($F92="","消込先が未定","OK")))))))</f>
        <v/>
      </c>
      <c r="M92" s="19" t="n"/>
      <c r="N92" s="56" t="n"/>
      <c r="O92" s="32">
        <f>IF($F92="","",IFERROR(MATCH($F92,'請求台帳'!$A$5:$A$1004,0),"なし"))</f>
        <v/>
      </c>
      <c r="P92" s="37">
        <f>IF(NOT(OR($A92&lt;&gt;"",$E92&lt;&gt;"",$F92&lt;&gt;"",$G92&lt;&gt;"",$H92&lt;&gt;"",$I92&lt;&gt;"")),"",IF(ISNUMBER($O92),IF(INDEX('請求台帳'!$C$5:$C$1004,$O92)="","",INDEX('請求台帳'!$C$5:$C$1004,$O92)),IF($C92="","",$C92)))</f>
        <v/>
      </c>
      <c r="Q92" s="35">
        <f>IF(OR(NOT(OR($A92&lt;&gt;"",$E92&lt;&gt;"",$F92&lt;&gt;"",$G92&lt;&gt;"",$H92&lt;&gt;"",$I92&lt;&gt;"")),$P92="",$P92&lt;&gt;'売掛帳'!$B$3,NOT(ISNUMBER($A92)),N($G92)+N($H92)+N($I92)=0),"",IF(AND($A92&gt;='売掛帳'!$Q$3,$A92&lt;='売掛帳'!$Q$4),$A92+0.5+ROW()/10000000,""))</f>
        <v/>
      </c>
      <c r="R92" s="32">
        <f>IF(AND(OR($A92&lt;&gt;"",$E92&lt;&gt;"",$F92&lt;&gt;"",$G92&lt;&gt;"",$H92&lt;&gt;"",$I92&lt;&gt;""),NOT(ISNUMBER($O92))),1,"")</f>
        <v/>
      </c>
    </row>
    <row r="93" ht="18" customHeight="1">
      <c r="A93" s="26" t="n"/>
      <c r="B93" s="18" t="n"/>
      <c r="C93" s="18" t="n"/>
      <c r="D93" s="20">
        <f>IF($P93="","",IFERROR(INDEX('得意先'!$C$5:$C$104,MATCH($P93,'得意先'!$B$5:$B$104,0))&amp;"","※得意先にないコード"))</f>
        <v/>
      </c>
      <c r="E93" s="27" t="n"/>
      <c r="F93" s="18" t="n"/>
      <c r="G93" s="27" t="n"/>
      <c r="H93" s="27" t="n"/>
      <c r="I93" s="27" t="n"/>
      <c r="J93" s="28">
        <f>IF(NOT(OR($A93&lt;&gt;"",$E93&lt;&gt;"",$F93&lt;&gt;"",$G93&lt;&gt;"",$H93&lt;&gt;"",$I93&lt;&gt;"")),"",N($G93)+N($H93)+N($I93))</f>
        <v/>
      </c>
      <c r="K93" s="28">
        <f>IF(ISNUMBER($O93),INDEX('請求台帳'!$R$5:$R$1004,$O93),"")</f>
        <v/>
      </c>
      <c r="L93" s="20">
        <f>IF(NOT(OR($A93&lt;&gt;"",$E93&lt;&gt;"",$F93&lt;&gt;"",$G93&lt;&gt;"",$H93&lt;&gt;"",$I93&lt;&gt;"")),"",IF(NOT(ISNUMBER($A93)),"入金日がありません",IF(AND($F93&lt;&gt;"",$O93="なし"),"請求Noが請求台帳にありません",IF(AND(ISNUMBER($O93),$C93&lt;&gt;"",$C93&lt;&gt;$P93),"請求の得意先は "&amp;$P93&amp;" です",IF(ROUND(IF($B93&lt;&gt;"",SUMIF($B$5:$B$1004,$B93,$E$5:$E$1004)-SUMIF($B$5:$B$1004,$B93,$G$5:$G$1004),N($E93)-N($G93)),0)&lt;&gt;0,"通帳の額と当てた額の差 "&amp;TEXT(IF($B93&lt;&gt;"",SUMIF($B$5:$B$1004,$B93,$E$5:$E$1004)-SUMIF($B$5:$B$1004,$B93,$G$5:$G$1004),N($E93)-N($G93)),"#,##0"),IF(AND(ISNUMBER($O93),N($K93)&lt;0),"請求額より多く消し込んでいます",IF($F93="","消込先が未定","OK")))))))</f>
        <v/>
      </c>
      <c r="M93" s="19" t="n"/>
      <c r="N93" s="56" t="n"/>
      <c r="O93" s="32">
        <f>IF($F93="","",IFERROR(MATCH($F93,'請求台帳'!$A$5:$A$1004,0),"なし"))</f>
        <v/>
      </c>
      <c r="P93" s="37">
        <f>IF(NOT(OR($A93&lt;&gt;"",$E93&lt;&gt;"",$F93&lt;&gt;"",$G93&lt;&gt;"",$H93&lt;&gt;"",$I93&lt;&gt;"")),"",IF(ISNUMBER($O93),IF(INDEX('請求台帳'!$C$5:$C$1004,$O93)="","",INDEX('請求台帳'!$C$5:$C$1004,$O93)),IF($C93="","",$C93)))</f>
        <v/>
      </c>
      <c r="Q93" s="35">
        <f>IF(OR(NOT(OR($A93&lt;&gt;"",$E93&lt;&gt;"",$F93&lt;&gt;"",$G93&lt;&gt;"",$H93&lt;&gt;"",$I93&lt;&gt;"")),$P93="",$P93&lt;&gt;'売掛帳'!$B$3,NOT(ISNUMBER($A93)),N($G93)+N($H93)+N($I93)=0),"",IF(AND($A93&gt;='売掛帳'!$Q$3,$A93&lt;='売掛帳'!$Q$4),$A93+0.5+ROW()/10000000,""))</f>
        <v/>
      </c>
      <c r="R93" s="32">
        <f>IF(AND(OR($A93&lt;&gt;"",$E93&lt;&gt;"",$F93&lt;&gt;"",$G93&lt;&gt;"",$H93&lt;&gt;"",$I93&lt;&gt;""),NOT(ISNUMBER($O93))),1,"")</f>
        <v/>
      </c>
    </row>
    <row r="94" ht="18" customHeight="1">
      <c r="A94" s="26" t="n"/>
      <c r="B94" s="18" t="n"/>
      <c r="C94" s="18" t="n"/>
      <c r="D94" s="20">
        <f>IF($P94="","",IFERROR(INDEX('得意先'!$C$5:$C$104,MATCH($P94,'得意先'!$B$5:$B$104,0))&amp;"","※得意先にないコード"))</f>
        <v/>
      </c>
      <c r="E94" s="27" t="n"/>
      <c r="F94" s="18" t="n"/>
      <c r="G94" s="27" t="n"/>
      <c r="H94" s="27" t="n"/>
      <c r="I94" s="27" t="n"/>
      <c r="J94" s="28">
        <f>IF(NOT(OR($A94&lt;&gt;"",$E94&lt;&gt;"",$F94&lt;&gt;"",$G94&lt;&gt;"",$H94&lt;&gt;"",$I94&lt;&gt;"")),"",N($G94)+N($H94)+N($I94))</f>
        <v/>
      </c>
      <c r="K94" s="28">
        <f>IF(ISNUMBER($O94),INDEX('請求台帳'!$R$5:$R$1004,$O94),"")</f>
        <v/>
      </c>
      <c r="L94" s="20">
        <f>IF(NOT(OR($A94&lt;&gt;"",$E94&lt;&gt;"",$F94&lt;&gt;"",$G94&lt;&gt;"",$H94&lt;&gt;"",$I94&lt;&gt;"")),"",IF(NOT(ISNUMBER($A94)),"入金日がありません",IF(AND($F94&lt;&gt;"",$O94="なし"),"請求Noが請求台帳にありません",IF(AND(ISNUMBER($O94),$C94&lt;&gt;"",$C94&lt;&gt;$P94),"請求の得意先は "&amp;$P94&amp;" です",IF(ROUND(IF($B94&lt;&gt;"",SUMIF($B$5:$B$1004,$B94,$E$5:$E$1004)-SUMIF($B$5:$B$1004,$B94,$G$5:$G$1004),N($E94)-N($G94)),0)&lt;&gt;0,"通帳の額と当てた額の差 "&amp;TEXT(IF($B94&lt;&gt;"",SUMIF($B$5:$B$1004,$B94,$E$5:$E$1004)-SUMIF($B$5:$B$1004,$B94,$G$5:$G$1004),N($E94)-N($G94)),"#,##0"),IF(AND(ISNUMBER($O94),N($K94)&lt;0),"請求額より多く消し込んでいます",IF($F94="","消込先が未定","OK")))))))</f>
        <v/>
      </c>
      <c r="M94" s="19" t="n"/>
      <c r="N94" s="56" t="n"/>
      <c r="O94" s="32">
        <f>IF($F94="","",IFERROR(MATCH($F94,'請求台帳'!$A$5:$A$1004,0),"なし"))</f>
        <v/>
      </c>
      <c r="P94" s="37">
        <f>IF(NOT(OR($A94&lt;&gt;"",$E94&lt;&gt;"",$F94&lt;&gt;"",$G94&lt;&gt;"",$H94&lt;&gt;"",$I94&lt;&gt;"")),"",IF(ISNUMBER($O94),IF(INDEX('請求台帳'!$C$5:$C$1004,$O94)="","",INDEX('請求台帳'!$C$5:$C$1004,$O94)),IF($C94="","",$C94)))</f>
        <v/>
      </c>
      <c r="Q94" s="35">
        <f>IF(OR(NOT(OR($A94&lt;&gt;"",$E94&lt;&gt;"",$F94&lt;&gt;"",$G94&lt;&gt;"",$H94&lt;&gt;"",$I94&lt;&gt;"")),$P94="",$P94&lt;&gt;'売掛帳'!$B$3,NOT(ISNUMBER($A94)),N($G94)+N($H94)+N($I94)=0),"",IF(AND($A94&gt;='売掛帳'!$Q$3,$A94&lt;='売掛帳'!$Q$4),$A94+0.5+ROW()/10000000,""))</f>
        <v/>
      </c>
      <c r="R94" s="32">
        <f>IF(AND(OR($A94&lt;&gt;"",$E94&lt;&gt;"",$F94&lt;&gt;"",$G94&lt;&gt;"",$H94&lt;&gt;"",$I94&lt;&gt;""),NOT(ISNUMBER($O94))),1,"")</f>
        <v/>
      </c>
    </row>
    <row r="95" ht="18" customHeight="1">
      <c r="A95" s="26" t="n"/>
      <c r="B95" s="18" t="n"/>
      <c r="C95" s="18" t="n"/>
      <c r="D95" s="20">
        <f>IF($P95="","",IFERROR(INDEX('得意先'!$C$5:$C$104,MATCH($P95,'得意先'!$B$5:$B$104,0))&amp;"","※得意先にないコード"))</f>
        <v/>
      </c>
      <c r="E95" s="27" t="n"/>
      <c r="F95" s="18" t="n"/>
      <c r="G95" s="27" t="n"/>
      <c r="H95" s="27" t="n"/>
      <c r="I95" s="27" t="n"/>
      <c r="J95" s="28">
        <f>IF(NOT(OR($A95&lt;&gt;"",$E95&lt;&gt;"",$F95&lt;&gt;"",$G95&lt;&gt;"",$H95&lt;&gt;"",$I95&lt;&gt;"")),"",N($G95)+N($H95)+N($I95))</f>
        <v/>
      </c>
      <c r="K95" s="28">
        <f>IF(ISNUMBER($O95),INDEX('請求台帳'!$R$5:$R$1004,$O95),"")</f>
        <v/>
      </c>
      <c r="L95" s="20">
        <f>IF(NOT(OR($A95&lt;&gt;"",$E95&lt;&gt;"",$F95&lt;&gt;"",$G95&lt;&gt;"",$H95&lt;&gt;"",$I95&lt;&gt;"")),"",IF(NOT(ISNUMBER($A95)),"入金日がありません",IF(AND($F95&lt;&gt;"",$O95="なし"),"請求Noが請求台帳にありません",IF(AND(ISNUMBER($O95),$C95&lt;&gt;"",$C95&lt;&gt;$P95),"請求の得意先は "&amp;$P95&amp;" です",IF(ROUND(IF($B95&lt;&gt;"",SUMIF($B$5:$B$1004,$B95,$E$5:$E$1004)-SUMIF($B$5:$B$1004,$B95,$G$5:$G$1004),N($E95)-N($G95)),0)&lt;&gt;0,"通帳の額と当てた額の差 "&amp;TEXT(IF($B95&lt;&gt;"",SUMIF($B$5:$B$1004,$B95,$E$5:$E$1004)-SUMIF($B$5:$B$1004,$B95,$G$5:$G$1004),N($E95)-N($G95)),"#,##0"),IF(AND(ISNUMBER($O95),N($K95)&lt;0),"請求額より多く消し込んでいます",IF($F95="","消込先が未定","OK")))))))</f>
        <v/>
      </c>
      <c r="M95" s="19" t="n"/>
      <c r="N95" s="56" t="n"/>
      <c r="O95" s="32">
        <f>IF($F95="","",IFERROR(MATCH($F95,'請求台帳'!$A$5:$A$1004,0),"なし"))</f>
        <v/>
      </c>
      <c r="P95" s="37">
        <f>IF(NOT(OR($A95&lt;&gt;"",$E95&lt;&gt;"",$F95&lt;&gt;"",$G95&lt;&gt;"",$H95&lt;&gt;"",$I95&lt;&gt;"")),"",IF(ISNUMBER($O95),IF(INDEX('請求台帳'!$C$5:$C$1004,$O95)="","",INDEX('請求台帳'!$C$5:$C$1004,$O95)),IF($C95="","",$C95)))</f>
        <v/>
      </c>
      <c r="Q95" s="35">
        <f>IF(OR(NOT(OR($A95&lt;&gt;"",$E95&lt;&gt;"",$F95&lt;&gt;"",$G95&lt;&gt;"",$H95&lt;&gt;"",$I95&lt;&gt;"")),$P95="",$P95&lt;&gt;'売掛帳'!$B$3,NOT(ISNUMBER($A95)),N($G95)+N($H95)+N($I95)=0),"",IF(AND($A95&gt;='売掛帳'!$Q$3,$A95&lt;='売掛帳'!$Q$4),$A95+0.5+ROW()/10000000,""))</f>
        <v/>
      </c>
      <c r="R95" s="32">
        <f>IF(AND(OR($A95&lt;&gt;"",$E95&lt;&gt;"",$F95&lt;&gt;"",$G95&lt;&gt;"",$H95&lt;&gt;"",$I95&lt;&gt;""),NOT(ISNUMBER($O95))),1,"")</f>
        <v/>
      </c>
    </row>
    <row r="96" ht="18" customHeight="1">
      <c r="A96" s="26" t="n"/>
      <c r="B96" s="18" t="n"/>
      <c r="C96" s="18" t="n"/>
      <c r="D96" s="20">
        <f>IF($P96="","",IFERROR(INDEX('得意先'!$C$5:$C$104,MATCH($P96,'得意先'!$B$5:$B$104,0))&amp;"","※得意先にないコード"))</f>
        <v/>
      </c>
      <c r="E96" s="27" t="n"/>
      <c r="F96" s="18" t="n"/>
      <c r="G96" s="27" t="n"/>
      <c r="H96" s="27" t="n"/>
      <c r="I96" s="27" t="n"/>
      <c r="J96" s="28">
        <f>IF(NOT(OR($A96&lt;&gt;"",$E96&lt;&gt;"",$F96&lt;&gt;"",$G96&lt;&gt;"",$H96&lt;&gt;"",$I96&lt;&gt;"")),"",N($G96)+N($H96)+N($I96))</f>
        <v/>
      </c>
      <c r="K96" s="28">
        <f>IF(ISNUMBER($O96),INDEX('請求台帳'!$R$5:$R$1004,$O96),"")</f>
        <v/>
      </c>
      <c r="L96" s="20">
        <f>IF(NOT(OR($A96&lt;&gt;"",$E96&lt;&gt;"",$F96&lt;&gt;"",$G96&lt;&gt;"",$H96&lt;&gt;"",$I96&lt;&gt;"")),"",IF(NOT(ISNUMBER($A96)),"入金日がありません",IF(AND($F96&lt;&gt;"",$O96="なし"),"請求Noが請求台帳にありません",IF(AND(ISNUMBER($O96),$C96&lt;&gt;"",$C96&lt;&gt;$P96),"請求の得意先は "&amp;$P96&amp;" です",IF(ROUND(IF($B96&lt;&gt;"",SUMIF($B$5:$B$1004,$B96,$E$5:$E$1004)-SUMIF($B$5:$B$1004,$B96,$G$5:$G$1004),N($E96)-N($G96)),0)&lt;&gt;0,"通帳の額と当てた額の差 "&amp;TEXT(IF($B96&lt;&gt;"",SUMIF($B$5:$B$1004,$B96,$E$5:$E$1004)-SUMIF($B$5:$B$1004,$B96,$G$5:$G$1004),N($E96)-N($G96)),"#,##0"),IF(AND(ISNUMBER($O96),N($K96)&lt;0),"請求額より多く消し込んでいます",IF($F96="","消込先が未定","OK")))))))</f>
        <v/>
      </c>
      <c r="M96" s="19" t="n"/>
      <c r="N96" s="56" t="n"/>
      <c r="O96" s="32">
        <f>IF($F96="","",IFERROR(MATCH($F96,'請求台帳'!$A$5:$A$1004,0),"なし"))</f>
        <v/>
      </c>
      <c r="P96" s="37">
        <f>IF(NOT(OR($A96&lt;&gt;"",$E96&lt;&gt;"",$F96&lt;&gt;"",$G96&lt;&gt;"",$H96&lt;&gt;"",$I96&lt;&gt;"")),"",IF(ISNUMBER($O96),IF(INDEX('請求台帳'!$C$5:$C$1004,$O96)="","",INDEX('請求台帳'!$C$5:$C$1004,$O96)),IF($C96="","",$C96)))</f>
        <v/>
      </c>
      <c r="Q96" s="35">
        <f>IF(OR(NOT(OR($A96&lt;&gt;"",$E96&lt;&gt;"",$F96&lt;&gt;"",$G96&lt;&gt;"",$H96&lt;&gt;"",$I96&lt;&gt;"")),$P96="",$P96&lt;&gt;'売掛帳'!$B$3,NOT(ISNUMBER($A96)),N($G96)+N($H96)+N($I96)=0),"",IF(AND($A96&gt;='売掛帳'!$Q$3,$A96&lt;='売掛帳'!$Q$4),$A96+0.5+ROW()/10000000,""))</f>
        <v/>
      </c>
      <c r="R96" s="32">
        <f>IF(AND(OR($A96&lt;&gt;"",$E96&lt;&gt;"",$F96&lt;&gt;"",$G96&lt;&gt;"",$H96&lt;&gt;"",$I96&lt;&gt;""),NOT(ISNUMBER($O96))),1,"")</f>
        <v/>
      </c>
    </row>
    <row r="97" ht="18" customHeight="1">
      <c r="A97" s="26" t="n"/>
      <c r="B97" s="18" t="n"/>
      <c r="C97" s="18" t="n"/>
      <c r="D97" s="20">
        <f>IF($P97="","",IFERROR(INDEX('得意先'!$C$5:$C$104,MATCH($P97,'得意先'!$B$5:$B$104,0))&amp;"","※得意先にないコード"))</f>
        <v/>
      </c>
      <c r="E97" s="27" t="n"/>
      <c r="F97" s="18" t="n"/>
      <c r="G97" s="27" t="n"/>
      <c r="H97" s="27" t="n"/>
      <c r="I97" s="27" t="n"/>
      <c r="J97" s="28">
        <f>IF(NOT(OR($A97&lt;&gt;"",$E97&lt;&gt;"",$F97&lt;&gt;"",$G97&lt;&gt;"",$H97&lt;&gt;"",$I97&lt;&gt;"")),"",N($G97)+N($H97)+N($I97))</f>
        <v/>
      </c>
      <c r="K97" s="28">
        <f>IF(ISNUMBER($O97),INDEX('請求台帳'!$R$5:$R$1004,$O97),"")</f>
        <v/>
      </c>
      <c r="L97" s="20">
        <f>IF(NOT(OR($A97&lt;&gt;"",$E97&lt;&gt;"",$F97&lt;&gt;"",$G97&lt;&gt;"",$H97&lt;&gt;"",$I97&lt;&gt;"")),"",IF(NOT(ISNUMBER($A97)),"入金日がありません",IF(AND($F97&lt;&gt;"",$O97="なし"),"請求Noが請求台帳にありません",IF(AND(ISNUMBER($O97),$C97&lt;&gt;"",$C97&lt;&gt;$P97),"請求の得意先は "&amp;$P97&amp;" です",IF(ROUND(IF($B97&lt;&gt;"",SUMIF($B$5:$B$1004,$B97,$E$5:$E$1004)-SUMIF($B$5:$B$1004,$B97,$G$5:$G$1004),N($E97)-N($G97)),0)&lt;&gt;0,"通帳の額と当てた額の差 "&amp;TEXT(IF($B97&lt;&gt;"",SUMIF($B$5:$B$1004,$B97,$E$5:$E$1004)-SUMIF($B$5:$B$1004,$B97,$G$5:$G$1004),N($E97)-N($G97)),"#,##0"),IF(AND(ISNUMBER($O97),N($K97)&lt;0),"請求額より多く消し込んでいます",IF($F97="","消込先が未定","OK")))))))</f>
        <v/>
      </c>
      <c r="M97" s="19" t="n"/>
      <c r="N97" s="56" t="n"/>
      <c r="O97" s="32">
        <f>IF($F97="","",IFERROR(MATCH($F97,'請求台帳'!$A$5:$A$1004,0),"なし"))</f>
        <v/>
      </c>
      <c r="P97" s="37">
        <f>IF(NOT(OR($A97&lt;&gt;"",$E97&lt;&gt;"",$F97&lt;&gt;"",$G97&lt;&gt;"",$H97&lt;&gt;"",$I97&lt;&gt;"")),"",IF(ISNUMBER($O97),IF(INDEX('請求台帳'!$C$5:$C$1004,$O97)="","",INDEX('請求台帳'!$C$5:$C$1004,$O97)),IF($C97="","",$C97)))</f>
        <v/>
      </c>
      <c r="Q97" s="35">
        <f>IF(OR(NOT(OR($A97&lt;&gt;"",$E97&lt;&gt;"",$F97&lt;&gt;"",$G97&lt;&gt;"",$H97&lt;&gt;"",$I97&lt;&gt;"")),$P97="",$P97&lt;&gt;'売掛帳'!$B$3,NOT(ISNUMBER($A97)),N($G97)+N($H97)+N($I97)=0),"",IF(AND($A97&gt;='売掛帳'!$Q$3,$A97&lt;='売掛帳'!$Q$4),$A97+0.5+ROW()/10000000,""))</f>
        <v/>
      </c>
      <c r="R97" s="32">
        <f>IF(AND(OR($A97&lt;&gt;"",$E97&lt;&gt;"",$F97&lt;&gt;"",$G97&lt;&gt;"",$H97&lt;&gt;"",$I97&lt;&gt;""),NOT(ISNUMBER($O97))),1,"")</f>
        <v/>
      </c>
    </row>
    <row r="98" ht="18" customHeight="1">
      <c r="A98" s="26" t="n"/>
      <c r="B98" s="18" t="n"/>
      <c r="C98" s="18" t="n"/>
      <c r="D98" s="20">
        <f>IF($P98="","",IFERROR(INDEX('得意先'!$C$5:$C$104,MATCH($P98,'得意先'!$B$5:$B$104,0))&amp;"","※得意先にないコード"))</f>
        <v/>
      </c>
      <c r="E98" s="27" t="n"/>
      <c r="F98" s="18" t="n"/>
      <c r="G98" s="27" t="n"/>
      <c r="H98" s="27" t="n"/>
      <c r="I98" s="27" t="n"/>
      <c r="J98" s="28">
        <f>IF(NOT(OR($A98&lt;&gt;"",$E98&lt;&gt;"",$F98&lt;&gt;"",$G98&lt;&gt;"",$H98&lt;&gt;"",$I98&lt;&gt;"")),"",N($G98)+N($H98)+N($I98))</f>
        <v/>
      </c>
      <c r="K98" s="28">
        <f>IF(ISNUMBER($O98),INDEX('請求台帳'!$R$5:$R$1004,$O98),"")</f>
        <v/>
      </c>
      <c r="L98" s="20">
        <f>IF(NOT(OR($A98&lt;&gt;"",$E98&lt;&gt;"",$F98&lt;&gt;"",$G98&lt;&gt;"",$H98&lt;&gt;"",$I98&lt;&gt;"")),"",IF(NOT(ISNUMBER($A98)),"入金日がありません",IF(AND($F98&lt;&gt;"",$O98="なし"),"請求Noが請求台帳にありません",IF(AND(ISNUMBER($O98),$C98&lt;&gt;"",$C98&lt;&gt;$P98),"請求の得意先は "&amp;$P98&amp;" です",IF(ROUND(IF($B98&lt;&gt;"",SUMIF($B$5:$B$1004,$B98,$E$5:$E$1004)-SUMIF($B$5:$B$1004,$B98,$G$5:$G$1004),N($E98)-N($G98)),0)&lt;&gt;0,"通帳の額と当てた額の差 "&amp;TEXT(IF($B98&lt;&gt;"",SUMIF($B$5:$B$1004,$B98,$E$5:$E$1004)-SUMIF($B$5:$B$1004,$B98,$G$5:$G$1004),N($E98)-N($G98)),"#,##0"),IF(AND(ISNUMBER($O98),N($K98)&lt;0),"請求額より多く消し込んでいます",IF($F98="","消込先が未定","OK")))))))</f>
        <v/>
      </c>
      <c r="M98" s="19" t="n"/>
      <c r="N98" s="56" t="n"/>
      <c r="O98" s="32">
        <f>IF($F98="","",IFERROR(MATCH($F98,'請求台帳'!$A$5:$A$1004,0),"なし"))</f>
        <v/>
      </c>
      <c r="P98" s="37">
        <f>IF(NOT(OR($A98&lt;&gt;"",$E98&lt;&gt;"",$F98&lt;&gt;"",$G98&lt;&gt;"",$H98&lt;&gt;"",$I98&lt;&gt;"")),"",IF(ISNUMBER($O98),IF(INDEX('請求台帳'!$C$5:$C$1004,$O98)="","",INDEX('請求台帳'!$C$5:$C$1004,$O98)),IF($C98="","",$C98)))</f>
        <v/>
      </c>
      <c r="Q98" s="35">
        <f>IF(OR(NOT(OR($A98&lt;&gt;"",$E98&lt;&gt;"",$F98&lt;&gt;"",$G98&lt;&gt;"",$H98&lt;&gt;"",$I98&lt;&gt;"")),$P98="",$P98&lt;&gt;'売掛帳'!$B$3,NOT(ISNUMBER($A98)),N($G98)+N($H98)+N($I98)=0),"",IF(AND($A98&gt;='売掛帳'!$Q$3,$A98&lt;='売掛帳'!$Q$4),$A98+0.5+ROW()/10000000,""))</f>
        <v/>
      </c>
      <c r="R98" s="32">
        <f>IF(AND(OR($A98&lt;&gt;"",$E98&lt;&gt;"",$F98&lt;&gt;"",$G98&lt;&gt;"",$H98&lt;&gt;"",$I98&lt;&gt;""),NOT(ISNUMBER($O98))),1,"")</f>
        <v/>
      </c>
    </row>
    <row r="99" ht="18" customHeight="1">
      <c r="A99" s="26" t="n"/>
      <c r="B99" s="18" t="n"/>
      <c r="C99" s="18" t="n"/>
      <c r="D99" s="20">
        <f>IF($P99="","",IFERROR(INDEX('得意先'!$C$5:$C$104,MATCH($P99,'得意先'!$B$5:$B$104,0))&amp;"","※得意先にないコード"))</f>
        <v/>
      </c>
      <c r="E99" s="27" t="n"/>
      <c r="F99" s="18" t="n"/>
      <c r="G99" s="27" t="n"/>
      <c r="H99" s="27" t="n"/>
      <c r="I99" s="27" t="n"/>
      <c r="J99" s="28">
        <f>IF(NOT(OR($A99&lt;&gt;"",$E99&lt;&gt;"",$F99&lt;&gt;"",$G99&lt;&gt;"",$H99&lt;&gt;"",$I99&lt;&gt;"")),"",N($G99)+N($H99)+N($I99))</f>
        <v/>
      </c>
      <c r="K99" s="28">
        <f>IF(ISNUMBER($O99),INDEX('請求台帳'!$R$5:$R$1004,$O99),"")</f>
        <v/>
      </c>
      <c r="L99" s="20">
        <f>IF(NOT(OR($A99&lt;&gt;"",$E99&lt;&gt;"",$F99&lt;&gt;"",$G99&lt;&gt;"",$H99&lt;&gt;"",$I99&lt;&gt;"")),"",IF(NOT(ISNUMBER($A99)),"入金日がありません",IF(AND($F99&lt;&gt;"",$O99="なし"),"請求Noが請求台帳にありません",IF(AND(ISNUMBER($O99),$C99&lt;&gt;"",$C99&lt;&gt;$P99),"請求の得意先は "&amp;$P99&amp;" です",IF(ROUND(IF($B99&lt;&gt;"",SUMIF($B$5:$B$1004,$B99,$E$5:$E$1004)-SUMIF($B$5:$B$1004,$B99,$G$5:$G$1004),N($E99)-N($G99)),0)&lt;&gt;0,"通帳の額と当てた額の差 "&amp;TEXT(IF($B99&lt;&gt;"",SUMIF($B$5:$B$1004,$B99,$E$5:$E$1004)-SUMIF($B$5:$B$1004,$B99,$G$5:$G$1004),N($E99)-N($G99)),"#,##0"),IF(AND(ISNUMBER($O99),N($K99)&lt;0),"請求額より多く消し込んでいます",IF($F99="","消込先が未定","OK")))))))</f>
        <v/>
      </c>
      <c r="M99" s="19" t="n"/>
      <c r="N99" s="56" t="n"/>
      <c r="O99" s="32">
        <f>IF($F99="","",IFERROR(MATCH($F99,'請求台帳'!$A$5:$A$1004,0),"なし"))</f>
        <v/>
      </c>
      <c r="P99" s="37">
        <f>IF(NOT(OR($A99&lt;&gt;"",$E99&lt;&gt;"",$F99&lt;&gt;"",$G99&lt;&gt;"",$H99&lt;&gt;"",$I99&lt;&gt;"")),"",IF(ISNUMBER($O99),IF(INDEX('請求台帳'!$C$5:$C$1004,$O99)="","",INDEX('請求台帳'!$C$5:$C$1004,$O99)),IF($C99="","",$C99)))</f>
        <v/>
      </c>
      <c r="Q99" s="35">
        <f>IF(OR(NOT(OR($A99&lt;&gt;"",$E99&lt;&gt;"",$F99&lt;&gt;"",$G99&lt;&gt;"",$H99&lt;&gt;"",$I99&lt;&gt;"")),$P99="",$P99&lt;&gt;'売掛帳'!$B$3,NOT(ISNUMBER($A99)),N($G99)+N($H99)+N($I99)=0),"",IF(AND($A99&gt;='売掛帳'!$Q$3,$A99&lt;='売掛帳'!$Q$4),$A99+0.5+ROW()/10000000,""))</f>
        <v/>
      </c>
      <c r="R99" s="32">
        <f>IF(AND(OR($A99&lt;&gt;"",$E99&lt;&gt;"",$F99&lt;&gt;"",$G99&lt;&gt;"",$H99&lt;&gt;"",$I99&lt;&gt;""),NOT(ISNUMBER($O99))),1,"")</f>
        <v/>
      </c>
    </row>
    <row r="100" ht="18" customHeight="1">
      <c r="A100" s="26" t="n"/>
      <c r="B100" s="18" t="n"/>
      <c r="C100" s="18" t="n"/>
      <c r="D100" s="20">
        <f>IF($P100="","",IFERROR(INDEX('得意先'!$C$5:$C$104,MATCH($P100,'得意先'!$B$5:$B$104,0))&amp;"","※得意先にないコード"))</f>
        <v/>
      </c>
      <c r="E100" s="27" t="n"/>
      <c r="F100" s="18" t="n"/>
      <c r="G100" s="27" t="n"/>
      <c r="H100" s="27" t="n"/>
      <c r="I100" s="27" t="n"/>
      <c r="J100" s="28">
        <f>IF(NOT(OR($A100&lt;&gt;"",$E100&lt;&gt;"",$F100&lt;&gt;"",$G100&lt;&gt;"",$H100&lt;&gt;"",$I100&lt;&gt;"")),"",N($G100)+N($H100)+N($I100))</f>
        <v/>
      </c>
      <c r="K100" s="28">
        <f>IF(ISNUMBER($O100),INDEX('請求台帳'!$R$5:$R$1004,$O100),"")</f>
        <v/>
      </c>
      <c r="L100" s="20">
        <f>IF(NOT(OR($A100&lt;&gt;"",$E100&lt;&gt;"",$F100&lt;&gt;"",$G100&lt;&gt;"",$H100&lt;&gt;"",$I100&lt;&gt;"")),"",IF(NOT(ISNUMBER($A100)),"入金日がありません",IF(AND($F100&lt;&gt;"",$O100="なし"),"請求Noが請求台帳にありません",IF(AND(ISNUMBER($O100),$C100&lt;&gt;"",$C100&lt;&gt;$P100),"請求の得意先は "&amp;$P100&amp;" です",IF(ROUND(IF($B100&lt;&gt;"",SUMIF($B$5:$B$1004,$B100,$E$5:$E$1004)-SUMIF($B$5:$B$1004,$B100,$G$5:$G$1004),N($E100)-N($G100)),0)&lt;&gt;0,"通帳の額と当てた額の差 "&amp;TEXT(IF($B100&lt;&gt;"",SUMIF($B$5:$B$1004,$B100,$E$5:$E$1004)-SUMIF($B$5:$B$1004,$B100,$G$5:$G$1004),N($E100)-N($G100)),"#,##0"),IF(AND(ISNUMBER($O100),N($K100)&lt;0),"請求額より多く消し込んでいます",IF($F100="","消込先が未定","OK")))))))</f>
        <v/>
      </c>
      <c r="M100" s="19" t="n"/>
      <c r="N100" s="56" t="n"/>
      <c r="O100" s="32">
        <f>IF($F100="","",IFERROR(MATCH($F100,'請求台帳'!$A$5:$A$1004,0),"なし"))</f>
        <v/>
      </c>
      <c r="P100" s="37">
        <f>IF(NOT(OR($A100&lt;&gt;"",$E100&lt;&gt;"",$F100&lt;&gt;"",$G100&lt;&gt;"",$H100&lt;&gt;"",$I100&lt;&gt;"")),"",IF(ISNUMBER($O100),IF(INDEX('請求台帳'!$C$5:$C$1004,$O100)="","",INDEX('請求台帳'!$C$5:$C$1004,$O100)),IF($C100="","",$C100)))</f>
        <v/>
      </c>
      <c r="Q100" s="35">
        <f>IF(OR(NOT(OR($A100&lt;&gt;"",$E100&lt;&gt;"",$F100&lt;&gt;"",$G100&lt;&gt;"",$H100&lt;&gt;"",$I100&lt;&gt;"")),$P100="",$P100&lt;&gt;'売掛帳'!$B$3,NOT(ISNUMBER($A100)),N($G100)+N($H100)+N($I100)=0),"",IF(AND($A100&gt;='売掛帳'!$Q$3,$A100&lt;='売掛帳'!$Q$4),$A100+0.5+ROW()/10000000,""))</f>
        <v/>
      </c>
      <c r="R100" s="32">
        <f>IF(AND(OR($A100&lt;&gt;"",$E100&lt;&gt;"",$F100&lt;&gt;"",$G100&lt;&gt;"",$H100&lt;&gt;"",$I100&lt;&gt;""),NOT(ISNUMBER($O100))),1,"")</f>
        <v/>
      </c>
    </row>
    <row r="101" ht="18" customHeight="1">
      <c r="A101" s="26" t="n"/>
      <c r="B101" s="18" t="n"/>
      <c r="C101" s="18" t="n"/>
      <c r="D101" s="20">
        <f>IF($P101="","",IFERROR(INDEX('得意先'!$C$5:$C$104,MATCH($P101,'得意先'!$B$5:$B$104,0))&amp;"","※得意先にないコード"))</f>
        <v/>
      </c>
      <c r="E101" s="27" t="n"/>
      <c r="F101" s="18" t="n"/>
      <c r="G101" s="27" t="n"/>
      <c r="H101" s="27" t="n"/>
      <c r="I101" s="27" t="n"/>
      <c r="J101" s="28">
        <f>IF(NOT(OR($A101&lt;&gt;"",$E101&lt;&gt;"",$F101&lt;&gt;"",$G101&lt;&gt;"",$H101&lt;&gt;"",$I101&lt;&gt;"")),"",N($G101)+N($H101)+N($I101))</f>
        <v/>
      </c>
      <c r="K101" s="28">
        <f>IF(ISNUMBER($O101),INDEX('請求台帳'!$R$5:$R$1004,$O101),"")</f>
        <v/>
      </c>
      <c r="L101" s="20">
        <f>IF(NOT(OR($A101&lt;&gt;"",$E101&lt;&gt;"",$F101&lt;&gt;"",$G101&lt;&gt;"",$H101&lt;&gt;"",$I101&lt;&gt;"")),"",IF(NOT(ISNUMBER($A101)),"入金日がありません",IF(AND($F101&lt;&gt;"",$O101="なし"),"請求Noが請求台帳にありません",IF(AND(ISNUMBER($O101),$C101&lt;&gt;"",$C101&lt;&gt;$P101),"請求の得意先は "&amp;$P101&amp;" です",IF(ROUND(IF($B101&lt;&gt;"",SUMIF($B$5:$B$1004,$B101,$E$5:$E$1004)-SUMIF($B$5:$B$1004,$B101,$G$5:$G$1004),N($E101)-N($G101)),0)&lt;&gt;0,"通帳の額と当てた額の差 "&amp;TEXT(IF($B101&lt;&gt;"",SUMIF($B$5:$B$1004,$B101,$E$5:$E$1004)-SUMIF($B$5:$B$1004,$B101,$G$5:$G$1004),N($E101)-N($G101)),"#,##0"),IF(AND(ISNUMBER($O101),N($K101)&lt;0),"請求額より多く消し込んでいます",IF($F101="","消込先が未定","OK")))))))</f>
        <v/>
      </c>
      <c r="M101" s="19" t="n"/>
      <c r="N101" s="56" t="n"/>
      <c r="O101" s="32">
        <f>IF($F101="","",IFERROR(MATCH($F101,'請求台帳'!$A$5:$A$1004,0),"なし"))</f>
        <v/>
      </c>
      <c r="P101" s="37">
        <f>IF(NOT(OR($A101&lt;&gt;"",$E101&lt;&gt;"",$F101&lt;&gt;"",$G101&lt;&gt;"",$H101&lt;&gt;"",$I101&lt;&gt;"")),"",IF(ISNUMBER($O101),IF(INDEX('請求台帳'!$C$5:$C$1004,$O101)="","",INDEX('請求台帳'!$C$5:$C$1004,$O101)),IF($C101="","",$C101)))</f>
        <v/>
      </c>
      <c r="Q101" s="35">
        <f>IF(OR(NOT(OR($A101&lt;&gt;"",$E101&lt;&gt;"",$F101&lt;&gt;"",$G101&lt;&gt;"",$H101&lt;&gt;"",$I101&lt;&gt;"")),$P101="",$P101&lt;&gt;'売掛帳'!$B$3,NOT(ISNUMBER($A101)),N($G101)+N($H101)+N($I101)=0),"",IF(AND($A101&gt;='売掛帳'!$Q$3,$A101&lt;='売掛帳'!$Q$4),$A101+0.5+ROW()/10000000,""))</f>
        <v/>
      </c>
      <c r="R101" s="32">
        <f>IF(AND(OR($A101&lt;&gt;"",$E101&lt;&gt;"",$F101&lt;&gt;"",$G101&lt;&gt;"",$H101&lt;&gt;"",$I101&lt;&gt;""),NOT(ISNUMBER($O101))),1,"")</f>
        <v/>
      </c>
    </row>
    <row r="102" ht="18" customHeight="1">
      <c r="A102" s="26" t="n"/>
      <c r="B102" s="18" t="n"/>
      <c r="C102" s="18" t="n"/>
      <c r="D102" s="20">
        <f>IF($P102="","",IFERROR(INDEX('得意先'!$C$5:$C$104,MATCH($P102,'得意先'!$B$5:$B$104,0))&amp;"","※得意先にないコード"))</f>
        <v/>
      </c>
      <c r="E102" s="27" t="n"/>
      <c r="F102" s="18" t="n"/>
      <c r="G102" s="27" t="n"/>
      <c r="H102" s="27" t="n"/>
      <c r="I102" s="27" t="n"/>
      <c r="J102" s="28">
        <f>IF(NOT(OR($A102&lt;&gt;"",$E102&lt;&gt;"",$F102&lt;&gt;"",$G102&lt;&gt;"",$H102&lt;&gt;"",$I102&lt;&gt;"")),"",N($G102)+N($H102)+N($I102))</f>
        <v/>
      </c>
      <c r="K102" s="28">
        <f>IF(ISNUMBER($O102),INDEX('請求台帳'!$R$5:$R$1004,$O102),"")</f>
        <v/>
      </c>
      <c r="L102" s="20">
        <f>IF(NOT(OR($A102&lt;&gt;"",$E102&lt;&gt;"",$F102&lt;&gt;"",$G102&lt;&gt;"",$H102&lt;&gt;"",$I102&lt;&gt;"")),"",IF(NOT(ISNUMBER($A102)),"入金日がありません",IF(AND($F102&lt;&gt;"",$O102="なし"),"請求Noが請求台帳にありません",IF(AND(ISNUMBER($O102),$C102&lt;&gt;"",$C102&lt;&gt;$P102),"請求の得意先は "&amp;$P102&amp;" です",IF(ROUND(IF($B102&lt;&gt;"",SUMIF($B$5:$B$1004,$B102,$E$5:$E$1004)-SUMIF($B$5:$B$1004,$B102,$G$5:$G$1004),N($E102)-N($G102)),0)&lt;&gt;0,"通帳の額と当てた額の差 "&amp;TEXT(IF($B102&lt;&gt;"",SUMIF($B$5:$B$1004,$B102,$E$5:$E$1004)-SUMIF($B$5:$B$1004,$B102,$G$5:$G$1004),N($E102)-N($G102)),"#,##0"),IF(AND(ISNUMBER($O102),N($K102)&lt;0),"請求額より多く消し込んでいます",IF($F102="","消込先が未定","OK")))))))</f>
        <v/>
      </c>
      <c r="M102" s="19" t="n"/>
      <c r="N102" s="56" t="n"/>
      <c r="O102" s="32">
        <f>IF($F102="","",IFERROR(MATCH($F102,'請求台帳'!$A$5:$A$1004,0),"なし"))</f>
        <v/>
      </c>
      <c r="P102" s="37">
        <f>IF(NOT(OR($A102&lt;&gt;"",$E102&lt;&gt;"",$F102&lt;&gt;"",$G102&lt;&gt;"",$H102&lt;&gt;"",$I102&lt;&gt;"")),"",IF(ISNUMBER($O102),IF(INDEX('請求台帳'!$C$5:$C$1004,$O102)="","",INDEX('請求台帳'!$C$5:$C$1004,$O102)),IF($C102="","",$C102)))</f>
        <v/>
      </c>
      <c r="Q102" s="35">
        <f>IF(OR(NOT(OR($A102&lt;&gt;"",$E102&lt;&gt;"",$F102&lt;&gt;"",$G102&lt;&gt;"",$H102&lt;&gt;"",$I102&lt;&gt;"")),$P102="",$P102&lt;&gt;'売掛帳'!$B$3,NOT(ISNUMBER($A102)),N($G102)+N($H102)+N($I102)=0),"",IF(AND($A102&gt;='売掛帳'!$Q$3,$A102&lt;='売掛帳'!$Q$4),$A102+0.5+ROW()/10000000,""))</f>
        <v/>
      </c>
      <c r="R102" s="32">
        <f>IF(AND(OR($A102&lt;&gt;"",$E102&lt;&gt;"",$F102&lt;&gt;"",$G102&lt;&gt;"",$H102&lt;&gt;"",$I102&lt;&gt;""),NOT(ISNUMBER($O102))),1,"")</f>
        <v/>
      </c>
    </row>
    <row r="103" ht="18" customHeight="1">
      <c r="A103" s="26" t="n"/>
      <c r="B103" s="18" t="n"/>
      <c r="C103" s="18" t="n"/>
      <c r="D103" s="20">
        <f>IF($P103="","",IFERROR(INDEX('得意先'!$C$5:$C$104,MATCH($P103,'得意先'!$B$5:$B$104,0))&amp;"","※得意先にないコード"))</f>
        <v/>
      </c>
      <c r="E103" s="27" t="n"/>
      <c r="F103" s="18" t="n"/>
      <c r="G103" s="27" t="n"/>
      <c r="H103" s="27" t="n"/>
      <c r="I103" s="27" t="n"/>
      <c r="J103" s="28">
        <f>IF(NOT(OR($A103&lt;&gt;"",$E103&lt;&gt;"",$F103&lt;&gt;"",$G103&lt;&gt;"",$H103&lt;&gt;"",$I103&lt;&gt;"")),"",N($G103)+N($H103)+N($I103))</f>
        <v/>
      </c>
      <c r="K103" s="28">
        <f>IF(ISNUMBER($O103),INDEX('請求台帳'!$R$5:$R$1004,$O103),"")</f>
        <v/>
      </c>
      <c r="L103" s="20">
        <f>IF(NOT(OR($A103&lt;&gt;"",$E103&lt;&gt;"",$F103&lt;&gt;"",$G103&lt;&gt;"",$H103&lt;&gt;"",$I103&lt;&gt;"")),"",IF(NOT(ISNUMBER($A103)),"入金日がありません",IF(AND($F103&lt;&gt;"",$O103="なし"),"請求Noが請求台帳にありません",IF(AND(ISNUMBER($O103),$C103&lt;&gt;"",$C103&lt;&gt;$P103),"請求の得意先は "&amp;$P103&amp;" です",IF(ROUND(IF($B103&lt;&gt;"",SUMIF($B$5:$B$1004,$B103,$E$5:$E$1004)-SUMIF($B$5:$B$1004,$B103,$G$5:$G$1004),N($E103)-N($G103)),0)&lt;&gt;0,"通帳の額と当てた額の差 "&amp;TEXT(IF($B103&lt;&gt;"",SUMIF($B$5:$B$1004,$B103,$E$5:$E$1004)-SUMIF($B$5:$B$1004,$B103,$G$5:$G$1004),N($E103)-N($G103)),"#,##0"),IF(AND(ISNUMBER($O103),N($K103)&lt;0),"請求額より多く消し込んでいます",IF($F103="","消込先が未定","OK")))))))</f>
        <v/>
      </c>
      <c r="M103" s="19" t="n"/>
      <c r="N103" s="56" t="n"/>
      <c r="O103" s="32">
        <f>IF($F103="","",IFERROR(MATCH($F103,'請求台帳'!$A$5:$A$1004,0),"なし"))</f>
        <v/>
      </c>
      <c r="P103" s="37">
        <f>IF(NOT(OR($A103&lt;&gt;"",$E103&lt;&gt;"",$F103&lt;&gt;"",$G103&lt;&gt;"",$H103&lt;&gt;"",$I103&lt;&gt;"")),"",IF(ISNUMBER($O103),IF(INDEX('請求台帳'!$C$5:$C$1004,$O103)="","",INDEX('請求台帳'!$C$5:$C$1004,$O103)),IF($C103="","",$C103)))</f>
        <v/>
      </c>
      <c r="Q103" s="35">
        <f>IF(OR(NOT(OR($A103&lt;&gt;"",$E103&lt;&gt;"",$F103&lt;&gt;"",$G103&lt;&gt;"",$H103&lt;&gt;"",$I103&lt;&gt;"")),$P103="",$P103&lt;&gt;'売掛帳'!$B$3,NOT(ISNUMBER($A103)),N($G103)+N($H103)+N($I103)=0),"",IF(AND($A103&gt;='売掛帳'!$Q$3,$A103&lt;='売掛帳'!$Q$4),$A103+0.5+ROW()/10000000,""))</f>
        <v/>
      </c>
      <c r="R103" s="32">
        <f>IF(AND(OR($A103&lt;&gt;"",$E103&lt;&gt;"",$F103&lt;&gt;"",$G103&lt;&gt;"",$H103&lt;&gt;"",$I103&lt;&gt;""),NOT(ISNUMBER($O103))),1,"")</f>
        <v/>
      </c>
    </row>
    <row r="104" ht="18" customHeight="1">
      <c r="A104" s="26" t="n"/>
      <c r="B104" s="18" t="n"/>
      <c r="C104" s="18" t="n"/>
      <c r="D104" s="20">
        <f>IF($P104="","",IFERROR(INDEX('得意先'!$C$5:$C$104,MATCH($P104,'得意先'!$B$5:$B$104,0))&amp;"","※得意先にないコード"))</f>
        <v/>
      </c>
      <c r="E104" s="27" t="n"/>
      <c r="F104" s="18" t="n"/>
      <c r="G104" s="27" t="n"/>
      <c r="H104" s="27" t="n"/>
      <c r="I104" s="27" t="n"/>
      <c r="J104" s="28">
        <f>IF(NOT(OR($A104&lt;&gt;"",$E104&lt;&gt;"",$F104&lt;&gt;"",$G104&lt;&gt;"",$H104&lt;&gt;"",$I104&lt;&gt;"")),"",N($G104)+N($H104)+N($I104))</f>
        <v/>
      </c>
      <c r="K104" s="28">
        <f>IF(ISNUMBER($O104),INDEX('請求台帳'!$R$5:$R$1004,$O104),"")</f>
        <v/>
      </c>
      <c r="L104" s="20">
        <f>IF(NOT(OR($A104&lt;&gt;"",$E104&lt;&gt;"",$F104&lt;&gt;"",$G104&lt;&gt;"",$H104&lt;&gt;"",$I104&lt;&gt;"")),"",IF(NOT(ISNUMBER($A104)),"入金日がありません",IF(AND($F104&lt;&gt;"",$O104="なし"),"請求Noが請求台帳にありません",IF(AND(ISNUMBER($O104),$C104&lt;&gt;"",$C104&lt;&gt;$P104),"請求の得意先は "&amp;$P104&amp;" です",IF(ROUND(IF($B104&lt;&gt;"",SUMIF($B$5:$B$1004,$B104,$E$5:$E$1004)-SUMIF($B$5:$B$1004,$B104,$G$5:$G$1004),N($E104)-N($G104)),0)&lt;&gt;0,"通帳の額と当てた額の差 "&amp;TEXT(IF($B104&lt;&gt;"",SUMIF($B$5:$B$1004,$B104,$E$5:$E$1004)-SUMIF($B$5:$B$1004,$B104,$G$5:$G$1004),N($E104)-N($G104)),"#,##0"),IF(AND(ISNUMBER($O104),N($K104)&lt;0),"請求額より多く消し込んでいます",IF($F104="","消込先が未定","OK")))))))</f>
        <v/>
      </c>
      <c r="M104" s="19" t="n"/>
      <c r="N104" s="56" t="n"/>
      <c r="O104" s="32">
        <f>IF($F104="","",IFERROR(MATCH($F104,'請求台帳'!$A$5:$A$1004,0),"なし"))</f>
        <v/>
      </c>
      <c r="P104" s="37">
        <f>IF(NOT(OR($A104&lt;&gt;"",$E104&lt;&gt;"",$F104&lt;&gt;"",$G104&lt;&gt;"",$H104&lt;&gt;"",$I104&lt;&gt;"")),"",IF(ISNUMBER($O104),IF(INDEX('請求台帳'!$C$5:$C$1004,$O104)="","",INDEX('請求台帳'!$C$5:$C$1004,$O104)),IF($C104="","",$C104)))</f>
        <v/>
      </c>
      <c r="Q104" s="35">
        <f>IF(OR(NOT(OR($A104&lt;&gt;"",$E104&lt;&gt;"",$F104&lt;&gt;"",$G104&lt;&gt;"",$H104&lt;&gt;"",$I104&lt;&gt;"")),$P104="",$P104&lt;&gt;'売掛帳'!$B$3,NOT(ISNUMBER($A104)),N($G104)+N($H104)+N($I104)=0),"",IF(AND($A104&gt;='売掛帳'!$Q$3,$A104&lt;='売掛帳'!$Q$4),$A104+0.5+ROW()/10000000,""))</f>
        <v/>
      </c>
      <c r="R104" s="32">
        <f>IF(AND(OR($A104&lt;&gt;"",$E104&lt;&gt;"",$F104&lt;&gt;"",$G104&lt;&gt;"",$H104&lt;&gt;"",$I104&lt;&gt;""),NOT(ISNUMBER($O104))),1,"")</f>
        <v/>
      </c>
    </row>
    <row r="105" ht="18" customHeight="1">
      <c r="A105" s="26" t="n"/>
      <c r="B105" s="18" t="n"/>
      <c r="C105" s="18" t="n"/>
      <c r="D105" s="20">
        <f>IF($P105="","",IFERROR(INDEX('得意先'!$C$5:$C$104,MATCH($P105,'得意先'!$B$5:$B$104,0))&amp;"","※得意先にないコード"))</f>
        <v/>
      </c>
      <c r="E105" s="27" t="n"/>
      <c r="F105" s="18" t="n"/>
      <c r="G105" s="27" t="n"/>
      <c r="H105" s="27" t="n"/>
      <c r="I105" s="27" t="n"/>
      <c r="J105" s="28">
        <f>IF(NOT(OR($A105&lt;&gt;"",$E105&lt;&gt;"",$F105&lt;&gt;"",$G105&lt;&gt;"",$H105&lt;&gt;"",$I105&lt;&gt;"")),"",N($G105)+N($H105)+N($I105))</f>
        <v/>
      </c>
      <c r="K105" s="28">
        <f>IF(ISNUMBER($O105),INDEX('請求台帳'!$R$5:$R$1004,$O105),"")</f>
        <v/>
      </c>
      <c r="L105" s="20">
        <f>IF(NOT(OR($A105&lt;&gt;"",$E105&lt;&gt;"",$F105&lt;&gt;"",$G105&lt;&gt;"",$H105&lt;&gt;"",$I105&lt;&gt;"")),"",IF(NOT(ISNUMBER($A105)),"入金日がありません",IF(AND($F105&lt;&gt;"",$O105="なし"),"請求Noが請求台帳にありません",IF(AND(ISNUMBER($O105),$C105&lt;&gt;"",$C105&lt;&gt;$P105),"請求の得意先は "&amp;$P105&amp;" です",IF(ROUND(IF($B105&lt;&gt;"",SUMIF($B$5:$B$1004,$B105,$E$5:$E$1004)-SUMIF($B$5:$B$1004,$B105,$G$5:$G$1004),N($E105)-N($G105)),0)&lt;&gt;0,"通帳の額と当てた額の差 "&amp;TEXT(IF($B105&lt;&gt;"",SUMIF($B$5:$B$1004,$B105,$E$5:$E$1004)-SUMIF($B$5:$B$1004,$B105,$G$5:$G$1004),N($E105)-N($G105)),"#,##0"),IF(AND(ISNUMBER($O105),N($K105)&lt;0),"請求額より多く消し込んでいます",IF($F105="","消込先が未定","OK")))))))</f>
        <v/>
      </c>
      <c r="M105" s="19" t="n"/>
      <c r="N105" s="56" t="n"/>
      <c r="O105" s="32">
        <f>IF($F105="","",IFERROR(MATCH($F105,'請求台帳'!$A$5:$A$1004,0),"なし"))</f>
        <v/>
      </c>
      <c r="P105" s="37">
        <f>IF(NOT(OR($A105&lt;&gt;"",$E105&lt;&gt;"",$F105&lt;&gt;"",$G105&lt;&gt;"",$H105&lt;&gt;"",$I105&lt;&gt;"")),"",IF(ISNUMBER($O105),IF(INDEX('請求台帳'!$C$5:$C$1004,$O105)="","",INDEX('請求台帳'!$C$5:$C$1004,$O105)),IF($C105="","",$C105)))</f>
        <v/>
      </c>
      <c r="Q105" s="35">
        <f>IF(OR(NOT(OR($A105&lt;&gt;"",$E105&lt;&gt;"",$F105&lt;&gt;"",$G105&lt;&gt;"",$H105&lt;&gt;"",$I105&lt;&gt;"")),$P105="",$P105&lt;&gt;'売掛帳'!$B$3,NOT(ISNUMBER($A105)),N($G105)+N($H105)+N($I105)=0),"",IF(AND($A105&gt;='売掛帳'!$Q$3,$A105&lt;='売掛帳'!$Q$4),$A105+0.5+ROW()/10000000,""))</f>
        <v/>
      </c>
      <c r="R105" s="32">
        <f>IF(AND(OR($A105&lt;&gt;"",$E105&lt;&gt;"",$F105&lt;&gt;"",$G105&lt;&gt;"",$H105&lt;&gt;"",$I105&lt;&gt;""),NOT(ISNUMBER($O105))),1,"")</f>
        <v/>
      </c>
    </row>
    <row r="106" ht="18" customHeight="1">
      <c r="A106" s="26" t="n"/>
      <c r="B106" s="18" t="n"/>
      <c r="C106" s="18" t="n"/>
      <c r="D106" s="20">
        <f>IF($P106="","",IFERROR(INDEX('得意先'!$C$5:$C$104,MATCH($P106,'得意先'!$B$5:$B$104,0))&amp;"","※得意先にないコード"))</f>
        <v/>
      </c>
      <c r="E106" s="27" t="n"/>
      <c r="F106" s="18" t="n"/>
      <c r="G106" s="27" t="n"/>
      <c r="H106" s="27" t="n"/>
      <c r="I106" s="27" t="n"/>
      <c r="J106" s="28">
        <f>IF(NOT(OR($A106&lt;&gt;"",$E106&lt;&gt;"",$F106&lt;&gt;"",$G106&lt;&gt;"",$H106&lt;&gt;"",$I106&lt;&gt;"")),"",N($G106)+N($H106)+N($I106))</f>
        <v/>
      </c>
      <c r="K106" s="28">
        <f>IF(ISNUMBER($O106),INDEX('請求台帳'!$R$5:$R$1004,$O106),"")</f>
        <v/>
      </c>
      <c r="L106" s="20">
        <f>IF(NOT(OR($A106&lt;&gt;"",$E106&lt;&gt;"",$F106&lt;&gt;"",$G106&lt;&gt;"",$H106&lt;&gt;"",$I106&lt;&gt;"")),"",IF(NOT(ISNUMBER($A106)),"入金日がありません",IF(AND($F106&lt;&gt;"",$O106="なし"),"請求Noが請求台帳にありません",IF(AND(ISNUMBER($O106),$C106&lt;&gt;"",$C106&lt;&gt;$P106),"請求の得意先は "&amp;$P106&amp;" です",IF(ROUND(IF($B106&lt;&gt;"",SUMIF($B$5:$B$1004,$B106,$E$5:$E$1004)-SUMIF($B$5:$B$1004,$B106,$G$5:$G$1004),N($E106)-N($G106)),0)&lt;&gt;0,"通帳の額と当てた額の差 "&amp;TEXT(IF($B106&lt;&gt;"",SUMIF($B$5:$B$1004,$B106,$E$5:$E$1004)-SUMIF($B$5:$B$1004,$B106,$G$5:$G$1004),N($E106)-N($G106)),"#,##0"),IF(AND(ISNUMBER($O106),N($K106)&lt;0),"請求額より多く消し込んでいます",IF($F106="","消込先が未定","OK")))))))</f>
        <v/>
      </c>
      <c r="M106" s="19" t="n"/>
      <c r="N106" s="56" t="n"/>
      <c r="O106" s="32">
        <f>IF($F106="","",IFERROR(MATCH($F106,'請求台帳'!$A$5:$A$1004,0),"なし"))</f>
        <v/>
      </c>
      <c r="P106" s="37">
        <f>IF(NOT(OR($A106&lt;&gt;"",$E106&lt;&gt;"",$F106&lt;&gt;"",$G106&lt;&gt;"",$H106&lt;&gt;"",$I106&lt;&gt;"")),"",IF(ISNUMBER($O106),IF(INDEX('請求台帳'!$C$5:$C$1004,$O106)="","",INDEX('請求台帳'!$C$5:$C$1004,$O106)),IF($C106="","",$C106)))</f>
        <v/>
      </c>
      <c r="Q106" s="35">
        <f>IF(OR(NOT(OR($A106&lt;&gt;"",$E106&lt;&gt;"",$F106&lt;&gt;"",$G106&lt;&gt;"",$H106&lt;&gt;"",$I106&lt;&gt;"")),$P106="",$P106&lt;&gt;'売掛帳'!$B$3,NOT(ISNUMBER($A106)),N($G106)+N($H106)+N($I106)=0),"",IF(AND($A106&gt;='売掛帳'!$Q$3,$A106&lt;='売掛帳'!$Q$4),$A106+0.5+ROW()/10000000,""))</f>
        <v/>
      </c>
      <c r="R106" s="32">
        <f>IF(AND(OR($A106&lt;&gt;"",$E106&lt;&gt;"",$F106&lt;&gt;"",$G106&lt;&gt;"",$H106&lt;&gt;"",$I106&lt;&gt;""),NOT(ISNUMBER($O106))),1,"")</f>
        <v/>
      </c>
    </row>
    <row r="107" ht="18" customHeight="1">
      <c r="A107" s="26" t="n"/>
      <c r="B107" s="18" t="n"/>
      <c r="C107" s="18" t="n"/>
      <c r="D107" s="20">
        <f>IF($P107="","",IFERROR(INDEX('得意先'!$C$5:$C$104,MATCH($P107,'得意先'!$B$5:$B$104,0))&amp;"","※得意先にないコード"))</f>
        <v/>
      </c>
      <c r="E107" s="27" t="n"/>
      <c r="F107" s="18" t="n"/>
      <c r="G107" s="27" t="n"/>
      <c r="H107" s="27" t="n"/>
      <c r="I107" s="27" t="n"/>
      <c r="J107" s="28">
        <f>IF(NOT(OR($A107&lt;&gt;"",$E107&lt;&gt;"",$F107&lt;&gt;"",$G107&lt;&gt;"",$H107&lt;&gt;"",$I107&lt;&gt;"")),"",N($G107)+N($H107)+N($I107))</f>
        <v/>
      </c>
      <c r="K107" s="28">
        <f>IF(ISNUMBER($O107),INDEX('請求台帳'!$R$5:$R$1004,$O107),"")</f>
        <v/>
      </c>
      <c r="L107" s="20">
        <f>IF(NOT(OR($A107&lt;&gt;"",$E107&lt;&gt;"",$F107&lt;&gt;"",$G107&lt;&gt;"",$H107&lt;&gt;"",$I107&lt;&gt;"")),"",IF(NOT(ISNUMBER($A107)),"入金日がありません",IF(AND($F107&lt;&gt;"",$O107="なし"),"請求Noが請求台帳にありません",IF(AND(ISNUMBER($O107),$C107&lt;&gt;"",$C107&lt;&gt;$P107),"請求の得意先は "&amp;$P107&amp;" です",IF(ROUND(IF($B107&lt;&gt;"",SUMIF($B$5:$B$1004,$B107,$E$5:$E$1004)-SUMIF($B$5:$B$1004,$B107,$G$5:$G$1004),N($E107)-N($G107)),0)&lt;&gt;0,"通帳の額と当てた額の差 "&amp;TEXT(IF($B107&lt;&gt;"",SUMIF($B$5:$B$1004,$B107,$E$5:$E$1004)-SUMIF($B$5:$B$1004,$B107,$G$5:$G$1004),N($E107)-N($G107)),"#,##0"),IF(AND(ISNUMBER($O107),N($K107)&lt;0),"請求額より多く消し込んでいます",IF($F107="","消込先が未定","OK")))))))</f>
        <v/>
      </c>
      <c r="M107" s="19" t="n"/>
      <c r="N107" s="56" t="n"/>
      <c r="O107" s="32">
        <f>IF($F107="","",IFERROR(MATCH($F107,'請求台帳'!$A$5:$A$1004,0),"なし"))</f>
        <v/>
      </c>
      <c r="P107" s="37">
        <f>IF(NOT(OR($A107&lt;&gt;"",$E107&lt;&gt;"",$F107&lt;&gt;"",$G107&lt;&gt;"",$H107&lt;&gt;"",$I107&lt;&gt;"")),"",IF(ISNUMBER($O107),IF(INDEX('請求台帳'!$C$5:$C$1004,$O107)="","",INDEX('請求台帳'!$C$5:$C$1004,$O107)),IF($C107="","",$C107)))</f>
        <v/>
      </c>
      <c r="Q107" s="35">
        <f>IF(OR(NOT(OR($A107&lt;&gt;"",$E107&lt;&gt;"",$F107&lt;&gt;"",$G107&lt;&gt;"",$H107&lt;&gt;"",$I107&lt;&gt;"")),$P107="",$P107&lt;&gt;'売掛帳'!$B$3,NOT(ISNUMBER($A107)),N($G107)+N($H107)+N($I107)=0),"",IF(AND($A107&gt;='売掛帳'!$Q$3,$A107&lt;='売掛帳'!$Q$4),$A107+0.5+ROW()/10000000,""))</f>
        <v/>
      </c>
      <c r="R107" s="32">
        <f>IF(AND(OR($A107&lt;&gt;"",$E107&lt;&gt;"",$F107&lt;&gt;"",$G107&lt;&gt;"",$H107&lt;&gt;"",$I107&lt;&gt;""),NOT(ISNUMBER($O107))),1,"")</f>
        <v/>
      </c>
    </row>
    <row r="108" ht="18" customHeight="1">
      <c r="A108" s="26" t="n"/>
      <c r="B108" s="18" t="n"/>
      <c r="C108" s="18" t="n"/>
      <c r="D108" s="20">
        <f>IF($P108="","",IFERROR(INDEX('得意先'!$C$5:$C$104,MATCH($P108,'得意先'!$B$5:$B$104,0))&amp;"","※得意先にないコード"))</f>
        <v/>
      </c>
      <c r="E108" s="27" t="n"/>
      <c r="F108" s="18" t="n"/>
      <c r="G108" s="27" t="n"/>
      <c r="H108" s="27" t="n"/>
      <c r="I108" s="27" t="n"/>
      <c r="J108" s="28">
        <f>IF(NOT(OR($A108&lt;&gt;"",$E108&lt;&gt;"",$F108&lt;&gt;"",$G108&lt;&gt;"",$H108&lt;&gt;"",$I108&lt;&gt;"")),"",N($G108)+N($H108)+N($I108))</f>
        <v/>
      </c>
      <c r="K108" s="28">
        <f>IF(ISNUMBER($O108),INDEX('請求台帳'!$R$5:$R$1004,$O108),"")</f>
        <v/>
      </c>
      <c r="L108" s="20">
        <f>IF(NOT(OR($A108&lt;&gt;"",$E108&lt;&gt;"",$F108&lt;&gt;"",$G108&lt;&gt;"",$H108&lt;&gt;"",$I108&lt;&gt;"")),"",IF(NOT(ISNUMBER($A108)),"入金日がありません",IF(AND($F108&lt;&gt;"",$O108="なし"),"請求Noが請求台帳にありません",IF(AND(ISNUMBER($O108),$C108&lt;&gt;"",$C108&lt;&gt;$P108),"請求の得意先は "&amp;$P108&amp;" です",IF(ROUND(IF($B108&lt;&gt;"",SUMIF($B$5:$B$1004,$B108,$E$5:$E$1004)-SUMIF($B$5:$B$1004,$B108,$G$5:$G$1004),N($E108)-N($G108)),0)&lt;&gt;0,"通帳の額と当てた額の差 "&amp;TEXT(IF($B108&lt;&gt;"",SUMIF($B$5:$B$1004,$B108,$E$5:$E$1004)-SUMIF($B$5:$B$1004,$B108,$G$5:$G$1004),N($E108)-N($G108)),"#,##0"),IF(AND(ISNUMBER($O108),N($K108)&lt;0),"請求額より多く消し込んでいます",IF($F108="","消込先が未定","OK")))))))</f>
        <v/>
      </c>
      <c r="M108" s="19" t="n"/>
      <c r="N108" s="56" t="n"/>
      <c r="O108" s="32">
        <f>IF($F108="","",IFERROR(MATCH($F108,'請求台帳'!$A$5:$A$1004,0),"なし"))</f>
        <v/>
      </c>
      <c r="P108" s="37">
        <f>IF(NOT(OR($A108&lt;&gt;"",$E108&lt;&gt;"",$F108&lt;&gt;"",$G108&lt;&gt;"",$H108&lt;&gt;"",$I108&lt;&gt;"")),"",IF(ISNUMBER($O108),IF(INDEX('請求台帳'!$C$5:$C$1004,$O108)="","",INDEX('請求台帳'!$C$5:$C$1004,$O108)),IF($C108="","",$C108)))</f>
        <v/>
      </c>
      <c r="Q108" s="35">
        <f>IF(OR(NOT(OR($A108&lt;&gt;"",$E108&lt;&gt;"",$F108&lt;&gt;"",$G108&lt;&gt;"",$H108&lt;&gt;"",$I108&lt;&gt;"")),$P108="",$P108&lt;&gt;'売掛帳'!$B$3,NOT(ISNUMBER($A108)),N($G108)+N($H108)+N($I108)=0),"",IF(AND($A108&gt;='売掛帳'!$Q$3,$A108&lt;='売掛帳'!$Q$4),$A108+0.5+ROW()/10000000,""))</f>
        <v/>
      </c>
      <c r="R108" s="32">
        <f>IF(AND(OR($A108&lt;&gt;"",$E108&lt;&gt;"",$F108&lt;&gt;"",$G108&lt;&gt;"",$H108&lt;&gt;"",$I108&lt;&gt;""),NOT(ISNUMBER($O108))),1,"")</f>
        <v/>
      </c>
    </row>
    <row r="109" ht="18" customHeight="1">
      <c r="A109" s="26" t="n"/>
      <c r="B109" s="18" t="n"/>
      <c r="C109" s="18" t="n"/>
      <c r="D109" s="20">
        <f>IF($P109="","",IFERROR(INDEX('得意先'!$C$5:$C$104,MATCH($P109,'得意先'!$B$5:$B$104,0))&amp;"","※得意先にないコード"))</f>
        <v/>
      </c>
      <c r="E109" s="27" t="n"/>
      <c r="F109" s="18" t="n"/>
      <c r="G109" s="27" t="n"/>
      <c r="H109" s="27" t="n"/>
      <c r="I109" s="27" t="n"/>
      <c r="J109" s="28">
        <f>IF(NOT(OR($A109&lt;&gt;"",$E109&lt;&gt;"",$F109&lt;&gt;"",$G109&lt;&gt;"",$H109&lt;&gt;"",$I109&lt;&gt;"")),"",N($G109)+N($H109)+N($I109))</f>
        <v/>
      </c>
      <c r="K109" s="28">
        <f>IF(ISNUMBER($O109),INDEX('請求台帳'!$R$5:$R$1004,$O109),"")</f>
        <v/>
      </c>
      <c r="L109" s="20">
        <f>IF(NOT(OR($A109&lt;&gt;"",$E109&lt;&gt;"",$F109&lt;&gt;"",$G109&lt;&gt;"",$H109&lt;&gt;"",$I109&lt;&gt;"")),"",IF(NOT(ISNUMBER($A109)),"入金日がありません",IF(AND($F109&lt;&gt;"",$O109="なし"),"請求Noが請求台帳にありません",IF(AND(ISNUMBER($O109),$C109&lt;&gt;"",$C109&lt;&gt;$P109),"請求の得意先は "&amp;$P109&amp;" です",IF(ROUND(IF($B109&lt;&gt;"",SUMIF($B$5:$B$1004,$B109,$E$5:$E$1004)-SUMIF($B$5:$B$1004,$B109,$G$5:$G$1004),N($E109)-N($G109)),0)&lt;&gt;0,"通帳の額と当てた額の差 "&amp;TEXT(IF($B109&lt;&gt;"",SUMIF($B$5:$B$1004,$B109,$E$5:$E$1004)-SUMIF($B$5:$B$1004,$B109,$G$5:$G$1004),N($E109)-N($G109)),"#,##0"),IF(AND(ISNUMBER($O109),N($K109)&lt;0),"請求額より多く消し込んでいます",IF($F109="","消込先が未定","OK")))))))</f>
        <v/>
      </c>
      <c r="M109" s="19" t="n"/>
      <c r="N109" s="56" t="n"/>
      <c r="O109" s="32">
        <f>IF($F109="","",IFERROR(MATCH($F109,'請求台帳'!$A$5:$A$1004,0),"なし"))</f>
        <v/>
      </c>
      <c r="P109" s="37">
        <f>IF(NOT(OR($A109&lt;&gt;"",$E109&lt;&gt;"",$F109&lt;&gt;"",$G109&lt;&gt;"",$H109&lt;&gt;"",$I109&lt;&gt;"")),"",IF(ISNUMBER($O109),IF(INDEX('請求台帳'!$C$5:$C$1004,$O109)="","",INDEX('請求台帳'!$C$5:$C$1004,$O109)),IF($C109="","",$C109)))</f>
        <v/>
      </c>
      <c r="Q109" s="35">
        <f>IF(OR(NOT(OR($A109&lt;&gt;"",$E109&lt;&gt;"",$F109&lt;&gt;"",$G109&lt;&gt;"",$H109&lt;&gt;"",$I109&lt;&gt;"")),$P109="",$P109&lt;&gt;'売掛帳'!$B$3,NOT(ISNUMBER($A109)),N($G109)+N($H109)+N($I109)=0),"",IF(AND($A109&gt;='売掛帳'!$Q$3,$A109&lt;='売掛帳'!$Q$4),$A109+0.5+ROW()/10000000,""))</f>
        <v/>
      </c>
      <c r="R109" s="32">
        <f>IF(AND(OR($A109&lt;&gt;"",$E109&lt;&gt;"",$F109&lt;&gt;"",$G109&lt;&gt;"",$H109&lt;&gt;"",$I109&lt;&gt;""),NOT(ISNUMBER($O109))),1,"")</f>
        <v/>
      </c>
    </row>
    <row r="110" ht="18" customHeight="1">
      <c r="A110" s="26" t="n"/>
      <c r="B110" s="18" t="n"/>
      <c r="C110" s="18" t="n"/>
      <c r="D110" s="20">
        <f>IF($P110="","",IFERROR(INDEX('得意先'!$C$5:$C$104,MATCH($P110,'得意先'!$B$5:$B$104,0))&amp;"","※得意先にないコード"))</f>
        <v/>
      </c>
      <c r="E110" s="27" t="n"/>
      <c r="F110" s="18" t="n"/>
      <c r="G110" s="27" t="n"/>
      <c r="H110" s="27" t="n"/>
      <c r="I110" s="27" t="n"/>
      <c r="J110" s="28">
        <f>IF(NOT(OR($A110&lt;&gt;"",$E110&lt;&gt;"",$F110&lt;&gt;"",$G110&lt;&gt;"",$H110&lt;&gt;"",$I110&lt;&gt;"")),"",N($G110)+N($H110)+N($I110))</f>
        <v/>
      </c>
      <c r="K110" s="28">
        <f>IF(ISNUMBER($O110),INDEX('請求台帳'!$R$5:$R$1004,$O110),"")</f>
        <v/>
      </c>
      <c r="L110" s="20">
        <f>IF(NOT(OR($A110&lt;&gt;"",$E110&lt;&gt;"",$F110&lt;&gt;"",$G110&lt;&gt;"",$H110&lt;&gt;"",$I110&lt;&gt;"")),"",IF(NOT(ISNUMBER($A110)),"入金日がありません",IF(AND($F110&lt;&gt;"",$O110="なし"),"請求Noが請求台帳にありません",IF(AND(ISNUMBER($O110),$C110&lt;&gt;"",$C110&lt;&gt;$P110),"請求の得意先は "&amp;$P110&amp;" です",IF(ROUND(IF($B110&lt;&gt;"",SUMIF($B$5:$B$1004,$B110,$E$5:$E$1004)-SUMIF($B$5:$B$1004,$B110,$G$5:$G$1004),N($E110)-N($G110)),0)&lt;&gt;0,"通帳の額と当てた額の差 "&amp;TEXT(IF($B110&lt;&gt;"",SUMIF($B$5:$B$1004,$B110,$E$5:$E$1004)-SUMIF($B$5:$B$1004,$B110,$G$5:$G$1004),N($E110)-N($G110)),"#,##0"),IF(AND(ISNUMBER($O110),N($K110)&lt;0),"請求額より多く消し込んでいます",IF($F110="","消込先が未定","OK")))))))</f>
        <v/>
      </c>
      <c r="M110" s="19" t="n"/>
      <c r="N110" s="56" t="n"/>
      <c r="O110" s="32">
        <f>IF($F110="","",IFERROR(MATCH($F110,'請求台帳'!$A$5:$A$1004,0),"なし"))</f>
        <v/>
      </c>
      <c r="P110" s="37">
        <f>IF(NOT(OR($A110&lt;&gt;"",$E110&lt;&gt;"",$F110&lt;&gt;"",$G110&lt;&gt;"",$H110&lt;&gt;"",$I110&lt;&gt;"")),"",IF(ISNUMBER($O110),IF(INDEX('請求台帳'!$C$5:$C$1004,$O110)="","",INDEX('請求台帳'!$C$5:$C$1004,$O110)),IF($C110="","",$C110)))</f>
        <v/>
      </c>
      <c r="Q110" s="35">
        <f>IF(OR(NOT(OR($A110&lt;&gt;"",$E110&lt;&gt;"",$F110&lt;&gt;"",$G110&lt;&gt;"",$H110&lt;&gt;"",$I110&lt;&gt;"")),$P110="",$P110&lt;&gt;'売掛帳'!$B$3,NOT(ISNUMBER($A110)),N($G110)+N($H110)+N($I110)=0),"",IF(AND($A110&gt;='売掛帳'!$Q$3,$A110&lt;='売掛帳'!$Q$4),$A110+0.5+ROW()/10000000,""))</f>
        <v/>
      </c>
      <c r="R110" s="32">
        <f>IF(AND(OR($A110&lt;&gt;"",$E110&lt;&gt;"",$F110&lt;&gt;"",$G110&lt;&gt;"",$H110&lt;&gt;"",$I110&lt;&gt;""),NOT(ISNUMBER($O110))),1,"")</f>
        <v/>
      </c>
    </row>
    <row r="111" ht="18" customHeight="1">
      <c r="A111" s="26" t="n"/>
      <c r="B111" s="18" t="n"/>
      <c r="C111" s="18" t="n"/>
      <c r="D111" s="20">
        <f>IF($P111="","",IFERROR(INDEX('得意先'!$C$5:$C$104,MATCH($P111,'得意先'!$B$5:$B$104,0))&amp;"","※得意先にないコード"))</f>
        <v/>
      </c>
      <c r="E111" s="27" t="n"/>
      <c r="F111" s="18" t="n"/>
      <c r="G111" s="27" t="n"/>
      <c r="H111" s="27" t="n"/>
      <c r="I111" s="27" t="n"/>
      <c r="J111" s="28">
        <f>IF(NOT(OR($A111&lt;&gt;"",$E111&lt;&gt;"",$F111&lt;&gt;"",$G111&lt;&gt;"",$H111&lt;&gt;"",$I111&lt;&gt;"")),"",N($G111)+N($H111)+N($I111))</f>
        <v/>
      </c>
      <c r="K111" s="28">
        <f>IF(ISNUMBER($O111),INDEX('請求台帳'!$R$5:$R$1004,$O111),"")</f>
        <v/>
      </c>
      <c r="L111" s="20">
        <f>IF(NOT(OR($A111&lt;&gt;"",$E111&lt;&gt;"",$F111&lt;&gt;"",$G111&lt;&gt;"",$H111&lt;&gt;"",$I111&lt;&gt;"")),"",IF(NOT(ISNUMBER($A111)),"入金日がありません",IF(AND($F111&lt;&gt;"",$O111="なし"),"請求Noが請求台帳にありません",IF(AND(ISNUMBER($O111),$C111&lt;&gt;"",$C111&lt;&gt;$P111),"請求の得意先は "&amp;$P111&amp;" です",IF(ROUND(IF($B111&lt;&gt;"",SUMIF($B$5:$B$1004,$B111,$E$5:$E$1004)-SUMIF($B$5:$B$1004,$B111,$G$5:$G$1004),N($E111)-N($G111)),0)&lt;&gt;0,"通帳の額と当てた額の差 "&amp;TEXT(IF($B111&lt;&gt;"",SUMIF($B$5:$B$1004,$B111,$E$5:$E$1004)-SUMIF($B$5:$B$1004,$B111,$G$5:$G$1004),N($E111)-N($G111)),"#,##0"),IF(AND(ISNUMBER($O111),N($K111)&lt;0),"請求額より多く消し込んでいます",IF($F111="","消込先が未定","OK")))))))</f>
        <v/>
      </c>
      <c r="M111" s="19" t="n"/>
      <c r="N111" s="56" t="n"/>
      <c r="O111" s="32">
        <f>IF($F111="","",IFERROR(MATCH($F111,'請求台帳'!$A$5:$A$1004,0),"なし"))</f>
        <v/>
      </c>
      <c r="P111" s="37">
        <f>IF(NOT(OR($A111&lt;&gt;"",$E111&lt;&gt;"",$F111&lt;&gt;"",$G111&lt;&gt;"",$H111&lt;&gt;"",$I111&lt;&gt;"")),"",IF(ISNUMBER($O111),IF(INDEX('請求台帳'!$C$5:$C$1004,$O111)="","",INDEX('請求台帳'!$C$5:$C$1004,$O111)),IF($C111="","",$C111)))</f>
        <v/>
      </c>
      <c r="Q111" s="35">
        <f>IF(OR(NOT(OR($A111&lt;&gt;"",$E111&lt;&gt;"",$F111&lt;&gt;"",$G111&lt;&gt;"",$H111&lt;&gt;"",$I111&lt;&gt;"")),$P111="",$P111&lt;&gt;'売掛帳'!$B$3,NOT(ISNUMBER($A111)),N($G111)+N($H111)+N($I111)=0),"",IF(AND($A111&gt;='売掛帳'!$Q$3,$A111&lt;='売掛帳'!$Q$4),$A111+0.5+ROW()/10000000,""))</f>
        <v/>
      </c>
      <c r="R111" s="32">
        <f>IF(AND(OR($A111&lt;&gt;"",$E111&lt;&gt;"",$F111&lt;&gt;"",$G111&lt;&gt;"",$H111&lt;&gt;"",$I111&lt;&gt;""),NOT(ISNUMBER($O111))),1,"")</f>
        <v/>
      </c>
    </row>
    <row r="112" ht="18" customHeight="1">
      <c r="A112" s="26" t="n"/>
      <c r="B112" s="18" t="n"/>
      <c r="C112" s="18" t="n"/>
      <c r="D112" s="20">
        <f>IF($P112="","",IFERROR(INDEX('得意先'!$C$5:$C$104,MATCH($P112,'得意先'!$B$5:$B$104,0))&amp;"","※得意先にないコード"))</f>
        <v/>
      </c>
      <c r="E112" s="27" t="n"/>
      <c r="F112" s="18" t="n"/>
      <c r="G112" s="27" t="n"/>
      <c r="H112" s="27" t="n"/>
      <c r="I112" s="27" t="n"/>
      <c r="J112" s="28">
        <f>IF(NOT(OR($A112&lt;&gt;"",$E112&lt;&gt;"",$F112&lt;&gt;"",$G112&lt;&gt;"",$H112&lt;&gt;"",$I112&lt;&gt;"")),"",N($G112)+N($H112)+N($I112))</f>
        <v/>
      </c>
      <c r="K112" s="28">
        <f>IF(ISNUMBER($O112),INDEX('請求台帳'!$R$5:$R$1004,$O112),"")</f>
        <v/>
      </c>
      <c r="L112" s="20">
        <f>IF(NOT(OR($A112&lt;&gt;"",$E112&lt;&gt;"",$F112&lt;&gt;"",$G112&lt;&gt;"",$H112&lt;&gt;"",$I112&lt;&gt;"")),"",IF(NOT(ISNUMBER($A112)),"入金日がありません",IF(AND($F112&lt;&gt;"",$O112="なし"),"請求Noが請求台帳にありません",IF(AND(ISNUMBER($O112),$C112&lt;&gt;"",$C112&lt;&gt;$P112),"請求の得意先は "&amp;$P112&amp;" です",IF(ROUND(IF($B112&lt;&gt;"",SUMIF($B$5:$B$1004,$B112,$E$5:$E$1004)-SUMIF($B$5:$B$1004,$B112,$G$5:$G$1004),N($E112)-N($G112)),0)&lt;&gt;0,"通帳の額と当てた額の差 "&amp;TEXT(IF($B112&lt;&gt;"",SUMIF($B$5:$B$1004,$B112,$E$5:$E$1004)-SUMIF($B$5:$B$1004,$B112,$G$5:$G$1004),N($E112)-N($G112)),"#,##0"),IF(AND(ISNUMBER($O112),N($K112)&lt;0),"請求額より多く消し込んでいます",IF($F112="","消込先が未定","OK")))))))</f>
        <v/>
      </c>
      <c r="M112" s="19" t="n"/>
      <c r="N112" s="56" t="n"/>
      <c r="O112" s="32">
        <f>IF($F112="","",IFERROR(MATCH($F112,'請求台帳'!$A$5:$A$1004,0),"なし"))</f>
        <v/>
      </c>
      <c r="P112" s="37">
        <f>IF(NOT(OR($A112&lt;&gt;"",$E112&lt;&gt;"",$F112&lt;&gt;"",$G112&lt;&gt;"",$H112&lt;&gt;"",$I112&lt;&gt;"")),"",IF(ISNUMBER($O112),IF(INDEX('請求台帳'!$C$5:$C$1004,$O112)="","",INDEX('請求台帳'!$C$5:$C$1004,$O112)),IF($C112="","",$C112)))</f>
        <v/>
      </c>
      <c r="Q112" s="35">
        <f>IF(OR(NOT(OR($A112&lt;&gt;"",$E112&lt;&gt;"",$F112&lt;&gt;"",$G112&lt;&gt;"",$H112&lt;&gt;"",$I112&lt;&gt;"")),$P112="",$P112&lt;&gt;'売掛帳'!$B$3,NOT(ISNUMBER($A112)),N($G112)+N($H112)+N($I112)=0),"",IF(AND($A112&gt;='売掛帳'!$Q$3,$A112&lt;='売掛帳'!$Q$4),$A112+0.5+ROW()/10000000,""))</f>
        <v/>
      </c>
      <c r="R112" s="32">
        <f>IF(AND(OR($A112&lt;&gt;"",$E112&lt;&gt;"",$F112&lt;&gt;"",$G112&lt;&gt;"",$H112&lt;&gt;"",$I112&lt;&gt;""),NOT(ISNUMBER($O112))),1,"")</f>
        <v/>
      </c>
    </row>
    <row r="113" ht="18" customHeight="1">
      <c r="A113" s="26" t="n"/>
      <c r="B113" s="18" t="n"/>
      <c r="C113" s="18" t="n"/>
      <c r="D113" s="20">
        <f>IF($P113="","",IFERROR(INDEX('得意先'!$C$5:$C$104,MATCH($P113,'得意先'!$B$5:$B$104,0))&amp;"","※得意先にないコード"))</f>
        <v/>
      </c>
      <c r="E113" s="27" t="n"/>
      <c r="F113" s="18" t="n"/>
      <c r="G113" s="27" t="n"/>
      <c r="H113" s="27" t="n"/>
      <c r="I113" s="27" t="n"/>
      <c r="J113" s="28">
        <f>IF(NOT(OR($A113&lt;&gt;"",$E113&lt;&gt;"",$F113&lt;&gt;"",$G113&lt;&gt;"",$H113&lt;&gt;"",$I113&lt;&gt;"")),"",N($G113)+N($H113)+N($I113))</f>
        <v/>
      </c>
      <c r="K113" s="28">
        <f>IF(ISNUMBER($O113),INDEX('請求台帳'!$R$5:$R$1004,$O113),"")</f>
        <v/>
      </c>
      <c r="L113" s="20">
        <f>IF(NOT(OR($A113&lt;&gt;"",$E113&lt;&gt;"",$F113&lt;&gt;"",$G113&lt;&gt;"",$H113&lt;&gt;"",$I113&lt;&gt;"")),"",IF(NOT(ISNUMBER($A113)),"入金日がありません",IF(AND($F113&lt;&gt;"",$O113="なし"),"請求Noが請求台帳にありません",IF(AND(ISNUMBER($O113),$C113&lt;&gt;"",$C113&lt;&gt;$P113),"請求の得意先は "&amp;$P113&amp;" です",IF(ROUND(IF($B113&lt;&gt;"",SUMIF($B$5:$B$1004,$B113,$E$5:$E$1004)-SUMIF($B$5:$B$1004,$B113,$G$5:$G$1004),N($E113)-N($G113)),0)&lt;&gt;0,"通帳の額と当てた額の差 "&amp;TEXT(IF($B113&lt;&gt;"",SUMIF($B$5:$B$1004,$B113,$E$5:$E$1004)-SUMIF($B$5:$B$1004,$B113,$G$5:$G$1004),N($E113)-N($G113)),"#,##0"),IF(AND(ISNUMBER($O113),N($K113)&lt;0),"請求額より多く消し込んでいます",IF($F113="","消込先が未定","OK")))))))</f>
        <v/>
      </c>
      <c r="M113" s="19" t="n"/>
      <c r="N113" s="56" t="n"/>
      <c r="O113" s="32">
        <f>IF($F113="","",IFERROR(MATCH($F113,'請求台帳'!$A$5:$A$1004,0),"なし"))</f>
        <v/>
      </c>
      <c r="P113" s="37">
        <f>IF(NOT(OR($A113&lt;&gt;"",$E113&lt;&gt;"",$F113&lt;&gt;"",$G113&lt;&gt;"",$H113&lt;&gt;"",$I113&lt;&gt;"")),"",IF(ISNUMBER($O113),IF(INDEX('請求台帳'!$C$5:$C$1004,$O113)="","",INDEX('請求台帳'!$C$5:$C$1004,$O113)),IF($C113="","",$C113)))</f>
        <v/>
      </c>
      <c r="Q113" s="35">
        <f>IF(OR(NOT(OR($A113&lt;&gt;"",$E113&lt;&gt;"",$F113&lt;&gt;"",$G113&lt;&gt;"",$H113&lt;&gt;"",$I113&lt;&gt;"")),$P113="",$P113&lt;&gt;'売掛帳'!$B$3,NOT(ISNUMBER($A113)),N($G113)+N($H113)+N($I113)=0),"",IF(AND($A113&gt;='売掛帳'!$Q$3,$A113&lt;='売掛帳'!$Q$4),$A113+0.5+ROW()/10000000,""))</f>
        <v/>
      </c>
      <c r="R113" s="32">
        <f>IF(AND(OR($A113&lt;&gt;"",$E113&lt;&gt;"",$F113&lt;&gt;"",$G113&lt;&gt;"",$H113&lt;&gt;"",$I113&lt;&gt;""),NOT(ISNUMBER($O113))),1,"")</f>
        <v/>
      </c>
    </row>
    <row r="114" ht="18" customHeight="1">
      <c r="A114" s="26" t="n"/>
      <c r="B114" s="18" t="n"/>
      <c r="C114" s="18" t="n"/>
      <c r="D114" s="20">
        <f>IF($P114="","",IFERROR(INDEX('得意先'!$C$5:$C$104,MATCH($P114,'得意先'!$B$5:$B$104,0))&amp;"","※得意先にないコード"))</f>
        <v/>
      </c>
      <c r="E114" s="27" t="n"/>
      <c r="F114" s="18" t="n"/>
      <c r="G114" s="27" t="n"/>
      <c r="H114" s="27" t="n"/>
      <c r="I114" s="27" t="n"/>
      <c r="J114" s="28">
        <f>IF(NOT(OR($A114&lt;&gt;"",$E114&lt;&gt;"",$F114&lt;&gt;"",$G114&lt;&gt;"",$H114&lt;&gt;"",$I114&lt;&gt;"")),"",N($G114)+N($H114)+N($I114))</f>
        <v/>
      </c>
      <c r="K114" s="28">
        <f>IF(ISNUMBER($O114),INDEX('請求台帳'!$R$5:$R$1004,$O114),"")</f>
        <v/>
      </c>
      <c r="L114" s="20">
        <f>IF(NOT(OR($A114&lt;&gt;"",$E114&lt;&gt;"",$F114&lt;&gt;"",$G114&lt;&gt;"",$H114&lt;&gt;"",$I114&lt;&gt;"")),"",IF(NOT(ISNUMBER($A114)),"入金日がありません",IF(AND($F114&lt;&gt;"",$O114="なし"),"請求Noが請求台帳にありません",IF(AND(ISNUMBER($O114),$C114&lt;&gt;"",$C114&lt;&gt;$P114),"請求の得意先は "&amp;$P114&amp;" です",IF(ROUND(IF($B114&lt;&gt;"",SUMIF($B$5:$B$1004,$B114,$E$5:$E$1004)-SUMIF($B$5:$B$1004,$B114,$G$5:$G$1004),N($E114)-N($G114)),0)&lt;&gt;0,"通帳の額と当てた額の差 "&amp;TEXT(IF($B114&lt;&gt;"",SUMIF($B$5:$B$1004,$B114,$E$5:$E$1004)-SUMIF($B$5:$B$1004,$B114,$G$5:$G$1004),N($E114)-N($G114)),"#,##0"),IF(AND(ISNUMBER($O114),N($K114)&lt;0),"請求額より多く消し込んでいます",IF($F114="","消込先が未定","OK")))))))</f>
        <v/>
      </c>
      <c r="M114" s="19" t="n"/>
      <c r="N114" s="56" t="n"/>
      <c r="O114" s="32">
        <f>IF($F114="","",IFERROR(MATCH($F114,'請求台帳'!$A$5:$A$1004,0),"なし"))</f>
        <v/>
      </c>
      <c r="P114" s="37">
        <f>IF(NOT(OR($A114&lt;&gt;"",$E114&lt;&gt;"",$F114&lt;&gt;"",$G114&lt;&gt;"",$H114&lt;&gt;"",$I114&lt;&gt;"")),"",IF(ISNUMBER($O114),IF(INDEX('請求台帳'!$C$5:$C$1004,$O114)="","",INDEX('請求台帳'!$C$5:$C$1004,$O114)),IF($C114="","",$C114)))</f>
        <v/>
      </c>
      <c r="Q114" s="35">
        <f>IF(OR(NOT(OR($A114&lt;&gt;"",$E114&lt;&gt;"",$F114&lt;&gt;"",$G114&lt;&gt;"",$H114&lt;&gt;"",$I114&lt;&gt;"")),$P114="",$P114&lt;&gt;'売掛帳'!$B$3,NOT(ISNUMBER($A114)),N($G114)+N($H114)+N($I114)=0),"",IF(AND($A114&gt;='売掛帳'!$Q$3,$A114&lt;='売掛帳'!$Q$4),$A114+0.5+ROW()/10000000,""))</f>
        <v/>
      </c>
      <c r="R114" s="32">
        <f>IF(AND(OR($A114&lt;&gt;"",$E114&lt;&gt;"",$F114&lt;&gt;"",$G114&lt;&gt;"",$H114&lt;&gt;"",$I114&lt;&gt;""),NOT(ISNUMBER($O114))),1,"")</f>
        <v/>
      </c>
    </row>
    <row r="115" ht="18" customHeight="1">
      <c r="A115" s="26" t="n"/>
      <c r="B115" s="18" t="n"/>
      <c r="C115" s="18" t="n"/>
      <c r="D115" s="20">
        <f>IF($P115="","",IFERROR(INDEX('得意先'!$C$5:$C$104,MATCH($P115,'得意先'!$B$5:$B$104,0))&amp;"","※得意先にないコード"))</f>
        <v/>
      </c>
      <c r="E115" s="27" t="n"/>
      <c r="F115" s="18" t="n"/>
      <c r="G115" s="27" t="n"/>
      <c r="H115" s="27" t="n"/>
      <c r="I115" s="27" t="n"/>
      <c r="J115" s="28">
        <f>IF(NOT(OR($A115&lt;&gt;"",$E115&lt;&gt;"",$F115&lt;&gt;"",$G115&lt;&gt;"",$H115&lt;&gt;"",$I115&lt;&gt;"")),"",N($G115)+N($H115)+N($I115))</f>
        <v/>
      </c>
      <c r="K115" s="28">
        <f>IF(ISNUMBER($O115),INDEX('請求台帳'!$R$5:$R$1004,$O115),"")</f>
        <v/>
      </c>
      <c r="L115" s="20">
        <f>IF(NOT(OR($A115&lt;&gt;"",$E115&lt;&gt;"",$F115&lt;&gt;"",$G115&lt;&gt;"",$H115&lt;&gt;"",$I115&lt;&gt;"")),"",IF(NOT(ISNUMBER($A115)),"入金日がありません",IF(AND($F115&lt;&gt;"",$O115="なし"),"請求Noが請求台帳にありません",IF(AND(ISNUMBER($O115),$C115&lt;&gt;"",$C115&lt;&gt;$P115),"請求の得意先は "&amp;$P115&amp;" です",IF(ROUND(IF($B115&lt;&gt;"",SUMIF($B$5:$B$1004,$B115,$E$5:$E$1004)-SUMIF($B$5:$B$1004,$B115,$G$5:$G$1004),N($E115)-N($G115)),0)&lt;&gt;0,"通帳の額と当てた額の差 "&amp;TEXT(IF($B115&lt;&gt;"",SUMIF($B$5:$B$1004,$B115,$E$5:$E$1004)-SUMIF($B$5:$B$1004,$B115,$G$5:$G$1004),N($E115)-N($G115)),"#,##0"),IF(AND(ISNUMBER($O115),N($K115)&lt;0),"請求額より多く消し込んでいます",IF($F115="","消込先が未定","OK")))))))</f>
        <v/>
      </c>
      <c r="M115" s="19" t="n"/>
      <c r="N115" s="56" t="n"/>
      <c r="O115" s="32">
        <f>IF($F115="","",IFERROR(MATCH($F115,'請求台帳'!$A$5:$A$1004,0),"なし"))</f>
        <v/>
      </c>
      <c r="P115" s="37">
        <f>IF(NOT(OR($A115&lt;&gt;"",$E115&lt;&gt;"",$F115&lt;&gt;"",$G115&lt;&gt;"",$H115&lt;&gt;"",$I115&lt;&gt;"")),"",IF(ISNUMBER($O115),IF(INDEX('請求台帳'!$C$5:$C$1004,$O115)="","",INDEX('請求台帳'!$C$5:$C$1004,$O115)),IF($C115="","",$C115)))</f>
        <v/>
      </c>
      <c r="Q115" s="35">
        <f>IF(OR(NOT(OR($A115&lt;&gt;"",$E115&lt;&gt;"",$F115&lt;&gt;"",$G115&lt;&gt;"",$H115&lt;&gt;"",$I115&lt;&gt;"")),$P115="",$P115&lt;&gt;'売掛帳'!$B$3,NOT(ISNUMBER($A115)),N($G115)+N($H115)+N($I115)=0),"",IF(AND($A115&gt;='売掛帳'!$Q$3,$A115&lt;='売掛帳'!$Q$4),$A115+0.5+ROW()/10000000,""))</f>
        <v/>
      </c>
      <c r="R115" s="32">
        <f>IF(AND(OR($A115&lt;&gt;"",$E115&lt;&gt;"",$F115&lt;&gt;"",$G115&lt;&gt;"",$H115&lt;&gt;"",$I115&lt;&gt;""),NOT(ISNUMBER($O115))),1,"")</f>
        <v/>
      </c>
    </row>
    <row r="116" ht="18" customHeight="1">
      <c r="A116" s="26" t="n"/>
      <c r="B116" s="18" t="n"/>
      <c r="C116" s="18" t="n"/>
      <c r="D116" s="20">
        <f>IF($P116="","",IFERROR(INDEX('得意先'!$C$5:$C$104,MATCH($P116,'得意先'!$B$5:$B$104,0))&amp;"","※得意先にないコード"))</f>
        <v/>
      </c>
      <c r="E116" s="27" t="n"/>
      <c r="F116" s="18" t="n"/>
      <c r="G116" s="27" t="n"/>
      <c r="H116" s="27" t="n"/>
      <c r="I116" s="27" t="n"/>
      <c r="J116" s="28">
        <f>IF(NOT(OR($A116&lt;&gt;"",$E116&lt;&gt;"",$F116&lt;&gt;"",$G116&lt;&gt;"",$H116&lt;&gt;"",$I116&lt;&gt;"")),"",N($G116)+N($H116)+N($I116))</f>
        <v/>
      </c>
      <c r="K116" s="28">
        <f>IF(ISNUMBER($O116),INDEX('請求台帳'!$R$5:$R$1004,$O116),"")</f>
        <v/>
      </c>
      <c r="L116" s="20">
        <f>IF(NOT(OR($A116&lt;&gt;"",$E116&lt;&gt;"",$F116&lt;&gt;"",$G116&lt;&gt;"",$H116&lt;&gt;"",$I116&lt;&gt;"")),"",IF(NOT(ISNUMBER($A116)),"入金日がありません",IF(AND($F116&lt;&gt;"",$O116="なし"),"請求Noが請求台帳にありません",IF(AND(ISNUMBER($O116),$C116&lt;&gt;"",$C116&lt;&gt;$P116),"請求の得意先は "&amp;$P116&amp;" です",IF(ROUND(IF($B116&lt;&gt;"",SUMIF($B$5:$B$1004,$B116,$E$5:$E$1004)-SUMIF($B$5:$B$1004,$B116,$G$5:$G$1004),N($E116)-N($G116)),0)&lt;&gt;0,"通帳の額と当てた額の差 "&amp;TEXT(IF($B116&lt;&gt;"",SUMIF($B$5:$B$1004,$B116,$E$5:$E$1004)-SUMIF($B$5:$B$1004,$B116,$G$5:$G$1004),N($E116)-N($G116)),"#,##0"),IF(AND(ISNUMBER($O116),N($K116)&lt;0),"請求額より多く消し込んでいます",IF($F116="","消込先が未定","OK")))))))</f>
        <v/>
      </c>
      <c r="M116" s="19" t="n"/>
      <c r="N116" s="56" t="n"/>
      <c r="O116" s="32">
        <f>IF($F116="","",IFERROR(MATCH($F116,'請求台帳'!$A$5:$A$1004,0),"なし"))</f>
        <v/>
      </c>
      <c r="P116" s="37">
        <f>IF(NOT(OR($A116&lt;&gt;"",$E116&lt;&gt;"",$F116&lt;&gt;"",$G116&lt;&gt;"",$H116&lt;&gt;"",$I116&lt;&gt;"")),"",IF(ISNUMBER($O116),IF(INDEX('請求台帳'!$C$5:$C$1004,$O116)="","",INDEX('請求台帳'!$C$5:$C$1004,$O116)),IF($C116="","",$C116)))</f>
        <v/>
      </c>
      <c r="Q116" s="35">
        <f>IF(OR(NOT(OR($A116&lt;&gt;"",$E116&lt;&gt;"",$F116&lt;&gt;"",$G116&lt;&gt;"",$H116&lt;&gt;"",$I116&lt;&gt;"")),$P116="",$P116&lt;&gt;'売掛帳'!$B$3,NOT(ISNUMBER($A116)),N($G116)+N($H116)+N($I116)=0),"",IF(AND($A116&gt;='売掛帳'!$Q$3,$A116&lt;='売掛帳'!$Q$4),$A116+0.5+ROW()/10000000,""))</f>
        <v/>
      </c>
      <c r="R116" s="32">
        <f>IF(AND(OR($A116&lt;&gt;"",$E116&lt;&gt;"",$F116&lt;&gt;"",$G116&lt;&gt;"",$H116&lt;&gt;"",$I116&lt;&gt;""),NOT(ISNUMBER($O116))),1,"")</f>
        <v/>
      </c>
    </row>
    <row r="117" ht="18" customHeight="1">
      <c r="A117" s="26" t="n"/>
      <c r="B117" s="18" t="n"/>
      <c r="C117" s="18" t="n"/>
      <c r="D117" s="20">
        <f>IF($P117="","",IFERROR(INDEX('得意先'!$C$5:$C$104,MATCH($P117,'得意先'!$B$5:$B$104,0))&amp;"","※得意先にないコード"))</f>
        <v/>
      </c>
      <c r="E117" s="27" t="n"/>
      <c r="F117" s="18" t="n"/>
      <c r="G117" s="27" t="n"/>
      <c r="H117" s="27" t="n"/>
      <c r="I117" s="27" t="n"/>
      <c r="J117" s="28">
        <f>IF(NOT(OR($A117&lt;&gt;"",$E117&lt;&gt;"",$F117&lt;&gt;"",$G117&lt;&gt;"",$H117&lt;&gt;"",$I117&lt;&gt;"")),"",N($G117)+N($H117)+N($I117))</f>
        <v/>
      </c>
      <c r="K117" s="28">
        <f>IF(ISNUMBER($O117),INDEX('請求台帳'!$R$5:$R$1004,$O117),"")</f>
        <v/>
      </c>
      <c r="L117" s="20">
        <f>IF(NOT(OR($A117&lt;&gt;"",$E117&lt;&gt;"",$F117&lt;&gt;"",$G117&lt;&gt;"",$H117&lt;&gt;"",$I117&lt;&gt;"")),"",IF(NOT(ISNUMBER($A117)),"入金日がありません",IF(AND($F117&lt;&gt;"",$O117="なし"),"請求Noが請求台帳にありません",IF(AND(ISNUMBER($O117),$C117&lt;&gt;"",$C117&lt;&gt;$P117),"請求の得意先は "&amp;$P117&amp;" です",IF(ROUND(IF($B117&lt;&gt;"",SUMIF($B$5:$B$1004,$B117,$E$5:$E$1004)-SUMIF($B$5:$B$1004,$B117,$G$5:$G$1004),N($E117)-N($G117)),0)&lt;&gt;0,"通帳の額と当てた額の差 "&amp;TEXT(IF($B117&lt;&gt;"",SUMIF($B$5:$B$1004,$B117,$E$5:$E$1004)-SUMIF($B$5:$B$1004,$B117,$G$5:$G$1004),N($E117)-N($G117)),"#,##0"),IF(AND(ISNUMBER($O117),N($K117)&lt;0),"請求額より多く消し込んでいます",IF($F117="","消込先が未定","OK")))))))</f>
        <v/>
      </c>
      <c r="M117" s="19" t="n"/>
      <c r="N117" s="56" t="n"/>
      <c r="O117" s="32">
        <f>IF($F117="","",IFERROR(MATCH($F117,'請求台帳'!$A$5:$A$1004,0),"なし"))</f>
        <v/>
      </c>
      <c r="P117" s="37">
        <f>IF(NOT(OR($A117&lt;&gt;"",$E117&lt;&gt;"",$F117&lt;&gt;"",$G117&lt;&gt;"",$H117&lt;&gt;"",$I117&lt;&gt;"")),"",IF(ISNUMBER($O117),IF(INDEX('請求台帳'!$C$5:$C$1004,$O117)="","",INDEX('請求台帳'!$C$5:$C$1004,$O117)),IF($C117="","",$C117)))</f>
        <v/>
      </c>
      <c r="Q117" s="35">
        <f>IF(OR(NOT(OR($A117&lt;&gt;"",$E117&lt;&gt;"",$F117&lt;&gt;"",$G117&lt;&gt;"",$H117&lt;&gt;"",$I117&lt;&gt;"")),$P117="",$P117&lt;&gt;'売掛帳'!$B$3,NOT(ISNUMBER($A117)),N($G117)+N($H117)+N($I117)=0),"",IF(AND($A117&gt;='売掛帳'!$Q$3,$A117&lt;='売掛帳'!$Q$4),$A117+0.5+ROW()/10000000,""))</f>
        <v/>
      </c>
      <c r="R117" s="32">
        <f>IF(AND(OR($A117&lt;&gt;"",$E117&lt;&gt;"",$F117&lt;&gt;"",$G117&lt;&gt;"",$H117&lt;&gt;"",$I117&lt;&gt;""),NOT(ISNUMBER($O117))),1,"")</f>
        <v/>
      </c>
    </row>
    <row r="118" ht="18" customHeight="1">
      <c r="A118" s="26" t="n"/>
      <c r="B118" s="18" t="n"/>
      <c r="C118" s="18" t="n"/>
      <c r="D118" s="20">
        <f>IF($P118="","",IFERROR(INDEX('得意先'!$C$5:$C$104,MATCH($P118,'得意先'!$B$5:$B$104,0))&amp;"","※得意先にないコード"))</f>
        <v/>
      </c>
      <c r="E118" s="27" t="n"/>
      <c r="F118" s="18" t="n"/>
      <c r="G118" s="27" t="n"/>
      <c r="H118" s="27" t="n"/>
      <c r="I118" s="27" t="n"/>
      <c r="J118" s="28">
        <f>IF(NOT(OR($A118&lt;&gt;"",$E118&lt;&gt;"",$F118&lt;&gt;"",$G118&lt;&gt;"",$H118&lt;&gt;"",$I118&lt;&gt;"")),"",N($G118)+N($H118)+N($I118))</f>
        <v/>
      </c>
      <c r="K118" s="28">
        <f>IF(ISNUMBER($O118),INDEX('請求台帳'!$R$5:$R$1004,$O118),"")</f>
        <v/>
      </c>
      <c r="L118" s="20">
        <f>IF(NOT(OR($A118&lt;&gt;"",$E118&lt;&gt;"",$F118&lt;&gt;"",$G118&lt;&gt;"",$H118&lt;&gt;"",$I118&lt;&gt;"")),"",IF(NOT(ISNUMBER($A118)),"入金日がありません",IF(AND($F118&lt;&gt;"",$O118="なし"),"請求Noが請求台帳にありません",IF(AND(ISNUMBER($O118),$C118&lt;&gt;"",$C118&lt;&gt;$P118),"請求の得意先は "&amp;$P118&amp;" です",IF(ROUND(IF($B118&lt;&gt;"",SUMIF($B$5:$B$1004,$B118,$E$5:$E$1004)-SUMIF($B$5:$B$1004,$B118,$G$5:$G$1004),N($E118)-N($G118)),0)&lt;&gt;0,"通帳の額と当てた額の差 "&amp;TEXT(IF($B118&lt;&gt;"",SUMIF($B$5:$B$1004,$B118,$E$5:$E$1004)-SUMIF($B$5:$B$1004,$B118,$G$5:$G$1004),N($E118)-N($G118)),"#,##0"),IF(AND(ISNUMBER($O118),N($K118)&lt;0),"請求額より多く消し込んでいます",IF($F118="","消込先が未定","OK")))))))</f>
        <v/>
      </c>
      <c r="M118" s="19" t="n"/>
      <c r="N118" s="56" t="n"/>
      <c r="O118" s="32">
        <f>IF($F118="","",IFERROR(MATCH($F118,'請求台帳'!$A$5:$A$1004,0),"なし"))</f>
        <v/>
      </c>
      <c r="P118" s="37">
        <f>IF(NOT(OR($A118&lt;&gt;"",$E118&lt;&gt;"",$F118&lt;&gt;"",$G118&lt;&gt;"",$H118&lt;&gt;"",$I118&lt;&gt;"")),"",IF(ISNUMBER($O118),IF(INDEX('請求台帳'!$C$5:$C$1004,$O118)="","",INDEX('請求台帳'!$C$5:$C$1004,$O118)),IF($C118="","",$C118)))</f>
        <v/>
      </c>
      <c r="Q118" s="35">
        <f>IF(OR(NOT(OR($A118&lt;&gt;"",$E118&lt;&gt;"",$F118&lt;&gt;"",$G118&lt;&gt;"",$H118&lt;&gt;"",$I118&lt;&gt;"")),$P118="",$P118&lt;&gt;'売掛帳'!$B$3,NOT(ISNUMBER($A118)),N($G118)+N($H118)+N($I118)=0),"",IF(AND($A118&gt;='売掛帳'!$Q$3,$A118&lt;='売掛帳'!$Q$4),$A118+0.5+ROW()/10000000,""))</f>
        <v/>
      </c>
      <c r="R118" s="32">
        <f>IF(AND(OR($A118&lt;&gt;"",$E118&lt;&gt;"",$F118&lt;&gt;"",$G118&lt;&gt;"",$H118&lt;&gt;"",$I118&lt;&gt;""),NOT(ISNUMBER($O118))),1,"")</f>
        <v/>
      </c>
    </row>
    <row r="119" ht="18" customHeight="1">
      <c r="A119" s="26" t="n"/>
      <c r="B119" s="18" t="n"/>
      <c r="C119" s="18" t="n"/>
      <c r="D119" s="20">
        <f>IF($P119="","",IFERROR(INDEX('得意先'!$C$5:$C$104,MATCH($P119,'得意先'!$B$5:$B$104,0))&amp;"","※得意先にないコード"))</f>
        <v/>
      </c>
      <c r="E119" s="27" t="n"/>
      <c r="F119" s="18" t="n"/>
      <c r="G119" s="27" t="n"/>
      <c r="H119" s="27" t="n"/>
      <c r="I119" s="27" t="n"/>
      <c r="J119" s="28">
        <f>IF(NOT(OR($A119&lt;&gt;"",$E119&lt;&gt;"",$F119&lt;&gt;"",$G119&lt;&gt;"",$H119&lt;&gt;"",$I119&lt;&gt;"")),"",N($G119)+N($H119)+N($I119))</f>
        <v/>
      </c>
      <c r="K119" s="28">
        <f>IF(ISNUMBER($O119),INDEX('請求台帳'!$R$5:$R$1004,$O119),"")</f>
        <v/>
      </c>
      <c r="L119" s="20">
        <f>IF(NOT(OR($A119&lt;&gt;"",$E119&lt;&gt;"",$F119&lt;&gt;"",$G119&lt;&gt;"",$H119&lt;&gt;"",$I119&lt;&gt;"")),"",IF(NOT(ISNUMBER($A119)),"入金日がありません",IF(AND($F119&lt;&gt;"",$O119="なし"),"請求Noが請求台帳にありません",IF(AND(ISNUMBER($O119),$C119&lt;&gt;"",$C119&lt;&gt;$P119),"請求の得意先は "&amp;$P119&amp;" です",IF(ROUND(IF($B119&lt;&gt;"",SUMIF($B$5:$B$1004,$B119,$E$5:$E$1004)-SUMIF($B$5:$B$1004,$B119,$G$5:$G$1004),N($E119)-N($G119)),0)&lt;&gt;0,"通帳の額と当てた額の差 "&amp;TEXT(IF($B119&lt;&gt;"",SUMIF($B$5:$B$1004,$B119,$E$5:$E$1004)-SUMIF($B$5:$B$1004,$B119,$G$5:$G$1004),N($E119)-N($G119)),"#,##0"),IF(AND(ISNUMBER($O119),N($K119)&lt;0),"請求額より多く消し込んでいます",IF($F119="","消込先が未定","OK")))))))</f>
        <v/>
      </c>
      <c r="M119" s="19" t="n"/>
      <c r="N119" s="56" t="n"/>
      <c r="O119" s="32">
        <f>IF($F119="","",IFERROR(MATCH($F119,'請求台帳'!$A$5:$A$1004,0),"なし"))</f>
        <v/>
      </c>
      <c r="P119" s="37">
        <f>IF(NOT(OR($A119&lt;&gt;"",$E119&lt;&gt;"",$F119&lt;&gt;"",$G119&lt;&gt;"",$H119&lt;&gt;"",$I119&lt;&gt;"")),"",IF(ISNUMBER($O119),IF(INDEX('請求台帳'!$C$5:$C$1004,$O119)="","",INDEX('請求台帳'!$C$5:$C$1004,$O119)),IF($C119="","",$C119)))</f>
        <v/>
      </c>
      <c r="Q119" s="35">
        <f>IF(OR(NOT(OR($A119&lt;&gt;"",$E119&lt;&gt;"",$F119&lt;&gt;"",$G119&lt;&gt;"",$H119&lt;&gt;"",$I119&lt;&gt;"")),$P119="",$P119&lt;&gt;'売掛帳'!$B$3,NOT(ISNUMBER($A119)),N($G119)+N($H119)+N($I119)=0),"",IF(AND($A119&gt;='売掛帳'!$Q$3,$A119&lt;='売掛帳'!$Q$4),$A119+0.5+ROW()/10000000,""))</f>
        <v/>
      </c>
      <c r="R119" s="32">
        <f>IF(AND(OR($A119&lt;&gt;"",$E119&lt;&gt;"",$F119&lt;&gt;"",$G119&lt;&gt;"",$H119&lt;&gt;"",$I119&lt;&gt;""),NOT(ISNUMBER($O119))),1,"")</f>
        <v/>
      </c>
    </row>
    <row r="120" ht="18" customHeight="1">
      <c r="A120" s="26" t="n"/>
      <c r="B120" s="18" t="n"/>
      <c r="C120" s="18" t="n"/>
      <c r="D120" s="20">
        <f>IF($P120="","",IFERROR(INDEX('得意先'!$C$5:$C$104,MATCH($P120,'得意先'!$B$5:$B$104,0))&amp;"","※得意先にないコード"))</f>
        <v/>
      </c>
      <c r="E120" s="27" t="n"/>
      <c r="F120" s="18" t="n"/>
      <c r="G120" s="27" t="n"/>
      <c r="H120" s="27" t="n"/>
      <c r="I120" s="27" t="n"/>
      <c r="J120" s="28">
        <f>IF(NOT(OR($A120&lt;&gt;"",$E120&lt;&gt;"",$F120&lt;&gt;"",$G120&lt;&gt;"",$H120&lt;&gt;"",$I120&lt;&gt;"")),"",N($G120)+N($H120)+N($I120))</f>
        <v/>
      </c>
      <c r="K120" s="28">
        <f>IF(ISNUMBER($O120),INDEX('請求台帳'!$R$5:$R$1004,$O120),"")</f>
        <v/>
      </c>
      <c r="L120" s="20">
        <f>IF(NOT(OR($A120&lt;&gt;"",$E120&lt;&gt;"",$F120&lt;&gt;"",$G120&lt;&gt;"",$H120&lt;&gt;"",$I120&lt;&gt;"")),"",IF(NOT(ISNUMBER($A120)),"入金日がありません",IF(AND($F120&lt;&gt;"",$O120="なし"),"請求Noが請求台帳にありません",IF(AND(ISNUMBER($O120),$C120&lt;&gt;"",$C120&lt;&gt;$P120),"請求の得意先は "&amp;$P120&amp;" です",IF(ROUND(IF($B120&lt;&gt;"",SUMIF($B$5:$B$1004,$B120,$E$5:$E$1004)-SUMIF($B$5:$B$1004,$B120,$G$5:$G$1004),N($E120)-N($G120)),0)&lt;&gt;0,"通帳の額と当てた額の差 "&amp;TEXT(IF($B120&lt;&gt;"",SUMIF($B$5:$B$1004,$B120,$E$5:$E$1004)-SUMIF($B$5:$B$1004,$B120,$G$5:$G$1004),N($E120)-N($G120)),"#,##0"),IF(AND(ISNUMBER($O120),N($K120)&lt;0),"請求額より多く消し込んでいます",IF($F120="","消込先が未定","OK")))))))</f>
        <v/>
      </c>
      <c r="M120" s="19" t="n"/>
      <c r="N120" s="56" t="n"/>
      <c r="O120" s="32">
        <f>IF($F120="","",IFERROR(MATCH($F120,'請求台帳'!$A$5:$A$1004,0),"なし"))</f>
        <v/>
      </c>
      <c r="P120" s="37">
        <f>IF(NOT(OR($A120&lt;&gt;"",$E120&lt;&gt;"",$F120&lt;&gt;"",$G120&lt;&gt;"",$H120&lt;&gt;"",$I120&lt;&gt;"")),"",IF(ISNUMBER($O120),IF(INDEX('請求台帳'!$C$5:$C$1004,$O120)="","",INDEX('請求台帳'!$C$5:$C$1004,$O120)),IF($C120="","",$C120)))</f>
        <v/>
      </c>
      <c r="Q120" s="35">
        <f>IF(OR(NOT(OR($A120&lt;&gt;"",$E120&lt;&gt;"",$F120&lt;&gt;"",$G120&lt;&gt;"",$H120&lt;&gt;"",$I120&lt;&gt;"")),$P120="",$P120&lt;&gt;'売掛帳'!$B$3,NOT(ISNUMBER($A120)),N($G120)+N($H120)+N($I120)=0),"",IF(AND($A120&gt;='売掛帳'!$Q$3,$A120&lt;='売掛帳'!$Q$4),$A120+0.5+ROW()/10000000,""))</f>
        <v/>
      </c>
      <c r="R120" s="32">
        <f>IF(AND(OR($A120&lt;&gt;"",$E120&lt;&gt;"",$F120&lt;&gt;"",$G120&lt;&gt;"",$H120&lt;&gt;"",$I120&lt;&gt;""),NOT(ISNUMBER($O120))),1,"")</f>
        <v/>
      </c>
    </row>
    <row r="121" ht="18" customHeight="1">
      <c r="A121" s="26" t="n"/>
      <c r="B121" s="18" t="n"/>
      <c r="C121" s="18" t="n"/>
      <c r="D121" s="20">
        <f>IF($P121="","",IFERROR(INDEX('得意先'!$C$5:$C$104,MATCH($P121,'得意先'!$B$5:$B$104,0))&amp;"","※得意先にないコード"))</f>
        <v/>
      </c>
      <c r="E121" s="27" t="n"/>
      <c r="F121" s="18" t="n"/>
      <c r="G121" s="27" t="n"/>
      <c r="H121" s="27" t="n"/>
      <c r="I121" s="27" t="n"/>
      <c r="J121" s="28">
        <f>IF(NOT(OR($A121&lt;&gt;"",$E121&lt;&gt;"",$F121&lt;&gt;"",$G121&lt;&gt;"",$H121&lt;&gt;"",$I121&lt;&gt;"")),"",N($G121)+N($H121)+N($I121))</f>
        <v/>
      </c>
      <c r="K121" s="28">
        <f>IF(ISNUMBER($O121),INDEX('請求台帳'!$R$5:$R$1004,$O121),"")</f>
        <v/>
      </c>
      <c r="L121" s="20">
        <f>IF(NOT(OR($A121&lt;&gt;"",$E121&lt;&gt;"",$F121&lt;&gt;"",$G121&lt;&gt;"",$H121&lt;&gt;"",$I121&lt;&gt;"")),"",IF(NOT(ISNUMBER($A121)),"入金日がありません",IF(AND($F121&lt;&gt;"",$O121="なし"),"請求Noが請求台帳にありません",IF(AND(ISNUMBER($O121),$C121&lt;&gt;"",$C121&lt;&gt;$P121),"請求の得意先は "&amp;$P121&amp;" です",IF(ROUND(IF($B121&lt;&gt;"",SUMIF($B$5:$B$1004,$B121,$E$5:$E$1004)-SUMIF($B$5:$B$1004,$B121,$G$5:$G$1004),N($E121)-N($G121)),0)&lt;&gt;0,"通帳の額と当てた額の差 "&amp;TEXT(IF($B121&lt;&gt;"",SUMIF($B$5:$B$1004,$B121,$E$5:$E$1004)-SUMIF($B$5:$B$1004,$B121,$G$5:$G$1004),N($E121)-N($G121)),"#,##0"),IF(AND(ISNUMBER($O121),N($K121)&lt;0),"請求額より多く消し込んでいます",IF($F121="","消込先が未定","OK")))))))</f>
        <v/>
      </c>
      <c r="M121" s="19" t="n"/>
      <c r="N121" s="56" t="n"/>
      <c r="O121" s="32">
        <f>IF($F121="","",IFERROR(MATCH($F121,'請求台帳'!$A$5:$A$1004,0),"なし"))</f>
        <v/>
      </c>
      <c r="P121" s="37">
        <f>IF(NOT(OR($A121&lt;&gt;"",$E121&lt;&gt;"",$F121&lt;&gt;"",$G121&lt;&gt;"",$H121&lt;&gt;"",$I121&lt;&gt;"")),"",IF(ISNUMBER($O121),IF(INDEX('請求台帳'!$C$5:$C$1004,$O121)="","",INDEX('請求台帳'!$C$5:$C$1004,$O121)),IF($C121="","",$C121)))</f>
        <v/>
      </c>
      <c r="Q121" s="35">
        <f>IF(OR(NOT(OR($A121&lt;&gt;"",$E121&lt;&gt;"",$F121&lt;&gt;"",$G121&lt;&gt;"",$H121&lt;&gt;"",$I121&lt;&gt;"")),$P121="",$P121&lt;&gt;'売掛帳'!$B$3,NOT(ISNUMBER($A121)),N($G121)+N($H121)+N($I121)=0),"",IF(AND($A121&gt;='売掛帳'!$Q$3,$A121&lt;='売掛帳'!$Q$4),$A121+0.5+ROW()/10000000,""))</f>
        <v/>
      </c>
      <c r="R121" s="32">
        <f>IF(AND(OR($A121&lt;&gt;"",$E121&lt;&gt;"",$F121&lt;&gt;"",$G121&lt;&gt;"",$H121&lt;&gt;"",$I121&lt;&gt;""),NOT(ISNUMBER($O121))),1,"")</f>
        <v/>
      </c>
    </row>
    <row r="122" ht="18" customHeight="1">
      <c r="A122" s="26" t="n"/>
      <c r="B122" s="18" t="n"/>
      <c r="C122" s="18" t="n"/>
      <c r="D122" s="20">
        <f>IF($P122="","",IFERROR(INDEX('得意先'!$C$5:$C$104,MATCH($P122,'得意先'!$B$5:$B$104,0))&amp;"","※得意先にないコード"))</f>
        <v/>
      </c>
      <c r="E122" s="27" t="n"/>
      <c r="F122" s="18" t="n"/>
      <c r="G122" s="27" t="n"/>
      <c r="H122" s="27" t="n"/>
      <c r="I122" s="27" t="n"/>
      <c r="J122" s="28">
        <f>IF(NOT(OR($A122&lt;&gt;"",$E122&lt;&gt;"",$F122&lt;&gt;"",$G122&lt;&gt;"",$H122&lt;&gt;"",$I122&lt;&gt;"")),"",N($G122)+N($H122)+N($I122))</f>
        <v/>
      </c>
      <c r="K122" s="28">
        <f>IF(ISNUMBER($O122),INDEX('請求台帳'!$R$5:$R$1004,$O122),"")</f>
        <v/>
      </c>
      <c r="L122" s="20">
        <f>IF(NOT(OR($A122&lt;&gt;"",$E122&lt;&gt;"",$F122&lt;&gt;"",$G122&lt;&gt;"",$H122&lt;&gt;"",$I122&lt;&gt;"")),"",IF(NOT(ISNUMBER($A122)),"入金日がありません",IF(AND($F122&lt;&gt;"",$O122="なし"),"請求Noが請求台帳にありません",IF(AND(ISNUMBER($O122),$C122&lt;&gt;"",$C122&lt;&gt;$P122),"請求の得意先は "&amp;$P122&amp;" です",IF(ROUND(IF($B122&lt;&gt;"",SUMIF($B$5:$B$1004,$B122,$E$5:$E$1004)-SUMIF($B$5:$B$1004,$B122,$G$5:$G$1004),N($E122)-N($G122)),0)&lt;&gt;0,"通帳の額と当てた額の差 "&amp;TEXT(IF($B122&lt;&gt;"",SUMIF($B$5:$B$1004,$B122,$E$5:$E$1004)-SUMIF($B$5:$B$1004,$B122,$G$5:$G$1004),N($E122)-N($G122)),"#,##0"),IF(AND(ISNUMBER($O122),N($K122)&lt;0),"請求額より多く消し込んでいます",IF($F122="","消込先が未定","OK")))))))</f>
        <v/>
      </c>
      <c r="M122" s="19" t="n"/>
      <c r="N122" s="56" t="n"/>
      <c r="O122" s="32">
        <f>IF($F122="","",IFERROR(MATCH($F122,'請求台帳'!$A$5:$A$1004,0),"なし"))</f>
        <v/>
      </c>
      <c r="P122" s="37">
        <f>IF(NOT(OR($A122&lt;&gt;"",$E122&lt;&gt;"",$F122&lt;&gt;"",$G122&lt;&gt;"",$H122&lt;&gt;"",$I122&lt;&gt;"")),"",IF(ISNUMBER($O122),IF(INDEX('請求台帳'!$C$5:$C$1004,$O122)="","",INDEX('請求台帳'!$C$5:$C$1004,$O122)),IF($C122="","",$C122)))</f>
        <v/>
      </c>
      <c r="Q122" s="35">
        <f>IF(OR(NOT(OR($A122&lt;&gt;"",$E122&lt;&gt;"",$F122&lt;&gt;"",$G122&lt;&gt;"",$H122&lt;&gt;"",$I122&lt;&gt;"")),$P122="",$P122&lt;&gt;'売掛帳'!$B$3,NOT(ISNUMBER($A122)),N($G122)+N($H122)+N($I122)=0),"",IF(AND($A122&gt;='売掛帳'!$Q$3,$A122&lt;='売掛帳'!$Q$4),$A122+0.5+ROW()/10000000,""))</f>
        <v/>
      </c>
      <c r="R122" s="32">
        <f>IF(AND(OR($A122&lt;&gt;"",$E122&lt;&gt;"",$F122&lt;&gt;"",$G122&lt;&gt;"",$H122&lt;&gt;"",$I122&lt;&gt;""),NOT(ISNUMBER($O122))),1,"")</f>
        <v/>
      </c>
    </row>
    <row r="123" ht="18" customHeight="1">
      <c r="A123" s="26" t="n"/>
      <c r="B123" s="18" t="n"/>
      <c r="C123" s="18" t="n"/>
      <c r="D123" s="20">
        <f>IF($P123="","",IFERROR(INDEX('得意先'!$C$5:$C$104,MATCH($P123,'得意先'!$B$5:$B$104,0))&amp;"","※得意先にないコード"))</f>
        <v/>
      </c>
      <c r="E123" s="27" t="n"/>
      <c r="F123" s="18" t="n"/>
      <c r="G123" s="27" t="n"/>
      <c r="H123" s="27" t="n"/>
      <c r="I123" s="27" t="n"/>
      <c r="J123" s="28">
        <f>IF(NOT(OR($A123&lt;&gt;"",$E123&lt;&gt;"",$F123&lt;&gt;"",$G123&lt;&gt;"",$H123&lt;&gt;"",$I123&lt;&gt;"")),"",N($G123)+N($H123)+N($I123))</f>
        <v/>
      </c>
      <c r="K123" s="28">
        <f>IF(ISNUMBER($O123),INDEX('請求台帳'!$R$5:$R$1004,$O123),"")</f>
        <v/>
      </c>
      <c r="L123" s="20">
        <f>IF(NOT(OR($A123&lt;&gt;"",$E123&lt;&gt;"",$F123&lt;&gt;"",$G123&lt;&gt;"",$H123&lt;&gt;"",$I123&lt;&gt;"")),"",IF(NOT(ISNUMBER($A123)),"入金日がありません",IF(AND($F123&lt;&gt;"",$O123="なし"),"請求Noが請求台帳にありません",IF(AND(ISNUMBER($O123),$C123&lt;&gt;"",$C123&lt;&gt;$P123),"請求の得意先は "&amp;$P123&amp;" です",IF(ROUND(IF($B123&lt;&gt;"",SUMIF($B$5:$B$1004,$B123,$E$5:$E$1004)-SUMIF($B$5:$B$1004,$B123,$G$5:$G$1004),N($E123)-N($G123)),0)&lt;&gt;0,"通帳の額と当てた額の差 "&amp;TEXT(IF($B123&lt;&gt;"",SUMIF($B$5:$B$1004,$B123,$E$5:$E$1004)-SUMIF($B$5:$B$1004,$B123,$G$5:$G$1004),N($E123)-N($G123)),"#,##0"),IF(AND(ISNUMBER($O123),N($K123)&lt;0),"請求額より多く消し込んでいます",IF($F123="","消込先が未定","OK")))))))</f>
        <v/>
      </c>
      <c r="M123" s="19" t="n"/>
      <c r="N123" s="56" t="n"/>
      <c r="O123" s="32">
        <f>IF($F123="","",IFERROR(MATCH($F123,'請求台帳'!$A$5:$A$1004,0),"なし"))</f>
        <v/>
      </c>
      <c r="P123" s="37">
        <f>IF(NOT(OR($A123&lt;&gt;"",$E123&lt;&gt;"",$F123&lt;&gt;"",$G123&lt;&gt;"",$H123&lt;&gt;"",$I123&lt;&gt;"")),"",IF(ISNUMBER($O123),IF(INDEX('請求台帳'!$C$5:$C$1004,$O123)="","",INDEX('請求台帳'!$C$5:$C$1004,$O123)),IF($C123="","",$C123)))</f>
        <v/>
      </c>
      <c r="Q123" s="35">
        <f>IF(OR(NOT(OR($A123&lt;&gt;"",$E123&lt;&gt;"",$F123&lt;&gt;"",$G123&lt;&gt;"",$H123&lt;&gt;"",$I123&lt;&gt;"")),$P123="",$P123&lt;&gt;'売掛帳'!$B$3,NOT(ISNUMBER($A123)),N($G123)+N($H123)+N($I123)=0),"",IF(AND($A123&gt;='売掛帳'!$Q$3,$A123&lt;='売掛帳'!$Q$4),$A123+0.5+ROW()/10000000,""))</f>
        <v/>
      </c>
      <c r="R123" s="32">
        <f>IF(AND(OR($A123&lt;&gt;"",$E123&lt;&gt;"",$F123&lt;&gt;"",$G123&lt;&gt;"",$H123&lt;&gt;"",$I123&lt;&gt;""),NOT(ISNUMBER($O123))),1,"")</f>
        <v/>
      </c>
    </row>
    <row r="124" ht="18" customHeight="1">
      <c r="A124" s="26" t="n"/>
      <c r="B124" s="18" t="n"/>
      <c r="C124" s="18" t="n"/>
      <c r="D124" s="20">
        <f>IF($P124="","",IFERROR(INDEX('得意先'!$C$5:$C$104,MATCH($P124,'得意先'!$B$5:$B$104,0))&amp;"","※得意先にないコード"))</f>
        <v/>
      </c>
      <c r="E124" s="27" t="n"/>
      <c r="F124" s="18" t="n"/>
      <c r="G124" s="27" t="n"/>
      <c r="H124" s="27" t="n"/>
      <c r="I124" s="27" t="n"/>
      <c r="J124" s="28">
        <f>IF(NOT(OR($A124&lt;&gt;"",$E124&lt;&gt;"",$F124&lt;&gt;"",$G124&lt;&gt;"",$H124&lt;&gt;"",$I124&lt;&gt;"")),"",N($G124)+N($H124)+N($I124))</f>
        <v/>
      </c>
      <c r="K124" s="28">
        <f>IF(ISNUMBER($O124),INDEX('請求台帳'!$R$5:$R$1004,$O124),"")</f>
        <v/>
      </c>
      <c r="L124" s="20">
        <f>IF(NOT(OR($A124&lt;&gt;"",$E124&lt;&gt;"",$F124&lt;&gt;"",$G124&lt;&gt;"",$H124&lt;&gt;"",$I124&lt;&gt;"")),"",IF(NOT(ISNUMBER($A124)),"入金日がありません",IF(AND($F124&lt;&gt;"",$O124="なし"),"請求Noが請求台帳にありません",IF(AND(ISNUMBER($O124),$C124&lt;&gt;"",$C124&lt;&gt;$P124),"請求の得意先は "&amp;$P124&amp;" です",IF(ROUND(IF($B124&lt;&gt;"",SUMIF($B$5:$B$1004,$B124,$E$5:$E$1004)-SUMIF($B$5:$B$1004,$B124,$G$5:$G$1004),N($E124)-N($G124)),0)&lt;&gt;0,"通帳の額と当てた額の差 "&amp;TEXT(IF($B124&lt;&gt;"",SUMIF($B$5:$B$1004,$B124,$E$5:$E$1004)-SUMIF($B$5:$B$1004,$B124,$G$5:$G$1004),N($E124)-N($G124)),"#,##0"),IF(AND(ISNUMBER($O124),N($K124)&lt;0),"請求額より多く消し込んでいます",IF($F124="","消込先が未定","OK")))))))</f>
        <v/>
      </c>
      <c r="M124" s="19" t="n"/>
      <c r="N124" s="56" t="n"/>
      <c r="O124" s="32">
        <f>IF($F124="","",IFERROR(MATCH($F124,'請求台帳'!$A$5:$A$1004,0),"なし"))</f>
        <v/>
      </c>
      <c r="P124" s="37">
        <f>IF(NOT(OR($A124&lt;&gt;"",$E124&lt;&gt;"",$F124&lt;&gt;"",$G124&lt;&gt;"",$H124&lt;&gt;"",$I124&lt;&gt;"")),"",IF(ISNUMBER($O124),IF(INDEX('請求台帳'!$C$5:$C$1004,$O124)="","",INDEX('請求台帳'!$C$5:$C$1004,$O124)),IF($C124="","",$C124)))</f>
        <v/>
      </c>
      <c r="Q124" s="35">
        <f>IF(OR(NOT(OR($A124&lt;&gt;"",$E124&lt;&gt;"",$F124&lt;&gt;"",$G124&lt;&gt;"",$H124&lt;&gt;"",$I124&lt;&gt;"")),$P124="",$P124&lt;&gt;'売掛帳'!$B$3,NOT(ISNUMBER($A124)),N($G124)+N($H124)+N($I124)=0),"",IF(AND($A124&gt;='売掛帳'!$Q$3,$A124&lt;='売掛帳'!$Q$4),$A124+0.5+ROW()/10000000,""))</f>
        <v/>
      </c>
      <c r="R124" s="32">
        <f>IF(AND(OR($A124&lt;&gt;"",$E124&lt;&gt;"",$F124&lt;&gt;"",$G124&lt;&gt;"",$H124&lt;&gt;"",$I124&lt;&gt;""),NOT(ISNUMBER($O124))),1,"")</f>
        <v/>
      </c>
    </row>
    <row r="125" ht="18" customHeight="1">
      <c r="A125" s="26" t="n"/>
      <c r="B125" s="18" t="n"/>
      <c r="C125" s="18" t="n"/>
      <c r="D125" s="20">
        <f>IF($P125="","",IFERROR(INDEX('得意先'!$C$5:$C$104,MATCH($P125,'得意先'!$B$5:$B$104,0))&amp;"","※得意先にないコード"))</f>
        <v/>
      </c>
      <c r="E125" s="27" t="n"/>
      <c r="F125" s="18" t="n"/>
      <c r="G125" s="27" t="n"/>
      <c r="H125" s="27" t="n"/>
      <c r="I125" s="27" t="n"/>
      <c r="J125" s="28">
        <f>IF(NOT(OR($A125&lt;&gt;"",$E125&lt;&gt;"",$F125&lt;&gt;"",$G125&lt;&gt;"",$H125&lt;&gt;"",$I125&lt;&gt;"")),"",N($G125)+N($H125)+N($I125))</f>
        <v/>
      </c>
      <c r="K125" s="28">
        <f>IF(ISNUMBER($O125),INDEX('請求台帳'!$R$5:$R$1004,$O125),"")</f>
        <v/>
      </c>
      <c r="L125" s="20">
        <f>IF(NOT(OR($A125&lt;&gt;"",$E125&lt;&gt;"",$F125&lt;&gt;"",$G125&lt;&gt;"",$H125&lt;&gt;"",$I125&lt;&gt;"")),"",IF(NOT(ISNUMBER($A125)),"入金日がありません",IF(AND($F125&lt;&gt;"",$O125="なし"),"請求Noが請求台帳にありません",IF(AND(ISNUMBER($O125),$C125&lt;&gt;"",$C125&lt;&gt;$P125),"請求の得意先は "&amp;$P125&amp;" です",IF(ROUND(IF($B125&lt;&gt;"",SUMIF($B$5:$B$1004,$B125,$E$5:$E$1004)-SUMIF($B$5:$B$1004,$B125,$G$5:$G$1004),N($E125)-N($G125)),0)&lt;&gt;0,"通帳の額と当てた額の差 "&amp;TEXT(IF($B125&lt;&gt;"",SUMIF($B$5:$B$1004,$B125,$E$5:$E$1004)-SUMIF($B$5:$B$1004,$B125,$G$5:$G$1004),N($E125)-N($G125)),"#,##0"),IF(AND(ISNUMBER($O125),N($K125)&lt;0),"請求額より多く消し込んでいます",IF($F125="","消込先が未定","OK")))))))</f>
        <v/>
      </c>
      <c r="M125" s="19" t="n"/>
      <c r="N125" s="56" t="n"/>
      <c r="O125" s="32">
        <f>IF($F125="","",IFERROR(MATCH($F125,'請求台帳'!$A$5:$A$1004,0),"なし"))</f>
        <v/>
      </c>
      <c r="P125" s="37">
        <f>IF(NOT(OR($A125&lt;&gt;"",$E125&lt;&gt;"",$F125&lt;&gt;"",$G125&lt;&gt;"",$H125&lt;&gt;"",$I125&lt;&gt;"")),"",IF(ISNUMBER($O125),IF(INDEX('請求台帳'!$C$5:$C$1004,$O125)="","",INDEX('請求台帳'!$C$5:$C$1004,$O125)),IF($C125="","",$C125)))</f>
        <v/>
      </c>
      <c r="Q125" s="35">
        <f>IF(OR(NOT(OR($A125&lt;&gt;"",$E125&lt;&gt;"",$F125&lt;&gt;"",$G125&lt;&gt;"",$H125&lt;&gt;"",$I125&lt;&gt;"")),$P125="",$P125&lt;&gt;'売掛帳'!$B$3,NOT(ISNUMBER($A125)),N($G125)+N($H125)+N($I125)=0),"",IF(AND($A125&gt;='売掛帳'!$Q$3,$A125&lt;='売掛帳'!$Q$4),$A125+0.5+ROW()/10000000,""))</f>
        <v/>
      </c>
      <c r="R125" s="32">
        <f>IF(AND(OR($A125&lt;&gt;"",$E125&lt;&gt;"",$F125&lt;&gt;"",$G125&lt;&gt;"",$H125&lt;&gt;"",$I125&lt;&gt;""),NOT(ISNUMBER($O125))),1,"")</f>
        <v/>
      </c>
    </row>
    <row r="126" ht="18" customHeight="1">
      <c r="A126" s="26" t="n"/>
      <c r="B126" s="18" t="n"/>
      <c r="C126" s="18" t="n"/>
      <c r="D126" s="20">
        <f>IF($P126="","",IFERROR(INDEX('得意先'!$C$5:$C$104,MATCH($P126,'得意先'!$B$5:$B$104,0))&amp;"","※得意先にないコード"))</f>
        <v/>
      </c>
      <c r="E126" s="27" t="n"/>
      <c r="F126" s="18" t="n"/>
      <c r="G126" s="27" t="n"/>
      <c r="H126" s="27" t="n"/>
      <c r="I126" s="27" t="n"/>
      <c r="J126" s="28">
        <f>IF(NOT(OR($A126&lt;&gt;"",$E126&lt;&gt;"",$F126&lt;&gt;"",$G126&lt;&gt;"",$H126&lt;&gt;"",$I126&lt;&gt;"")),"",N($G126)+N($H126)+N($I126))</f>
        <v/>
      </c>
      <c r="K126" s="28">
        <f>IF(ISNUMBER($O126),INDEX('請求台帳'!$R$5:$R$1004,$O126),"")</f>
        <v/>
      </c>
      <c r="L126" s="20">
        <f>IF(NOT(OR($A126&lt;&gt;"",$E126&lt;&gt;"",$F126&lt;&gt;"",$G126&lt;&gt;"",$H126&lt;&gt;"",$I126&lt;&gt;"")),"",IF(NOT(ISNUMBER($A126)),"入金日がありません",IF(AND($F126&lt;&gt;"",$O126="なし"),"請求Noが請求台帳にありません",IF(AND(ISNUMBER($O126),$C126&lt;&gt;"",$C126&lt;&gt;$P126),"請求の得意先は "&amp;$P126&amp;" です",IF(ROUND(IF($B126&lt;&gt;"",SUMIF($B$5:$B$1004,$B126,$E$5:$E$1004)-SUMIF($B$5:$B$1004,$B126,$G$5:$G$1004),N($E126)-N($G126)),0)&lt;&gt;0,"通帳の額と当てた額の差 "&amp;TEXT(IF($B126&lt;&gt;"",SUMIF($B$5:$B$1004,$B126,$E$5:$E$1004)-SUMIF($B$5:$B$1004,$B126,$G$5:$G$1004),N($E126)-N($G126)),"#,##0"),IF(AND(ISNUMBER($O126),N($K126)&lt;0),"請求額より多く消し込んでいます",IF($F126="","消込先が未定","OK")))))))</f>
        <v/>
      </c>
      <c r="M126" s="19" t="n"/>
      <c r="N126" s="56" t="n"/>
      <c r="O126" s="32">
        <f>IF($F126="","",IFERROR(MATCH($F126,'請求台帳'!$A$5:$A$1004,0),"なし"))</f>
        <v/>
      </c>
      <c r="P126" s="37">
        <f>IF(NOT(OR($A126&lt;&gt;"",$E126&lt;&gt;"",$F126&lt;&gt;"",$G126&lt;&gt;"",$H126&lt;&gt;"",$I126&lt;&gt;"")),"",IF(ISNUMBER($O126),IF(INDEX('請求台帳'!$C$5:$C$1004,$O126)="","",INDEX('請求台帳'!$C$5:$C$1004,$O126)),IF($C126="","",$C126)))</f>
        <v/>
      </c>
      <c r="Q126" s="35">
        <f>IF(OR(NOT(OR($A126&lt;&gt;"",$E126&lt;&gt;"",$F126&lt;&gt;"",$G126&lt;&gt;"",$H126&lt;&gt;"",$I126&lt;&gt;"")),$P126="",$P126&lt;&gt;'売掛帳'!$B$3,NOT(ISNUMBER($A126)),N($G126)+N($H126)+N($I126)=0),"",IF(AND($A126&gt;='売掛帳'!$Q$3,$A126&lt;='売掛帳'!$Q$4),$A126+0.5+ROW()/10000000,""))</f>
        <v/>
      </c>
      <c r="R126" s="32">
        <f>IF(AND(OR($A126&lt;&gt;"",$E126&lt;&gt;"",$F126&lt;&gt;"",$G126&lt;&gt;"",$H126&lt;&gt;"",$I126&lt;&gt;""),NOT(ISNUMBER($O126))),1,"")</f>
        <v/>
      </c>
    </row>
    <row r="127" ht="18" customHeight="1">
      <c r="A127" s="26" t="n"/>
      <c r="B127" s="18" t="n"/>
      <c r="C127" s="18" t="n"/>
      <c r="D127" s="20">
        <f>IF($P127="","",IFERROR(INDEX('得意先'!$C$5:$C$104,MATCH($P127,'得意先'!$B$5:$B$104,0))&amp;"","※得意先にないコード"))</f>
        <v/>
      </c>
      <c r="E127" s="27" t="n"/>
      <c r="F127" s="18" t="n"/>
      <c r="G127" s="27" t="n"/>
      <c r="H127" s="27" t="n"/>
      <c r="I127" s="27" t="n"/>
      <c r="J127" s="28">
        <f>IF(NOT(OR($A127&lt;&gt;"",$E127&lt;&gt;"",$F127&lt;&gt;"",$G127&lt;&gt;"",$H127&lt;&gt;"",$I127&lt;&gt;"")),"",N($G127)+N($H127)+N($I127))</f>
        <v/>
      </c>
      <c r="K127" s="28">
        <f>IF(ISNUMBER($O127),INDEX('請求台帳'!$R$5:$R$1004,$O127),"")</f>
        <v/>
      </c>
      <c r="L127" s="20">
        <f>IF(NOT(OR($A127&lt;&gt;"",$E127&lt;&gt;"",$F127&lt;&gt;"",$G127&lt;&gt;"",$H127&lt;&gt;"",$I127&lt;&gt;"")),"",IF(NOT(ISNUMBER($A127)),"入金日がありません",IF(AND($F127&lt;&gt;"",$O127="なし"),"請求Noが請求台帳にありません",IF(AND(ISNUMBER($O127),$C127&lt;&gt;"",$C127&lt;&gt;$P127),"請求の得意先は "&amp;$P127&amp;" です",IF(ROUND(IF($B127&lt;&gt;"",SUMIF($B$5:$B$1004,$B127,$E$5:$E$1004)-SUMIF($B$5:$B$1004,$B127,$G$5:$G$1004),N($E127)-N($G127)),0)&lt;&gt;0,"通帳の額と当てた額の差 "&amp;TEXT(IF($B127&lt;&gt;"",SUMIF($B$5:$B$1004,$B127,$E$5:$E$1004)-SUMIF($B$5:$B$1004,$B127,$G$5:$G$1004),N($E127)-N($G127)),"#,##0"),IF(AND(ISNUMBER($O127),N($K127)&lt;0),"請求額より多く消し込んでいます",IF($F127="","消込先が未定","OK")))))))</f>
        <v/>
      </c>
      <c r="M127" s="19" t="n"/>
      <c r="N127" s="56" t="n"/>
      <c r="O127" s="32">
        <f>IF($F127="","",IFERROR(MATCH($F127,'請求台帳'!$A$5:$A$1004,0),"なし"))</f>
        <v/>
      </c>
      <c r="P127" s="37">
        <f>IF(NOT(OR($A127&lt;&gt;"",$E127&lt;&gt;"",$F127&lt;&gt;"",$G127&lt;&gt;"",$H127&lt;&gt;"",$I127&lt;&gt;"")),"",IF(ISNUMBER($O127),IF(INDEX('請求台帳'!$C$5:$C$1004,$O127)="","",INDEX('請求台帳'!$C$5:$C$1004,$O127)),IF($C127="","",$C127)))</f>
        <v/>
      </c>
      <c r="Q127" s="35">
        <f>IF(OR(NOT(OR($A127&lt;&gt;"",$E127&lt;&gt;"",$F127&lt;&gt;"",$G127&lt;&gt;"",$H127&lt;&gt;"",$I127&lt;&gt;"")),$P127="",$P127&lt;&gt;'売掛帳'!$B$3,NOT(ISNUMBER($A127)),N($G127)+N($H127)+N($I127)=0),"",IF(AND($A127&gt;='売掛帳'!$Q$3,$A127&lt;='売掛帳'!$Q$4),$A127+0.5+ROW()/10000000,""))</f>
        <v/>
      </c>
      <c r="R127" s="32">
        <f>IF(AND(OR($A127&lt;&gt;"",$E127&lt;&gt;"",$F127&lt;&gt;"",$G127&lt;&gt;"",$H127&lt;&gt;"",$I127&lt;&gt;""),NOT(ISNUMBER($O127))),1,"")</f>
        <v/>
      </c>
    </row>
    <row r="128" ht="18" customHeight="1">
      <c r="A128" s="26" t="n"/>
      <c r="B128" s="18" t="n"/>
      <c r="C128" s="18" t="n"/>
      <c r="D128" s="20">
        <f>IF($P128="","",IFERROR(INDEX('得意先'!$C$5:$C$104,MATCH($P128,'得意先'!$B$5:$B$104,0))&amp;"","※得意先にないコード"))</f>
        <v/>
      </c>
      <c r="E128" s="27" t="n"/>
      <c r="F128" s="18" t="n"/>
      <c r="G128" s="27" t="n"/>
      <c r="H128" s="27" t="n"/>
      <c r="I128" s="27" t="n"/>
      <c r="J128" s="28">
        <f>IF(NOT(OR($A128&lt;&gt;"",$E128&lt;&gt;"",$F128&lt;&gt;"",$G128&lt;&gt;"",$H128&lt;&gt;"",$I128&lt;&gt;"")),"",N($G128)+N($H128)+N($I128))</f>
        <v/>
      </c>
      <c r="K128" s="28">
        <f>IF(ISNUMBER($O128),INDEX('請求台帳'!$R$5:$R$1004,$O128),"")</f>
        <v/>
      </c>
      <c r="L128" s="20">
        <f>IF(NOT(OR($A128&lt;&gt;"",$E128&lt;&gt;"",$F128&lt;&gt;"",$G128&lt;&gt;"",$H128&lt;&gt;"",$I128&lt;&gt;"")),"",IF(NOT(ISNUMBER($A128)),"入金日がありません",IF(AND($F128&lt;&gt;"",$O128="なし"),"請求Noが請求台帳にありません",IF(AND(ISNUMBER($O128),$C128&lt;&gt;"",$C128&lt;&gt;$P128),"請求の得意先は "&amp;$P128&amp;" です",IF(ROUND(IF($B128&lt;&gt;"",SUMIF($B$5:$B$1004,$B128,$E$5:$E$1004)-SUMIF($B$5:$B$1004,$B128,$G$5:$G$1004),N($E128)-N($G128)),0)&lt;&gt;0,"通帳の額と当てた額の差 "&amp;TEXT(IF($B128&lt;&gt;"",SUMIF($B$5:$B$1004,$B128,$E$5:$E$1004)-SUMIF($B$5:$B$1004,$B128,$G$5:$G$1004),N($E128)-N($G128)),"#,##0"),IF(AND(ISNUMBER($O128),N($K128)&lt;0),"請求額より多く消し込んでいます",IF($F128="","消込先が未定","OK")))))))</f>
        <v/>
      </c>
      <c r="M128" s="19" t="n"/>
      <c r="N128" s="56" t="n"/>
      <c r="O128" s="32">
        <f>IF($F128="","",IFERROR(MATCH($F128,'請求台帳'!$A$5:$A$1004,0),"なし"))</f>
        <v/>
      </c>
      <c r="P128" s="37">
        <f>IF(NOT(OR($A128&lt;&gt;"",$E128&lt;&gt;"",$F128&lt;&gt;"",$G128&lt;&gt;"",$H128&lt;&gt;"",$I128&lt;&gt;"")),"",IF(ISNUMBER($O128),IF(INDEX('請求台帳'!$C$5:$C$1004,$O128)="","",INDEX('請求台帳'!$C$5:$C$1004,$O128)),IF($C128="","",$C128)))</f>
        <v/>
      </c>
      <c r="Q128" s="35">
        <f>IF(OR(NOT(OR($A128&lt;&gt;"",$E128&lt;&gt;"",$F128&lt;&gt;"",$G128&lt;&gt;"",$H128&lt;&gt;"",$I128&lt;&gt;"")),$P128="",$P128&lt;&gt;'売掛帳'!$B$3,NOT(ISNUMBER($A128)),N($G128)+N($H128)+N($I128)=0),"",IF(AND($A128&gt;='売掛帳'!$Q$3,$A128&lt;='売掛帳'!$Q$4),$A128+0.5+ROW()/10000000,""))</f>
        <v/>
      </c>
      <c r="R128" s="32">
        <f>IF(AND(OR($A128&lt;&gt;"",$E128&lt;&gt;"",$F128&lt;&gt;"",$G128&lt;&gt;"",$H128&lt;&gt;"",$I128&lt;&gt;""),NOT(ISNUMBER($O128))),1,"")</f>
        <v/>
      </c>
    </row>
    <row r="129" ht="18" customHeight="1">
      <c r="A129" s="26" t="n"/>
      <c r="B129" s="18" t="n"/>
      <c r="C129" s="18" t="n"/>
      <c r="D129" s="20">
        <f>IF($P129="","",IFERROR(INDEX('得意先'!$C$5:$C$104,MATCH($P129,'得意先'!$B$5:$B$104,0))&amp;"","※得意先にないコード"))</f>
        <v/>
      </c>
      <c r="E129" s="27" t="n"/>
      <c r="F129" s="18" t="n"/>
      <c r="G129" s="27" t="n"/>
      <c r="H129" s="27" t="n"/>
      <c r="I129" s="27" t="n"/>
      <c r="J129" s="28">
        <f>IF(NOT(OR($A129&lt;&gt;"",$E129&lt;&gt;"",$F129&lt;&gt;"",$G129&lt;&gt;"",$H129&lt;&gt;"",$I129&lt;&gt;"")),"",N($G129)+N($H129)+N($I129))</f>
        <v/>
      </c>
      <c r="K129" s="28">
        <f>IF(ISNUMBER($O129),INDEX('請求台帳'!$R$5:$R$1004,$O129),"")</f>
        <v/>
      </c>
      <c r="L129" s="20">
        <f>IF(NOT(OR($A129&lt;&gt;"",$E129&lt;&gt;"",$F129&lt;&gt;"",$G129&lt;&gt;"",$H129&lt;&gt;"",$I129&lt;&gt;"")),"",IF(NOT(ISNUMBER($A129)),"入金日がありません",IF(AND($F129&lt;&gt;"",$O129="なし"),"請求Noが請求台帳にありません",IF(AND(ISNUMBER($O129),$C129&lt;&gt;"",$C129&lt;&gt;$P129),"請求の得意先は "&amp;$P129&amp;" です",IF(ROUND(IF($B129&lt;&gt;"",SUMIF($B$5:$B$1004,$B129,$E$5:$E$1004)-SUMIF($B$5:$B$1004,$B129,$G$5:$G$1004),N($E129)-N($G129)),0)&lt;&gt;0,"通帳の額と当てた額の差 "&amp;TEXT(IF($B129&lt;&gt;"",SUMIF($B$5:$B$1004,$B129,$E$5:$E$1004)-SUMIF($B$5:$B$1004,$B129,$G$5:$G$1004),N($E129)-N($G129)),"#,##0"),IF(AND(ISNUMBER($O129),N($K129)&lt;0),"請求額より多く消し込んでいます",IF($F129="","消込先が未定","OK")))))))</f>
        <v/>
      </c>
      <c r="M129" s="19" t="n"/>
      <c r="N129" s="56" t="n"/>
      <c r="O129" s="32">
        <f>IF($F129="","",IFERROR(MATCH($F129,'請求台帳'!$A$5:$A$1004,0),"なし"))</f>
        <v/>
      </c>
      <c r="P129" s="37">
        <f>IF(NOT(OR($A129&lt;&gt;"",$E129&lt;&gt;"",$F129&lt;&gt;"",$G129&lt;&gt;"",$H129&lt;&gt;"",$I129&lt;&gt;"")),"",IF(ISNUMBER($O129),IF(INDEX('請求台帳'!$C$5:$C$1004,$O129)="","",INDEX('請求台帳'!$C$5:$C$1004,$O129)),IF($C129="","",$C129)))</f>
        <v/>
      </c>
      <c r="Q129" s="35">
        <f>IF(OR(NOT(OR($A129&lt;&gt;"",$E129&lt;&gt;"",$F129&lt;&gt;"",$G129&lt;&gt;"",$H129&lt;&gt;"",$I129&lt;&gt;"")),$P129="",$P129&lt;&gt;'売掛帳'!$B$3,NOT(ISNUMBER($A129)),N($G129)+N($H129)+N($I129)=0),"",IF(AND($A129&gt;='売掛帳'!$Q$3,$A129&lt;='売掛帳'!$Q$4),$A129+0.5+ROW()/10000000,""))</f>
        <v/>
      </c>
      <c r="R129" s="32">
        <f>IF(AND(OR($A129&lt;&gt;"",$E129&lt;&gt;"",$F129&lt;&gt;"",$G129&lt;&gt;"",$H129&lt;&gt;"",$I129&lt;&gt;""),NOT(ISNUMBER($O129))),1,"")</f>
        <v/>
      </c>
    </row>
    <row r="130" ht="18" customHeight="1">
      <c r="A130" s="26" t="n"/>
      <c r="B130" s="18" t="n"/>
      <c r="C130" s="18" t="n"/>
      <c r="D130" s="20">
        <f>IF($P130="","",IFERROR(INDEX('得意先'!$C$5:$C$104,MATCH($P130,'得意先'!$B$5:$B$104,0))&amp;"","※得意先にないコード"))</f>
        <v/>
      </c>
      <c r="E130" s="27" t="n"/>
      <c r="F130" s="18" t="n"/>
      <c r="G130" s="27" t="n"/>
      <c r="H130" s="27" t="n"/>
      <c r="I130" s="27" t="n"/>
      <c r="J130" s="28">
        <f>IF(NOT(OR($A130&lt;&gt;"",$E130&lt;&gt;"",$F130&lt;&gt;"",$G130&lt;&gt;"",$H130&lt;&gt;"",$I130&lt;&gt;"")),"",N($G130)+N($H130)+N($I130))</f>
        <v/>
      </c>
      <c r="K130" s="28">
        <f>IF(ISNUMBER($O130),INDEX('請求台帳'!$R$5:$R$1004,$O130),"")</f>
        <v/>
      </c>
      <c r="L130" s="20">
        <f>IF(NOT(OR($A130&lt;&gt;"",$E130&lt;&gt;"",$F130&lt;&gt;"",$G130&lt;&gt;"",$H130&lt;&gt;"",$I130&lt;&gt;"")),"",IF(NOT(ISNUMBER($A130)),"入金日がありません",IF(AND($F130&lt;&gt;"",$O130="なし"),"請求Noが請求台帳にありません",IF(AND(ISNUMBER($O130),$C130&lt;&gt;"",$C130&lt;&gt;$P130),"請求の得意先は "&amp;$P130&amp;" です",IF(ROUND(IF($B130&lt;&gt;"",SUMIF($B$5:$B$1004,$B130,$E$5:$E$1004)-SUMIF($B$5:$B$1004,$B130,$G$5:$G$1004),N($E130)-N($G130)),0)&lt;&gt;0,"通帳の額と当てた額の差 "&amp;TEXT(IF($B130&lt;&gt;"",SUMIF($B$5:$B$1004,$B130,$E$5:$E$1004)-SUMIF($B$5:$B$1004,$B130,$G$5:$G$1004),N($E130)-N($G130)),"#,##0"),IF(AND(ISNUMBER($O130),N($K130)&lt;0),"請求額より多く消し込んでいます",IF($F130="","消込先が未定","OK")))))))</f>
        <v/>
      </c>
      <c r="M130" s="19" t="n"/>
      <c r="N130" s="56" t="n"/>
      <c r="O130" s="32">
        <f>IF($F130="","",IFERROR(MATCH($F130,'請求台帳'!$A$5:$A$1004,0),"なし"))</f>
        <v/>
      </c>
      <c r="P130" s="37">
        <f>IF(NOT(OR($A130&lt;&gt;"",$E130&lt;&gt;"",$F130&lt;&gt;"",$G130&lt;&gt;"",$H130&lt;&gt;"",$I130&lt;&gt;"")),"",IF(ISNUMBER($O130),IF(INDEX('請求台帳'!$C$5:$C$1004,$O130)="","",INDEX('請求台帳'!$C$5:$C$1004,$O130)),IF($C130="","",$C130)))</f>
        <v/>
      </c>
      <c r="Q130" s="35">
        <f>IF(OR(NOT(OR($A130&lt;&gt;"",$E130&lt;&gt;"",$F130&lt;&gt;"",$G130&lt;&gt;"",$H130&lt;&gt;"",$I130&lt;&gt;"")),$P130="",$P130&lt;&gt;'売掛帳'!$B$3,NOT(ISNUMBER($A130)),N($G130)+N($H130)+N($I130)=0),"",IF(AND($A130&gt;='売掛帳'!$Q$3,$A130&lt;='売掛帳'!$Q$4),$A130+0.5+ROW()/10000000,""))</f>
        <v/>
      </c>
      <c r="R130" s="32">
        <f>IF(AND(OR($A130&lt;&gt;"",$E130&lt;&gt;"",$F130&lt;&gt;"",$G130&lt;&gt;"",$H130&lt;&gt;"",$I130&lt;&gt;""),NOT(ISNUMBER($O130))),1,"")</f>
        <v/>
      </c>
    </row>
    <row r="131" ht="18" customHeight="1">
      <c r="A131" s="26" t="n"/>
      <c r="B131" s="18" t="n"/>
      <c r="C131" s="18" t="n"/>
      <c r="D131" s="20">
        <f>IF($P131="","",IFERROR(INDEX('得意先'!$C$5:$C$104,MATCH($P131,'得意先'!$B$5:$B$104,0))&amp;"","※得意先にないコード"))</f>
        <v/>
      </c>
      <c r="E131" s="27" t="n"/>
      <c r="F131" s="18" t="n"/>
      <c r="G131" s="27" t="n"/>
      <c r="H131" s="27" t="n"/>
      <c r="I131" s="27" t="n"/>
      <c r="J131" s="28">
        <f>IF(NOT(OR($A131&lt;&gt;"",$E131&lt;&gt;"",$F131&lt;&gt;"",$G131&lt;&gt;"",$H131&lt;&gt;"",$I131&lt;&gt;"")),"",N($G131)+N($H131)+N($I131))</f>
        <v/>
      </c>
      <c r="K131" s="28">
        <f>IF(ISNUMBER($O131),INDEX('請求台帳'!$R$5:$R$1004,$O131),"")</f>
        <v/>
      </c>
      <c r="L131" s="20">
        <f>IF(NOT(OR($A131&lt;&gt;"",$E131&lt;&gt;"",$F131&lt;&gt;"",$G131&lt;&gt;"",$H131&lt;&gt;"",$I131&lt;&gt;"")),"",IF(NOT(ISNUMBER($A131)),"入金日がありません",IF(AND($F131&lt;&gt;"",$O131="なし"),"請求Noが請求台帳にありません",IF(AND(ISNUMBER($O131),$C131&lt;&gt;"",$C131&lt;&gt;$P131),"請求の得意先は "&amp;$P131&amp;" です",IF(ROUND(IF($B131&lt;&gt;"",SUMIF($B$5:$B$1004,$B131,$E$5:$E$1004)-SUMIF($B$5:$B$1004,$B131,$G$5:$G$1004),N($E131)-N($G131)),0)&lt;&gt;0,"通帳の額と当てた額の差 "&amp;TEXT(IF($B131&lt;&gt;"",SUMIF($B$5:$B$1004,$B131,$E$5:$E$1004)-SUMIF($B$5:$B$1004,$B131,$G$5:$G$1004),N($E131)-N($G131)),"#,##0"),IF(AND(ISNUMBER($O131),N($K131)&lt;0),"請求額より多く消し込んでいます",IF($F131="","消込先が未定","OK")))))))</f>
        <v/>
      </c>
      <c r="M131" s="19" t="n"/>
      <c r="N131" s="56" t="n"/>
      <c r="O131" s="32">
        <f>IF($F131="","",IFERROR(MATCH($F131,'請求台帳'!$A$5:$A$1004,0),"なし"))</f>
        <v/>
      </c>
      <c r="P131" s="37">
        <f>IF(NOT(OR($A131&lt;&gt;"",$E131&lt;&gt;"",$F131&lt;&gt;"",$G131&lt;&gt;"",$H131&lt;&gt;"",$I131&lt;&gt;"")),"",IF(ISNUMBER($O131),IF(INDEX('請求台帳'!$C$5:$C$1004,$O131)="","",INDEX('請求台帳'!$C$5:$C$1004,$O131)),IF($C131="","",$C131)))</f>
        <v/>
      </c>
      <c r="Q131" s="35">
        <f>IF(OR(NOT(OR($A131&lt;&gt;"",$E131&lt;&gt;"",$F131&lt;&gt;"",$G131&lt;&gt;"",$H131&lt;&gt;"",$I131&lt;&gt;"")),$P131="",$P131&lt;&gt;'売掛帳'!$B$3,NOT(ISNUMBER($A131)),N($G131)+N($H131)+N($I131)=0),"",IF(AND($A131&gt;='売掛帳'!$Q$3,$A131&lt;='売掛帳'!$Q$4),$A131+0.5+ROW()/10000000,""))</f>
        <v/>
      </c>
      <c r="R131" s="32">
        <f>IF(AND(OR($A131&lt;&gt;"",$E131&lt;&gt;"",$F131&lt;&gt;"",$G131&lt;&gt;"",$H131&lt;&gt;"",$I131&lt;&gt;""),NOT(ISNUMBER($O131))),1,"")</f>
        <v/>
      </c>
    </row>
    <row r="132" ht="18" customHeight="1">
      <c r="A132" s="26" t="n"/>
      <c r="B132" s="18" t="n"/>
      <c r="C132" s="18" t="n"/>
      <c r="D132" s="20">
        <f>IF($P132="","",IFERROR(INDEX('得意先'!$C$5:$C$104,MATCH($P132,'得意先'!$B$5:$B$104,0))&amp;"","※得意先にないコード"))</f>
        <v/>
      </c>
      <c r="E132" s="27" t="n"/>
      <c r="F132" s="18" t="n"/>
      <c r="G132" s="27" t="n"/>
      <c r="H132" s="27" t="n"/>
      <c r="I132" s="27" t="n"/>
      <c r="J132" s="28">
        <f>IF(NOT(OR($A132&lt;&gt;"",$E132&lt;&gt;"",$F132&lt;&gt;"",$G132&lt;&gt;"",$H132&lt;&gt;"",$I132&lt;&gt;"")),"",N($G132)+N($H132)+N($I132))</f>
        <v/>
      </c>
      <c r="K132" s="28">
        <f>IF(ISNUMBER($O132),INDEX('請求台帳'!$R$5:$R$1004,$O132),"")</f>
        <v/>
      </c>
      <c r="L132" s="20">
        <f>IF(NOT(OR($A132&lt;&gt;"",$E132&lt;&gt;"",$F132&lt;&gt;"",$G132&lt;&gt;"",$H132&lt;&gt;"",$I132&lt;&gt;"")),"",IF(NOT(ISNUMBER($A132)),"入金日がありません",IF(AND($F132&lt;&gt;"",$O132="なし"),"請求Noが請求台帳にありません",IF(AND(ISNUMBER($O132),$C132&lt;&gt;"",$C132&lt;&gt;$P132),"請求の得意先は "&amp;$P132&amp;" です",IF(ROUND(IF($B132&lt;&gt;"",SUMIF($B$5:$B$1004,$B132,$E$5:$E$1004)-SUMIF($B$5:$B$1004,$B132,$G$5:$G$1004),N($E132)-N($G132)),0)&lt;&gt;0,"通帳の額と当てた額の差 "&amp;TEXT(IF($B132&lt;&gt;"",SUMIF($B$5:$B$1004,$B132,$E$5:$E$1004)-SUMIF($B$5:$B$1004,$B132,$G$5:$G$1004),N($E132)-N($G132)),"#,##0"),IF(AND(ISNUMBER($O132),N($K132)&lt;0),"請求額より多く消し込んでいます",IF($F132="","消込先が未定","OK")))))))</f>
        <v/>
      </c>
      <c r="M132" s="19" t="n"/>
      <c r="N132" s="56" t="n"/>
      <c r="O132" s="32">
        <f>IF($F132="","",IFERROR(MATCH($F132,'請求台帳'!$A$5:$A$1004,0),"なし"))</f>
        <v/>
      </c>
      <c r="P132" s="37">
        <f>IF(NOT(OR($A132&lt;&gt;"",$E132&lt;&gt;"",$F132&lt;&gt;"",$G132&lt;&gt;"",$H132&lt;&gt;"",$I132&lt;&gt;"")),"",IF(ISNUMBER($O132),IF(INDEX('請求台帳'!$C$5:$C$1004,$O132)="","",INDEX('請求台帳'!$C$5:$C$1004,$O132)),IF($C132="","",$C132)))</f>
        <v/>
      </c>
      <c r="Q132" s="35">
        <f>IF(OR(NOT(OR($A132&lt;&gt;"",$E132&lt;&gt;"",$F132&lt;&gt;"",$G132&lt;&gt;"",$H132&lt;&gt;"",$I132&lt;&gt;"")),$P132="",$P132&lt;&gt;'売掛帳'!$B$3,NOT(ISNUMBER($A132)),N($G132)+N($H132)+N($I132)=0),"",IF(AND($A132&gt;='売掛帳'!$Q$3,$A132&lt;='売掛帳'!$Q$4),$A132+0.5+ROW()/10000000,""))</f>
        <v/>
      </c>
      <c r="R132" s="32">
        <f>IF(AND(OR($A132&lt;&gt;"",$E132&lt;&gt;"",$F132&lt;&gt;"",$G132&lt;&gt;"",$H132&lt;&gt;"",$I132&lt;&gt;""),NOT(ISNUMBER($O132))),1,"")</f>
        <v/>
      </c>
    </row>
    <row r="133" ht="18" customHeight="1">
      <c r="A133" s="26" t="n"/>
      <c r="B133" s="18" t="n"/>
      <c r="C133" s="18" t="n"/>
      <c r="D133" s="20">
        <f>IF($P133="","",IFERROR(INDEX('得意先'!$C$5:$C$104,MATCH($P133,'得意先'!$B$5:$B$104,0))&amp;"","※得意先にないコード"))</f>
        <v/>
      </c>
      <c r="E133" s="27" t="n"/>
      <c r="F133" s="18" t="n"/>
      <c r="G133" s="27" t="n"/>
      <c r="H133" s="27" t="n"/>
      <c r="I133" s="27" t="n"/>
      <c r="J133" s="28">
        <f>IF(NOT(OR($A133&lt;&gt;"",$E133&lt;&gt;"",$F133&lt;&gt;"",$G133&lt;&gt;"",$H133&lt;&gt;"",$I133&lt;&gt;"")),"",N($G133)+N($H133)+N($I133))</f>
        <v/>
      </c>
      <c r="K133" s="28">
        <f>IF(ISNUMBER($O133),INDEX('請求台帳'!$R$5:$R$1004,$O133),"")</f>
        <v/>
      </c>
      <c r="L133" s="20">
        <f>IF(NOT(OR($A133&lt;&gt;"",$E133&lt;&gt;"",$F133&lt;&gt;"",$G133&lt;&gt;"",$H133&lt;&gt;"",$I133&lt;&gt;"")),"",IF(NOT(ISNUMBER($A133)),"入金日がありません",IF(AND($F133&lt;&gt;"",$O133="なし"),"請求Noが請求台帳にありません",IF(AND(ISNUMBER($O133),$C133&lt;&gt;"",$C133&lt;&gt;$P133),"請求の得意先は "&amp;$P133&amp;" です",IF(ROUND(IF($B133&lt;&gt;"",SUMIF($B$5:$B$1004,$B133,$E$5:$E$1004)-SUMIF($B$5:$B$1004,$B133,$G$5:$G$1004),N($E133)-N($G133)),0)&lt;&gt;0,"通帳の額と当てた額の差 "&amp;TEXT(IF($B133&lt;&gt;"",SUMIF($B$5:$B$1004,$B133,$E$5:$E$1004)-SUMIF($B$5:$B$1004,$B133,$G$5:$G$1004),N($E133)-N($G133)),"#,##0"),IF(AND(ISNUMBER($O133),N($K133)&lt;0),"請求額より多く消し込んでいます",IF($F133="","消込先が未定","OK")))))))</f>
        <v/>
      </c>
      <c r="M133" s="19" t="n"/>
      <c r="N133" s="56" t="n"/>
      <c r="O133" s="32">
        <f>IF($F133="","",IFERROR(MATCH($F133,'請求台帳'!$A$5:$A$1004,0),"なし"))</f>
        <v/>
      </c>
      <c r="P133" s="37">
        <f>IF(NOT(OR($A133&lt;&gt;"",$E133&lt;&gt;"",$F133&lt;&gt;"",$G133&lt;&gt;"",$H133&lt;&gt;"",$I133&lt;&gt;"")),"",IF(ISNUMBER($O133),IF(INDEX('請求台帳'!$C$5:$C$1004,$O133)="","",INDEX('請求台帳'!$C$5:$C$1004,$O133)),IF($C133="","",$C133)))</f>
        <v/>
      </c>
      <c r="Q133" s="35">
        <f>IF(OR(NOT(OR($A133&lt;&gt;"",$E133&lt;&gt;"",$F133&lt;&gt;"",$G133&lt;&gt;"",$H133&lt;&gt;"",$I133&lt;&gt;"")),$P133="",$P133&lt;&gt;'売掛帳'!$B$3,NOT(ISNUMBER($A133)),N($G133)+N($H133)+N($I133)=0),"",IF(AND($A133&gt;='売掛帳'!$Q$3,$A133&lt;='売掛帳'!$Q$4),$A133+0.5+ROW()/10000000,""))</f>
        <v/>
      </c>
      <c r="R133" s="32">
        <f>IF(AND(OR($A133&lt;&gt;"",$E133&lt;&gt;"",$F133&lt;&gt;"",$G133&lt;&gt;"",$H133&lt;&gt;"",$I133&lt;&gt;""),NOT(ISNUMBER($O133))),1,"")</f>
        <v/>
      </c>
    </row>
    <row r="134" ht="18" customHeight="1">
      <c r="A134" s="26" t="n"/>
      <c r="B134" s="18" t="n"/>
      <c r="C134" s="18" t="n"/>
      <c r="D134" s="20">
        <f>IF($P134="","",IFERROR(INDEX('得意先'!$C$5:$C$104,MATCH($P134,'得意先'!$B$5:$B$104,0))&amp;"","※得意先にないコード"))</f>
        <v/>
      </c>
      <c r="E134" s="27" t="n"/>
      <c r="F134" s="18" t="n"/>
      <c r="G134" s="27" t="n"/>
      <c r="H134" s="27" t="n"/>
      <c r="I134" s="27" t="n"/>
      <c r="J134" s="28">
        <f>IF(NOT(OR($A134&lt;&gt;"",$E134&lt;&gt;"",$F134&lt;&gt;"",$G134&lt;&gt;"",$H134&lt;&gt;"",$I134&lt;&gt;"")),"",N($G134)+N($H134)+N($I134))</f>
        <v/>
      </c>
      <c r="K134" s="28">
        <f>IF(ISNUMBER($O134),INDEX('請求台帳'!$R$5:$R$1004,$O134),"")</f>
        <v/>
      </c>
      <c r="L134" s="20">
        <f>IF(NOT(OR($A134&lt;&gt;"",$E134&lt;&gt;"",$F134&lt;&gt;"",$G134&lt;&gt;"",$H134&lt;&gt;"",$I134&lt;&gt;"")),"",IF(NOT(ISNUMBER($A134)),"入金日がありません",IF(AND($F134&lt;&gt;"",$O134="なし"),"請求Noが請求台帳にありません",IF(AND(ISNUMBER($O134),$C134&lt;&gt;"",$C134&lt;&gt;$P134),"請求の得意先は "&amp;$P134&amp;" です",IF(ROUND(IF($B134&lt;&gt;"",SUMIF($B$5:$B$1004,$B134,$E$5:$E$1004)-SUMIF($B$5:$B$1004,$B134,$G$5:$G$1004),N($E134)-N($G134)),0)&lt;&gt;0,"通帳の額と当てた額の差 "&amp;TEXT(IF($B134&lt;&gt;"",SUMIF($B$5:$B$1004,$B134,$E$5:$E$1004)-SUMIF($B$5:$B$1004,$B134,$G$5:$G$1004),N($E134)-N($G134)),"#,##0"),IF(AND(ISNUMBER($O134),N($K134)&lt;0),"請求額より多く消し込んでいます",IF($F134="","消込先が未定","OK")))))))</f>
        <v/>
      </c>
      <c r="M134" s="19" t="n"/>
      <c r="N134" s="56" t="n"/>
      <c r="O134" s="32">
        <f>IF($F134="","",IFERROR(MATCH($F134,'請求台帳'!$A$5:$A$1004,0),"なし"))</f>
        <v/>
      </c>
      <c r="P134" s="37">
        <f>IF(NOT(OR($A134&lt;&gt;"",$E134&lt;&gt;"",$F134&lt;&gt;"",$G134&lt;&gt;"",$H134&lt;&gt;"",$I134&lt;&gt;"")),"",IF(ISNUMBER($O134),IF(INDEX('請求台帳'!$C$5:$C$1004,$O134)="","",INDEX('請求台帳'!$C$5:$C$1004,$O134)),IF($C134="","",$C134)))</f>
        <v/>
      </c>
      <c r="Q134" s="35">
        <f>IF(OR(NOT(OR($A134&lt;&gt;"",$E134&lt;&gt;"",$F134&lt;&gt;"",$G134&lt;&gt;"",$H134&lt;&gt;"",$I134&lt;&gt;"")),$P134="",$P134&lt;&gt;'売掛帳'!$B$3,NOT(ISNUMBER($A134)),N($G134)+N($H134)+N($I134)=0),"",IF(AND($A134&gt;='売掛帳'!$Q$3,$A134&lt;='売掛帳'!$Q$4),$A134+0.5+ROW()/10000000,""))</f>
        <v/>
      </c>
      <c r="R134" s="32">
        <f>IF(AND(OR($A134&lt;&gt;"",$E134&lt;&gt;"",$F134&lt;&gt;"",$G134&lt;&gt;"",$H134&lt;&gt;"",$I134&lt;&gt;""),NOT(ISNUMBER($O134))),1,"")</f>
        <v/>
      </c>
    </row>
    <row r="135" ht="18" customHeight="1">
      <c r="A135" s="26" t="n"/>
      <c r="B135" s="18" t="n"/>
      <c r="C135" s="18" t="n"/>
      <c r="D135" s="20">
        <f>IF($P135="","",IFERROR(INDEX('得意先'!$C$5:$C$104,MATCH($P135,'得意先'!$B$5:$B$104,0))&amp;"","※得意先にないコード"))</f>
        <v/>
      </c>
      <c r="E135" s="27" t="n"/>
      <c r="F135" s="18" t="n"/>
      <c r="G135" s="27" t="n"/>
      <c r="H135" s="27" t="n"/>
      <c r="I135" s="27" t="n"/>
      <c r="J135" s="28">
        <f>IF(NOT(OR($A135&lt;&gt;"",$E135&lt;&gt;"",$F135&lt;&gt;"",$G135&lt;&gt;"",$H135&lt;&gt;"",$I135&lt;&gt;"")),"",N($G135)+N($H135)+N($I135))</f>
        <v/>
      </c>
      <c r="K135" s="28">
        <f>IF(ISNUMBER($O135),INDEX('請求台帳'!$R$5:$R$1004,$O135),"")</f>
        <v/>
      </c>
      <c r="L135" s="20">
        <f>IF(NOT(OR($A135&lt;&gt;"",$E135&lt;&gt;"",$F135&lt;&gt;"",$G135&lt;&gt;"",$H135&lt;&gt;"",$I135&lt;&gt;"")),"",IF(NOT(ISNUMBER($A135)),"入金日がありません",IF(AND($F135&lt;&gt;"",$O135="なし"),"請求Noが請求台帳にありません",IF(AND(ISNUMBER($O135),$C135&lt;&gt;"",$C135&lt;&gt;$P135),"請求の得意先は "&amp;$P135&amp;" です",IF(ROUND(IF($B135&lt;&gt;"",SUMIF($B$5:$B$1004,$B135,$E$5:$E$1004)-SUMIF($B$5:$B$1004,$B135,$G$5:$G$1004),N($E135)-N($G135)),0)&lt;&gt;0,"通帳の額と当てた額の差 "&amp;TEXT(IF($B135&lt;&gt;"",SUMIF($B$5:$B$1004,$B135,$E$5:$E$1004)-SUMIF($B$5:$B$1004,$B135,$G$5:$G$1004),N($E135)-N($G135)),"#,##0"),IF(AND(ISNUMBER($O135),N($K135)&lt;0),"請求額より多く消し込んでいます",IF($F135="","消込先が未定","OK")))))))</f>
        <v/>
      </c>
      <c r="M135" s="19" t="n"/>
      <c r="N135" s="56" t="n"/>
      <c r="O135" s="32">
        <f>IF($F135="","",IFERROR(MATCH($F135,'請求台帳'!$A$5:$A$1004,0),"なし"))</f>
        <v/>
      </c>
      <c r="P135" s="37">
        <f>IF(NOT(OR($A135&lt;&gt;"",$E135&lt;&gt;"",$F135&lt;&gt;"",$G135&lt;&gt;"",$H135&lt;&gt;"",$I135&lt;&gt;"")),"",IF(ISNUMBER($O135),IF(INDEX('請求台帳'!$C$5:$C$1004,$O135)="","",INDEX('請求台帳'!$C$5:$C$1004,$O135)),IF($C135="","",$C135)))</f>
        <v/>
      </c>
      <c r="Q135" s="35">
        <f>IF(OR(NOT(OR($A135&lt;&gt;"",$E135&lt;&gt;"",$F135&lt;&gt;"",$G135&lt;&gt;"",$H135&lt;&gt;"",$I135&lt;&gt;"")),$P135="",$P135&lt;&gt;'売掛帳'!$B$3,NOT(ISNUMBER($A135)),N($G135)+N($H135)+N($I135)=0),"",IF(AND($A135&gt;='売掛帳'!$Q$3,$A135&lt;='売掛帳'!$Q$4),$A135+0.5+ROW()/10000000,""))</f>
        <v/>
      </c>
      <c r="R135" s="32">
        <f>IF(AND(OR($A135&lt;&gt;"",$E135&lt;&gt;"",$F135&lt;&gt;"",$G135&lt;&gt;"",$H135&lt;&gt;"",$I135&lt;&gt;""),NOT(ISNUMBER($O135))),1,"")</f>
        <v/>
      </c>
    </row>
    <row r="136" ht="18" customHeight="1">
      <c r="A136" s="26" t="n"/>
      <c r="B136" s="18" t="n"/>
      <c r="C136" s="18" t="n"/>
      <c r="D136" s="20">
        <f>IF($P136="","",IFERROR(INDEX('得意先'!$C$5:$C$104,MATCH($P136,'得意先'!$B$5:$B$104,0))&amp;"","※得意先にないコード"))</f>
        <v/>
      </c>
      <c r="E136" s="27" t="n"/>
      <c r="F136" s="18" t="n"/>
      <c r="G136" s="27" t="n"/>
      <c r="H136" s="27" t="n"/>
      <c r="I136" s="27" t="n"/>
      <c r="J136" s="28">
        <f>IF(NOT(OR($A136&lt;&gt;"",$E136&lt;&gt;"",$F136&lt;&gt;"",$G136&lt;&gt;"",$H136&lt;&gt;"",$I136&lt;&gt;"")),"",N($G136)+N($H136)+N($I136))</f>
        <v/>
      </c>
      <c r="K136" s="28">
        <f>IF(ISNUMBER($O136),INDEX('請求台帳'!$R$5:$R$1004,$O136),"")</f>
        <v/>
      </c>
      <c r="L136" s="20">
        <f>IF(NOT(OR($A136&lt;&gt;"",$E136&lt;&gt;"",$F136&lt;&gt;"",$G136&lt;&gt;"",$H136&lt;&gt;"",$I136&lt;&gt;"")),"",IF(NOT(ISNUMBER($A136)),"入金日がありません",IF(AND($F136&lt;&gt;"",$O136="なし"),"請求Noが請求台帳にありません",IF(AND(ISNUMBER($O136),$C136&lt;&gt;"",$C136&lt;&gt;$P136),"請求の得意先は "&amp;$P136&amp;" です",IF(ROUND(IF($B136&lt;&gt;"",SUMIF($B$5:$B$1004,$B136,$E$5:$E$1004)-SUMIF($B$5:$B$1004,$B136,$G$5:$G$1004),N($E136)-N($G136)),0)&lt;&gt;0,"通帳の額と当てた額の差 "&amp;TEXT(IF($B136&lt;&gt;"",SUMIF($B$5:$B$1004,$B136,$E$5:$E$1004)-SUMIF($B$5:$B$1004,$B136,$G$5:$G$1004),N($E136)-N($G136)),"#,##0"),IF(AND(ISNUMBER($O136),N($K136)&lt;0),"請求額より多く消し込んでいます",IF($F136="","消込先が未定","OK")))))))</f>
        <v/>
      </c>
      <c r="M136" s="19" t="n"/>
      <c r="N136" s="56" t="n"/>
      <c r="O136" s="32">
        <f>IF($F136="","",IFERROR(MATCH($F136,'請求台帳'!$A$5:$A$1004,0),"なし"))</f>
        <v/>
      </c>
      <c r="P136" s="37">
        <f>IF(NOT(OR($A136&lt;&gt;"",$E136&lt;&gt;"",$F136&lt;&gt;"",$G136&lt;&gt;"",$H136&lt;&gt;"",$I136&lt;&gt;"")),"",IF(ISNUMBER($O136),IF(INDEX('請求台帳'!$C$5:$C$1004,$O136)="","",INDEX('請求台帳'!$C$5:$C$1004,$O136)),IF($C136="","",$C136)))</f>
        <v/>
      </c>
      <c r="Q136" s="35">
        <f>IF(OR(NOT(OR($A136&lt;&gt;"",$E136&lt;&gt;"",$F136&lt;&gt;"",$G136&lt;&gt;"",$H136&lt;&gt;"",$I136&lt;&gt;"")),$P136="",$P136&lt;&gt;'売掛帳'!$B$3,NOT(ISNUMBER($A136)),N($G136)+N($H136)+N($I136)=0),"",IF(AND($A136&gt;='売掛帳'!$Q$3,$A136&lt;='売掛帳'!$Q$4),$A136+0.5+ROW()/10000000,""))</f>
        <v/>
      </c>
      <c r="R136" s="32">
        <f>IF(AND(OR($A136&lt;&gt;"",$E136&lt;&gt;"",$F136&lt;&gt;"",$G136&lt;&gt;"",$H136&lt;&gt;"",$I136&lt;&gt;""),NOT(ISNUMBER($O136))),1,"")</f>
        <v/>
      </c>
    </row>
    <row r="137" ht="18" customHeight="1">
      <c r="A137" s="26" t="n"/>
      <c r="B137" s="18" t="n"/>
      <c r="C137" s="18" t="n"/>
      <c r="D137" s="20">
        <f>IF($P137="","",IFERROR(INDEX('得意先'!$C$5:$C$104,MATCH($P137,'得意先'!$B$5:$B$104,0))&amp;"","※得意先にないコード"))</f>
        <v/>
      </c>
      <c r="E137" s="27" t="n"/>
      <c r="F137" s="18" t="n"/>
      <c r="G137" s="27" t="n"/>
      <c r="H137" s="27" t="n"/>
      <c r="I137" s="27" t="n"/>
      <c r="J137" s="28">
        <f>IF(NOT(OR($A137&lt;&gt;"",$E137&lt;&gt;"",$F137&lt;&gt;"",$G137&lt;&gt;"",$H137&lt;&gt;"",$I137&lt;&gt;"")),"",N($G137)+N($H137)+N($I137))</f>
        <v/>
      </c>
      <c r="K137" s="28">
        <f>IF(ISNUMBER($O137),INDEX('請求台帳'!$R$5:$R$1004,$O137),"")</f>
        <v/>
      </c>
      <c r="L137" s="20">
        <f>IF(NOT(OR($A137&lt;&gt;"",$E137&lt;&gt;"",$F137&lt;&gt;"",$G137&lt;&gt;"",$H137&lt;&gt;"",$I137&lt;&gt;"")),"",IF(NOT(ISNUMBER($A137)),"入金日がありません",IF(AND($F137&lt;&gt;"",$O137="なし"),"請求Noが請求台帳にありません",IF(AND(ISNUMBER($O137),$C137&lt;&gt;"",$C137&lt;&gt;$P137),"請求の得意先は "&amp;$P137&amp;" です",IF(ROUND(IF($B137&lt;&gt;"",SUMIF($B$5:$B$1004,$B137,$E$5:$E$1004)-SUMIF($B$5:$B$1004,$B137,$G$5:$G$1004),N($E137)-N($G137)),0)&lt;&gt;0,"通帳の額と当てた額の差 "&amp;TEXT(IF($B137&lt;&gt;"",SUMIF($B$5:$B$1004,$B137,$E$5:$E$1004)-SUMIF($B$5:$B$1004,$B137,$G$5:$G$1004),N($E137)-N($G137)),"#,##0"),IF(AND(ISNUMBER($O137),N($K137)&lt;0),"請求額より多く消し込んでいます",IF($F137="","消込先が未定","OK")))))))</f>
        <v/>
      </c>
      <c r="M137" s="19" t="n"/>
      <c r="N137" s="56" t="n"/>
      <c r="O137" s="32">
        <f>IF($F137="","",IFERROR(MATCH($F137,'請求台帳'!$A$5:$A$1004,0),"なし"))</f>
        <v/>
      </c>
      <c r="P137" s="37">
        <f>IF(NOT(OR($A137&lt;&gt;"",$E137&lt;&gt;"",$F137&lt;&gt;"",$G137&lt;&gt;"",$H137&lt;&gt;"",$I137&lt;&gt;"")),"",IF(ISNUMBER($O137),IF(INDEX('請求台帳'!$C$5:$C$1004,$O137)="","",INDEX('請求台帳'!$C$5:$C$1004,$O137)),IF($C137="","",$C137)))</f>
        <v/>
      </c>
      <c r="Q137" s="35">
        <f>IF(OR(NOT(OR($A137&lt;&gt;"",$E137&lt;&gt;"",$F137&lt;&gt;"",$G137&lt;&gt;"",$H137&lt;&gt;"",$I137&lt;&gt;"")),$P137="",$P137&lt;&gt;'売掛帳'!$B$3,NOT(ISNUMBER($A137)),N($G137)+N($H137)+N($I137)=0),"",IF(AND($A137&gt;='売掛帳'!$Q$3,$A137&lt;='売掛帳'!$Q$4),$A137+0.5+ROW()/10000000,""))</f>
        <v/>
      </c>
      <c r="R137" s="32">
        <f>IF(AND(OR($A137&lt;&gt;"",$E137&lt;&gt;"",$F137&lt;&gt;"",$G137&lt;&gt;"",$H137&lt;&gt;"",$I137&lt;&gt;""),NOT(ISNUMBER($O137))),1,"")</f>
        <v/>
      </c>
    </row>
    <row r="138" ht="18" customHeight="1">
      <c r="A138" s="26" t="n"/>
      <c r="B138" s="18" t="n"/>
      <c r="C138" s="18" t="n"/>
      <c r="D138" s="20">
        <f>IF($P138="","",IFERROR(INDEX('得意先'!$C$5:$C$104,MATCH($P138,'得意先'!$B$5:$B$104,0))&amp;"","※得意先にないコード"))</f>
        <v/>
      </c>
      <c r="E138" s="27" t="n"/>
      <c r="F138" s="18" t="n"/>
      <c r="G138" s="27" t="n"/>
      <c r="H138" s="27" t="n"/>
      <c r="I138" s="27" t="n"/>
      <c r="J138" s="28">
        <f>IF(NOT(OR($A138&lt;&gt;"",$E138&lt;&gt;"",$F138&lt;&gt;"",$G138&lt;&gt;"",$H138&lt;&gt;"",$I138&lt;&gt;"")),"",N($G138)+N($H138)+N($I138))</f>
        <v/>
      </c>
      <c r="K138" s="28">
        <f>IF(ISNUMBER($O138),INDEX('請求台帳'!$R$5:$R$1004,$O138),"")</f>
        <v/>
      </c>
      <c r="L138" s="20">
        <f>IF(NOT(OR($A138&lt;&gt;"",$E138&lt;&gt;"",$F138&lt;&gt;"",$G138&lt;&gt;"",$H138&lt;&gt;"",$I138&lt;&gt;"")),"",IF(NOT(ISNUMBER($A138)),"入金日がありません",IF(AND($F138&lt;&gt;"",$O138="なし"),"請求Noが請求台帳にありません",IF(AND(ISNUMBER($O138),$C138&lt;&gt;"",$C138&lt;&gt;$P138),"請求の得意先は "&amp;$P138&amp;" です",IF(ROUND(IF($B138&lt;&gt;"",SUMIF($B$5:$B$1004,$B138,$E$5:$E$1004)-SUMIF($B$5:$B$1004,$B138,$G$5:$G$1004),N($E138)-N($G138)),0)&lt;&gt;0,"通帳の額と当てた額の差 "&amp;TEXT(IF($B138&lt;&gt;"",SUMIF($B$5:$B$1004,$B138,$E$5:$E$1004)-SUMIF($B$5:$B$1004,$B138,$G$5:$G$1004),N($E138)-N($G138)),"#,##0"),IF(AND(ISNUMBER($O138),N($K138)&lt;0),"請求額より多く消し込んでいます",IF($F138="","消込先が未定","OK")))))))</f>
        <v/>
      </c>
      <c r="M138" s="19" t="n"/>
      <c r="N138" s="56" t="n"/>
      <c r="O138" s="32">
        <f>IF($F138="","",IFERROR(MATCH($F138,'請求台帳'!$A$5:$A$1004,0),"なし"))</f>
        <v/>
      </c>
      <c r="P138" s="37">
        <f>IF(NOT(OR($A138&lt;&gt;"",$E138&lt;&gt;"",$F138&lt;&gt;"",$G138&lt;&gt;"",$H138&lt;&gt;"",$I138&lt;&gt;"")),"",IF(ISNUMBER($O138),IF(INDEX('請求台帳'!$C$5:$C$1004,$O138)="","",INDEX('請求台帳'!$C$5:$C$1004,$O138)),IF($C138="","",$C138)))</f>
        <v/>
      </c>
      <c r="Q138" s="35">
        <f>IF(OR(NOT(OR($A138&lt;&gt;"",$E138&lt;&gt;"",$F138&lt;&gt;"",$G138&lt;&gt;"",$H138&lt;&gt;"",$I138&lt;&gt;"")),$P138="",$P138&lt;&gt;'売掛帳'!$B$3,NOT(ISNUMBER($A138)),N($G138)+N($H138)+N($I138)=0),"",IF(AND($A138&gt;='売掛帳'!$Q$3,$A138&lt;='売掛帳'!$Q$4),$A138+0.5+ROW()/10000000,""))</f>
        <v/>
      </c>
      <c r="R138" s="32">
        <f>IF(AND(OR($A138&lt;&gt;"",$E138&lt;&gt;"",$F138&lt;&gt;"",$G138&lt;&gt;"",$H138&lt;&gt;"",$I138&lt;&gt;""),NOT(ISNUMBER($O138))),1,"")</f>
        <v/>
      </c>
    </row>
    <row r="139" ht="18" customHeight="1">
      <c r="A139" s="26" t="n"/>
      <c r="B139" s="18" t="n"/>
      <c r="C139" s="18" t="n"/>
      <c r="D139" s="20">
        <f>IF($P139="","",IFERROR(INDEX('得意先'!$C$5:$C$104,MATCH($P139,'得意先'!$B$5:$B$104,0))&amp;"","※得意先にないコード"))</f>
        <v/>
      </c>
      <c r="E139" s="27" t="n"/>
      <c r="F139" s="18" t="n"/>
      <c r="G139" s="27" t="n"/>
      <c r="H139" s="27" t="n"/>
      <c r="I139" s="27" t="n"/>
      <c r="J139" s="28">
        <f>IF(NOT(OR($A139&lt;&gt;"",$E139&lt;&gt;"",$F139&lt;&gt;"",$G139&lt;&gt;"",$H139&lt;&gt;"",$I139&lt;&gt;"")),"",N($G139)+N($H139)+N($I139))</f>
        <v/>
      </c>
      <c r="K139" s="28">
        <f>IF(ISNUMBER($O139),INDEX('請求台帳'!$R$5:$R$1004,$O139),"")</f>
        <v/>
      </c>
      <c r="L139" s="20">
        <f>IF(NOT(OR($A139&lt;&gt;"",$E139&lt;&gt;"",$F139&lt;&gt;"",$G139&lt;&gt;"",$H139&lt;&gt;"",$I139&lt;&gt;"")),"",IF(NOT(ISNUMBER($A139)),"入金日がありません",IF(AND($F139&lt;&gt;"",$O139="なし"),"請求Noが請求台帳にありません",IF(AND(ISNUMBER($O139),$C139&lt;&gt;"",$C139&lt;&gt;$P139),"請求の得意先は "&amp;$P139&amp;" です",IF(ROUND(IF($B139&lt;&gt;"",SUMIF($B$5:$B$1004,$B139,$E$5:$E$1004)-SUMIF($B$5:$B$1004,$B139,$G$5:$G$1004),N($E139)-N($G139)),0)&lt;&gt;0,"通帳の額と当てた額の差 "&amp;TEXT(IF($B139&lt;&gt;"",SUMIF($B$5:$B$1004,$B139,$E$5:$E$1004)-SUMIF($B$5:$B$1004,$B139,$G$5:$G$1004),N($E139)-N($G139)),"#,##0"),IF(AND(ISNUMBER($O139),N($K139)&lt;0),"請求額より多く消し込んでいます",IF($F139="","消込先が未定","OK")))))))</f>
        <v/>
      </c>
      <c r="M139" s="19" t="n"/>
      <c r="N139" s="56" t="n"/>
      <c r="O139" s="32">
        <f>IF($F139="","",IFERROR(MATCH($F139,'請求台帳'!$A$5:$A$1004,0),"なし"))</f>
        <v/>
      </c>
      <c r="P139" s="37">
        <f>IF(NOT(OR($A139&lt;&gt;"",$E139&lt;&gt;"",$F139&lt;&gt;"",$G139&lt;&gt;"",$H139&lt;&gt;"",$I139&lt;&gt;"")),"",IF(ISNUMBER($O139),IF(INDEX('請求台帳'!$C$5:$C$1004,$O139)="","",INDEX('請求台帳'!$C$5:$C$1004,$O139)),IF($C139="","",$C139)))</f>
        <v/>
      </c>
      <c r="Q139" s="35">
        <f>IF(OR(NOT(OR($A139&lt;&gt;"",$E139&lt;&gt;"",$F139&lt;&gt;"",$G139&lt;&gt;"",$H139&lt;&gt;"",$I139&lt;&gt;"")),$P139="",$P139&lt;&gt;'売掛帳'!$B$3,NOT(ISNUMBER($A139)),N($G139)+N($H139)+N($I139)=0),"",IF(AND($A139&gt;='売掛帳'!$Q$3,$A139&lt;='売掛帳'!$Q$4),$A139+0.5+ROW()/10000000,""))</f>
        <v/>
      </c>
      <c r="R139" s="32">
        <f>IF(AND(OR($A139&lt;&gt;"",$E139&lt;&gt;"",$F139&lt;&gt;"",$G139&lt;&gt;"",$H139&lt;&gt;"",$I139&lt;&gt;""),NOT(ISNUMBER($O139))),1,"")</f>
        <v/>
      </c>
    </row>
    <row r="140" ht="18" customHeight="1">
      <c r="A140" s="26" t="n"/>
      <c r="B140" s="18" t="n"/>
      <c r="C140" s="18" t="n"/>
      <c r="D140" s="20">
        <f>IF($P140="","",IFERROR(INDEX('得意先'!$C$5:$C$104,MATCH($P140,'得意先'!$B$5:$B$104,0))&amp;"","※得意先にないコード"))</f>
        <v/>
      </c>
      <c r="E140" s="27" t="n"/>
      <c r="F140" s="18" t="n"/>
      <c r="G140" s="27" t="n"/>
      <c r="H140" s="27" t="n"/>
      <c r="I140" s="27" t="n"/>
      <c r="J140" s="28">
        <f>IF(NOT(OR($A140&lt;&gt;"",$E140&lt;&gt;"",$F140&lt;&gt;"",$G140&lt;&gt;"",$H140&lt;&gt;"",$I140&lt;&gt;"")),"",N($G140)+N($H140)+N($I140))</f>
        <v/>
      </c>
      <c r="K140" s="28">
        <f>IF(ISNUMBER($O140),INDEX('請求台帳'!$R$5:$R$1004,$O140),"")</f>
        <v/>
      </c>
      <c r="L140" s="20">
        <f>IF(NOT(OR($A140&lt;&gt;"",$E140&lt;&gt;"",$F140&lt;&gt;"",$G140&lt;&gt;"",$H140&lt;&gt;"",$I140&lt;&gt;"")),"",IF(NOT(ISNUMBER($A140)),"入金日がありません",IF(AND($F140&lt;&gt;"",$O140="なし"),"請求Noが請求台帳にありません",IF(AND(ISNUMBER($O140),$C140&lt;&gt;"",$C140&lt;&gt;$P140),"請求の得意先は "&amp;$P140&amp;" です",IF(ROUND(IF($B140&lt;&gt;"",SUMIF($B$5:$B$1004,$B140,$E$5:$E$1004)-SUMIF($B$5:$B$1004,$B140,$G$5:$G$1004),N($E140)-N($G140)),0)&lt;&gt;0,"通帳の額と当てた額の差 "&amp;TEXT(IF($B140&lt;&gt;"",SUMIF($B$5:$B$1004,$B140,$E$5:$E$1004)-SUMIF($B$5:$B$1004,$B140,$G$5:$G$1004),N($E140)-N($G140)),"#,##0"),IF(AND(ISNUMBER($O140),N($K140)&lt;0),"請求額より多く消し込んでいます",IF($F140="","消込先が未定","OK")))))))</f>
        <v/>
      </c>
      <c r="M140" s="19" t="n"/>
      <c r="N140" s="56" t="n"/>
      <c r="O140" s="32">
        <f>IF($F140="","",IFERROR(MATCH($F140,'請求台帳'!$A$5:$A$1004,0),"なし"))</f>
        <v/>
      </c>
      <c r="P140" s="37">
        <f>IF(NOT(OR($A140&lt;&gt;"",$E140&lt;&gt;"",$F140&lt;&gt;"",$G140&lt;&gt;"",$H140&lt;&gt;"",$I140&lt;&gt;"")),"",IF(ISNUMBER($O140),IF(INDEX('請求台帳'!$C$5:$C$1004,$O140)="","",INDEX('請求台帳'!$C$5:$C$1004,$O140)),IF($C140="","",$C140)))</f>
        <v/>
      </c>
      <c r="Q140" s="35">
        <f>IF(OR(NOT(OR($A140&lt;&gt;"",$E140&lt;&gt;"",$F140&lt;&gt;"",$G140&lt;&gt;"",$H140&lt;&gt;"",$I140&lt;&gt;"")),$P140="",$P140&lt;&gt;'売掛帳'!$B$3,NOT(ISNUMBER($A140)),N($G140)+N($H140)+N($I140)=0),"",IF(AND($A140&gt;='売掛帳'!$Q$3,$A140&lt;='売掛帳'!$Q$4),$A140+0.5+ROW()/10000000,""))</f>
        <v/>
      </c>
      <c r="R140" s="32">
        <f>IF(AND(OR($A140&lt;&gt;"",$E140&lt;&gt;"",$F140&lt;&gt;"",$G140&lt;&gt;"",$H140&lt;&gt;"",$I140&lt;&gt;""),NOT(ISNUMBER($O140))),1,"")</f>
        <v/>
      </c>
    </row>
    <row r="141" ht="18" customHeight="1">
      <c r="A141" s="26" t="n"/>
      <c r="B141" s="18" t="n"/>
      <c r="C141" s="18" t="n"/>
      <c r="D141" s="20">
        <f>IF($P141="","",IFERROR(INDEX('得意先'!$C$5:$C$104,MATCH($P141,'得意先'!$B$5:$B$104,0))&amp;"","※得意先にないコード"))</f>
        <v/>
      </c>
      <c r="E141" s="27" t="n"/>
      <c r="F141" s="18" t="n"/>
      <c r="G141" s="27" t="n"/>
      <c r="H141" s="27" t="n"/>
      <c r="I141" s="27" t="n"/>
      <c r="J141" s="28">
        <f>IF(NOT(OR($A141&lt;&gt;"",$E141&lt;&gt;"",$F141&lt;&gt;"",$G141&lt;&gt;"",$H141&lt;&gt;"",$I141&lt;&gt;"")),"",N($G141)+N($H141)+N($I141))</f>
        <v/>
      </c>
      <c r="K141" s="28">
        <f>IF(ISNUMBER($O141),INDEX('請求台帳'!$R$5:$R$1004,$O141),"")</f>
        <v/>
      </c>
      <c r="L141" s="20">
        <f>IF(NOT(OR($A141&lt;&gt;"",$E141&lt;&gt;"",$F141&lt;&gt;"",$G141&lt;&gt;"",$H141&lt;&gt;"",$I141&lt;&gt;"")),"",IF(NOT(ISNUMBER($A141)),"入金日がありません",IF(AND($F141&lt;&gt;"",$O141="なし"),"請求Noが請求台帳にありません",IF(AND(ISNUMBER($O141),$C141&lt;&gt;"",$C141&lt;&gt;$P141),"請求の得意先は "&amp;$P141&amp;" です",IF(ROUND(IF($B141&lt;&gt;"",SUMIF($B$5:$B$1004,$B141,$E$5:$E$1004)-SUMIF($B$5:$B$1004,$B141,$G$5:$G$1004),N($E141)-N($G141)),0)&lt;&gt;0,"通帳の額と当てた額の差 "&amp;TEXT(IF($B141&lt;&gt;"",SUMIF($B$5:$B$1004,$B141,$E$5:$E$1004)-SUMIF($B$5:$B$1004,$B141,$G$5:$G$1004),N($E141)-N($G141)),"#,##0"),IF(AND(ISNUMBER($O141),N($K141)&lt;0),"請求額より多く消し込んでいます",IF($F141="","消込先が未定","OK")))))))</f>
        <v/>
      </c>
      <c r="M141" s="19" t="n"/>
      <c r="N141" s="56" t="n"/>
      <c r="O141" s="32">
        <f>IF($F141="","",IFERROR(MATCH($F141,'請求台帳'!$A$5:$A$1004,0),"なし"))</f>
        <v/>
      </c>
      <c r="P141" s="37">
        <f>IF(NOT(OR($A141&lt;&gt;"",$E141&lt;&gt;"",$F141&lt;&gt;"",$G141&lt;&gt;"",$H141&lt;&gt;"",$I141&lt;&gt;"")),"",IF(ISNUMBER($O141),IF(INDEX('請求台帳'!$C$5:$C$1004,$O141)="","",INDEX('請求台帳'!$C$5:$C$1004,$O141)),IF($C141="","",$C141)))</f>
        <v/>
      </c>
      <c r="Q141" s="35">
        <f>IF(OR(NOT(OR($A141&lt;&gt;"",$E141&lt;&gt;"",$F141&lt;&gt;"",$G141&lt;&gt;"",$H141&lt;&gt;"",$I141&lt;&gt;"")),$P141="",$P141&lt;&gt;'売掛帳'!$B$3,NOT(ISNUMBER($A141)),N($G141)+N($H141)+N($I141)=0),"",IF(AND($A141&gt;='売掛帳'!$Q$3,$A141&lt;='売掛帳'!$Q$4),$A141+0.5+ROW()/10000000,""))</f>
        <v/>
      </c>
      <c r="R141" s="32">
        <f>IF(AND(OR($A141&lt;&gt;"",$E141&lt;&gt;"",$F141&lt;&gt;"",$G141&lt;&gt;"",$H141&lt;&gt;"",$I141&lt;&gt;""),NOT(ISNUMBER($O141))),1,"")</f>
        <v/>
      </c>
    </row>
    <row r="142" ht="18" customHeight="1">
      <c r="A142" s="26" t="n"/>
      <c r="B142" s="18" t="n"/>
      <c r="C142" s="18" t="n"/>
      <c r="D142" s="20">
        <f>IF($P142="","",IFERROR(INDEX('得意先'!$C$5:$C$104,MATCH($P142,'得意先'!$B$5:$B$104,0))&amp;"","※得意先にないコード"))</f>
        <v/>
      </c>
      <c r="E142" s="27" t="n"/>
      <c r="F142" s="18" t="n"/>
      <c r="G142" s="27" t="n"/>
      <c r="H142" s="27" t="n"/>
      <c r="I142" s="27" t="n"/>
      <c r="J142" s="28">
        <f>IF(NOT(OR($A142&lt;&gt;"",$E142&lt;&gt;"",$F142&lt;&gt;"",$G142&lt;&gt;"",$H142&lt;&gt;"",$I142&lt;&gt;"")),"",N($G142)+N($H142)+N($I142))</f>
        <v/>
      </c>
      <c r="K142" s="28">
        <f>IF(ISNUMBER($O142),INDEX('請求台帳'!$R$5:$R$1004,$O142),"")</f>
        <v/>
      </c>
      <c r="L142" s="20">
        <f>IF(NOT(OR($A142&lt;&gt;"",$E142&lt;&gt;"",$F142&lt;&gt;"",$G142&lt;&gt;"",$H142&lt;&gt;"",$I142&lt;&gt;"")),"",IF(NOT(ISNUMBER($A142)),"入金日がありません",IF(AND($F142&lt;&gt;"",$O142="なし"),"請求Noが請求台帳にありません",IF(AND(ISNUMBER($O142),$C142&lt;&gt;"",$C142&lt;&gt;$P142),"請求の得意先は "&amp;$P142&amp;" です",IF(ROUND(IF($B142&lt;&gt;"",SUMIF($B$5:$B$1004,$B142,$E$5:$E$1004)-SUMIF($B$5:$B$1004,$B142,$G$5:$G$1004),N($E142)-N($G142)),0)&lt;&gt;0,"通帳の額と当てた額の差 "&amp;TEXT(IF($B142&lt;&gt;"",SUMIF($B$5:$B$1004,$B142,$E$5:$E$1004)-SUMIF($B$5:$B$1004,$B142,$G$5:$G$1004),N($E142)-N($G142)),"#,##0"),IF(AND(ISNUMBER($O142),N($K142)&lt;0),"請求額より多く消し込んでいます",IF($F142="","消込先が未定","OK")))))))</f>
        <v/>
      </c>
      <c r="M142" s="19" t="n"/>
      <c r="N142" s="56" t="n"/>
      <c r="O142" s="32">
        <f>IF($F142="","",IFERROR(MATCH($F142,'請求台帳'!$A$5:$A$1004,0),"なし"))</f>
        <v/>
      </c>
      <c r="P142" s="37">
        <f>IF(NOT(OR($A142&lt;&gt;"",$E142&lt;&gt;"",$F142&lt;&gt;"",$G142&lt;&gt;"",$H142&lt;&gt;"",$I142&lt;&gt;"")),"",IF(ISNUMBER($O142),IF(INDEX('請求台帳'!$C$5:$C$1004,$O142)="","",INDEX('請求台帳'!$C$5:$C$1004,$O142)),IF($C142="","",$C142)))</f>
        <v/>
      </c>
      <c r="Q142" s="35">
        <f>IF(OR(NOT(OR($A142&lt;&gt;"",$E142&lt;&gt;"",$F142&lt;&gt;"",$G142&lt;&gt;"",$H142&lt;&gt;"",$I142&lt;&gt;"")),$P142="",$P142&lt;&gt;'売掛帳'!$B$3,NOT(ISNUMBER($A142)),N($G142)+N($H142)+N($I142)=0),"",IF(AND($A142&gt;='売掛帳'!$Q$3,$A142&lt;='売掛帳'!$Q$4),$A142+0.5+ROW()/10000000,""))</f>
        <v/>
      </c>
      <c r="R142" s="32">
        <f>IF(AND(OR($A142&lt;&gt;"",$E142&lt;&gt;"",$F142&lt;&gt;"",$G142&lt;&gt;"",$H142&lt;&gt;"",$I142&lt;&gt;""),NOT(ISNUMBER($O142))),1,"")</f>
        <v/>
      </c>
    </row>
    <row r="143" ht="18" customHeight="1">
      <c r="A143" s="26" t="n"/>
      <c r="B143" s="18" t="n"/>
      <c r="C143" s="18" t="n"/>
      <c r="D143" s="20">
        <f>IF($P143="","",IFERROR(INDEX('得意先'!$C$5:$C$104,MATCH($P143,'得意先'!$B$5:$B$104,0))&amp;"","※得意先にないコード"))</f>
        <v/>
      </c>
      <c r="E143" s="27" t="n"/>
      <c r="F143" s="18" t="n"/>
      <c r="G143" s="27" t="n"/>
      <c r="H143" s="27" t="n"/>
      <c r="I143" s="27" t="n"/>
      <c r="J143" s="28">
        <f>IF(NOT(OR($A143&lt;&gt;"",$E143&lt;&gt;"",$F143&lt;&gt;"",$G143&lt;&gt;"",$H143&lt;&gt;"",$I143&lt;&gt;"")),"",N($G143)+N($H143)+N($I143))</f>
        <v/>
      </c>
      <c r="K143" s="28">
        <f>IF(ISNUMBER($O143),INDEX('請求台帳'!$R$5:$R$1004,$O143),"")</f>
        <v/>
      </c>
      <c r="L143" s="20">
        <f>IF(NOT(OR($A143&lt;&gt;"",$E143&lt;&gt;"",$F143&lt;&gt;"",$G143&lt;&gt;"",$H143&lt;&gt;"",$I143&lt;&gt;"")),"",IF(NOT(ISNUMBER($A143)),"入金日がありません",IF(AND($F143&lt;&gt;"",$O143="なし"),"請求Noが請求台帳にありません",IF(AND(ISNUMBER($O143),$C143&lt;&gt;"",$C143&lt;&gt;$P143),"請求の得意先は "&amp;$P143&amp;" です",IF(ROUND(IF($B143&lt;&gt;"",SUMIF($B$5:$B$1004,$B143,$E$5:$E$1004)-SUMIF($B$5:$B$1004,$B143,$G$5:$G$1004),N($E143)-N($G143)),0)&lt;&gt;0,"通帳の額と当てた額の差 "&amp;TEXT(IF($B143&lt;&gt;"",SUMIF($B$5:$B$1004,$B143,$E$5:$E$1004)-SUMIF($B$5:$B$1004,$B143,$G$5:$G$1004),N($E143)-N($G143)),"#,##0"),IF(AND(ISNUMBER($O143),N($K143)&lt;0),"請求額より多く消し込んでいます",IF($F143="","消込先が未定","OK")))))))</f>
        <v/>
      </c>
      <c r="M143" s="19" t="n"/>
      <c r="N143" s="56" t="n"/>
      <c r="O143" s="32">
        <f>IF($F143="","",IFERROR(MATCH($F143,'請求台帳'!$A$5:$A$1004,0),"なし"))</f>
        <v/>
      </c>
      <c r="P143" s="37">
        <f>IF(NOT(OR($A143&lt;&gt;"",$E143&lt;&gt;"",$F143&lt;&gt;"",$G143&lt;&gt;"",$H143&lt;&gt;"",$I143&lt;&gt;"")),"",IF(ISNUMBER($O143),IF(INDEX('請求台帳'!$C$5:$C$1004,$O143)="","",INDEX('請求台帳'!$C$5:$C$1004,$O143)),IF($C143="","",$C143)))</f>
        <v/>
      </c>
      <c r="Q143" s="35">
        <f>IF(OR(NOT(OR($A143&lt;&gt;"",$E143&lt;&gt;"",$F143&lt;&gt;"",$G143&lt;&gt;"",$H143&lt;&gt;"",$I143&lt;&gt;"")),$P143="",$P143&lt;&gt;'売掛帳'!$B$3,NOT(ISNUMBER($A143)),N($G143)+N($H143)+N($I143)=0),"",IF(AND($A143&gt;='売掛帳'!$Q$3,$A143&lt;='売掛帳'!$Q$4),$A143+0.5+ROW()/10000000,""))</f>
        <v/>
      </c>
      <c r="R143" s="32">
        <f>IF(AND(OR($A143&lt;&gt;"",$E143&lt;&gt;"",$F143&lt;&gt;"",$G143&lt;&gt;"",$H143&lt;&gt;"",$I143&lt;&gt;""),NOT(ISNUMBER($O143))),1,"")</f>
        <v/>
      </c>
    </row>
    <row r="144" ht="18" customHeight="1">
      <c r="A144" s="26" t="n"/>
      <c r="B144" s="18" t="n"/>
      <c r="C144" s="18" t="n"/>
      <c r="D144" s="20">
        <f>IF($P144="","",IFERROR(INDEX('得意先'!$C$5:$C$104,MATCH($P144,'得意先'!$B$5:$B$104,0))&amp;"","※得意先にないコード"))</f>
        <v/>
      </c>
      <c r="E144" s="27" t="n"/>
      <c r="F144" s="18" t="n"/>
      <c r="G144" s="27" t="n"/>
      <c r="H144" s="27" t="n"/>
      <c r="I144" s="27" t="n"/>
      <c r="J144" s="28">
        <f>IF(NOT(OR($A144&lt;&gt;"",$E144&lt;&gt;"",$F144&lt;&gt;"",$G144&lt;&gt;"",$H144&lt;&gt;"",$I144&lt;&gt;"")),"",N($G144)+N($H144)+N($I144))</f>
        <v/>
      </c>
      <c r="K144" s="28">
        <f>IF(ISNUMBER($O144),INDEX('請求台帳'!$R$5:$R$1004,$O144),"")</f>
        <v/>
      </c>
      <c r="L144" s="20">
        <f>IF(NOT(OR($A144&lt;&gt;"",$E144&lt;&gt;"",$F144&lt;&gt;"",$G144&lt;&gt;"",$H144&lt;&gt;"",$I144&lt;&gt;"")),"",IF(NOT(ISNUMBER($A144)),"入金日がありません",IF(AND($F144&lt;&gt;"",$O144="なし"),"請求Noが請求台帳にありません",IF(AND(ISNUMBER($O144),$C144&lt;&gt;"",$C144&lt;&gt;$P144),"請求の得意先は "&amp;$P144&amp;" です",IF(ROUND(IF($B144&lt;&gt;"",SUMIF($B$5:$B$1004,$B144,$E$5:$E$1004)-SUMIF($B$5:$B$1004,$B144,$G$5:$G$1004),N($E144)-N($G144)),0)&lt;&gt;0,"通帳の額と当てた額の差 "&amp;TEXT(IF($B144&lt;&gt;"",SUMIF($B$5:$B$1004,$B144,$E$5:$E$1004)-SUMIF($B$5:$B$1004,$B144,$G$5:$G$1004),N($E144)-N($G144)),"#,##0"),IF(AND(ISNUMBER($O144),N($K144)&lt;0),"請求額より多く消し込んでいます",IF($F144="","消込先が未定","OK")))))))</f>
        <v/>
      </c>
      <c r="M144" s="19" t="n"/>
      <c r="N144" s="56" t="n"/>
      <c r="O144" s="32">
        <f>IF($F144="","",IFERROR(MATCH($F144,'請求台帳'!$A$5:$A$1004,0),"なし"))</f>
        <v/>
      </c>
      <c r="P144" s="37">
        <f>IF(NOT(OR($A144&lt;&gt;"",$E144&lt;&gt;"",$F144&lt;&gt;"",$G144&lt;&gt;"",$H144&lt;&gt;"",$I144&lt;&gt;"")),"",IF(ISNUMBER($O144),IF(INDEX('請求台帳'!$C$5:$C$1004,$O144)="","",INDEX('請求台帳'!$C$5:$C$1004,$O144)),IF($C144="","",$C144)))</f>
        <v/>
      </c>
      <c r="Q144" s="35">
        <f>IF(OR(NOT(OR($A144&lt;&gt;"",$E144&lt;&gt;"",$F144&lt;&gt;"",$G144&lt;&gt;"",$H144&lt;&gt;"",$I144&lt;&gt;"")),$P144="",$P144&lt;&gt;'売掛帳'!$B$3,NOT(ISNUMBER($A144)),N($G144)+N($H144)+N($I144)=0),"",IF(AND($A144&gt;='売掛帳'!$Q$3,$A144&lt;='売掛帳'!$Q$4),$A144+0.5+ROW()/10000000,""))</f>
        <v/>
      </c>
      <c r="R144" s="32">
        <f>IF(AND(OR($A144&lt;&gt;"",$E144&lt;&gt;"",$F144&lt;&gt;"",$G144&lt;&gt;"",$H144&lt;&gt;"",$I144&lt;&gt;""),NOT(ISNUMBER($O144))),1,"")</f>
        <v/>
      </c>
    </row>
    <row r="145" ht="18" customHeight="1">
      <c r="A145" s="26" t="n"/>
      <c r="B145" s="18" t="n"/>
      <c r="C145" s="18" t="n"/>
      <c r="D145" s="20">
        <f>IF($P145="","",IFERROR(INDEX('得意先'!$C$5:$C$104,MATCH($P145,'得意先'!$B$5:$B$104,0))&amp;"","※得意先にないコード"))</f>
        <v/>
      </c>
      <c r="E145" s="27" t="n"/>
      <c r="F145" s="18" t="n"/>
      <c r="G145" s="27" t="n"/>
      <c r="H145" s="27" t="n"/>
      <c r="I145" s="27" t="n"/>
      <c r="J145" s="28">
        <f>IF(NOT(OR($A145&lt;&gt;"",$E145&lt;&gt;"",$F145&lt;&gt;"",$G145&lt;&gt;"",$H145&lt;&gt;"",$I145&lt;&gt;"")),"",N($G145)+N($H145)+N($I145))</f>
        <v/>
      </c>
      <c r="K145" s="28">
        <f>IF(ISNUMBER($O145),INDEX('請求台帳'!$R$5:$R$1004,$O145),"")</f>
        <v/>
      </c>
      <c r="L145" s="20">
        <f>IF(NOT(OR($A145&lt;&gt;"",$E145&lt;&gt;"",$F145&lt;&gt;"",$G145&lt;&gt;"",$H145&lt;&gt;"",$I145&lt;&gt;"")),"",IF(NOT(ISNUMBER($A145)),"入金日がありません",IF(AND($F145&lt;&gt;"",$O145="なし"),"請求Noが請求台帳にありません",IF(AND(ISNUMBER($O145),$C145&lt;&gt;"",$C145&lt;&gt;$P145),"請求の得意先は "&amp;$P145&amp;" です",IF(ROUND(IF($B145&lt;&gt;"",SUMIF($B$5:$B$1004,$B145,$E$5:$E$1004)-SUMIF($B$5:$B$1004,$B145,$G$5:$G$1004),N($E145)-N($G145)),0)&lt;&gt;0,"通帳の額と当てた額の差 "&amp;TEXT(IF($B145&lt;&gt;"",SUMIF($B$5:$B$1004,$B145,$E$5:$E$1004)-SUMIF($B$5:$B$1004,$B145,$G$5:$G$1004),N($E145)-N($G145)),"#,##0"),IF(AND(ISNUMBER($O145),N($K145)&lt;0),"請求額より多く消し込んでいます",IF($F145="","消込先が未定","OK")))))))</f>
        <v/>
      </c>
      <c r="M145" s="19" t="n"/>
      <c r="N145" s="56" t="n"/>
      <c r="O145" s="32">
        <f>IF($F145="","",IFERROR(MATCH($F145,'請求台帳'!$A$5:$A$1004,0),"なし"))</f>
        <v/>
      </c>
      <c r="P145" s="37">
        <f>IF(NOT(OR($A145&lt;&gt;"",$E145&lt;&gt;"",$F145&lt;&gt;"",$G145&lt;&gt;"",$H145&lt;&gt;"",$I145&lt;&gt;"")),"",IF(ISNUMBER($O145),IF(INDEX('請求台帳'!$C$5:$C$1004,$O145)="","",INDEX('請求台帳'!$C$5:$C$1004,$O145)),IF($C145="","",$C145)))</f>
        <v/>
      </c>
      <c r="Q145" s="35">
        <f>IF(OR(NOT(OR($A145&lt;&gt;"",$E145&lt;&gt;"",$F145&lt;&gt;"",$G145&lt;&gt;"",$H145&lt;&gt;"",$I145&lt;&gt;"")),$P145="",$P145&lt;&gt;'売掛帳'!$B$3,NOT(ISNUMBER($A145)),N($G145)+N($H145)+N($I145)=0),"",IF(AND($A145&gt;='売掛帳'!$Q$3,$A145&lt;='売掛帳'!$Q$4),$A145+0.5+ROW()/10000000,""))</f>
        <v/>
      </c>
      <c r="R145" s="32">
        <f>IF(AND(OR($A145&lt;&gt;"",$E145&lt;&gt;"",$F145&lt;&gt;"",$G145&lt;&gt;"",$H145&lt;&gt;"",$I145&lt;&gt;""),NOT(ISNUMBER($O145))),1,"")</f>
        <v/>
      </c>
    </row>
    <row r="146" ht="18" customHeight="1">
      <c r="A146" s="26" t="n"/>
      <c r="B146" s="18" t="n"/>
      <c r="C146" s="18" t="n"/>
      <c r="D146" s="20">
        <f>IF($P146="","",IFERROR(INDEX('得意先'!$C$5:$C$104,MATCH($P146,'得意先'!$B$5:$B$104,0))&amp;"","※得意先にないコード"))</f>
        <v/>
      </c>
      <c r="E146" s="27" t="n"/>
      <c r="F146" s="18" t="n"/>
      <c r="G146" s="27" t="n"/>
      <c r="H146" s="27" t="n"/>
      <c r="I146" s="27" t="n"/>
      <c r="J146" s="28">
        <f>IF(NOT(OR($A146&lt;&gt;"",$E146&lt;&gt;"",$F146&lt;&gt;"",$G146&lt;&gt;"",$H146&lt;&gt;"",$I146&lt;&gt;"")),"",N($G146)+N($H146)+N($I146))</f>
        <v/>
      </c>
      <c r="K146" s="28">
        <f>IF(ISNUMBER($O146),INDEX('請求台帳'!$R$5:$R$1004,$O146),"")</f>
        <v/>
      </c>
      <c r="L146" s="20">
        <f>IF(NOT(OR($A146&lt;&gt;"",$E146&lt;&gt;"",$F146&lt;&gt;"",$G146&lt;&gt;"",$H146&lt;&gt;"",$I146&lt;&gt;"")),"",IF(NOT(ISNUMBER($A146)),"入金日がありません",IF(AND($F146&lt;&gt;"",$O146="なし"),"請求Noが請求台帳にありません",IF(AND(ISNUMBER($O146),$C146&lt;&gt;"",$C146&lt;&gt;$P146),"請求の得意先は "&amp;$P146&amp;" です",IF(ROUND(IF($B146&lt;&gt;"",SUMIF($B$5:$B$1004,$B146,$E$5:$E$1004)-SUMIF($B$5:$B$1004,$B146,$G$5:$G$1004),N($E146)-N($G146)),0)&lt;&gt;0,"通帳の額と当てた額の差 "&amp;TEXT(IF($B146&lt;&gt;"",SUMIF($B$5:$B$1004,$B146,$E$5:$E$1004)-SUMIF($B$5:$B$1004,$B146,$G$5:$G$1004),N($E146)-N($G146)),"#,##0"),IF(AND(ISNUMBER($O146),N($K146)&lt;0),"請求額より多く消し込んでいます",IF($F146="","消込先が未定","OK")))))))</f>
        <v/>
      </c>
      <c r="M146" s="19" t="n"/>
      <c r="N146" s="56" t="n"/>
      <c r="O146" s="32">
        <f>IF($F146="","",IFERROR(MATCH($F146,'請求台帳'!$A$5:$A$1004,0),"なし"))</f>
        <v/>
      </c>
      <c r="P146" s="37">
        <f>IF(NOT(OR($A146&lt;&gt;"",$E146&lt;&gt;"",$F146&lt;&gt;"",$G146&lt;&gt;"",$H146&lt;&gt;"",$I146&lt;&gt;"")),"",IF(ISNUMBER($O146),IF(INDEX('請求台帳'!$C$5:$C$1004,$O146)="","",INDEX('請求台帳'!$C$5:$C$1004,$O146)),IF($C146="","",$C146)))</f>
        <v/>
      </c>
      <c r="Q146" s="35">
        <f>IF(OR(NOT(OR($A146&lt;&gt;"",$E146&lt;&gt;"",$F146&lt;&gt;"",$G146&lt;&gt;"",$H146&lt;&gt;"",$I146&lt;&gt;"")),$P146="",$P146&lt;&gt;'売掛帳'!$B$3,NOT(ISNUMBER($A146)),N($G146)+N($H146)+N($I146)=0),"",IF(AND($A146&gt;='売掛帳'!$Q$3,$A146&lt;='売掛帳'!$Q$4),$A146+0.5+ROW()/10000000,""))</f>
        <v/>
      </c>
      <c r="R146" s="32">
        <f>IF(AND(OR($A146&lt;&gt;"",$E146&lt;&gt;"",$F146&lt;&gt;"",$G146&lt;&gt;"",$H146&lt;&gt;"",$I146&lt;&gt;""),NOT(ISNUMBER($O146))),1,"")</f>
        <v/>
      </c>
    </row>
    <row r="147" ht="18" customHeight="1">
      <c r="A147" s="26" t="n"/>
      <c r="B147" s="18" t="n"/>
      <c r="C147" s="18" t="n"/>
      <c r="D147" s="20">
        <f>IF($P147="","",IFERROR(INDEX('得意先'!$C$5:$C$104,MATCH($P147,'得意先'!$B$5:$B$104,0))&amp;"","※得意先にないコード"))</f>
        <v/>
      </c>
      <c r="E147" s="27" t="n"/>
      <c r="F147" s="18" t="n"/>
      <c r="G147" s="27" t="n"/>
      <c r="H147" s="27" t="n"/>
      <c r="I147" s="27" t="n"/>
      <c r="J147" s="28">
        <f>IF(NOT(OR($A147&lt;&gt;"",$E147&lt;&gt;"",$F147&lt;&gt;"",$G147&lt;&gt;"",$H147&lt;&gt;"",$I147&lt;&gt;"")),"",N($G147)+N($H147)+N($I147))</f>
        <v/>
      </c>
      <c r="K147" s="28">
        <f>IF(ISNUMBER($O147),INDEX('請求台帳'!$R$5:$R$1004,$O147),"")</f>
        <v/>
      </c>
      <c r="L147" s="20">
        <f>IF(NOT(OR($A147&lt;&gt;"",$E147&lt;&gt;"",$F147&lt;&gt;"",$G147&lt;&gt;"",$H147&lt;&gt;"",$I147&lt;&gt;"")),"",IF(NOT(ISNUMBER($A147)),"入金日がありません",IF(AND($F147&lt;&gt;"",$O147="なし"),"請求Noが請求台帳にありません",IF(AND(ISNUMBER($O147),$C147&lt;&gt;"",$C147&lt;&gt;$P147),"請求の得意先は "&amp;$P147&amp;" です",IF(ROUND(IF($B147&lt;&gt;"",SUMIF($B$5:$B$1004,$B147,$E$5:$E$1004)-SUMIF($B$5:$B$1004,$B147,$G$5:$G$1004),N($E147)-N($G147)),0)&lt;&gt;0,"通帳の額と当てた額の差 "&amp;TEXT(IF($B147&lt;&gt;"",SUMIF($B$5:$B$1004,$B147,$E$5:$E$1004)-SUMIF($B$5:$B$1004,$B147,$G$5:$G$1004),N($E147)-N($G147)),"#,##0"),IF(AND(ISNUMBER($O147),N($K147)&lt;0),"請求額より多く消し込んでいます",IF($F147="","消込先が未定","OK")))))))</f>
        <v/>
      </c>
      <c r="M147" s="19" t="n"/>
      <c r="N147" s="56" t="n"/>
      <c r="O147" s="32">
        <f>IF($F147="","",IFERROR(MATCH($F147,'請求台帳'!$A$5:$A$1004,0),"なし"))</f>
        <v/>
      </c>
      <c r="P147" s="37">
        <f>IF(NOT(OR($A147&lt;&gt;"",$E147&lt;&gt;"",$F147&lt;&gt;"",$G147&lt;&gt;"",$H147&lt;&gt;"",$I147&lt;&gt;"")),"",IF(ISNUMBER($O147),IF(INDEX('請求台帳'!$C$5:$C$1004,$O147)="","",INDEX('請求台帳'!$C$5:$C$1004,$O147)),IF($C147="","",$C147)))</f>
        <v/>
      </c>
      <c r="Q147" s="35">
        <f>IF(OR(NOT(OR($A147&lt;&gt;"",$E147&lt;&gt;"",$F147&lt;&gt;"",$G147&lt;&gt;"",$H147&lt;&gt;"",$I147&lt;&gt;"")),$P147="",$P147&lt;&gt;'売掛帳'!$B$3,NOT(ISNUMBER($A147)),N($G147)+N($H147)+N($I147)=0),"",IF(AND($A147&gt;='売掛帳'!$Q$3,$A147&lt;='売掛帳'!$Q$4),$A147+0.5+ROW()/10000000,""))</f>
        <v/>
      </c>
      <c r="R147" s="32">
        <f>IF(AND(OR($A147&lt;&gt;"",$E147&lt;&gt;"",$F147&lt;&gt;"",$G147&lt;&gt;"",$H147&lt;&gt;"",$I147&lt;&gt;""),NOT(ISNUMBER($O147))),1,"")</f>
        <v/>
      </c>
    </row>
    <row r="148" ht="18" customHeight="1">
      <c r="A148" s="26" t="n"/>
      <c r="B148" s="18" t="n"/>
      <c r="C148" s="18" t="n"/>
      <c r="D148" s="20">
        <f>IF($P148="","",IFERROR(INDEX('得意先'!$C$5:$C$104,MATCH($P148,'得意先'!$B$5:$B$104,0))&amp;"","※得意先にないコード"))</f>
        <v/>
      </c>
      <c r="E148" s="27" t="n"/>
      <c r="F148" s="18" t="n"/>
      <c r="G148" s="27" t="n"/>
      <c r="H148" s="27" t="n"/>
      <c r="I148" s="27" t="n"/>
      <c r="J148" s="28">
        <f>IF(NOT(OR($A148&lt;&gt;"",$E148&lt;&gt;"",$F148&lt;&gt;"",$G148&lt;&gt;"",$H148&lt;&gt;"",$I148&lt;&gt;"")),"",N($G148)+N($H148)+N($I148))</f>
        <v/>
      </c>
      <c r="K148" s="28">
        <f>IF(ISNUMBER($O148),INDEX('請求台帳'!$R$5:$R$1004,$O148),"")</f>
        <v/>
      </c>
      <c r="L148" s="20">
        <f>IF(NOT(OR($A148&lt;&gt;"",$E148&lt;&gt;"",$F148&lt;&gt;"",$G148&lt;&gt;"",$H148&lt;&gt;"",$I148&lt;&gt;"")),"",IF(NOT(ISNUMBER($A148)),"入金日がありません",IF(AND($F148&lt;&gt;"",$O148="なし"),"請求Noが請求台帳にありません",IF(AND(ISNUMBER($O148),$C148&lt;&gt;"",$C148&lt;&gt;$P148),"請求の得意先は "&amp;$P148&amp;" です",IF(ROUND(IF($B148&lt;&gt;"",SUMIF($B$5:$B$1004,$B148,$E$5:$E$1004)-SUMIF($B$5:$B$1004,$B148,$G$5:$G$1004),N($E148)-N($G148)),0)&lt;&gt;0,"通帳の額と当てた額の差 "&amp;TEXT(IF($B148&lt;&gt;"",SUMIF($B$5:$B$1004,$B148,$E$5:$E$1004)-SUMIF($B$5:$B$1004,$B148,$G$5:$G$1004),N($E148)-N($G148)),"#,##0"),IF(AND(ISNUMBER($O148),N($K148)&lt;0),"請求額より多く消し込んでいます",IF($F148="","消込先が未定","OK")))))))</f>
        <v/>
      </c>
      <c r="M148" s="19" t="n"/>
      <c r="N148" s="56" t="n"/>
      <c r="O148" s="32">
        <f>IF($F148="","",IFERROR(MATCH($F148,'請求台帳'!$A$5:$A$1004,0),"なし"))</f>
        <v/>
      </c>
      <c r="P148" s="37">
        <f>IF(NOT(OR($A148&lt;&gt;"",$E148&lt;&gt;"",$F148&lt;&gt;"",$G148&lt;&gt;"",$H148&lt;&gt;"",$I148&lt;&gt;"")),"",IF(ISNUMBER($O148),IF(INDEX('請求台帳'!$C$5:$C$1004,$O148)="","",INDEX('請求台帳'!$C$5:$C$1004,$O148)),IF($C148="","",$C148)))</f>
        <v/>
      </c>
      <c r="Q148" s="35">
        <f>IF(OR(NOT(OR($A148&lt;&gt;"",$E148&lt;&gt;"",$F148&lt;&gt;"",$G148&lt;&gt;"",$H148&lt;&gt;"",$I148&lt;&gt;"")),$P148="",$P148&lt;&gt;'売掛帳'!$B$3,NOT(ISNUMBER($A148)),N($G148)+N($H148)+N($I148)=0),"",IF(AND($A148&gt;='売掛帳'!$Q$3,$A148&lt;='売掛帳'!$Q$4),$A148+0.5+ROW()/10000000,""))</f>
        <v/>
      </c>
      <c r="R148" s="32">
        <f>IF(AND(OR($A148&lt;&gt;"",$E148&lt;&gt;"",$F148&lt;&gt;"",$G148&lt;&gt;"",$H148&lt;&gt;"",$I148&lt;&gt;""),NOT(ISNUMBER($O148))),1,"")</f>
        <v/>
      </c>
    </row>
    <row r="149" ht="18" customHeight="1">
      <c r="A149" s="26" t="n"/>
      <c r="B149" s="18" t="n"/>
      <c r="C149" s="18" t="n"/>
      <c r="D149" s="20">
        <f>IF($P149="","",IFERROR(INDEX('得意先'!$C$5:$C$104,MATCH($P149,'得意先'!$B$5:$B$104,0))&amp;"","※得意先にないコード"))</f>
        <v/>
      </c>
      <c r="E149" s="27" t="n"/>
      <c r="F149" s="18" t="n"/>
      <c r="G149" s="27" t="n"/>
      <c r="H149" s="27" t="n"/>
      <c r="I149" s="27" t="n"/>
      <c r="J149" s="28">
        <f>IF(NOT(OR($A149&lt;&gt;"",$E149&lt;&gt;"",$F149&lt;&gt;"",$G149&lt;&gt;"",$H149&lt;&gt;"",$I149&lt;&gt;"")),"",N($G149)+N($H149)+N($I149))</f>
        <v/>
      </c>
      <c r="K149" s="28">
        <f>IF(ISNUMBER($O149),INDEX('請求台帳'!$R$5:$R$1004,$O149),"")</f>
        <v/>
      </c>
      <c r="L149" s="20">
        <f>IF(NOT(OR($A149&lt;&gt;"",$E149&lt;&gt;"",$F149&lt;&gt;"",$G149&lt;&gt;"",$H149&lt;&gt;"",$I149&lt;&gt;"")),"",IF(NOT(ISNUMBER($A149)),"入金日がありません",IF(AND($F149&lt;&gt;"",$O149="なし"),"請求Noが請求台帳にありません",IF(AND(ISNUMBER($O149),$C149&lt;&gt;"",$C149&lt;&gt;$P149),"請求の得意先は "&amp;$P149&amp;" です",IF(ROUND(IF($B149&lt;&gt;"",SUMIF($B$5:$B$1004,$B149,$E$5:$E$1004)-SUMIF($B$5:$B$1004,$B149,$G$5:$G$1004),N($E149)-N($G149)),0)&lt;&gt;0,"通帳の額と当てた額の差 "&amp;TEXT(IF($B149&lt;&gt;"",SUMIF($B$5:$B$1004,$B149,$E$5:$E$1004)-SUMIF($B$5:$B$1004,$B149,$G$5:$G$1004),N($E149)-N($G149)),"#,##0"),IF(AND(ISNUMBER($O149),N($K149)&lt;0),"請求額より多く消し込んでいます",IF($F149="","消込先が未定","OK")))))))</f>
        <v/>
      </c>
      <c r="M149" s="19" t="n"/>
      <c r="N149" s="56" t="n"/>
      <c r="O149" s="32">
        <f>IF($F149="","",IFERROR(MATCH($F149,'請求台帳'!$A$5:$A$1004,0),"なし"))</f>
        <v/>
      </c>
      <c r="P149" s="37">
        <f>IF(NOT(OR($A149&lt;&gt;"",$E149&lt;&gt;"",$F149&lt;&gt;"",$G149&lt;&gt;"",$H149&lt;&gt;"",$I149&lt;&gt;"")),"",IF(ISNUMBER($O149),IF(INDEX('請求台帳'!$C$5:$C$1004,$O149)="","",INDEX('請求台帳'!$C$5:$C$1004,$O149)),IF($C149="","",$C149)))</f>
        <v/>
      </c>
      <c r="Q149" s="35">
        <f>IF(OR(NOT(OR($A149&lt;&gt;"",$E149&lt;&gt;"",$F149&lt;&gt;"",$G149&lt;&gt;"",$H149&lt;&gt;"",$I149&lt;&gt;"")),$P149="",$P149&lt;&gt;'売掛帳'!$B$3,NOT(ISNUMBER($A149)),N($G149)+N($H149)+N($I149)=0),"",IF(AND($A149&gt;='売掛帳'!$Q$3,$A149&lt;='売掛帳'!$Q$4),$A149+0.5+ROW()/10000000,""))</f>
        <v/>
      </c>
      <c r="R149" s="32">
        <f>IF(AND(OR($A149&lt;&gt;"",$E149&lt;&gt;"",$F149&lt;&gt;"",$G149&lt;&gt;"",$H149&lt;&gt;"",$I149&lt;&gt;""),NOT(ISNUMBER($O149))),1,"")</f>
        <v/>
      </c>
    </row>
    <row r="150" ht="18" customHeight="1">
      <c r="A150" s="26" t="n"/>
      <c r="B150" s="18" t="n"/>
      <c r="C150" s="18" t="n"/>
      <c r="D150" s="20">
        <f>IF($P150="","",IFERROR(INDEX('得意先'!$C$5:$C$104,MATCH($P150,'得意先'!$B$5:$B$104,0))&amp;"","※得意先にないコード"))</f>
        <v/>
      </c>
      <c r="E150" s="27" t="n"/>
      <c r="F150" s="18" t="n"/>
      <c r="G150" s="27" t="n"/>
      <c r="H150" s="27" t="n"/>
      <c r="I150" s="27" t="n"/>
      <c r="J150" s="28">
        <f>IF(NOT(OR($A150&lt;&gt;"",$E150&lt;&gt;"",$F150&lt;&gt;"",$G150&lt;&gt;"",$H150&lt;&gt;"",$I150&lt;&gt;"")),"",N($G150)+N($H150)+N($I150))</f>
        <v/>
      </c>
      <c r="K150" s="28">
        <f>IF(ISNUMBER($O150),INDEX('請求台帳'!$R$5:$R$1004,$O150),"")</f>
        <v/>
      </c>
      <c r="L150" s="20">
        <f>IF(NOT(OR($A150&lt;&gt;"",$E150&lt;&gt;"",$F150&lt;&gt;"",$G150&lt;&gt;"",$H150&lt;&gt;"",$I150&lt;&gt;"")),"",IF(NOT(ISNUMBER($A150)),"入金日がありません",IF(AND($F150&lt;&gt;"",$O150="なし"),"請求Noが請求台帳にありません",IF(AND(ISNUMBER($O150),$C150&lt;&gt;"",$C150&lt;&gt;$P150),"請求の得意先は "&amp;$P150&amp;" です",IF(ROUND(IF($B150&lt;&gt;"",SUMIF($B$5:$B$1004,$B150,$E$5:$E$1004)-SUMIF($B$5:$B$1004,$B150,$G$5:$G$1004),N($E150)-N($G150)),0)&lt;&gt;0,"通帳の額と当てた額の差 "&amp;TEXT(IF($B150&lt;&gt;"",SUMIF($B$5:$B$1004,$B150,$E$5:$E$1004)-SUMIF($B$5:$B$1004,$B150,$G$5:$G$1004),N($E150)-N($G150)),"#,##0"),IF(AND(ISNUMBER($O150),N($K150)&lt;0),"請求額より多く消し込んでいます",IF($F150="","消込先が未定","OK")))))))</f>
        <v/>
      </c>
      <c r="M150" s="19" t="n"/>
      <c r="N150" s="56" t="n"/>
      <c r="O150" s="32">
        <f>IF($F150="","",IFERROR(MATCH($F150,'請求台帳'!$A$5:$A$1004,0),"なし"))</f>
        <v/>
      </c>
      <c r="P150" s="37">
        <f>IF(NOT(OR($A150&lt;&gt;"",$E150&lt;&gt;"",$F150&lt;&gt;"",$G150&lt;&gt;"",$H150&lt;&gt;"",$I150&lt;&gt;"")),"",IF(ISNUMBER($O150),IF(INDEX('請求台帳'!$C$5:$C$1004,$O150)="","",INDEX('請求台帳'!$C$5:$C$1004,$O150)),IF($C150="","",$C150)))</f>
        <v/>
      </c>
      <c r="Q150" s="35">
        <f>IF(OR(NOT(OR($A150&lt;&gt;"",$E150&lt;&gt;"",$F150&lt;&gt;"",$G150&lt;&gt;"",$H150&lt;&gt;"",$I150&lt;&gt;"")),$P150="",$P150&lt;&gt;'売掛帳'!$B$3,NOT(ISNUMBER($A150)),N($G150)+N($H150)+N($I150)=0),"",IF(AND($A150&gt;='売掛帳'!$Q$3,$A150&lt;='売掛帳'!$Q$4),$A150+0.5+ROW()/10000000,""))</f>
        <v/>
      </c>
      <c r="R150" s="32">
        <f>IF(AND(OR($A150&lt;&gt;"",$E150&lt;&gt;"",$F150&lt;&gt;"",$G150&lt;&gt;"",$H150&lt;&gt;"",$I150&lt;&gt;""),NOT(ISNUMBER($O150))),1,"")</f>
        <v/>
      </c>
    </row>
    <row r="151" ht="18" customHeight="1">
      <c r="A151" s="26" t="n"/>
      <c r="B151" s="18" t="n"/>
      <c r="C151" s="18" t="n"/>
      <c r="D151" s="20">
        <f>IF($P151="","",IFERROR(INDEX('得意先'!$C$5:$C$104,MATCH($P151,'得意先'!$B$5:$B$104,0))&amp;"","※得意先にないコード"))</f>
        <v/>
      </c>
      <c r="E151" s="27" t="n"/>
      <c r="F151" s="18" t="n"/>
      <c r="G151" s="27" t="n"/>
      <c r="H151" s="27" t="n"/>
      <c r="I151" s="27" t="n"/>
      <c r="J151" s="28">
        <f>IF(NOT(OR($A151&lt;&gt;"",$E151&lt;&gt;"",$F151&lt;&gt;"",$G151&lt;&gt;"",$H151&lt;&gt;"",$I151&lt;&gt;"")),"",N($G151)+N($H151)+N($I151))</f>
        <v/>
      </c>
      <c r="K151" s="28">
        <f>IF(ISNUMBER($O151),INDEX('請求台帳'!$R$5:$R$1004,$O151),"")</f>
        <v/>
      </c>
      <c r="L151" s="20">
        <f>IF(NOT(OR($A151&lt;&gt;"",$E151&lt;&gt;"",$F151&lt;&gt;"",$G151&lt;&gt;"",$H151&lt;&gt;"",$I151&lt;&gt;"")),"",IF(NOT(ISNUMBER($A151)),"入金日がありません",IF(AND($F151&lt;&gt;"",$O151="なし"),"請求Noが請求台帳にありません",IF(AND(ISNUMBER($O151),$C151&lt;&gt;"",$C151&lt;&gt;$P151),"請求の得意先は "&amp;$P151&amp;" です",IF(ROUND(IF($B151&lt;&gt;"",SUMIF($B$5:$B$1004,$B151,$E$5:$E$1004)-SUMIF($B$5:$B$1004,$B151,$G$5:$G$1004),N($E151)-N($G151)),0)&lt;&gt;0,"通帳の額と当てた額の差 "&amp;TEXT(IF($B151&lt;&gt;"",SUMIF($B$5:$B$1004,$B151,$E$5:$E$1004)-SUMIF($B$5:$B$1004,$B151,$G$5:$G$1004),N($E151)-N($G151)),"#,##0"),IF(AND(ISNUMBER($O151),N($K151)&lt;0),"請求額より多く消し込んでいます",IF($F151="","消込先が未定","OK")))))))</f>
        <v/>
      </c>
      <c r="M151" s="19" t="n"/>
      <c r="N151" s="56" t="n"/>
      <c r="O151" s="32">
        <f>IF($F151="","",IFERROR(MATCH($F151,'請求台帳'!$A$5:$A$1004,0),"なし"))</f>
        <v/>
      </c>
      <c r="P151" s="37">
        <f>IF(NOT(OR($A151&lt;&gt;"",$E151&lt;&gt;"",$F151&lt;&gt;"",$G151&lt;&gt;"",$H151&lt;&gt;"",$I151&lt;&gt;"")),"",IF(ISNUMBER($O151),IF(INDEX('請求台帳'!$C$5:$C$1004,$O151)="","",INDEX('請求台帳'!$C$5:$C$1004,$O151)),IF($C151="","",$C151)))</f>
        <v/>
      </c>
      <c r="Q151" s="35">
        <f>IF(OR(NOT(OR($A151&lt;&gt;"",$E151&lt;&gt;"",$F151&lt;&gt;"",$G151&lt;&gt;"",$H151&lt;&gt;"",$I151&lt;&gt;"")),$P151="",$P151&lt;&gt;'売掛帳'!$B$3,NOT(ISNUMBER($A151)),N($G151)+N($H151)+N($I151)=0),"",IF(AND($A151&gt;='売掛帳'!$Q$3,$A151&lt;='売掛帳'!$Q$4),$A151+0.5+ROW()/10000000,""))</f>
        <v/>
      </c>
      <c r="R151" s="32">
        <f>IF(AND(OR($A151&lt;&gt;"",$E151&lt;&gt;"",$F151&lt;&gt;"",$G151&lt;&gt;"",$H151&lt;&gt;"",$I151&lt;&gt;""),NOT(ISNUMBER($O151))),1,"")</f>
        <v/>
      </c>
    </row>
    <row r="152" ht="18" customHeight="1">
      <c r="A152" s="26" t="n"/>
      <c r="B152" s="18" t="n"/>
      <c r="C152" s="18" t="n"/>
      <c r="D152" s="20">
        <f>IF($P152="","",IFERROR(INDEX('得意先'!$C$5:$C$104,MATCH($P152,'得意先'!$B$5:$B$104,0))&amp;"","※得意先にないコード"))</f>
        <v/>
      </c>
      <c r="E152" s="27" t="n"/>
      <c r="F152" s="18" t="n"/>
      <c r="G152" s="27" t="n"/>
      <c r="H152" s="27" t="n"/>
      <c r="I152" s="27" t="n"/>
      <c r="J152" s="28">
        <f>IF(NOT(OR($A152&lt;&gt;"",$E152&lt;&gt;"",$F152&lt;&gt;"",$G152&lt;&gt;"",$H152&lt;&gt;"",$I152&lt;&gt;"")),"",N($G152)+N($H152)+N($I152))</f>
        <v/>
      </c>
      <c r="K152" s="28">
        <f>IF(ISNUMBER($O152),INDEX('請求台帳'!$R$5:$R$1004,$O152),"")</f>
        <v/>
      </c>
      <c r="L152" s="20">
        <f>IF(NOT(OR($A152&lt;&gt;"",$E152&lt;&gt;"",$F152&lt;&gt;"",$G152&lt;&gt;"",$H152&lt;&gt;"",$I152&lt;&gt;"")),"",IF(NOT(ISNUMBER($A152)),"入金日がありません",IF(AND($F152&lt;&gt;"",$O152="なし"),"請求Noが請求台帳にありません",IF(AND(ISNUMBER($O152),$C152&lt;&gt;"",$C152&lt;&gt;$P152),"請求の得意先は "&amp;$P152&amp;" です",IF(ROUND(IF($B152&lt;&gt;"",SUMIF($B$5:$B$1004,$B152,$E$5:$E$1004)-SUMIF($B$5:$B$1004,$B152,$G$5:$G$1004),N($E152)-N($G152)),0)&lt;&gt;0,"通帳の額と当てた額の差 "&amp;TEXT(IF($B152&lt;&gt;"",SUMIF($B$5:$B$1004,$B152,$E$5:$E$1004)-SUMIF($B$5:$B$1004,$B152,$G$5:$G$1004),N($E152)-N($G152)),"#,##0"),IF(AND(ISNUMBER($O152),N($K152)&lt;0),"請求額より多く消し込んでいます",IF($F152="","消込先が未定","OK")))))))</f>
        <v/>
      </c>
      <c r="M152" s="19" t="n"/>
      <c r="N152" s="56" t="n"/>
      <c r="O152" s="32">
        <f>IF($F152="","",IFERROR(MATCH($F152,'請求台帳'!$A$5:$A$1004,0),"なし"))</f>
        <v/>
      </c>
      <c r="P152" s="37">
        <f>IF(NOT(OR($A152&lt;&gt;"",$E152&lt;&gt;"",$F152&lt;&gt;"",$G152&lt;&gt;"",$H152&lt;&gt;"",$I152&lt;&gt;"")),"",IF(ISNUMBER($O152),IF(INDEX('請求台帳'!$C$5:$C$1004,$O152)="","",INDEX('請求台帳'!$C$5:$C$1004,$O152)),IF($C152="","",$C152)))</f>
        <v/>
      </c>
      <c r="Q152" s="35">
        <f>IF(OR(NOT(OR($A152&lt;&gt;"",$E152&lt;&gt;"",$F152&lt;&gt;"",$G152&lt;&gt;"",$H152&lt;&gt;"",$I152&lt;&gt;"")),$P152="",$P152&lt;&gt;'売掛帳'!$B$3,NOT(ISNUMBER($A152)),N($G152)+N($H152)+N($I152)=0),"",IF(AND($A152&gt;='売掛帳'!$Q$3,$A152&lt;='売掛帳'!$Q$4),$A152+0.5+ROW()/10000000,""))</f>
        <v/>
      </c>
      <c r="R152" s="32">
        <f>IF(AND(OR($A152&lt;&gt;"",$E152&lt;&gt;"",$F152&lt;&gt;"",$G152&lt;&gt;"",$H152&lt;&gt;"",$I152&lt;&gt;""),NOT(ISNUMBER($O152))),1,"")</f>
        <v/>
      </c>
    </row>
    <row r="153" ht="18" customHeight="1">
      <c r="A153" s="26" t="n"/>
      <c r="B153" s="18" t="n"/>
      <c r="C153" s="18" t="n"/>
      <c r="D153" s="20">
        <f>IF($P153="","",IFERROR(INDEX('得意先'!$C$5:$C$104,MATCH($P153,'得意先'!$B$5:$B$104,0))&amp;"","※得意先にないコード"))</f>
        <v/>
      </c>
      <c r="E153" s="27" t="n"/>
      <c r="F153" s="18" t="n"/>
      <c r="G153" s="27" t="n"/>
      <c r="H153" s="27" t="n"/>
      <c r="I153" s="27" t="n"/>
      <c r="J153" s="28">
        <f>IF(NOT(OR($A153&lt;&gt;"",$E153&lt;&gt;"",$F153&lt;&gt;"",$G153&lt;&gt;"",$H153&lt;&gt;"",$I153&lt;&gt;"")),"",N($G153)+N($H153)+N($I153))</f>
        <v/>
      </c>
      <c r="K153" s="28">
        <f>IF(ISNUMBER($O153),INDEX('請求台帳'!$R$5:$R$1004,$O153),"")</f>
        <v/>
      </c>
      <c r="L153" s="20">
        <f>IF(NOT(OR($A153&lt;&gt;"",$E153&lt;&gt;"",$F153&lt;&gt;"",$G153&lt;&gt;"",$H153&lt;&gt;"",$I153&lt;&gt;"")),"",IF(NOT(ISNUMBER($A153)),"入金日がありません",IF(AND($F153&lt;&gt;"",$O153="なし"),"請求Noが請求台帳にありません",IF(AND(ISNUMBER($O153),$C153&lt;&gt;"",$C153&lt;&gt;$P153),"請求の得意先は "&amp;$P153&amp;" です",IF(ROUND(IF($B153&lt;&gt;"",SUMIF($B$5:$B$1004,$B153,$E$5:$E$1004)-SUMIF($B$5:$B$1004,$B153,$G$5:$G$1004),N($E153)-N($G153)),0)&lt;&gt;0,"通帳の額と当てた額の差 "&amp;TEXT(IF($B153&lt;&gt;"",SUMIF($B$5:$B$1004,$B153,$E$5:$E$1004)-SUMIF($B$5:$B$1004,$B153,$G$5:$G$1004),N($E153)-N($G153)),"#,##0"),IF(AND(ISNUMBER($O153),N($K153)&lt;0),"請求額より多く消し込んでいます",IF($F153="","消込先が未定","OK")))))))</f>
        <v/>
      </c>
      <c r="M153" s="19" t="n"/>
      <c r="N153" s="56" t="n"/>
      <c r="O153" s="32">
        <f>IF($F153="","",IFERROR(MATCH($F153,'請求台帳'!$A$5:$A$1004,0),"なし"))</f>
        <v/>
      </c>
      <c r="P153" s="37">
        <f>IF(NOT(OR($A153&lt;&gt;"",$E153&lt;&gt;"",$F153&lt;&gt;"",$G153&lt;&gt;"",$H153&lt;&gt;"",$I153&lt;&gt;"")),"",IF(ISNUMBER($O153),IF(INDEX('請求台帳'!$C$5:$C$1004,$O153)="","",INDEX('請求台帳'!$C$5:$C$1004,$O153)),IF($C153="","",$C153)))</f>
        <v/>
      </c>
      <c r="Q153" s="35">
        <f>IF(OR(NOT(OR($A153&lt;&gt;"",$E153&lt;&gt;"",$F153&lt;&gt;"",$G153&lt;&gt;"",$H153&lt;&gt;"",$I153&lt;&gt;"")),$P153="",$P153&lt;&gt;'売掛帳'!$B$3,NOT(ISNUMBER($A153)),N($G153)+N($H153)+N($I153)=0),"",IF(AND($A153&gt;='売掛帳'!$Q$3,$A153&lt;='売掛帳'!$Q$4),$A153+0.5+ROW()/10000000,""))</f>
        <v/>
      </c>
      <c r="R153" s="32">
        <f>IF(AND(OR($A153&lt;&gt;"",$E153&lt;&gt;"",$F153&lt;&gt;"",$G153&lt;&gt;"",$H153&lt;&gt;"",$I153&lt;&gt;""),NOT(ISNUMBER($O153))),1,"")</f>
        <v/>
      </c>
    </row>
    <row r="154" ht="18" customHeight="1">
      <c r="A154" s="26" t="n"/>
      <c r="B154" s="18" t="n"/>
      <c r="C154" s="18" t="n"/>
      <c r="D154" s="20">
        <f>IF($P154="","",IFERROR(INDEX('得意先'!$C$5:$C$104,MATCH($P154,'得意先'!$B$5:$B$104,0))&amp;"","※得意先にないコード"))</f>
        <v/>
      </c>
      <c r="E154" s="27" t="n"/>
      <c r="F154" s="18" t="n"/>
      <c r="G154" s="27" t="n"/>
      <c r="H154" s="27" t="n"/>
      <c r="I154" s="27" t="n"/>
      <c r="J154" s="28">
        <f>IF(NOT(OR($A154&lt;&gt;"",$E154&lt;&gt;"",$F154&lt;&gt;"",$G154&lt;&gt;"",$H154&lt;&gt;"",$I154&lt;&gt;"")),"",N($G154)+N($H154)+N($I154))</f>
        <v/>
      </c>
      <c r="K154" s="28">
        <f>IF(ISNUMBER($O154),INDEX('請求台帳'!$R$5:$R$1004,$O154),"")</f>
        <v/>
      </c>
      <c r="L154" s="20">
        <f>IF(NOT(OR($A154&lt;&gt;"",$E154&lt;&gt;"",$F154&lt;&gt;"",$G154&lt;&gt;"",$H154&lt;&gt;"",$I154&lt;&gt;"")),"",IF(NOT(ISNUMBER($A154)),"入金日がありません",IF(AND($F154&lt;&gt;"",$O154="なし"),"請求Noが請求台帳にありません",IF(AND(ISNUMBER($O154),$C154&lt;&gt;"",$C154&lt;&gt;$P154),"請求の得意先は "&amp;$P154&amp;" です",IF(ROUND(IF($B154&lt;&gt;"",SUMIF($B$5:$B$1004,$B154,$E$5:$E$1004)-SUMIF($B$5:$B$1004,$B154,$G$5:$G$1004),N($E154)-N($G154)),0)&lt;&gt;0,"通帳の額と当てた額の差 "&amp;TEXT(IF($B154&lt;&gt;"",SUMIF($B$5:$B$1004,$B154,$E$5:$E$1004)-SUMIF($B$5:$B$1004,$B154,$G$5:$G$1004),N($E154)-N($G154)),"#,##0"),IF(AND(ISNUMBER($O154),N($K154)&lt;0),"請求額より多く消し込んでいます",IF($F154="","消込先が未定","OK")))))))</f>
        <v/>
      </c>
      <c r="M154" s="19" t="n"/>
      <c r="N154" s="56" t="n"/>
      <c r="O154" s="32">
        <f>IF($F154="","",IFERROR(MATCH($F154,'請求台帳'!$A$5:$A$1004,0),"なし"))</f>
        <v/>
      </c>
      <c r="P154" s="37">
        <f>IF(NOT(OR($A154&lt;&gt;"",$E154&lt;&gt;"",$F154&lt;&gt;"",$G154&lt;&gt;"",$H154&lt;&gt;"",$I154&lt;&gt;"")),"",IF(ISNUMBER($O154),IF(INDEX('請求台帳'!$C$5:$C$1004,$O154)="","",INDEX('請求台帳'!$C$5:$C$1004,$O154)),IF($C154="","",$C154)))</f>
        <v/>
      </c>
      <c r="Q154" s="35">
        <f>IF(OR(NOT(OR($A154&lt;&gt;"",$E154&lt;&gt;"",$F154&lt;&gt;"",$G154&lt;&gt;"",$H154&lt;&gt;"",$I154&lt;&gt;"")),$P154="",$P154&lt;&gt;'売掛帳'!$B$3,NOT(ISNUMBER($A154)),N($G154)+N($H154)+N($I154)=0),"",IF(AND($A154&gt;='売掛帳'!$Q$3,$A154&lt;='売掛帳'!$Q$4),$A154+0.5+ROW()/10000000,""))</f>
        <v/>
      </c>
      <c r="R154" s="32">
        <f>IF(AND(OR($A154&lt;&gt;"",$E154&lt;&gt;"",$F154&lt;&gt;"",$G154&lt;&gt;"",$H154&lt;&gt;"",$I154&lt;&gt;""),NOT(ISNUMBER($O154))),1,"")</f>
        <v/>
      </c>
    </row>
    <row r="155" ht="18" customHeight="1">
      <c r="A155" s="26" t="n"/>
      <c r="B155" s="18" t="n"/>
      <c r="C155" s="18" t="n"/>
      <c r="D155" s="20">
        <f>IF($P155="","",IFERROR(INDEX('得意先'!$C$5:$C$104,MATCH($P155,'得意先'!$B$5:$B$104,0))&amp;"","※得意先にないコード"))</f>
        <v/>
      </c>
      <c r="E155" s="27" t="n"/>
      <c r="F155" s="18" t="n"/>
      <c r="G155" s="27" t="n"/>
      <c r="H155" s="27" t="n"/>
      <c r="I155" s="27" t="n"/>
      <c r="J155" s="28">
        <f>IF(NOT(OR($A155&lt;&gt;"",$E155&lt;&gt;"",$F155&lt;&gt;"",$G155&lt;&gt;"",$H155&lt;&gt;"",$I155&lt;&gt;"")),"",N($G155)+N($H155)+N($I155))</f>
        <v/>
      </c>
      <c r="K155" s="28">
        <f>IF(ISNUMBER($O155),INDEX('請求台帳'!$R$5:$R$1004,$O155),"")</f>
        <v/>
      </c>
      <c r="L155" s="20">
        <f>IF(NOT(OR($A155&lt;&gt;"",$E155&lt;&gt;"",$F155&lt;&gt;"",$G155&lt;&gt;"",$H155&lt;&gt;"",$I155&lt;&gt;"")),"",IF(NOT(ISNUMBER($A155)),"入金日がありません",IF(AND($F155&lt;&gt;"",$O155="なし"),"請求Noが請求台帳にありません",IF(AND(ISNUMBER($O155),$C155&lt;&gt;"",$C155&lt;&gt;$P155),"請求の得意先は "&amp;$P155&amp;" です",IF(ROUND(IF($B155&lt;&gt;"",SUMIF($B$5:$B$1004,$B155,$E$5:$E$1004)-SUMIF($B$5:$B$1004,$B155,$G$5:$G$1004),N($E155)-N($G155)),0)&lt;&gt;0,"通帳の額と当てた額の差 "&amp;TEXT(IF($B155&lt;&gt;"",SUMIF($B$5:$B$1004,$B155,$E$5:$E$1004)-SUMIF($B$5:$B$1004,$B155,$G$5:$G$1004),N($E155)-N($G155)),"#,##0"),IF(AND(ISNUMBER($O155),N($K155)&lt;0),"請求額より多く消し込んでいます",IF($F155="","消込先が未定","OK")))))))</f>
        <v/>
      </c>
      <c r="M155" s="19" t="n"/>
      <c r="N155" s="56" t="n"/>
      <c r="O155" s="32">
        <f>IF($F155="","",IFERROR(MATCH($F155,'請求台帳'!$A$5:$A$1004,0),"なし"))</f>
        <v/>
      </c>
      <c r="P155" s="37">
        <f>IF(NOT(OR($A155&lt;&gt;"",$E155&lt;&gt;"",$F155&lt;&gt;"",$G155&lt;&gt;"",$H155&lt;&gt;"",$I155&lt;&gt;"")),"",IF(ISNUMBER($O155),IF(INDEX('請求台帳'!$C$5:$C$1004,$O155)="","",INDEX('請求台帳'!$C$5:$C$1004,$O155)),IF($C155="","",$C155)))</f>
        <v/>
      </c>
      <c r="Q155" s="35">
        <f>IF(OR(NOT(OR($A155&lt;&gt;"",$E155&lt;&gt;"",$F155&lt;&gt;"",$G155&lt;&gt;"",$H155&lt;&gt;"",$I155&lt;&gt;"")),$P155="",$P155&lt;&gt;'売掛帳'!$B$3,NOT(ISNUMBER($A155)),N($G155)+N($H155)+N($I155)=0),"",IF(AND($A155&gt;='売掛帳'!$Q$3,$A155&lt;='売掛帳'!$Q$4),$A155+0.5+ROW()/10000000,""))</f>
        <v/>
      </c>
      <c r="R155" s="32">
        <f>IF(AND(OR($A155&lt;&gt;"",$E155&lt;&gt;"",$F155&lt;&gt;"",$G155&lt;&gt;"",$H155&lt;&gt;"",$I155&lt;&gt;""),NOT(ISNUMBER($O155))),1,"")</f>
        <v/>
      </c>
    </row>
    <row r="156" ht="18" customHeight="1">
      <c r="A156" s="26" t="n"/>
      <c r="B156" s="18" t="n"/>
      <c r="C156" s="18" t="n"/>
      <c r="D156" s="20">
        <f>IF($P156="","",IFERROR(INDEX('得意先'!$C$5:$C$104,MATCH($P156,'得意先'!$B$5:$B$104,0))&amp;"","※得意先にないコード"))</f>
        <v/>
      </c>
      <c r="E156" s="27" t="n"/>
      <c r="F156" s="18" t="n"/>
      <c r="G156" s="27" t="n"/>
      <c r="H156" s="27" t="n"/>
      <c r="I156" s="27" t="n"/>
      <c r="J156" s="28">
        <f>IF(NOT(OR($A156&lt;&gt;"",$E156&lt;&gt;"",$F156&lt;&gt;"",$G156&lt;&gt;"",$H156&lt;&gt;"",$I156&lt;&gt;"")),"",N($G156)+N($H156)+N($I156))</f>
        <v/>
      </c>
      <c r="K156" s="28">
        <f>IF(ISNUMBER($O156),INDEX('請求台帳'!$R$5:$R$1004,$O156),"")</f>
        <v/>
      </c>
      <c r="L156" s="20">
        <f>IF(NOT(OR($A156&lt;&gt;"",$E156&lt;&gt;"",$F156&lt;&gt;"",$G156&lt;&gt;"",$H156&lt;&gt;"",$I156&lt;&gt;"")),"",IF(NOT(ISNUMBER($A156)),"入金日がありません",IF(AND($F156&lt;&gt;"",$O156="なし"),"請求Noが請求台帳にありません",IF(AND(ISNUMBER($O156),$C156&lt;&gt;"",$C156&lt;&gt;$P156),"請求の得意先は "&amp;$P156&amp;" です",IF(ROUND(IF($B156&lt;&gt;"",SUMIF($B$5:$B$1004,$B156,$E$5:$E$1004)-SUMIF($B$5:$B$1004,$B156,$G$5:$G$1004),N($E156)-N($G156)),0)&lt;&gt;0,"通帳の額と当てた額の差 "&amp;TEXT(IF($B156&lt;&gt;"",SUMIF($B$5:$B$1004,$B156,$E$5:$E$1004)-SUMIF($B$5:$B$1004,$B156,$G$5:$G$1004),N($E156)-N($G156)),"#,##0"),IF(AND(ISNUMBER($O156),N($K156)&lt;0),"請求額より多く消し込んでいます",IF($F156="","消込先が未定","OK")))))))</f>
        <v/>
      </c>
      <c r="M156" s="19" t="n"/>
      <c r="N156" s="56" t="n"/>
      <c r="O156" s="32">
        <f>IF($F156="","",IFERROR(MATCH($F156,'請求台帳'!$A$5:$A$1004,0),"なし"))</f>
        <v/>
      </c>
      <c r="P156" s="37">
        <f>IF(NOT(OR($A156&lt;&gt;"",$E156&lt;&gt;"",$F156&lt;&gt;"",$G156&lt;&gt;"",$H156&lt;&gt;"",$I156&lt;&gt;"")),"",IF(ISNUMBER($O156),IF(INDEX('請求台帳'!$C$5:$C$1004,$O156)="","",INDEX('請求台帳'!$C$5:$C$1004,$O156)),IF($C156="","",$C156)))</f>
        <v/>
      </c>
      <c r="Q156" s="35">
        <f>IF(OR(NOT(OR($A156&lt;&gt;"",$E156&lt;&gt;"",$F156&lt;&gt;"",$G156&lt;&gt;"",$H156&lt;&gt;"",$I156&lt;&gt;"")),$P156="",$P156&lt;&gt;'売掛帳'!$B$3,NOT(ISNUMBER($A156)),N($G156)+N($H156)+N($I156)=0),"",IF(AND($A156&gt;='売掛帳'!$Q$3,$A156&lt;='売掛帳'!$Q$4),$A156+0.5+ROW()/10000000,""))</f>
        <v/>
      </c>
      <c r="R156" s="32">
        <f>IF(AND(OR($A156&lt;&gt;"",$E156&lt;&gt;"",$F156&lt;&gt;"",$G156&lt;&gt;"",$H156&lt;&gt;"",$I156&lt;&gt;""),NOT(ISNUMBER($O156))),1,"")</f>
        <v/>
      </c>
    </row>
    <row r="157" ht="18" customHeight="1">
      <c r="A157" s="26" t="n"/>
      <c r="B157" s="18" t="n"/>
      <c r="C157" s="18" t="n"/>
      <c r="D157" s="20">
        <f>IF($P157="","",IFERROR(INDEX('得意先'!$C$5:$C$104,MATCH($P157,'得意先'!$B$5:$B$104,0))&amp;"","※得意先にないコード"))</f>
        <v/>
      </c>
      <c r="E157" s="27" t="n"/>
      <c r="F157" s="18" t="n"/>
      <c r="G157" s="27" t="n"/>
      <c r="H157" s="27" t="n"/>
      <c r="I157" s="27" t="n"/>
      <c r="J157" s="28">
        <f>IF(NOT(OR($A157&lt;&gt;"",$E157&lt;&gt;"",$F157&lt;&gt;"",$G157&lt;&gt;"",$H157&lt;&gt;"",$I157&lt;&gt;"")),"",N($G157)+N($H157)+N($I157))</f>
        <v/>
      </c>
      <c r="K157" s="28">
        <f>IF(ISNUMBER($O157),INDEX('請求台帳'!$R$5:$R$1004,$O157),"")</f>
        <v/>
      </c>
      <c r="L157" s="20">
        <f>IF(NOT(OR($A157&lt;&gt;"",$E157&lt;&gt;"",$F157&lt;&gt;"",$G157&lt;&gt;"",$H157&lt;&gt;"",$I157&lt;&gt;"")),"",IF(NOT(ISNUMBER($A157)),"入金日がありません",IF(AND($F157&lt;&gt;"",$O157="なし"),"請求Noが請求台帳にありません",IF(AND(ISNUMBER($O157),$C157&lt;&gt;"",$C157&lt;&gt;$P157),"請求の得意先は "&amp;$P157&amp;" です",IF(ROUND(IF($B157&lt;&gt;"",SUMIF($B$5:$B$1004,$B157,$E$5:$E$1004)-SUMIF($B$5:$B$1004,$B157,$G$5:$G$1004),N($E157)-N($G157)),0)&lt;&gt;0,"通帳の額と当てた額の差 "&amp;TEXT(IF($B157&lt;&gt;"",SUMIF($B$5:$B$1004,$B157,$E$5:$E$1004)-SUMIF($B$5:$B$1004,$B157,$G$5:$G$1004),N($E157)-N($G157)),"#,##0"),IF(AND(ISNUMBER($O157),N($K157)&lt;0),"請求額より多く消し込んでいます",IF($F157="","消込先が未定","OK")))))))</f>
        <v/>
      </c>
      <c r="M157" s="19" t="n"/>
      <c r="N157" s="56" t="n"/>
      <c r="O157" s="32">
        <f>IF($F157="","",IFERROR(MATCH($F157,'請求台帳'!$A$5:$A$1004,0),"なし"))</f>
        <v/>
      </c>
      <c r="P157" s="37">
        <f>IF(NOT(OR($A157&lt;&gt;"",$E157&lt;&gt;"",$F157&lt;&gt;"",$G157&lt;&gt;"",$H157&lt;&gt;"",$I157&lt;&gt;"")),"",IF(ISNUMBER($O157),IF(INDEX('請求台帳'!$C$5:$C$1004,$O157)="","",INDEX('請求台帳'!$C$5:$C$1004,$O157)),IF($C157="","",$C157)))</f>
        <v/>
      </c>
      <c r="Q157" s="35">
        <f>IF(OR(NOT(OR($A157&lt;&gt;"",$E157&lt;&gt;"",$F157&lt;&gt;"",$G157&lt;&gt;"",$H157&lt;&gt;"",$I157&lt;&gt;"")),$P157="",$P157&lt;&gt;'売掛帳'!$B$3,NOT(ISNUMBER($A157)),N($G157)+N($H157)+N($I157)=0),"",IF(AND($A157&gt;='売掛帳'!$Q$3,$A157&lt;='売掛帳'!$Q$4),$A157+0.5+ROW()/10000000,""))</f>
        <v/>
      </c>
      <c r="R157" s="32">
        <f>IF(AND(OR($A157&lt;&gt;"",$E157&lt;&gt;"",$F157&lt;&gt;"",$G157&lt;&gt;"",$H157&lt;&gt;"",$I157&lt;&gt;""),NOT(ISNUMBER($O157))),1,"")</f>
        <v/>
      </c>
    </row>
    <row r="158" ht="18" customHeight="1">
      <c r="A158" s="26" t="n"/>
      <c r="B158" s="18" t="n"/>
      <c r="C158" s="18" t="n"/>
      <c r="D158" s="20">
        <f>IF($P158="","",IFERROR(INDEX('得意先'!$C$5:$C$104,MATCH($P158,'得意先'!$B$5:$B$104,0))&amp;"","※得意先にないコード"))</f>
        <v/>
      </c>
      <c r="E158" s="27" t="n"/>
      <c r="F158" s="18" t="n"/>
      <c r="G158" s="27" t="n"/>
      <c r="H158" s="27" t="n"/>
      <c r="I158" s="27" t="n"/>
      <c r="J158" s="28">
        <f>IF(NOT(OR($A158&lt;&gt;"",$E158&lt;&gt;"",$F158&lt;&gt;"",$G158&lt;&gt;"",$H158&lt;&gt;"",$I158&lt;&gt;"")),"",N($G158)+N($H158)+N($I158))</f>
        <v/>
      </c>
      <c r="K158" s="28">
        <f>IF(ISNUMBER($O158),INDEX('請求台帳'!$R$5:$R$1004,$O158),"")</f>
        <v/>
      </c>
      <c r="L158" s="20">
        <f>IF(NOT(OR($A158&lt;&gt;"",$E158&lt;&gt;"",$F158&lt;&gt;"",$G158&lt;&gt;"",$H158&lt;&gt;"",$I158&lt;&gt;"")),"",IF(NOT(ISNUMBER($A158)),"入金日がありません",IF(AND($F158&lt;&gt;"",$O158="なし"),"請求Noが請求台帳にありません",IF(AND(ISNUMBER($O158),$C158&lt;&gt;"",$C158&lt;&gt;$P158),"請求の得意先は "&amp;$P158&amp;" です",IF(ROUND(IF($B158&lt;&gt;"",SUMIF($B$5:$B$1004,$B158,$E$5:$E$1004)-SUMIF($B$5:$B$1004,$B158,$G$5:$G$1004),N($E158)-N($G158)),0)&lt;&gt;0,"通帳の額と当てた額の差 "&amp;TEXT(IF($B158&lt;&gt;"",SUMIF($B$5:$B$1004,$B158,$E$5:$E$1004)-SUMIF($B$5:$B$1004,$B158,$G$5:$G$1004),N($E158)-N($G158)),"#,##0"),IF(AND(ISNUMBER($O158),N($K158)&lt;0),"請求額より多く消し込んでいます",IF($F158="","消込先が未定","OK")))))))</f>
        <v/>
      </c>
      <c r="M158" s="19" t="n"/>
      <c r="N158" s="56" t="n"/>
      <c r="O158" s="32">
        <f>IF($F158="","",IFERROR(MATCH($F158,'請求台帳'!$A$5:$A$1004,0),"なし"))</f>
        <v/>
      </c>
      <c r="P158" s="37">
        <f>IF(NOT(OR($A158&lt;&gt;"",$E158&lt;&gt;"",$F158&lt;&gt;"",$G158&lt;&gt;"",$H158&lt;&gt;"",$I158&lt;&gt;"")),"",IF(ISNUMBER($O158),IF(INDEX('請求台帳'!$C$5:$C$1004,$O158)="","",INDEX('請求台帳'!$C$5:$C$1004,$O158)),IF($C158="","",$C158)))</f>
        <v/>
      </c>
      <c r="Q158" s="35">
        <f>IF(OR(NOT(OR($A158&lt;&gt;"",$E158&lt;&gt;"",$F158&lt;&gt;"",$G158&lt;&gt;"",$H158&lt;&gt;"",$I158&lt;&gt;"")),$P158="",$P158&lt;&gt;'売掛帳'!$B$3,NOT(ISNUMBER($A158)),N($G158)+N($H158)+N($I158)=0),"",IF(AND($A158&gt;='売掛帳'!$Q$3,$A158&lt;='売掛帳'!$Q$4),$A158+0.5+ROW()/10000000,""))</f>
        <v/>
      </c>
      <c r="R158" s="32">
        <f>IF(AND(OR($A158&lt;&gt;"",$E158&lt;&gt;"",$F158&lt;&gt;"",$G158&lt;&gt;"",$H158&lt;&gt;"",$I158&lt;&gt;""),NOT(ISNUMBER($O158))),1,"")</f>
        <v/>
      </c>
    </row>
    <row r="159" ht="18" customHeight="1">
      <c r="A159" s="26" t="n"/>
      <c r="B159" s="18" t="n"/>
      <c r="C159" s="18" t="n"/>
      <c r="D159" s="20">
        <f>IF($P159="","",IFERROR(INDEX('得意先'!$C$5:$C$104,MATCH($P159,'得意先'!$B$5:$B$104,0))&amp;"","※得意先にないコード"))</f>
        <v/>
      </c>
      <c r="E159" s="27" t="n"/>
      <c r="F159" s="18" t="n"/>
      <c r="G159" s="27" t="n"/>
      <c r="H159" s="27" t="n"/>
      <c r="I159" s="27" t="n"/>
      <c r="J159" s="28">
        <f>IF(NOT(OR($A159&lt;&gt;"",$E159&lt;&gt;"",$F159&lt;&gt;"",$G159&lt;&gt;"",$H159&lt;&gt;"",$I159&lt;&gt;"")),"",N($G159)+N($H159)+N($I159))</f>
        <v/>
      </c>
      <c r="K159" s="28">
        <f>IF(ISNUMBER($O159),INDEX('請求台帳'!$R$5:$R$1004,$O159),"")</f>
        <v/>
      </c>
      <c r="L159" s="20">
        <f>IF(NOT(OR($A159&lt;&gt;"",$E159&lt;&gt;"",$F159&lt;&gt;"",$G159&lt;&gt;"",$H159&lt;&gt;"",$I159&lt;&gt;"")),"",IF(NOT(ISNUMBER($A159)),"入金日がありません",IF(AND($F159&lt;&gt;"",$O159="なし"),"請求Noが請求台帳にありません",IF(AND(ISNUMBER($O159),$C159&lt;&gt;"",$C159&lt;&gt;$P159),"請求の得意先は "&amp;$P159&amp;" です",IF(ROUND(IF($B159&lt;&gt;"",SUMIF($B$5:$B$1004,$B159,$E$5:$E$1004)-SUMIF($B$5:$B$1004,$B159,$G$5:$G$1004),N($E159)-N($G159)),0)&lt;&gt;0,"通帳の額と当てた額の差 "&amp;TEXT(IF($B159&lt;&gt;"",SUMIF($B$5:$B$1004,$B159,$E$5:$E$1004)-SUMIF($B$5:$B$1004,$B159,$G$5:$G$1004),N($E159)-N($G159)),"#,##0"),IF(AND(ISNUMBER($O159),N($K159)&lt;0),"請求額より多く消し込んでいます",IF($F159="","消込先が未定","OK")))))))</f>
        <v/>
      </c>
      <c r="M159" s="19" t="n"/>
      <c r="N159" s="56" t="n"/>
      <c r="O159" s="32">
        <f>IF($F159="","",IFERROR(MATCH($F159,'請求台帳'!$A$5:$A$1004,0),"なし"))</f>
        <v/>
      </c>
      <c r="P159" s="37">
        <f>IF(NOT(OR($A159&lt;&gt;"",$E159&lt;&gt;"",$F159&lt;&gt;"",$G159&lt;&gt;"",$H159&lt;&gt;"",$I159&lt;&gt;"")),"",IF(ISNUMBER($O159),IF(INDEX('請求台帳'!$C$5:$C$1004,$O159)="","",INDEX('請求台帳'!$C$5:$C$1004,$O159)),IF($C159="","",$C159)))</f>
        <v/>
      </c>
      <c r="Q159" s="35">
        <f>IF(OR(NOT(OR($A159&lt;&gt;"",$E159&lt;&gt;"",$F159&lt;&gt;"",$G159&lt;&gt;"",$H159&lt;&gt;"",$I159&lt;&gt;"")),$P159="",$P159&lt;&gt;'売掛帳'!$B$3,NOT(ISNUMBER($A159)),N($G159)+N($H159)+N($I159)=0),"",IF(AND($A159&gt;='売掛帳'!$Q$3,$A159&lt;='売掛帳'!$Q$4),$A159+0.5+ROW()/10000000,""))</f>
        <v/>
      </c>
      <c r="R159" s="32">
        <f>IF(AND(OR($A159&lt;&gt;"",$E159&lt;&gt;"",$F159&lt;&gt;"",$G159&lt;&gt;"",$H159&lt;&gt;"",$I159&lt;&gt;""),NOT(ISNUMBER($O159))),1,"")</f>
        <v/>
      </c>
    </row>
    <row r="160" ht="18" customHeight="1">
      <c r="A160" s="26" t="n"/>
      <c r="B160" s="18" t="n"/>
      <c r="C160" s="18" t="n"/>
      <c r="D160" s="20">
        <f>IF($P160="","",IFERROR(INDEX('得意先'!$C$5:$C$104,MATCH($P160,'得意先'!$B$5:$B$104,0))&amp;"","※得意先にないコード"))</f>
        <v/>
      </c>
      <c r="E160" s="27" t="n"/>
      <c r="F160" s="18" t="n"/>
      <c r="G160" s="27" t="n"/>
      <c r="H160" s="27" t="n"/>
      <c r="I160" s="27" t="n"/>
      <c r="J160" s="28">
        <f>IF(NOT(OR($A160&lt;&gt;"",$E160&lt;&gt;"",$F160&lt;&gt;"",$G160&lt;&gt;"",$H160&lt;&gt;"",$I160&lt;&gt;"")),"",N($G160)+N($H160)+N($I160))</f>
        <v/>
      </c>
      <c r="K160" s="28">
        <f>IF(ISNUMBER($O160),INDEX('請求台帳'!$R$5:$R$1004,$O160),"")</f>
        <v/>
      </c>
      <c r="L160" s="20">
        <f>IF(NOT(OR($A160&lt;&gt;"",$E160&lt;&gt;"",$F160&lt;&gt;"",$G160&lt;&gt;"",$H160&lt;&gt;"",$I160&lt;&gt;"")),"",IF(NOT(ISNUMBER($A160)),"入金日がありません",IF(AND($F160&lt;&gt;"",$O160="なし"),"請求Noが請求台帳にありません",IF(AND(ISNUMBER($O160),$C160&lt;&gt;"",$C160&lt;&gt;$P160),"請求の得意先は "&amp;$P160&amp;" です",IF(ROUND(IF($B160&lt;&gt;"",SUMIF($B$5:$B$1004,$B160,$E$5:$E$1004)-SUMIF($B$5:$B$1004,$B160,$G$5:$G$1004),N($E160)-N($G160)),0)&lt;&gt;0,"通帳の額と当てた額の差 "&amp;TEXT(IF($B160&lt;&gt;"",SUMIF($B$5:$B$1004,$B160,$E$5:$E$1004)-SUMIF($B$5:$B$1004,$B160,$G$5:$G$1004),N($E160)-N($G160)),"#,##0"),IF(AND(ISNUMBER($O160),N($K160)&lt;0),"請求額より多く消し込んでいます",IF($F160="","消込先が未定","OK")))))))</f>
        <v/>
      </c>
      <c r="M160" s="19" t="n"/>
      <c r="N160" s="56" t="n"/>
      <c r="O160" s="32">
        <f>IF($F160="","",IFERROR(MATCH($F160,'請求台帳'!$A$5:$A$1004,0),"なし"))</f>
        <v/>
      </c>
      <c r="P160" s="37">
        <f>IF(NOT(OR($A160&lt;&gt;"",$E160&lt;&gt;"",$F160&lt;&gt;"",$G160&lt;&gt;"",$H160&lt;&gt;"",$I160&lt;&gt;"")),"",IF(ISNUMBER($O160),IF(INDEX('請求台帳'!$C$5:$C$1004,$O160)="","",INDEX('請求台帳'!$C$5:$C$1004,$O160)),IF($C160="","",$C160)))</f>
        <v/>
      </c>
      <c r="Q160" s="35">
        <f>IF(OR(NOT(OR($A160&lt;&gt;"",$E160&lt;&gt;"",$F160&lt;&gt;"",$G160&lt;&gt;"",$H160&lt;&gt;"",$I160&lt;&gt;"")),$P160="",$P160&lt;&gt;'売掛帳'!$B$3,NOT(ISNUMBER($A160)),N($G160)+N($H160)+N($I160)=0),"",IF(AND($A160&gt;='売掛帳'!$Q$3,$A160&lt;='売掛帳'!$Q$4),$A160+0.5+ROW()/10000000,""))</f>
        <v/>
      </c>
      <c r="R160" s="32">
        <f>IF(AND(OR($A160&lt;&gt;"",$E160&lt;&gt;"",$F160&lt;&gt;"",$G160&lt;&gt;"",$H160&lt;&gt;"",$I160&lt;&gt;""),NOT(ISNUMBER($O160))),1,"")</f>
        <v/>
      </c>
    </row>
    <row r="161" ht="18" customHeight="1">
      <c r="A161" s="26" t="n"/>
      <c r="B161" s="18" t="n"/>
      <c r="C161" s="18" t="n"/>
      <c r="D161" s="20">
        <f>IF($P161="","",IFERROR(INDEX('得意先'!$C$5:$C$104,MATCH($P161,'得意先'!$B$5:$B$104,0))&amp;"","※得意先にないコード"))</f>
        <v/>
      </c>
      <c r="E161" s="27" t="n"/>
      <c r="F161" s="18" t="n"/>
      <c r="G161" s="27" t="n"/>
      <c r="H161" s="27" t="n"/>
      <c r="I161" s="27" t="n"/>
      <c r="J161" s="28">
        <f>IF(NOT(OR($A161&lt;&gt;"",$E161&lt;&gt;"",$F161&lt;&gt;"",$G161&lt;&gt;"",$H161&lt;&gt;"",$I161&lt;&gt;"")),"",N($G161)+N($H161)+N($I161))</f>
        <v/>
      </c>
      <c r="K161" s="28">
        <f>IF(ISNUMBER($O161),INDEX('請求台帳'!$R$5:$R$1004,$O161),"")</f>
        <v/>
      </c>
      <c r="L161" s="20">
        <f>IF(NOT(OR($A161&lt;&gt;"",$E161&lt;&gt;"",$F161&lt;&gt;"",$G161&lt;&gt;"",$H161&lt;&gt;"",$I161&lt;&gt;"")),"",IF(NOT(ISNUMBER($A161)),"入金日がありません",IF(AND($F161&lt;&gt;"",$O161="なし"),"請求Noが請求台帳にありません",IF(AND(ISNUMBER($O161),$C161&lt;&gt;"",$C161&lt;&gt;$P161),"請求の得意先は "&amp;$P161&amp;" です",IF(ROUND(IF($B161&lt;&gt;"",SUMIF($B$5:$B$1004,$B161,$E$5:$E$1004)-SUMIF($B$5:$B$1004,$B161,$G$5:$G$1004),N($E161)-N($G161)),0)&lt;&gt;0,"通帳の額と当てた額の差 "&amp;TEXT(IF($B161&lt;&gt;"",SUMIF($B$5:$B$1004,$B161,$E$5:$E$1004)-SUMIF($B$5:$B$1004,$B161,$G$5:$G$1004),N($E161)-N($G161)),"#,##0"),IF(AND(ISNUMBER($O161),N($K161)&lt;0),"請求額より多く消し込んでいます",IF($F161="","消込先が未定","OK")))))))</f>
        <v/>
      </c>
      <c r="M161" s="19" t="n"/>
      <c r="N161" s="56" t="n"/>
      <c r="O161" s="32">
        <f>IF($F161="","",IFERROR(MATCH($F161,'請求台帳'!$A$5:$A$1004,0),"なし"))</f>
        <v/>
      </c>
      <c r="P161" s="37">
        <f>IF(NOT(OR($A161&lt;&gt;"",$E161&lt;&gt;"",$F161&lt;&gt;"",$G161&lt;&gt;"",$H161&lt;&gt;"",$I161&lt;&gt;"")),"",IF(ISNUMBER($O161),IF(INDEX('請求台帳'!$C$5:$C$1004,$O161)="","",INDEX('請求台帳'!$C$5:$C$1004,$O161)),IF($C161="","",$C161)))</f>
        <v/>
      </c>
      <c r="Q161" s="35">
        <f>IF(OR(NOT(OR($A161&lt;&gt;"",$E161&lt;&gt;"",$F161&lt;&gt;"",$G161&lt;&gt;"",$H161&lt;&gt;"",$I161&lt;&gt;"")),$P161="",$P161&lt;&gt;'売掛帳'!$B$3,NOT(ISNUMBER($A161)),N($G161)+N($H161)+N($I161)=0),"",IF(AND($A161&gt;='売掛帳'!$Q$3,$A161&lt;='売掛帳'!$Q$4),$A161+0.5+ROW()/10000000,""))</f>
        <v/>
      </c>
      <c r="R161" s="32">
        <f>IF(AND(OR($A161&lt;&gt;"",$E161&lt;&gt;"",$F161&lt;&gt;"",$G161&lt;&gt;"",$H161&lt;&gt;"",$I161&lt;&gt;""),NOT(ISNUMBER($O161))),1,"")</f>
        <v/>
      </c>
    </row>
    <row r="162" ht="18" customHeight="1">
      <c r="A162" s="26" t="n"/>
      <c r="B162" s="18" t="n"/>
      <c r="C162" s="18" t="n"/>
      <c r="D162" s="20">
        <f>IF($P162="","",IFERROR(INDEX('得意先'!$C$5:$C$104,MATCH($P162,'得意先'!$B$5:$B$104,0))&amp;"","※得意先にないコード"))</f>
        <v/>
      </c>
      <c r="E162" s="27" t="n"/>
      <c r="F162" s="18" t="n"/>
      <c r="G162" s="27" t="n"/>
      <c r="H162" s="27" t="n"/>
      <c r="I162" s="27" t="n"/>
      <c r="J162" s="28">
        <f>IF(NOT(OR($A162&lt;&gt;"",$E162&lt;&gt;"",$F162&lt;&gt;"",$G162&lt;&gt;"",$H162&lt;&gt;"",$I162&lt;&gt;"")),"",N($G162)+N($H162)+N($I162))</f>
        <v/>
      </c>
      <c r="K162" s="28">
        <f>IF(ISNUMBER($O162),INDEX('請求台帳'!$R$5:$R$1004,$O162),"")</f>
        <v/>
      </c>
      <c r="L162" s="20">
        <f>IF(NOT(OR($A162&lt;&gt;"",$E162&lt;&gt;"",$F162&lt;&gt;"",$G162&lt;&gt;"",$H162&lt;&gt;"",$I162&lt;&gt;"")),"",IF(NOT(ISNUMBER($A162)),"入金日がありません",IF(AND($F162&lt;&gt;"",$O162="なし"),"請求Noが請求台帳にありません",IF(AND(ISNUMBER($O162),$C162&lt;&gt;"",$C162&lt;&gt;$P162),"請求の得意先は "&amp;$P162&amp;" です",IF(ROUND(IF($B162&lt;&gt;"",SUMIF($B$5:$B$1004,$B162,$E$5:$E$1004)-SUMIF($B$5:$B$1004,$B162,$G$5:$G$1004),N($E162)-N($G162)),0)&lt;&gt;0,"通帳の額と当てた額の差 "&amp;TEXT(IF($B162&lt;&gt;"",SUMIF($B$5:$B$1004,$B162,$E$5:$E$1004)-SUMIF($B$5:$B$1004,$B162,$G$5:$G$1004),N($E162)-N($G162)),"#,##0"),IF(AND(ISNUMBER($O162),N($K162)&lt;0),"請求額より多く消し込んでいます",IF($F162="","消込先が未定","OK")))))))</f>
        <v/>
      </c>
      <c r="M162" s="19" t="n"/>
      <c r="N162" s="56" t="n"/>
      <c r="O162" s="32">
        <f>IF($F162="","",IFERROR(MATCH($F162,'請求台帳'!$A$5:$A$1004,0),"なし"))</f>
        <v/>
      </c>
      <c r="P162" s="37">
        <f>IF(NOT(OR($A162&lt;&gt;"",$E162&lt;&gt;"",$F162&lt;&gt;"",$G162&lt;&gt;"",$H162&lt;&gt;"",$I162&lt;&gt;"")),"",IF(ISNUMBER($O162),IF(INDEX('請求台帳'!$C$5:$C$1004,$O162)="","",INDEX('請求台帳'!$C$5:$C$1004,$O162)),IF($C162="","",$C162)))</f>
        <v/>
      </c>
      <c r="Q162" s="35">
        <f>IF(OR(NOT(OR($A162&lt;&gt;"",$E162&lt;&gt;"",$F162&lt;&gt;"",$G162&lt;&gt;"",$H162&lt;&gt;"",$I162&lt;&gt;"")),$P162="",$P162&lt;&gt;'売掛帳'!$B$3,NOT(ISNUMBER($A162)),N($G162)+N($H162)+N($I162)=0),"",IF(AND($A162&gt;='売掛帳'!$Q$3,$A162&lt;='売掛帳'!$Q$4),$A162+0.5+ROW()/10000000,""))</f>
        <v/>
      </c>
      <c r="R162" s="32">
        <f>IF(AND(OR($A162&lt;&gt;"",$E162&lt;&gt;"",$F162&lt;&gt;"",$G162&lt;&gt;"",$H162&lt;&gt;"",$I162&lt;&gt;""),NOT(ISNUMBER($O162))),1,"")</f>
        <v/>
      </c>
    </row>
    <row r="163" ht="18" customHeight="1">
      <c r="A163" s="26" t="n"/>
      <c r="B163" s="18" t="n"/>
      <c r="C163" s="18" t="n"/>
      <c r="D163" s="20">
        <f>IF($P163="","",IFERROR(INDEX('得意先'!$C$5:$C$104,MATCH($P163,'得意先'!$B$5:$B$104,0))&amp;"","※得意先にないコード"))</f>
        <v/>
      </c>
      <c r="E163" s="27" t="n"/>
      <c r="F163" s="18" t="n"/>
      <c r="G163" s="27" t="n"/>
      <c r="H163" s="27" t="n"/>
      <c r="I163" s="27" t="n"/>
      <c r="J163" s="28">
        <f>IF(NOT(OR($A163&lt;&gt;"",$E163&lt;&gt;"",$F163&lt;&gt;"",$G163&lt;&gt;"",$H163&lt;&gt;"",$I163&lt;&gt;"")),"",N($G163)+N($H163)+N($I163))</f>
        <v/>
      </c>
      <c r="K163" s="28">
        <f>IF(ISNUMBER($O163),INDEX('請求台帳'!$R$5:$R$1004,$O163),"")</f>
        <v/>
      </c>
      <c r="L163" s="20">
        <f>IF(NOT(OR($A163&lt;&gt;"",$E163&lt;&gt;"",$F163&lt;&gt;"",$G163&lt;&gt;"",$H163&lt;&gt;"",$I163&lt;&gt;"")),"",IF(NOT(ISNUMBER($A163)),"入金日がありません",IF(AND($F163&lt;&gt;"",$O163="なし"),"請求Noが請求台帳にありません",IF(AND(ISNUMBER($O163),$C163&lt;&gt;"",$C163&lt;&gt;$P163),"請求の得意先は "&amp;$P163&amp;" です",IF(ROUND(IF($B163&lt;&gt;"",SUMIF($B$5:$B$1004,$B163,$E$5:$E$1004)-SUMIF($B$5:$B$1004,$B163,$G$5:$G$1004),N($E163)-N($G163)),0)&lt;&gt;0,"通帳の額と当てた額の差 "&amp;TEXT(IF($B163&lt;&gt;"",SUMIF($B$5:$B$1004,$B163,$E$5:$E$1004)-SUMIF($B$5:$B$1004,$B163,$G$5:$G$1004),N($E163)-N($G163)),"#,##0"),IF(AND(ISNUMBER($O163),N($K163)&lt;0),"請求額より多く消し込んでいます",IF($F163="","消込先が未定","OK")))))))</f>
        <v/>
      </c>
      <c r="M163" s="19" t="n"/>
      <c r="N163" s="56" t="n"/>
      <c r="O163" s="32">
        <f>IF($F163="","",IFERROR(MATCH($F163,'請求台帳'!$A$5:$A$1004,0),"なし"))</f>
        <v/>
      </c>
      <c r="P163" s="37">
        <f>IF(NOT(OR($A163&lt;&gt;"",$E163&lt;&gt;"",$F163&lt;&gt;"",$G163&lt;&gt;"",$H163&lt;&gt;"",$I163&lt;&gt;"")),"",IF(ISNUMBER($O163),IF(INDEX('請求台帳'!$C$5:$C$1004,$O163)="","",INDEX('請求台帳'!$C$5:$C$1004,$O163)),IF($C163="","",$C163)))</f>
        <v/>
      </c>
      <c r="Q163" s="35">
        <f>IF(OR(NOT(OR($A163&lt;&gt;"",$E163&lt;&gt;"",$F163&lt;&gt;"",$G163&lt;&gt;"",$H163&lt;&gt;"",$I163&lt;&gt;"")),$P163="",$P163&lt;&gt;'売掛帳'!$B$3,NOT(ISNUMBER($A163)),N($G163)+N($H163)+N($I163)=0),"",IF(AND($A163&gt;='売掛帳'!$Q$3,$A163&lt;='売掛帳'!$Q$4),$A163+0.5+ROW()/10000000,""))</f>
        <v/>
      </c>
      <c r="R163" s="32">
        <f>IF(AND(OR($A163&lt;&gt;"",$E163&lt;&gt;"",$F163&lt;&gt;"",$G163&lt;&gt;"",$H163&lt;&gt;"",$I163&lt;&gt;""),NOT(ISNUMBER($O163))),1,"")</f>
        <v/>
      </c>
    </row>
    <row r="164" ht="18" customHeight="1">
      <c r="A164" s="26" t="n"/>
      <c r="B164" s="18" t="n"/>
      <c r="C164" s="18" t="n"/>
      <c r="D164" s="20">
        <f>IF($P164="","",IFERROR(INDEX('得意先'!$C$5:$C$104,MATCH($P164,'得意先'!$B$5:$B$104,0))&amp;"","※得意先にないコード"))</f>
        <v/>
      </c>
      <c r="E164" s="27" t="n"/>
      <c r="F164" s="18" t="n"/>
      <c r="G164" s="27" t="n"/>
      <c r="H164" s="27" t="n"/>
      <c r="I164" s="27" t="n"/>
      <c r="J164" s="28">
        <f>IF(NOT(OR($A164&lt;&gt;"",$E164&lt;&gt;"",$F164&lt;&gt;"",$G164&lt;&gt;"",$H164&lt;&gt;"",$I164&lt;&gt;"")),"",N($G164)+N($H164)+N($I164))</f>
        <v/>
      </c>
      <c r="K164" s="28">
        <f>IF(ISNUMBER($O164),INDEX('請求台帳'!$R$5:$R$1004,$O164),"")</f>
        <v/>
      </c>
      <c r="L164" s="20">
        <f>IF(NOT(OR($A164&lt;&gt;"",$E164&lt;&gt;"",$F164&lt;&gt;"",$G164&lt;&gt;"",$H164&lt;&gt;"",$I164&lt;&gt;"")),"",IF(NOT(ISNUMBER($A164)),"入金日がありません",IF(AND($F164&lt;&gt;"",$O164="なし"),"請求Noが請求台帳にありません",IF(AND(ISNUMBER($O164),$C164&lt;&gt;"",$C164&lt;&gt;$P164),"請求の得意先は "&amp;$P164&amp;" です",IF(ROUND(IF($B164&lt;&gt;"",SUMIF($B$5:$B$1004,$B164,$E$5:$E$1004)-SUMIF($B$5:$B$1004,$B164,$G$5:$G$1004),N($E164)-N($G164)),0)&lt;&gt;0,"通帳の額と当てた額の差 "&amp;TEXT(IF($B164&lt;&gt;"",SUMIF($B$5:$B$1004,$B164,$E$5:$E$1004)-SUMIF($B$5:$B$1004,$B164,$G$5:$G$1004),N($E164)-N($G164)),"#,##0"),IF(AND(ISNUMBER($O164),N($K164)&lt;0),"請求額より多く消し込んでいます",IF($F164="","消込先が未定","OK")))))))</f>
        <v/>
      </c>
      <c r="M164" s="19" t="n"/>
      <c r="N164" s="56" t="n"/>
      <c r="O164" s="32">
        <f>IF($F164="","",IFERROR(MATCH($F164,'請求台帳'!$A$5:$A$1004,0),"なし"))</f>
        <v/>
      </c>
      <c r="P164" s="37">
        <f>IF(NOT(OR($A164&lt;&gt;"",$E164&lt;&gt;"",$F164&lt;&gt;"",$G164&lt;&gt;"",$H164&lt;&gt;"",$I164&lt;&gt;"")),"",IF(ISNUMBER($O164),IF(INDEX('請求台帳'!$C$5:$C$1004,$O164)="","",INDEX('請求台帳'!$C$5:$C$1004,$O164)),IF($C164="","",$C164)))</f>
        <v/>
      </c>
      <c r="Q164" s="35">
        <f>IF(OR(NOT(OR($A164&lt;&gt;"",$E164&lt;&gt;"",$F164&lt;&gt;"",$G164&lt;&gt;"",$H164&lt;&gt;"",$I164&lt;&gt;"")),$P164="",$P164&lt;&gt;'売掛帳'!$B$3,NOT(ISNUMBER($A164)),N($G164)+N($H164)+N($I164)=0),"",IF(AND($A164&gt;='売掛帳'!$Q$3,$A164&lt;='売掛帳'!$Q$4),$A164+0.5+ROW()/10000000,""))</f>
        <v/>
      </c>
      <c r="R164" s="32">
        <f>IF(AND(OR($A164&lt;&gt;"",$E164&lt;&gt;"",$F164&lt;&gt;"",$G164&lt;&gt;"",$H164&lt;&gt;"",$I164&lt;&gt;""),NOT(ISNUMBER($O164))),1,"")</f>
        <v/>
      </c>
    </row>
    <row r="165" ht="18" customHeight="1">
      <c r="A165" s="26" t="n"/>
      <c r="B165" s="18" t="n"/>
      <c r="C165" s="18" t="n"/>
      <c r="D165" s="20">
        <f>IF($P165="","",IFERROR(INDEX('得意先'!$C$5:$C$104,MATCH($P165,'得意先'!$B$5:$B$104,0))&amp;"","※得意先にないコード"))</f>
        <v/>
      </c>
      <c r="E165" s="27" t="n"/>
      <c r="F165" s="18" t="n"/>
      <c r="G165" s="27" t="n"/>
      <c r="H165" s="27" t="n"/>
      <c r="I165" s="27" t="n"/>
      <c r="J165" s="28">
        <f>IF(NOT(OR($A165&lt;&gt;"",$E165&lt;&gt;"",$F165&lt;&gt;"",$G165&lt;&gt;"",$H165&lt;&gt;"",$I165&lt;&gt;"")),"",N($G165)+N($H165)+N($I165))</f>
        <v/>
      </c>
      <c r="K165" s="28">
        <f>IF(ISNUMBER($O165),INDEX('請求台帳'!$R$5:$R$1004,$O165),"")</f>
        <v/>
      </c>
      <c r="L165" s="20">
        <f>IF(NOT(OR($A165&lt;&gt;"",$E165&lt;&gt;"",$F165&lt;&gt;"",$G165&lt;&gt;"",$H165&lt;&gt;"",$I165&lt;&gt;"")),"",IF(NOT(ISNUMBER($A165)),"入金日がありません",IF(AND($F165&lt;&gt;"",$O165="なし"),"請求Noが請求台帳にありません",IF(AND(ISNUMBER($O165),$C165&lt;&gt;"",$C165&lt;&gt;$P165),"請求の得意先は "&amp;$P165&amp;" です",IF(ROUND(IF($B165&lt;&gt;"",SUMIF($B$5:$B$1004,$B165,$E$5:$E$1004)-SUMIF($B$5:$B$1004,$B165,$G$5:$G$1004),N($E165)-N($G165)),0)&lt;&gt;0,"通帳の額と当てた額の差 "&amp;TEXT(IF($B165&lt;&gt;"",SUMIF($B$5:$B$1004,$B165,$E$5:$E$1004)-SUMIF($B$5:$B$1004,$B165,$G$5:$G$1004),N($E165)-N($G165)),"#,##0"),IF(AND(ISNUMBER($O165),N($K165)&lt;0),"請求額より多く消し込んでいます",IF($F165="","消込先が未定","OK")))))))</f>
        <v/>
      </c>
      <c r="M165" s="19" t="n"/>
      <c r="N165" s="56" t="n"/>
      <c r="O165" s="32">
        <f>IF($F165="","",IFERROR(MATCH($F165,'請求台帳'!$A$5:$A$1004,0),"なし"))</f>
        <v/>
      </c>
      <c r="P165" s="37">
        <f>IF(NOT(OR($A165&lt;&gt;"",$E165&lt;&gt;"",$F165&lt;&gt;"",$G165&lt;&gt;"",$H165&lt;&gt;"",$I165&lt;&gt;"")),"",IF(ISNUMBER($O165),IF(INDEX('請求台帳'!$C$5:$C$1004,$O165)="","",INDEX('請求台帳'!$C$5:$C$1004,$O165)),IF($C165="","",$C165)))</f>
        <v/>
      </c>
      <c r="Q165" s="35">
        <f>IF(OR(NOT(OR($A165&lt;&gt;"",$E165&lt;&gt;"",$F165&lt;&gt;"",$G165&lt;&gt;"",$H165&lt;&gt;"",$I165&lt;&gt;"")),$P165="",$P165&lt;&gt;'売掛帳'!$B$3,NOT(ISNUMBER($A165)),N($G165)+N($H165)+N($I165)=0),"",IF(AND($A165&gt;='売掛帳'!$Q$3,$A165&lt;='売掛帳'!$Q$4),$A165+0.5+ROW()/10000000,""))</f>
        <v/>
      </c>
      <c r="R165" s="32">
        <f>IF(AND(OR($A165&lt;&gt;"",$E165&lt;&gt;"",$F165&lt;&gt;"",$G165&lt;&gt;"",$H165&lt;&gt;"",$I165&lt;&gt;""),NOT(ISNUMBER($O165))),1,"")</f>
        <v/>
      </c>
    </row>
    <row r="166" ht="18" customHeight="1">
      <c r="A166" s="26" t="n"/>
      <c r="B166" s="18" t="n"/>
      <c r="C166" s="18" t="n"/>
      <c r="D166" s="20">
        <f>IF($P166="","",IFERROR(INDEX('得意先'!$C$5:$C$104,MATCH($P166,'得意先'!$B$5:$B$104,0))&amp;"","※得意先にないコード"))</f>
        <v/>
      </c>
      <c r="E166" s="27" t="n"/>
      <c r="F166" s="18" t="n"/>
      <c r="G166" s="27" t="n"/>
      <c r="H166" s="27" t="n"/>
      <c r="I166" s="27" t="n"/>
      <c r="J166" s="28">
        <f>IF(NOT(OR($A166&lt;&gt;"",$E166&lt;&gt;"",$F166&lt;&gt;"",$G166&lt;&gt;"",$H166&lt;&gt;"",$I166&lt;&gt;"")),"",N($G166)+N($H166)+N($I166))</f>
        <v/>
      </c>
      <c r="K166" s="28">
        <f>IF(ISNUMBER($O166),INDEX('請求台帳'!$R$5:$R$1004,$O166),"")</f>
        <v/>
      </c>
      <c r="L166" s="20">
        <f>IF(NOT(OR($A166&lt;&gt;"",$E166&lt;&gt;"",$F166&lt;&gt;"",$G166&lt;&gt;"",$H166&lt;&gt;"",$I166&lt;&gt;"")),"",IF(NOT(ISNUMBER($A166)),"入金日がありません",IF(AND($F166&lt;&gt;"",$O166="なし"),"請求Noが請求台帳にありません",IF(AND(ISNUMBER($O166),$C166&lt;&gt;"",$C166&lt;&gt;$P166),"請求の得意先は "&amp;$P166&amp;" です",IF(ROUND(IF($B166&lt;&gt;"",SUMIF($B$5:$B$1004,$B166,$E$5:$E$1004)-SUMIF($B$5:$B$1004,$B166,$G$5:$G$1004),N($E166)-N($G166)),0)&lt;&gt;0,"通帳の額と当てた額の差 "&amp;TEXT(IF($B166&lt;&gt;"",SUMIF($B$5:$B$1004,$B166,$E$5:$E$1004)-SUMIF($B$5:$B$1004,$B166,$G$5:$G$1004),N($E166)-N($G166)),"#,##0"),IF(AND(ISNUMBER($O166),N($K166)&lt;0),"請求額より多く消し込んでいます",IF($F166="","消込先が未定","OK")))))))</f>
        <v/>
      </c>
      <c r="M166" s="19" t="n"/>
      <c r="N166" s="56" t="n"/>
      <c r="O166" s="32">
        <f>IF($F166="","",IFERROR(MATCH($F166,'請求台帳'!$A$5:$A$1004,0),"なし"))</f>
        <v/>
      </c>
      <c r="P166" s="37">
        <f>IF(NOT(OR($A166&lt;&gt;"",$E166&lt;&gt;"",$F166&lt;&gt;"",$G166&lt;&gt;"",$H166&lt;&gt;"",$I166&lt;&gt;"")),"",IF(ISNUMBER($O166),IF(INDEX('請求台帳'!$C$5:$C$1004,$O166)="","",INDEX('請求台帳'!$C$5:$C$1004,$O166)),IF($C166="","",$C166)))</f>
        <v/>
      </c>
      <c r="Q166" s="35">
        <f>IF(OR(NOT(OR($A166&lt;&gt;"",$E166&lt;&gt;"",$F166&lt;&gt;"",$G166&lt;&gt;"",$H166&lt;&gt;"",$I166&lt;&gt;"")),$P166="",$P166&lt;&gt;'売掛帳'!$B$3,NOT(ISNUMBER($A166)),N($G166)+N($H166)+N($I166)=0),"",IF(AND($A166&gt;='売掛帳'!$Q$3,$A166&lt;='売掛帳'!$Q$4),$A166+0.5+ROW()/10000000,""))</f>
        <v/>
      </c>
      <c r="R166" s="32">
        <f>IF(AND(OR($A166&lt;&gt;"",$E166&lt;&gt;"",$F166&lt;&gt;"",$G166&lt;&gt;"",$H166&lt;&gt;"",$I166&lt;&gt;""),NOT(ISNUMBER($O166))),1,"")</f>
        <v/>
      </c>
    </row>
    <row r="167" ht="18" customHeight="1">
      <c r="A167" s="26" t="n"/>
      <c r="B167" s="18" t="n"/>
      <c r="C167" s="18" t="n"/>
      <c r="D167" s="20">
        <f>IF($P167="","",IFERROR(INDEX('得意先'!$C$5:$C$104,MATCH($P167,'得意先'!$B$5:$B$104,0))&amp;"","※得意先にないコード"))</f>
        <v/>
      </c>
      <c r="E167" s="27" t="n"/>
      <c r="F167" s="18" t="n"/>
      <c r="G167" s="27" t="n"/>
      <c r="H167" s="27" t="n"/>
      <c r="I167" s="27" t="n"/>
      <c r="J167" s="28">
        <f>IF(NOT(OR($A167&lt;&gt;"",$E167&lt;&gt;"",$F167&lt;&gt;"",$G167&lt;&gt;"",$H167&lt;&gt;"",$I167&lt;&gt;"")),"",N($G167)+N($H167)+N($I167))</f>
        <v/>
      </c>
      <c r="K167" s="28">
        <f>IF(ISNUMBER($O167),INDEX('請求台帳'!$R$5:$R$1004,$O167),"")</f>
        <v/>
      </c>
      <c r="L167" s="20">
        <f>IF(NOT(OR($A167&lt;&gt;"",$E167&lt;&gt;"",$F167&lt;&gt;"",$G167&lt;&gt;"",$H167&lt;&gt;"",$I167&lt;&gt;"")),"",IF(NOT(ISNUMBER($A167)),"入金日がありません",IF(AND($F167&lt;&gt;"",$O167="なし"),"請求Noが請求台帳にありません",IF(AND(ISNUMBER($O167),$C167&lt;&gt;"",$C167&lt;&gt;$P167),"請求の得意先は "&amp;$P167&amp;" です",IF(ROUND(IF($B167&lt;&gt;"",SUMIF($B$5:$B$1004,$B167,$E$5:$E$1004)-SUMIF($B$5:$B$1004,$B167,$G$5:$G$1004),N($E167)-N($G167)),0)&lt;&gt;0,"通帳の額と当てた額の差 "&amp;TEXT(IF($B167&lt;&gt;"",SUMIF($B$5:$B$1004,$B167,$E$5:$E$1004)-SUMIF($B$5:$B$1004,$B167,$G$5:$G$1004),N($E167)-N($G167)),"#,##0"),IF(AND(ISNUMBER($O167),N($K167)&lt;0),"請求額より多く消し込んでいます",IF($F167="","消込先が未定","OK")))))))</f>
        <v/>
      </c>
      <c r="M167" s="19" t="n"/>
      <c r="N167" s="56" t="n"/>
      <c r="O167" s="32">
        <f>IF($F167="","",IFERROR(MATCH($F167,'請求台帳'!$A$5:$A$1004,0),"なし"))</f>
        <v/>
      </c>
      <c r="P167" s="37">
        <f>IF(NOT(OR($A167&lt;&gt;"",$E167&lt;&gt;"",$F167&lt;&gt;"",$G167&lt;&gt;"",$H167&lt;&gt;"",$I167&lt;&gt;"")),"",IF(ISNUMBER($O167),IF(INDEX('請求台帳'!$C$5:$C$1004,$O167)="","",INDEX('請求台帳'!$C$5:$C$1004,$O167)),IF($C167="","",$C167)))</f>
        <v/>
      </c>
      <c r="Q167" s="35">
        <f>IF(OR(NOT(OR($A167&lt;&gt;"",$E167&lt;&gt;"",$F167&lt;&gt;"",$G167&lt;&gt;"",$H167&lt;&gt;"",$I167&lt;&gt;"")),$P167="",$P167&lt;&gt;'売掛帳'!$B$3,NOT(ISNUMBER($A167)),N($G167)+N($H167)+N($I167)=0),"",IF(AND($A167&gt;='売掛帳'!$Q$3,$A167&lt;='売掛帳'!$Q$4),$A167+0.5+ROW()/10000000,""))</f>
        <v/>
      </c>
      <c r="R167" s="32">
        <f>IF(AND(OR($A167&lt;&gt;"",$E167&lt;&gt;"",$F167&lt;&gt;"",$G167&lt;&gt;"",$H167&lt;&gt;"",$I167&lt;&gt;""),NOT(ISNUMBER($O167))),1,"")</f>
        <v/>
      </c>
    </row>
    <row r="168" ht="18" customHeight="1">
      <c r="A168" s="26" t="n"/>
      <c r="B168" s="18" t="n"/>
      <c r="C168" s="18" t="n"/>
      <c r="D168" s="20">
        <f>IF($P168="","",IFERROR(INDEX('得意先'!$C$5:$C$104,MATCH($P168,'得意先'!$B$5:$B$104,0))&amp;"","※得意先にないコード"))</f>
        <v/>
      </c>
      <c r="E168" s="27" t="n"/>
      <c r="F168" s="18" t="n"/>
      <c r="G168" s="27" t="n"/>
      <c r="H168" s="27" t="n"/>
      <c r="I168" s="27" t="n"/>
      <c r="J168" s="28">
        <f>IF(NOT(OR($A168&lt;&gt;"",$E168&lt;&gt;"",$F168&lt;&gt;"",$G168&lt;&gt;"",$H168&lt;&gt;"",$I168&lt;&gt;"")),"",N($G168)+N($H168)+N($I168))</f>
        <v/>
      </c>
      <c r="K168" s="28">
        <f>IF(ISNUMBER($O168),INDEX('請求台帳'!$R$5:$R$1004,$O168),"")</f>
        <v/>
      </c>
      <c r="L168" s="20">
        <f>IF(NOT(OR($A168&lt;&gt;"",$E168&lt;&gt;"",$F168&lt;&gt;"",$G168&lt;&gt;"",$H168&lt;&gt;"",$I168&lt;&gt;"")),"",IF(NOT(ISNUMBER($A168)),"入金日がありません",IF(AND($F168&lt;&gt;"",$O168="なし"),"請求Noが請求台帳にありません",IF(AND(ISNUMBER($O168),$C168&lt;&gt;"",$C168&lt;&gt;$P168),"請求の得意先は "&amp;$P168&amp;" です",IF(ROUND(IF($B168&lt;&gt;"",SUMIF($B$5:$B$1004,$B168,$E$5:$E$1004)-SUMIF($B$5:$B$1004,$B168,$G$5:$G$1004),N($E168)-N($G168)),0)&lt;&gt;0,"通帳の額と当てた額の差 "&amp;TEXT(IF($B168&lt;&gt;"",SUMIF($B$5:$B$1004,$B168,$E$5:$E$1004)-SUMIF($B$5:$B$1004,$B168,$G$5:$G$1004),N($E168)-N($G168)),"#,##0"),IF(AND(ISNUMBER($O168),N($K168)&lt;0),"請求額より多く消し込んでいます",IF($F168="","消込先が未定","OK")))))))</f>
        <v/>
      </c>
      <c r="M168" s="19" t="n"/>
      <c r="N168" s="56" t="n"/>
      <c r="O168" s="32">
        <f>IF($F168="","",IFERROR(MATCH($F168,'請求台帳'!$A$5:$A$1004,0),"なし"))</f>
        <v/>
      </c>
      <c r="P168" s="37">
        <f>IF(NOT(OR($A168&lt;&gt;"",$E168&lt;&gt;"",$F168&lt;&gt;"",$G168&lt;&gt;"",$H168&lt;&gt;"",$I168&lt;&gt;"")),"",IF(ISNUMBER($O168),IF(INDEX('請求台帳'!$C$5:$C$1004,$O168)="","",INDEX('請求台帳'!$C$5:$C$1004,$O168)),IF($C168="","",$C168)))</f>
        <v/>
      </c>
      <c r="Q168" s="35">
        <f>IF(OR(NOT(OR($A168&lt;&gt;"",$E168&lt;&gt;"",$F168&lt;&gt;"",$G168&lt;&gt;"",$H168&lt;&gt;"",$I168&lt;&gt;"")),$P168="",$P168&lt;&gt;'売掛帳'!$B$3,NOT(ISNUMBER($A168)),N($G168)+N($H168)+N($I168)=0),"",IF(AND($A168&gt;='売掛帳'!$Q$3,$A168&lt;='売掛帳'!$Q$4),$A168+0.5+ROW()/10000000,""))</f>
        <v/>
      </c>
      <c r="R168" s="32">
        <f>IF(AND(OR($A168&lt;&gt;"",$E168&lt;&gt;"",$F168&lt;&gt;"",$G168&lt;&gt;"",$H168&lt;&gt;"",$I168&lt;&gt;""),NOT(ISNUMBER($O168))),1,"")</f>
        <v/>
      </c>
    </row>
    <row r="169" ht="18" customHeight="1">
      <c r="A169" s="26" t="n"/>
      <c r="B169" s="18" t="n"/>
      <c r="C169" s="18" t="n"/>
      <c r="D169" s="20">
        <f>IF($P169="","",IFERROR(INDEX('得意先'!$C$5:$C$104,MATCH($P169,'得意先'!$B$5:$B$104,0))&amp;"","※得意先にないコード"))</f>
        <v/>
      </c>
      <c r="E169" s="27" t="n"/>
      <c r="F169" s="18" t="n"/>
      <c r="G169" s="27" t="n"/>
      <c r="H169" s="27" t="n"/>
      <c r="I169" s="27" t="n"/>
      <c r="J169" s="28">
        <f>IF(NOT(OR($A169&lt;&gt;"",$E169&lt;&gt;"",$F169&lt;&gt;"",$G169&lt;&gt;"",$H169&lt;&gt;"",$I169&lt;&gt;"")),"",N($G169)+N($H169)+N($I169))</f>
        <v/>
      </c>
      <c r="K169" s="28">
        <f>IF(ISNUMBER($O169),INDEX('請求台帳'!$R$5:$R$1004,$O169),"")</f>
        <v/>
      </c>
      <c r="L169" s="20">
        <f>IF(NOT(OR($A169&lt;&gt;"",$E169&lt;&gt;"",$F169&lt;&gt;"",$G169&lt;&gt;"",$H169&lt;&gt;"",$I169&lt;&gt;"")),"",IF(NOT(ISNUMBER($A169)),"入金日がありません",IF(AND($F169&lt;&gt;"",$O169="なし"),"請求Noが請求台帳にありません",IF(AND(ISNUMBER($O169),$C169&lt;&gt;"",$C169&lt;&gt;$P169),"請求の得意先は "&amp;$P169&amp;" です",IF(ROUND(IF($B169&lt;&gt;"",SUMIF($B$5:$B$1004,$B169,$E$5:$E$1004)-SUMIF($B$5:$B$1004,$B169,$G$5:$G$1004),N($E169)-N($G169)),0)&lt;&gt;0,"通帳の額と当てた額の差 "&amp;TEXT(IF($B169&lt;&gt;"",SUMIF($B$5:$B$1004,$B169,$E$5:$E$1004)-SUMIF($B$5:$B$1004,$B169,$G$5:$G$1004),N($E169)-N($G169)),"#,##0"),IF(AND(ISNUMBER($O169),N($K169)&lt;0),"請求額より多く消し込んでいます",IF($F169="","消込先が未定","OK")))))))</f>
        <v/>
      </c>
      <c r="M169" s="19" t="n"/>
      <c r="N169" s="56" t="n"/>
      <c r="O169" s="32">
        <f>IF($F169="","",IFERROR(MATCH($F169,'請求台帳'!$A$5:$A$1004,0),"なし"))</f>
        <v/>
      </c>
      <c r="P169" s="37">
        <f>IF(NOT(OR($A169&lt;&gt;"",$E169&lt;&gt;"",$F169&lt;&gt;"",$G169&lt;&gt;"",$H169&lt;&gt;"",$I169&lt;&gt;"")),"",IF(ISNUMBER($O169),IF(INDEX('請求台帳'!$C$5:$C$1004,$O169)="","",INDEX('請求台帳'!$C$5:$C$1004,$O169)),IF($C169="","",$C169)))</f>
        <v/>
      </c>
      <c r="Q169" s="35">
        <f>IF(OR(NOT(OR($A169&lt;&gt;"",$E169&lt;&gt;"",$F169&lt;&gt;"",$G169&lt;&gt;"",$H169&lt;&gt;"",$I169&lt;&gt;"")),$P169="",$P169&lt;&gt;'売掛帳'!$B$3,NOT(ISNUMBER($A169)),N($G169)+N($H169)+N($I169)=0),"",IF(AND($A169&gt;='売掛帳'!$Q$3,$A169&lt;='売掛帳'!$Q$4),$A169+0.5+ROW()/10000000,""))</f>
        <v/>
      </c>
      <c r="R169" s="32">
        <f>IF(AND(OR($A169&lt;&gt;"",$E169&lt;&gt;"",$F169&lt;&gt;"",$G169&lt;&gt;"",$H169&lt;&gt;"",$I169&lt;&gt;""),NOT(ISNUMBER($O169))),1,"")</f>
        <v/>
      </c>
    </row>
    <row r="170" ht="18" customHeight="1">
      <c r="A170" s="26" t="n"/>
      <c r="B170" s="18" t="n"/>
      <c r="C170" s="18" t="n"/>
      <c r="D170" s="20">
        <f>IF($P170="","",IFERROR(INDEX('得意先'!$C$5:$C$104,MATCH($P170,'得意先'!$B$5:$B$104,0))&amp;"","※得意先にないコード"))</f>
        <v/>
      </c>
      <c r="E170" s="27" t="n"/>
      <c r="F170" s="18" t="n"/>
      <c r="G170" s="27" t="n"/>
      <c r="H170" s="27" t="n"/>
      <c r="I170" s="27" t="n"/>
      <c r="J170" s="28">
        <f>IF(NOT(OR($A170&lt;&gt;"",$E170&lt;&gt;"",$F170&lt;&gt;"",$G170&lt;&gt;"",$H170&lt;&gt;"",$I170&lt;&gt;"")),"",N($G170)+N($H170)+N($I170))</f>
        <v/>
      </c>
      <c r="K170" s="28">
        <f>IF(ISNUMBER($O170),INDEX('請求台帳'!$R$5:$R$1004,$O170),"")</f>
        <v/>
      </c>
      <c r="L170" s="20">
        <f>IF(NOT(OR($A170&lt;&gt;"",$E170&lt;&gt;"",$F170&lt;&gt;"",$G170&lt;&gt;"",$H170&lt;&gt;"",$I170&lt;&gt;"")),"",IF(NOT(ISNUMBER($A170)),"入金日がありません",IF(AND($F170&lt;&gt;"",$O170="なし"),"請求Noが請求台帳にありません",IF(AND(ISNUMBER($O170),$C170&lt;&gt;"",$C170&lt;&gt;$P170),"請求の得意先は "&amp;$P170&amp;" です",IF(ROUND(IF($B170&lt;&gt;"",SUMIF($B$5:$B$1004,$B170,$E$5:$E$1004)-SUMIF($B$5:$B$1004,$B170,$G$5:$G$1004),N($E170)-N($G170)),0)&lt;&gt;0,"通帳の額と当てた額の差 "&amp;TEXT(IF($B170&lt;&gt;"",SUMIF($B$5:$B$1004,$B170,$E$5:$E$1004)-SUMIF($B$5:$B$1004,$B170,$G$5:$G$1004),N($E170)-N($G170)),"#,##0"),IF(AND(ISNUMBER($O170),N($K170)&lt;0),"請求額より多く消し込んでいます",IF($F170="","消込先が未定","OK")))))))</f>
        <v/>
      </c>
      <c r="M170" s="19" t="n"/>
      <c r="N170" s="56" t="n"/>
      <c r="O170" s="32">
        <f>IF($F170="","",IFERROR(MATCH($F170,'請求台帳'!$A$5:$A$1004,0),"なし"))</f>
        <v/>
      </c>
      <c r="P170" s="37">
        <f>IF(NOT(OR($A170&lt;&gt;"",$E170&lt;&gt;"",$F170&lt;&gt;"",$G170&lt;&gt;"",$H170&lt;&gt;"",$I170&lt;&gt;"")),"",IF(ISNUMBER($O170),IF(INDEX('請求台帳'!$C$5:$C$1004,$O170)="","",INDEX('請求台帳'!$C$5:$C$1004,$O170)),IF($C170="","",$C170)))</f>
        <v/>
      </c>
      <c r="Q170" s="35">
        <f>IF(OR(NOT(OR($A170&lt;&gt;"",$E170&lt;&gt;"",$F170&lt;&gt;"",$G170&lt;&gt;"",$H170&lt;&gt;"",$I170&lt;&gt;"")),$P170="",$P170&lt;&gt;'売掛帳'!$B$3,NOT(ISNUMBER($A170)),N($G170)+N($H170)+N($I170)=0),"",IF(AND($A170&gt;='売掛帳'!$Q$3,$A170&lt;='売掛帳'!$Q$4),$A170+0.5+ROW()/10000000,""))</f>
        <v/>
      </c>
      <c r="R170" s="32">
        <f>IF(AND(OR($A170&lt;&gt;"",$E170&lt;&gt;"",$F170&lt;&gt;"",$G170&lt;&gt;"",$H170&lt;&gt;"",$I170&lt;&gt;""),NOT(ISNUMBER($O170))),1,"")</f>
        <v/>
      </c>
    </row>
    <row r="171" ht="18" customHeight="1">
      <c r="A171" s="26" t="n"/>
      <c r="B171" s="18" t="n"/>
      <c r="C171" s="18" t="n"/>
      <c r="D171" s="20">
        <f>IF($P171="","",IFERROR(INDEX('得意先'!$C$5:$C$104,MATCH($P171,'得意先'!$B$5:$B$104,0))&amp;"","※得意先にないコード"))</f>
        <v/>
      </c>
      <c r="E171" s="27" t="n"/>
      <c r="F171" s="18" t="n"/>
      <c r="G171" s="27" t="n"/>
      <c r="H171" s="27" t="n"/>
      <c r="I171" s="27" t="n"/>
      <c r="J171" s="28">
        <f>IF(NOT(OR($A171&lt;&gt;"",$E171&lt;&gt;"",$F171&lt;&gt;"",$G171&lt;&gt;"",$H171&lt;&gt;"",$I171&lt;&gt;"")),"",N($G171)+N($H171)+N($I171))</f>
        <v/>
      </c>
      <c r="K171" s="28">
        <f>IF(ISNUMBER($O171),INDEX('請求台帳'!$R$5:$R$1004,$O171),"")</f>
        <v/>
      </c>
      <c r="L171" s="20">
        <f>IF(NOT(OR($A171&lt;&gt;"",$E171&lt;&gt;"",$F171&lt;&gt;"",$G171&lt;&gt;"",$H171&lt;&gt;"",$I171&lt;&gt;"")),"",IF(NOT(ISNUMBER($A171)),"入金日がありません",IF(AND($F171&lt;&gt;"",$O171="なし"),"請求Noが請求台帳にありません",IF(AND(ISNUMBER($O171),$C171&lt;&gt;"",$C171&lt;&gt;$P171),"請求の得意先は "&amp;$P171&amp;" です",IF(ROUND(IF($B171&lt;&gt;"",SUMIF($B$5:$B$1004,$B171,$E$5:$E$1004)-SUMIF($B$5:$B$1004,$B171,$G$5:$G$1004),N($E171)-N($G171)),0)&lt;&gt;0,"通帳の額と当てた額の差 "&amp;TEXT(IF($B171&lt;&gt;"",SUMIF($B$5:$B$1004,$B171,$E$5:$E$1004)-SUMIF($B$5:$B$1004,$B171,$G$5:$G$1004),N($E171)-N($G171)),"#,##0"),IF(AND(ISNUMBER($O171),N($K171)&lt;0),"請求額より多く消し込んでいます",IF($F171="","消込先が未定","OK")))))))</f>
        <v/>
      </c>
      <c r="M171" s="19" t="n"/>
      <c r="N171" s="56" t="n"/>
      <c r="O171" s="32">
        <f>IF($F171="","",IFERROR(MATCH($F171,'請求台帳'!$A$5:$A$1004,0),"なし"))</f>
        <v/>
      </c>
      <c r="P171" s="37">
        <f>IF(NOT(OR($A171&lt;&gt;"",$E171&lt;&gt;"",$F171&lt;&gt;"",$G171&lt;&gt;"",$H171&lt;&gt;"",$I171&lt;&gt;"")),"",IF(ISNUMBER($O171),IF(INDEX('請求台帳'!$C$5:$C$1004,$O171)="","",INDEX('請求台帳'!$C$5:$C$1004,$O171)),IF($C171="","",$C171)))</f>
        <v/>
      </c>
      <c r="Q171" s="35">
        <f>IF(OR(NOT(OR($A171&lt;&gt;"",$E171&lt;&gt;"",$F171&lt;&gt;"",$G171&lt;&gt;"",$H171&lt;&gt;"",$I171&lt;&gt;"")),$P171="",$P171&lt;&gt;'売掛帳'!$B$3,NOT(ISNUMBER($A171)),N($G171)+N($H171)+N($I171)=0),"",IF(AND($A171&gt;='売掛帳'!$Q$3,$A171&lt;='売掛帳'!$Q$4),$A171+0.5+ROW()/10000000,""))</f>
        <v/>
      </c>
      <c r="R171" s="32">
        <f>IF(AND(OR($A171&lt;&gt;"",$E171&lt;&gt;"",$F171&lt;&gt;"",$G171&lt;&gt;"",$H171&lt;&gt;"",$I171&lt;&gt;""),NOT(ISNUMBER($O171))),1,"")</f>
        <v/>
      </c>
    </row>
    <row r="172" ht="18" customHeight="1">
      <c r="A172" s="26" t="n"/>
      <c r="B172" s="18" t="n"/>
      <c r="C172" s="18" t="n"/>
      <c r="D172" s="20">
        <f>IF($P172="","",IFERROR(INDEX('得意先'!$C$5:$C$104,MATCH($P172,'得意先'!$B$5:$B$104,0))&amp;"","※得意先にないコード"))</f>
        <v/>
      </c>
      <c r="E172" s="27" t="n"/>
      <c r="F172" s="18" t="n"/>
      <c r="G172" s="27" t="n"/>
      <c r="H172" s="27" t="n"/>
      <c r="I172" s="27" t="n"/>
      <c r="J172" s="28">
        <f>IF(NOT(OR($A172&lt;&gt;"",$E172&lt;&gt;"",$F172&lt;&gt;"",$G172&lt;&gt;"",$H172&lt;&gt;"",$I172&lt;&gt;"")),"",N($G172)+N($H172)+N($I172))</f>
        <v/>
      </c>
      <c r="K172" s="28">
        <f>IF(ISNUMBER($O172),INDEX('請求台帳'!$R$5:$R$1004,$O172),"")</f>
        <v/>
      </c>
      <c r="L172" s="20">
        <f>IF(NOT(OR($A172&lt;&gt;"",$E172&lt;&gt;"",$F172&lt;&gt;"",$G172&lt;&gt;"",$H172&lt;&gt;"",$I172&lt;&gt;"")),"",IF(NOT(ISNUMBER($A172)),"入金日がありません",IF(AND($F172&lt;&gt;"",$O172="なし"),"請求Noが請求台帳にありません",IF(AND(ISNUMBER($O172),$C172&lt;&gt;"",$C172&lt;&gt;$P172),"請求の得意先は "&amp;$P172&amp;" です",IF(ROUND(IF($B172&lt;&gt;"",SUMIF($B$5:$B$1004,$B172,$E$5:$E$1004)-SUMIF($B$5:$B$1004,$B172,$G$5:$G$1004),N($E172)-N($G172)),0)&lt;&gt;0,"通帳の額と当てた額の差 "&amp;TEXT(IF($B172&lt;&gt;"",SUMIF($B$5:$B$1004,$B172,$E$5:$E$1004)-SUMIF($B$5:$B$1004,$B172,$G$5:$G$1004),N($E172)-N($G172)),"#,##0"),IF(AND(ISNUMBER($O172),N($K172)&lt;0),"請求額より多く消し込んでいます",IF($F172="","消込先が未定","OK")))))))</f>
        <v/>
      </c>
      <c r="M172" s="19" t="n"/>
      <c r="N172" s="56" t="n"/>
      <c r="O172" s="32">
        <f>IF($F172="","",IFERROR(MATCH($F172,'請求台帳'!$A$5:$A$1004,0),"なし"))</f>
        <v/>
      </c>
      <c r="P172" s="37">
        <f>IF(NOT(OR($A172&lt;&gt;"",$E172&lt;&gt;"",$F172&lt;&gt;"",$G172&lt;&gt;"",$H172&lt;&gt;"",$I172&lt;&gt;"")),"",IF(ISNUMBER($O172),IF(INDEX('請求台帳'!$C$5:$C$1004,$O172)="","",INDEX('請求台帳'!$C$5:$C$1004,$O172)),IF($C172="","",$C172)))</f>
        <v/>
      </c>
      <c r="Q172" s="35">
        <f>IF(OR(NOT(OR($A172&lt;&gt;"",$E172&lt;&gt;"",$F172&lt;&gt;"",$G172&lt;&gt;"",$H172&lt;&gt;"",$I172&lt;&gt;"")),$P172="",$P172&lt;&gt;'売掛帳'!$B$3,NOT(ISNUMBER($A172)),N($G172)+N($H172)+N($I172)=0),"",IF(AND($A172&gt;='売掛帳'!$Q$3,$A172&lt;='売掛帳'!$Q$4),$A172+0.5+ROW()/10000000,""))</f>
        <v/>
      </c>
      <c r="R172" s="32">
        <f>IF(AND(OR($A172&lt;&gt;"",$E172&lt;&gt;"",$F172&lt;&gt;"",$G172&lt;&gt;"",$H172&lt;&gt;"",$I172&lt;&gt;""),NOT(ISNUMBER($O172))),1,"")</f>
        <v/>
      </c>
    </row>
    <row r="173" ht="18" customHeight="1">
      <c r="A173" s="26" t="n"/>
      <c r="B173" s="18" t="n"/>
      <c r="C173" s="18" t="n"/>
      <c r="D173" s="20">
        <f>IF($P173="","",IFERROR(INDEX('得意先'!$C$5:$C$104,MATCH($P173,'得意先'!$B$5:$B$104,0))&amp;"","※得意先にないコード"))</f>
        <v/>
      </c>
      <c r="E173" s="27" t="n"/>
      <c r="F173" s="18" t="n"/>
      <c r="G173" s="27" t="n"/>
      <c r="H173" s="27" t="n"/>
      <c r="I173" s="27" t="n"/>
      <c r="J173" s="28">
        <f>IF(NOT(OR($A173&lt;&gt;"",$E173&lt;&gt;"",$F173&lt;&gt;"",$G173&lt;&gt;"",$H173&lt;&gt;"",$I173&lt;&gt;"")),"",N($G173)+N($H173)+N($I173))</f>
        <v/>
      </c>
      <c r="K173" s="28">
        <f>IF(ISNUMBER($O173),INDEX('請求台帳'!$R$5:$R$1004,$O173),"")</f>
        <v/>
      </c>
      <c r="L173" s="20">
        <f>IF(NOT(OR($A173&lt;&gt;"",$E173&lt;&gt;"",$F173&lt;&gt;"",$G173&lt;&gt;"",$H173&lt;&gt;"",$I173&lt;&gt;"")),"",IF(NOT(ISNUMBER($A173)),"入金日がありません",IF(AND($F173&lt;&gt;"",$O173="なし"),"請求Noが請求台帳にありません",IF(AND(ISNUMBER($O173),$C173&lt;&gt;"",$C173&lt;&gt;$P173),"請求の得意先は "&amp;$P173&amp;" です",IF(ROUND(IF($B173&lt;&gt;"",SUMIF($B$5:$B$1004,$B173,$E$5:$E$1004)-SUMIF($B$5:$B$1004,$B173,$G$5:$G$1004),N($E173)-N($G173)),0)&lt;&gt;0,"通帳の額と当てた額の差 "&amp;TEXT(IF($B173&lt;&gt;"",SUMIF($B$5:$B$1004,$B173,$E$5:$E$1004)-SUMIF($B$5:$B$1004,$B173,$G$5:$G$1004),N($E173)-N($G173)),"#,##0"),IF(AND(ISNUMBER($O173),N($K173)&lt;0),"請求額より多く消し込んでいます",IF($F173="","消込先が未定","OK")))))))</f>
        <v/>
      </c>
      <c r="M173" s="19" t="n"/>
      <c r="N173" s="56" t="n"/>
      <c r="O173" s="32">
        <f>IF($F173="","",IFERROR(MATCH($F173,'請求台帳'!$A$5:$A$1004,0),"なし"))</f>
        <v/>
      </c>
      <c r="P173" s="37">
        <f>IF(NOT(OR($A173&lt;&gt;"",$E173&lt;&gt;"",$F173&lt;&gt;"",$G173&lt;&gt;"",$H173&lt;&gt;"",$I173&lt;&gt;"")),"",IF(ISNUMBER($O173),IF(INDEX('請求台帳'!$C$5:$C$1004,$O173)="","",INDEX('請求台帳'!$C$5:$C$1004,$O173)),IF($C173="","",$C173)))</f>
        <v/>
      </c>
      <c r="Q173" s="35">
        <f>IF(OR(NOT(OR($A173&lt;&gt;"",$E173&lt;&gt;"",$F173&lt;&gt;"",$G173&lt;&gt;"",$H173&lt;&gt;"",$I173&lt;&gt;"")),$P173="",$P173&lt;&gt;'売掛帳'!$B$3,NOT(ISNUMBER($A173)),N($G173)+N($H173)+N($I173)=0),"",IF(AND($A173&gt;='売掛帳'!$Q$3,$A173&lt;='売掛帳'!$Q$4),$A173+0.5+ROW()/10000000,""))</f>
        <v/>
      </c>
      <c r="R173" s="32">
        <f>IF(AND(OR($A173&lt;&gt;"",$E173&lt;&gt;"",$F173&lt;&gt;"",$G173&lt;&gt;"",$H173&lt;&gt;"",$I173&lt;&gt;""),NOT(ISNUMBER($O173))),1,"")</f>
        <v/>
      </c>
    </row>
    <row r="174" ht="18" customHeight="1">
      <c r="A174" s="26" t="n"/>
      <c r="B174" s="18" t="n"/>
      <c r="C174" s="18" t="n"/>
      <c r="D174" s="20">
        <f>IF($P174="","",IFERROR(INDEX('得意先'!$C$5:$C$104,MATCH($P174,'得意先'!$B$5:$B$104,0))&amp;"","※得意先にないコード"))</f>
        <v/>
      </c>
      <c r="E174" s="27" t="n"/>
      <c r="F174" s="18" t="n"/>
      <c r="G174" s="27" t="n"/>
      <c r="H174" s="27" t="n"/>
      <c r="I174" s="27" t="n"/>
      <c r="J174" s="28">
        <f>IF(NOT(OR($A174&lt;&gt;"",$E174&lt;&gt;"",$F174&lt;&gt;"",$G174&lt;&gt;"",$H174&lt;&gt;"",$I174&lt;&gt;"")),"",N($G174)+N($H174)+N($I174))</f>
        <v/>
      </c>
      <c r="K174" s="28">
        <f>IF(ISNUMBER($O174),INDEX('請求台帳'!$R$5:$R$1004,$O174),"")</f>
        <v/>
      </c>
      <c r="L174" s="20">
        <f>IF(NOT(OR($A174&lt;&gt;"",$E174&lt;&gt;"",$F174&lt;&gt;"",$G174&lt;&gt;"",$H174&lt;&gt;"",$I174&lt;&gt;"")),"",IF(NOT(ISNUMBER($A174)),"入金日がありません",IF(AND($F174&lt;&gt;"",$O174="なし"),"請求Noが請求台帳にありません",IF(AND(ISNUMBER($O174),$C174&lt;&gt;"",$C174&lt;&gt;$P174),"請求の得意先は "&amp;$P174&amp;" です",IF(ROUND(IF($B174&lt;&gt;"",SUMIF($B$5:$B$1004,$B174,$E$5:$E$1004)-SUMIF($B$5:$B$1004,$B174,$G$5:$G$1004),N($E174)-N($G174)),0)&lt;&gt;0,"通帳の額と当てた額の差 "&amp;TEXT(IF($B174&lt;&gt;"",SUMIF($B$5:$B$1004,$B174,$E$5:$E$1004)-SUMIF($B$5:$B$1004,$B174,$G$5:$G$1004),N($E174)-N($G174)),"#,##0"),IF(AND(ISNUMBER($O174),N($K174)&lt;0),"請求額より多く消し込んでいます",IF($F174="","消込先が未定","OK")))))))</f>
        <v/>
      </c>
      <c r="M174" s="19" t="n"/>
      <c r="N174" s="56" t="n"/>
      <c r="O174" s="32">
        <f>IF($F174="","",IFERROR(MATCH($F174,'請求台帳'!$A$5:$A$1004,0),"なし"))</f>
        <v/>
      </c>
      <c r="P174" s="37">
        <f>IF(NOT(OR($A174&lt;&gt;"",$E174&lt;&gt;"",$F174&lt;&gt;"",$G174&lt;&gt;"",$H174&lt;&gt;"",$I174&lt;&gt;"")),"",IF(ISNUMBER($O174),IF(INDEX('請求台帳'!$C$5:$C$1004,$O174)="","",INDEX('請求台帳'!$C$5:$C$1004,$O174)),IF($C174="","",$C174)))</f>
        <v/>
      </c>
      <c r="Q174" s="35">
        <f>IF(OR(NOT(OR($A174&lt;&gt;"",$E174&lt;&gt;"",$F174&lt;&gt;"",$G174&lt;&gt;"",$H174&lt;&gt;"",$I174&lt;&gt;"")),$P174="",$P174&lt;&gt;'売掛帳'!$B$3,NOT(ISNUMBER($A174)),N($G174)+N($H174)+N($I174)=0),"",IF(AND($A174&gt;='売掛帳'!$Q$3,$A174&lt;='売掛帳'!$Q$4),$A174+0.5+ROW()/10000000,""))</f>
        <v/>
      </c>
      <c r="R174" s="32">
        <f>IF(AND(OR($A174&lt;&gt;"",$E174&lt;&gt;"",$F174&lt;&gt;"",$G174&lt;&gt;"",$H174&lt;&gt;"",$I174&lt;&gt;""),NOT(ISNUMBER($O174))),1,"")</f>
        <v/>
      </c>
    </row>
    <row r="175" ht="18" customHeight="1">
      <c r="A175" s="26" t="n"/>
      <c r="B175" s="18" t="n"/>
      <c r="C175" s="18" t="n"/>
      <c r="D175" s="20">
        <f>IF($P175="","",IFERROR(INDEX('得意先'!$C$5:$C$104,MATCH($P175,'得意先'!$B$5:$B$104,0))&amp;"","※得意先にないコード"))</f>
        <v/>
      </c>
      <c r="E175" s="27" t="n"/>
      <c r="F175" s="18" t="n"/>
      <c r="G175" s="27" t="n"/>
      <c r="H175" s="27" t="n"/>
      <c r="I175" s="27" t="n"/>
      <c r="J175" s="28">
        <f>IF(NOT(OR($A175&lt;&gt;"",$E175&lt;&gt;"",$F175&lt;&gt;"",$G175&lt;&gt;"",$H175&lt;&gt;"",$I175&lt;&gt;"")),"",N($G175)+N($H175)+N($I175))</f>
        <v/>
      </c>
      <c r="K175" s="28">
        <f>IF(ISNUMBER($O175),INDEX('請求台帳'!$R$5:$R$1004,$O175),"")</f>
        <v/>
      </c>
      <c r="L175" s="20">
        <f>IF(NOT(OR($A175&lt;&gt;"",$E175&lt;&gt;"",$F175&lt;&gt;"",$G175&lt;&gt;"",$H175&lt;&gt;"",$I175&lt;&gt;"")),"",IF(NOT(ISNUMBER($A175)),"入金日がありません",IF(AND($F175&lt;&gt;"",$O175="なし"),"請求Noが請求台帳にありません",IF(AND(ISNUMBER($O175),$C175&lt;&gt;"",$C175&lt;&gt;$P175),"請求の得意先は "&amp;$P175&amp;" です",IF(ROUND(IF($B175&lt;&gt;"",SUMIF($B$5:$B$1004,$B175,$E$5:$E$1004)-SUMIF($B$5:$B$1004,$B175,$G$5:$G$1004),N($E175)-N($G175)),0)&lt;&gt;0,"通帳の額と当てた額の差 "&amp;TEXT(IF($B175&lt;&gt;"",SUMIF($B$5:$B$1004,$B175,$E$5:$E$1004)-SUMIF($B$5:$B$1004,$B175,$G$5:$G$1004),N($E175)-N($G175)),"#,##0"),IF(AND(ISNUMBER($O175),N($K175)&lt;0),"請求額より多く消し込んでいます",IF($F175="","消込先が未定","OK")))))))</f>
        <v/>
      </c>
      <c r="M175" s="19" t="n"/>
      <c r="N175" s="56" t="n"/>
      <c r="O175" s="32">
        <f>IF($F175="","",IFERROR(MATCH($F175,'請求台帳'!$A$5:$A$1004,0),"なし"))</f>
        <v/>
      </c>
      <c r="P175" s="37">
        <f>IF(NOT(OR($A175&lt;&gt;"",$E175&lt;&gt;"",$F175&lt;&gt;"",$G175&lt;&gt;"",$H175&lt;&gt;"",$I175&lt;&gt;"")),"",IF(ISNUMBER($O175),IF(INDEX('請求台帳'!$C$5:$C$1004,$O175)="","",INDEX('請求台帳'!$C$5:$C$1004,$O175)),IF($C175="","",$C175)))</f>
        <v/>
      </c>
      <c r="Q175" s="35">
        <f>IF(OR(NOT(OR($A175&lt;&gt;"",$E175&lt;&gt;"",$F175&lt;&gt;"",$G175&lt;&gt;"",$H175&lt;&gt;"",$I175&lt;&gt;"")),$P175="",$P175&lt;&gt;'売掛帳'!$B$3,NOT(ISNUMBER($A175)),N($G175)+N($H175)+N($I175)=0),"",IF(AND($A175&gt;='売掛帳'!$Q$3,$A175&lt;='売掛帳'!$Q$4),$A175+0.5+ROW()/10000000,""))</f>
        <v/>
      </c>
      <c r="R175" s="32">
        <f>IF(AND(OR($A175&lt;&gt;"",$E175&lt;&gt;"",$F175&lt;&gt;"",$G175&lt;&gt;"",$H175&lt;&gt;"",$I175&lt;&gt;""),NOT(ISNUMBER($O175))),1,"")</f>
        <v/>
      </c>
    </row>
    <row r="176" ht="18" customHeight="1">
      <c r="A176" s="26" t="n"/>
      <c r="B176" s="18" t="n"/>
      <c r="C176" s="18" t="n"/>
      <c r="D176" s="20">
        <f>IF($P176="","",IFERROR(INDEX('得意先'!$C$5:$C$104,MATCH($P176,'得意先'!$B$5:$B$104,0))&amp;"","※得意先にないコード"))</f>
        <v/>
      </c>
      <c r="E176" s="27" t="n"/>
      <c r="F176" s="18" t="n"/>
      <c r="G176" s="27" t="n"/>
      <c r="H176" s="27" t="n"/>
      <c r="I176" s="27" t="n"/>
      <c r="J176" s="28">
        <f>IF(NOT(OR($A176&lt;&gt;"",$E176&lt;&gt;"",$F176&lt;&gt;"",$G176&lt;&gt;"",$H176&lt;&gt;"",$I176&lt;&gt;"")),"",N($G176)+N($H176)+N($I176))</f>
        <v/>
      </c>
      <c r="K176" s="28">
        <f>IF(ISNUMBER($O176),INDEX('請求台帳'!$R$5:$R$1004,$O176),"")</f>
        <v/>
      </c>
      <c r="L176" s="20">
        <f>IF(NOT(OR($A176&lt;&gt;"",$E176&lt;&gt;"",$F176&lt;&gt;"",$G176&lt;&gt;"",$H176&lt;&gt;"",$I176&lt;&gt;"")),"",IF(NOT(ISNUMBER($A176)),"入金日がありません",IF(AND($F176&lt;&gt;"",$O176="なし"),"請求Noが請求台帳にありません",IF(AND(ISNUMBER($O176),$C176&lt;&gt;"",$C176&lt;&gt;$P176),"請求の得意先は "&amp;$P176&amp;" です",IF(ROUND(IF($B176&lt;&gt;"",SUMIF($B$5:$B$1004,$B176,$E$5:$E$1004)-SUMIF($B$5:$B$1004,$B176,$G$5:$G$1004),N($E176)-N($G176)),0)&lt;&gt;0,"通帳の額と当てた額の差 "&amp;TEXT(IF($B176&lt;&gt;"",SUMIF($B$5:$B$1004,$B176,$E$5:$E$1004)-SUMIF($B$5:$B$1004,$B176,$G$5:$G$1004),N($E176)-N($G176)),"#,##0"),IF(AND(ISNUMBER($O176),N($K176)&lt;0),"請求額より多く消し込んでいます",IF($F176="","消込先が未定","OK")))))))</f>
        <v/>
      </c>
      <c r="M176" s="19" t="n"/>
      <c r="N176" s="56" t="n"/>
      <c r="O176" s="32">
        <f>IF($F176="","",IFERROR(MATCH($F176,'請求台帳'!$A$5:$A$1004,0),"なし"))</f>
        <v/>
      </c>
      <c r="P176" s="37">
        <f>IF(NOT(OR($A176&lt;&gt;"",$E176&lt;&gt;"",$F176&lt;&gt;"",$G176&lt;&gt;"",$H176&lt;&gt;"",$I176&lt;&gt;"")),"",IF(ISNUMBER($O176),IF(INDEX('請求台帳'!$C$5:$C$1004,$O176)="","",INDEX('請求台帳'!$C$5:$C$1004,$O176)),IF($C176="","",$C176)))</f>
        <v/>
      </c>
      <c r="Q176" s="35">
        <f>IF(OR(NOT(OR($A176&lt;&gt;"",$E176&lt;&gt;"",$F176&lt;&gt;"",$G176&lt;&gt;"",$H176&lt;&gt;"",$I176&lt;&gt;"")),$P176="",$P176&lt;&gt;'売掛帳'!$B$3,NOT(ISNUMBER($A176)),N($G176)+N($H176)+N($I176)=0),"",IF(AND($A176&gt;='売掛帳'!$Q$3,$A176&lt;='売掛帳'!$Q$4),$A176+0.5+ROW()/10000000,""))</f>
        <v/>
      </c>
      <c r="R176" s="32">
        <f>IF(AND(OR($A176&lt;&gt;"",$E176&lt;&gt;"",$F176&lt;&gt;"",$G176&lt;&gt;"",$H176&lt;&gt;"",$I176&lt;&gt;""),NOT(ISNUMBER($O176))),1,"")</f>
        <v/>
      </c>
    </row>
    <row r="177" ht="18" customHeight="1">
      <c r="A177" s="26" t="n"/>
      <c r="B177" s="18" t="n"/>
      <c r="C177" s="18" t="n"/>
      <c r="D177" s="20">
        <f>IF($P177="","",IFERROR(INDEX('得意先'!$C$5:$C$104,MATCH($P177,'得意先'!$B$5:$B$104,0))&amp;"","※得意先にないコード"))</f>
        <v/>
      </c>
      <c r="E177" s="27" t="n"/>
      <c r="F177" s="18" t="n"/>
      <c r="G177" s="27" t="n"/>
      <c r="H177" s="27" t="n"/>
      <c r="I177" s="27" t="n"/>
      <c r="J177" s="28">
        <f>IF(NOT(OR($A177&lt;&gt;"",$E177&lt;&gt;"",$F177&lt;&gt;"",$G177&lt;&gt;"",$H177&lt;&gt;"",$I177&lt;&gt;"")),"",N($G177)+N($H177)+N($I177))</f>
        <v/>
      </c>
      <c r="K177" s="28">
        <f>IF(ISNUMBER($O177),INDEX('請求台帳'!$R$5:$R$1004,$O177),"")</f>
        <v/>
      </c>
      <c r="L177" s="20">
        <f>IF(NOT(OR($A177&lt;&gt;"",$E177&lt;&gt;"",$F177&lt;&gt;"",$G177&lt;&gt;"",$H177&lt;&gt;"",$I177&lt;&gt;"")),"",IF(NOT(ISNUMBER($A177)),"入金日がありません",IF(AND($F177&lt;&gt;"",$O177="なし"),"請求Noが請求台帳にありません",IF(AND(ISNUMBER($O177),$C177&lt;&gt;"",$C177&lt;&gt;$P177),"請求の得意先は "&amp;$P177&amp;" です",IF(ROUND(IF($B177&lt;&gt;"",SUMIF($B$5:$B$1004,$B177,$E$5:$E$1004)-SUMIF($B$5:$B$1004,$B177,$G$5:$G$1004),N($E177)-N($G177)),0)&lt;&gt;0,"通帳の額と当てた額の差 "&amp;TEXT(IF($B177&lt;&gt;"",SUMIF($B$5:$B$1004,$B177,$E$5:$E$1004)-SUMIF($B$5:$B$1004,$B177,$G$5:$G$1004),N($E177)-N($G177)),"#,##0"),IF(AND(ISNUMBER($O177),N($K177)&lt;0),"請求額より多く消し込んでいます",IF($F177="","消込先が未定","OK")))))))</f>
        <v/>
      </c>
      <c r="M177" s="19" t="n"/>
      <c r="N177" s="56" t="n"/>
      <c r="O177" s="32">
        <f>IF($F177="","",IFERROR(MATCH($F177,'請求台帳'!$A$5:$A$1004,0),"なし"))</f>
        <v/>
      </c>
      <c r="P177" s="37">
        <f>IF(NOT(OR($A177&lt;&gt;"",$E177&lt;&gt;"",$F177&lt;&gt;"",$G177&lt;&gt;"",$H177&lt;&gt;"",$I177&lt;&gt;"")),"",IF(ISNUMBER($O177),IF(INDEX('請求台帳'!$C$5:$C$1004,$O177)="","",INDEX('請求台帳'!$C$5:$C$1004,$O177)),IF($C177="","",$C177)))</f>
        <v/>
      </c>
      <c r="Q177" s="35">
        <f>IF(OR(NOT(OR($A177&lt;&gt;"",$E177&lt;&gt;"",$F177&lt;&gt;"",$G177&lt;&gt;"",$H177&lt;&gt;"",$I177&lt;&gt;"")),$P177="",$P177&lt;&gt;'売掛帳'!$B$3,NOT(ISNUMBER($A177)),N($G177)+N($H177)+N($I177)=0),"",IF(AND($A177&gt;='売掛帳'!$Q$3,$A177&lt;='売掛帳'!$Q$4),$A177+0.5+ROW()/10000000,""))</f>
        <v/>
      </c>
      <c r="R177" s="32">
        <f>IF(AND(OR($A177&lt;&gt;"",$E177&lt;&gt;"",$F177&lt;&gt;"",$G177&lt;&gt;"",$H177&lt;&gt;"",$I177&lt;&gt;""),NOT(ISNUMBER($O177))),1,"")</f>
        <v/>
      </c>
    </row>
    <row r="178" ht="18" customHeight="1">
      <c r="A178" s="26" t="n"/>
      <c r="B178" s="18" t="n"/>
      <c r="C178" s="18" t="n"/>
      <c r="D178" s="20">
        <f>IF($P178="","",IFERROR(INDEX('得意先'!$C$5:$C$104,MATCH($P178,'得意先'!$B$5:$B$104,0))&amp;"","※得意先にないコード"))</f>
        <v/>
      </c>
      <c r="E178" s="27" t="n"/>
      <c r="F178" s="18" t="n"/>
      <c r="G178" s="27" t="n"/>
      <c r="H178" s="27" t="n"/>
      <c r="I178" s="27" t="n"/>
      <c r="J178" s="28">
        <f>IF(NOT(OR($A178&lt;&gt;"",$E178&lt;&gt;"",$F178&lt;&gt;"",$G178&lt;&gt;"",$H178&lt;&gt;"",$I178&lt;&gt;"")),"",N($G178)+N($H178)+N($I178))</f>
        <v/>
      </c>
      <c r="K178" s="28">
        <f>IF(ISNUMBER($O178),INDEX('請求台帳'!$R$5:$R$1004,$O178),"")</f>
        <v/>
      </c>
      <c r="L178" s="20">
        <f>IF(NOT(OR($A178&lt;&gt;"",$E178&lt;&gt;"",$F178&lt;&gt;"",$G178&lt;&gt;"",$H178&lt;&gt;"",$I178&lt;&gt;"")),"",IF(NOT(ISNUMBER($A178)),"入金日がありません",IF(AND($F178&lt;&gt;"",$O178="なし"),"請求Noが請求台帳にありません",IF(AND(ISNUMBER($O178),$C178&lt;&gt;"",$C178&lt;&gt;$P178),"請求の得意先は "&amp;$P178&amp;" です",IF(ROUND(IF($B178&lt;&gt;"",SUMIF($B$5:$B$1004,$B178,$E$5:$E$1004)-SUMIF($B$5:$B$1004,$B178,$G$5:$G$1004),N($E178)-N($G178)),0)&lt;&gt;0,"通帳の額と当てた額の差 "&amp;TEXT(IF($B178&lt;&gt;"",SUMIF($B$5:$B$1004,$B178,$E$5:$E$1004)-SUMIF($B$5:$B$1004,$B178,$G$5:$G$1004),N($E178)-N($G178)),"#,##0"),IF(AND(ISNUMBER($O178),N($K178)&lt;0),"請求額より多く消し込んでいます",IF($F178="","消込先が未定","OK")))))))</f>
        <v/>
      </c>
      <c r="M178" s="19" t="n"/>
      <c r="N178" s="56" t="n"/>
      <c r="O178" s="32">
        <f>IF($F178="","",IFERROR(MATCH($F178,'請求台帳'!$A$5:$A$1004,0),"なし"))</f>
        <v/>
      </c>
      <c r="P178" s="37">
        <f>IF(NOT(OR($A178&lt;&gt;"",$E178&lt;&gt;"",$F178&lt;&gt;"",$G178&lt;&gt;"",$H178&lt;&gt;"",$I178&lt;&gt;"")),"",IF(ISNUMBER($O178),IF(INDEX('請求台帳'!$C$5:$C$1004,$O178)="","",INDEX('請求台帳'!$C$5:$C$1004,$O178)),IF($C178="","",$C178)))</f>
        <v/>
      </c>
      <c r="Q178" s="35">
        <f>IF(OR(NOT(OR($A178&lt;&gt;"",$E178&lt;&gt;"",$F178&lt;&gt;"",$G178&lt;&gt;"",$H178&lt;&gt;"",$I178&lt;&gt;"")),$P178="",$P178&lt;&gt;'売掛帳'!$B$3,NOT(ISNUMBER($A178)),N($G178)+N($H178)+N($I178)=0),"",IF(AND($A178&gt;='売掛帳'!$Q$3,$A178&lt;='売掛帳'!$Q$4),$A178+0.5+ROW()/10000000,""))</f>
        <v/>
      </c>
      <c r="R178" s="32">
        <f>IF(AND(OR($A178&lt;&gt;"",$E178&lt;&gt;"",$F178&lt;&gt;"",$G178&lt;&gt;"",$H178&lt;&gt;"",$I178&lt;&gt;""),NOT(ISNUMBER($O178))),1,"")</f>
        <v/>
      </c>
    </row>
    <row r="179" ht="18" customHeight="1">
      <c r="A179" s="26" t="n"/>
      <c r="B179" s="18" t="n"/>
      <c r="C179" s="18" t="n"/>
      <c r="D179" s="20">
        <f>IF($P179="","",IFERROR(INDEX('得意先'!$C$5:$C$104,MATCH($P179,'得意先'!$B$5:$B$104,0))&amp;"","※得意先にないコード"))</f>
        <v/>
      </c>
      <c r="E179" s="27" t="n"/>
      <c r="F179" s="18" t="n"/>
      <c r="G179" s="27" t="n"/>
      <c r="H179" s="27" t="n"/>
      <c r="I179" s="27" t="n"/>
      <c r="J179" s="28">
        <f>IF(NOT(OR($A179&lt;&gt;"",$E179&lt;&gt;"",$F179&lt;&gt;"",$G179&lt;&gt;"",$H179&lt;&gt;"",$I179&lt;&gt;"")),"",N($G179)+N($H179)+N($I179))</f>
        <v/>
      </c>
      <c r="K179" s="28">
        <f>IF(ISNUMBER($O179),INDEX('請求台帳'!$R$5:$R$1004,$O179),"")</f>
        <v/>
      </c>
      <c r="L179" s="20">
        <f>IF(NOT(OR($A179&lt;&gt;"",$E179&lt;&gt;"",$F179&lt;&gt;"",$G179&lt;&gt;"",$H179&lt;&gt;"",$I179&lt;&gt;"")),"",IF(NOT(ISNUMBER($A179)),"入金日がありません",IF(AND($F179&lt;&gt;"",$O179="なし"),"請求Noが請求台帳にありません",IF(AND(ISNUMBER($O179),$C179&lt;&gt;"",$C179&lt;&gt;$P179),"請求の得意先は "&amp;$P179&amp;" です",IF(ROUND(IF($B179&lt;&gt;"",SUMIF($B$5:$B$1004,$B179,$E$5:$E$1004)-SUMIF($B$5:$B$1004,$B179,$G$5:$G$1004),N($E179)-N($G179)),0)&lt;&gt;0,"通帳の額と当てた額の差 "&amp;TEXT(IF($B179&lt;&gt;"",SUMIF($B$5:$B$1004,$B179,$E$5:$E$1004)-SUMIF($B$5:$B$1004,$B179,$G$5:$G$1004),N($E179)-N($G179)),"#,##0"),IF(AND(ISNUMBER($O179),N($K179)&lt;0),"請求額より多く消し込んでいます",IF($F179="","消込先が未定","OK")))))))</f>
        <v/>
      </c>
      <c r="M179" s="19" t="n"/>
      <c r="N179" s="56" t="n"/>
      <c r="O179" s="32">
        <f>IF($F179="","",IFERROR(MATCH($F179,'請求台帳'!$A$5:$A$1004,0),"なし"))</f>
        <v/>
      </c>
      <c r="P179" s="37">
        <f>IF(NOT(OR($A179&lt;&gt;"",$E179&lt;&gt;"",$F179&lt;&gt;"",$G179&lt;&gt;"",$H179&lt;&gt;"",$I179&lt;&gt;"")),"",IF(ISNUMBER($O179),IF(INDEX('請求台帳'!$C$5:$C$1004,$O179)="","",INDEX('請求台帳'!$C$5:$C$1004,$O179)),IF($C179="","",$C179)))</f>
        <v/>
      </c>
      <c r="Q179" s="35">
        <f>IF(OR(NOT(OR($A179&lt;&gt;"",$E179&lt;&gt;"",$F179&lt;&gt;"",$G179&lt;&gt;"",$H179&lt;&gt;"",$I179&lt;&gt;"")),$P179="",$P179&lt;&gt;'売掛帳'!$B$3,NOT(ISNUMBER($A179)),N($G179)+N($H179)+N($I179)=0),"",IF(AND($A179&gt;='売掛帳'!$Q$3,$A179&lt;='売掛帳'!$Q$4),$A179+0.5+ROW()/10000000,""))</f>
        <v/>
      </c>
      <c r="R179" s="32">
        <f>IF(AND(OR($A179&lt;&gt;"",$E179&lt;&gt;"",$F179&lt;&gt;"",$G179&lt;&gt;"",$H179&lt;&gt;"",$I179&lt;&gt;""),NOT(ISNUMBER($O179))),1,"")</f>
        <v/>
      </c>
    </row>
    <row r="180" ht="18" customHeight="1">
      <c r="A180" s="26" t="n"/>
      <c r="B180" s="18" t="n"/>
      <c r="C180" s="18" t="n"/>
      <c r="D180" s="20">
        <f>IF($P180="","",IFERROR(INDEX('得意先'!$C$5:$C$104,MATCH($P180,'得意先'!$B$5:$B$104,0))&amp;"","※得意先にないコード"))</f>
        <v/>
      </c>
      <c r="E180" s="27" t="n"/>
      <c r="F180" s="18" t="n"/>
      <c r="G180" s="27" t="n"/>
      <c r="H180" s="27" t="n"/>
      <c r="I180" s="27" t="n"/>
      <c r="J180" s="28">
        <f>IF(NOT(OR($A180&lt;&gt;"",$E180&lt;&gt;"",$F180&lt;&gt;"",$G180&lt;&gt;"",$H180&lt;&gt;"",$I180&lt;&gt;"")),"",N($G180)+N($H180)+N($I180))</f>
        <v/>
      </c>
      <c r="K180" s="28">
        <f>IF(ISNUMBER($O180),INDEX('請求台帳'!$R$5:$R$1004,$O180),"")</f>
        <v/>
      </c>
      <c r="L180" s="20">
        <f>IF(NOT(OR($A180&lt;&gt;"",$E180&lt;&gt;"",$F180&lt;&gt;"",$G180&lt;&gt;"",$H180&lt;&gt;"",$I180&lt;&gt;"")),"",IF(NOT(ISNUMBER($A180)),"入金日がありません",IF(AND($F180&lt;&gt;"",$O180="なし"),"請求Noが請求台帳にありません",IF(AND(ISNUMBER($O180),$C180&lt;&gt;"",$C180&lt;&gt;$P180),"請求の得意先は "&amp;$P180&amp;" です",IF(ROUND(IF($B180&lt;&gt;"",SUMIF($B$5:$B$1004,$B180,$E$5:$E$1004)-SUMIF($B$5:$B$1004,$B180,$G$5:$G$1004),N($E180)-N($G180)),0)&lt;&gt;0,"通帳の額と当てた額の差 "&amp;TEXT(IF($B180&lt;&gt;"",SUMIF($B$5:$B$1004,$B180,$E$5:$E$1004)-SUMIF($B$5:$B$1004,$B180,$G$5:$G$1004),N($E180)-N($G180)),"#,##0"),IF(AND(ISNUMBER($O180),N($K180)&lt;0),"請求額より多く消し込んでいます",IF($F180="","消込先が未定","OK")))))))</f>
        <v/>
      </c>
      <c r="M180" s="19" t="n"/>
      <c r="N180" s="56" t="n"/>
      <c r="O180" s="32">
        <f>IF($F180="","",IFERROR(MATCH($F180,'請求台帳'!$A$5:$A$1004,0),"なし"))</f>
        <v/>
      </c>
      <c r="P180" s="37">
        <f>IF(NOT(OR($A180&lt;&gt;"",$E180&lt;&gt;"",$F180&lt;&gt;"",$G180&lt;&gt;"",$H180&lt;&gt;"",$I180&lt;&gt;"")),"",IF(ISNUMBER($O180),IF(INDEX('請求台帳'!$C$5:$C$1004,$O180)="","",INDEX('請求台帳'!$C$5:$C$1004,$O180)),IF($C180="","",$C180)))</f>
        <v/>
      </c>
      <c r="Q180" s="35">
        <f>IF(OR(NOT(OR($A180&lt;&gt;"",$E180&lt;&gt;"",$F180&lt;&gt;"",$G180&lt;&gt;"",$H180&lt;&gt;"",$I180&lt;&gt;"")),$P180="",$P180&lt;&gt;'売掛帳'!$B$3,NOT(ISNUMBER($A180)),N($G180)+N($H180)+N($I180)=0),"",IF(AND($A180&gt;='売掛帳'!$Q$3,$A180&lt;='売掛帳'!$Q$4),$A180+0.5+ROW()/10000000,""))</f>
        <v/>
      </c>
      <c r="R180" s="32">
        <f>IF(AND(OR($A180&lt;&gt;"",$E180&lt;&gt;"",$F180&lt;&gt;"",$G180&lt;&gt;"",$H180&lt;&gt;"",$I180&lt;&gt;""),NOT(ISNUMBER($O180))),1,"")</f>
        <v/>
      </c>
    </row>
    <row r="181" ht="18" customHeight="1">
      <c r="A181" s="26" t="n"/>
      <c r="B181" s="18" t="n"/>
      <c r="C181" s="18" t="n"/>
      <c r="D181" s="20">
        <f>IF($P181="","",IFERROR(INDEX('得意先'!$C$5:$C$104,MATCH($P181,'得意先'!$B$5:$B$104,0))&amp;"","※得意先にないコード"))</f>
        <v/>
      </c>
      <c r="E181" s="27" t="n"/>
      <c r="F181" s="18" t="n"/>
      <c r="G181" s="27" t="n"/>
      <c r="H181" s="27" t="n"/>
      <c r="I181" s="27" t="n"/>
      <c r="J181" s="28">
        <f>IF(NOT(OR($A181&lt;&gt;"",$E181&lt;&gt;"",$F181&lt;&gt;"",$G181&lt;&gt;"",$H181&lt;&gt;"",$I181&lt;&gt;"")),"",N($G181)+N($H181)+N($I181))</f>
        <v/>
      </c>
      <c r="K181" s="28">
        <f>IF(ISNUMBER($O181),INDEX('請求台帳'!$R$5:$R$1004,$O181),"")</f>
        <v/>
      </c>
      <c r="L181" s="20">
        <f>IF(NOT(OR($A181&lt;&gt;"",$E181&lt;&gt;"",$F181&lt;&gt;"",$G181&lt;&gt;"",$H181&lt;&gt;"",$I181&lt;&gt;"")),"",IF(NOT(ISNUMBER($A181)),"入金日がありません",IF(AND($F181&lt;&gt;"",$O181="なし"),"請求Noが請求台帳にありません",IF(AND(ISNUMBER($O181),$C181&lt;&gt;"",$C181&lt;&gt;$P181),"請求の得意先は "&amp;$P181&amp;" です",IF(ROUND(IF($B181&lt;&gt;"",SUMIF($B$5:$B$1004,$B181,$E$5:$E$1004)-SUMIF($B$5:$B$1004,$B181,$G$5:$G$1004),N($E181)-N($G181)),0)&lt;&gt;0,"通帳の額と当てた額の差 "&amp;TEXT(IF($B181&lt;&gt;"",SUMIF($B$5:$B$1004,$B181,$E$5:$E$1004)-SUMIF($B$5:$B$1004,$B181,$G$5:$G$1004),N($E181)-N($G181)),"#,##0"),IF(AND(ISNUMBER($O181),N($K181)&lt;0),"請求額より多く消し込んでいます",IF($F181="","消込先が未定","OK")))))))</f>
        <v/>
      </c>
      <c r="M181" s="19" t="n"/>
      <c r="N181" s="56" t="n"/>
      <c r="O181" s="32">
        <f>IF($F181="","",IFERROR(MATCH($F181,'請求台帳'!$A$5:$A$1004,0),"なし"))</f>
        <v/>
      </c>
      <c r="P181" s="37">
        <f>IF(NOT(OR($A181&lt;&gt;"",$E181&lt;&gt;"",$F181&lt;&gt;"",$G181&lt;&gt;"",$H181&lt;&gt;"",$I181&lt;&gt;"")),"",IF(ISNUMBER($O181),IF(INDEX('請求台帳'!$C$5:$C$1004,$O181)="","",INDEX('請求台帳'!$C$5:$C$1004,$O181)),IF($C181="","",$C181)))</f>
        <v/>
      </c>
      <c r="Q181" s="35">
        <f>IF(OR(NOT(OR($A181&lt;&gt;"",$E181&lt;&gt;"",$F181&lt;&gt;"",$G181&lt;&gt;"",$H181&lt;&gt;"",$I181&lt;&gt;"")),$P181="",$P181&lt;&gt;'売掛帳'!$B$3,NOT(ISNUMBER($A181)),N($G181)+N($H181)+N($I181)=0),"",IF(AND($A181&gt;='売掛帳'!$Q$3,$A181&lt;='売掛帳'!$Q$4),$A181+0.5+ROW()/10000000,""))</f>
        <v/>
      </c>
      <c r="R181" s="32">
        <f>IF(AND(OR($A181&lt;&gt;"",$E181&lt;&gt;"",$F181&lt;&gt;"",$G181&lt;&gt;"",$H181&lt;&gt;"",$I181&lt;&gt;""),NOT(ISNUMBER($O181))),1,"")</f>
        <v/>
      </c>
    </row>
    <row r="182" ht="18" customHeight="1">
      <c r="A182" s="26" t="n"/>
      <c r="B182" s="18" t="n"/>
      <c r="C182" s="18" t="n"/>
      <c r="D182" s="20">
        <f>IF($P182="","",IFERROR(INDEX('得意先'!$C$5:$C$104,MATCH($P182,'得意先'!$B$5:$B$104,0))&amp;"","※得意先にないコード"))</f>
        <v/>
      </c>
      <c r="E182" s="27" t="n"/>
      <c r="F182" s="18" t="n"/>
      <c r="G182" s="27" t="n"/>
      <c r="H182" s="27" t="n"/>
      <c r="I182" s="27" t="n"/>
      <c r="J182" s="28">
        <f>IF(NOT(OR($A182&lt;&gt;"",$E182&lt;&gt;"",$F182&lt;&gt;"",$G182&lt;&gt;"",$H182&lt;&gt;"",$I182&lt;&gt;"")),"",N($G182)+N($H182)+N($I182))</f>
        <v/>
      </c>
      <c r="K182" s="28">
        <f>IF(ISNUMBER($O182),INDEX('請求台帳'!$R$5:$R$1004,$O182),"")</f>
        <v/>
      </c>
      <c r="L182" s="20">
        <f>IF(NOT(OR($A182&lt;&gt;"",$E182&lt;&gt;"",$F182&lt;&gt;"",$G182&lt;&gt;"",$H182&lt;&gt;"",$I182&lt;&gt;"")),"",IF(NOT(ISNUMBER($A182)),"入金日がありません",IF(AND($F182&lt;&gt;"",$O182="なし"),"請求Noが請求台帳にありません",IF(AND(ISNUMBER($O182),$C182&lt;&gt;"",$C182&lt;&gt;$P182),"請求の得意先は "&amp;$P182&amp;" です",IF(ROUND(IF($B182&lt;&gt;"",SUMIF($B$5:$B$1004,$B182,$E$5:$E$1004)-SUMIF($B$5:$B$1004,$B182,$G$5:$G$1004),N($E182)-N($G182)),0)&lt;&gt;0,"通帳の額と当てた額の差 "&amp;TEXT(IF($B182&lt;&gt;"",SUMIF($B$5:$B$1004,$B182,$E$5:$E$1004)-SUMIF($B$5:$B$1004,$B182,$G$5:$G$1004),N($E182)-N($G182)),"#,##0"),IF(AND(ISNUMBER($O182),N($K182)&lt;0),"請求額より多く消し込んでいます",IF($F182="","消込先が未定","OK")))))))</f>
        <v/>
      </c>
      <c r="M182" s="19" t="n"/>
      <c r="N182" s="56" t="n"/>
      <c r="O182" s="32">
        <f>IF($F182="","",IFERROR(MATCH($F182,'請求台帳'!$A$5:$A$1004,0),"なし"))</f>
        <v/>
      </c>
      <c r="P182" s="37">
        <f>IF(NOT(OR($A182&lt;&gt;"",$E182&lt;&gt;"",$F182&lt;&gt;"",$G182&lt;&gt;"",$H182&lt;&gt;"",$I182&lt;&gt;"")),"",IF(ISNUMBER($O182),IF(INDEX('請求台帳'!$C$5:$C$1004,$O182)="","",INDEX('請求台帳'!$C$5:$C$1004,$O182)),IF($C182="","",$C182)))</f>
        <v/>
      </c>
      <c r="Q182" s="35">
        <f>IF(OR(NOT(OR($A182&lt;&gt;"",$E182&lt;&gt;"",$F182&lt;&gt;"",$G182&lt;&gt;"",$H182&lt;&gt;"",$I182&lt;&gt;"")),$P182="",$P182&lt;&gt;'売掛帳'!$B$3,NOT(ISNUMBER($A182)),N($G182)+N($H182)+N($I182)=0),"",IF(AND($A182&gt;='売掛帳'!$Q$3,$A182&lt;='売掛帳'!$Q$4),$A182+0.5+ROW()/10000000,""))</f>
        <v/>
      </c>
      <c r="R182" s="32">
        <f>IF(AND(OR($A182&lt;&gt;"",$E182&lt;&gt;"",$F182&lt;&gt;"",$G182&lt;&gt;"",$H182&lt;&gt;"",$I182&lt;&gt;""),NOT(ISNUMBER($O182))),1,"")</f>
        <v/>
      </c>
    </row>
    <row r="183" ht="18" customHeight="1">
      <c r="A183" s="26" t="n"/>
      <c r="B183" s="18" t="n"/>
      <c r="C183" s="18" t="n"/>
      <c r="D183" s="20">
        <f>IF($P183="","",IFERROR(INDEX('得意先'!$C$5:$C$104,MATCH($P183,'得意先'!$B$5:$B$104,0))&amp;"","※得意先にないコード"))</f>
        <v/>
      </c>
      <c r="E183" s="27" t="n"/>
      <c r="F183" s="18" t="n"/>
      <c r="G183" s="27" t="n"/>
      <c r="H183" s="27" t="n"/>
      <c r="I183" s="27" t="n"/>
      <c r="J183" s="28">
        <f>IF(NOT(OR($A183&lt;&gt;"",$E183&lt;&gt;"",$F183&lt;&gt;"",$G183&lt;&gt;"",$H183&lt;&gt;"",$I183&lt;&gt;"")),"",N($G183)+N($H183)+N($I183))</f>
        <v/>
      </c>
      <c r="K183" s="28">
        <f>IF(ISNUMBER($O183),INDEX('請求台帳'!$R$5:$R$1004,$O183),"")</f>
        <v/>
      </c>
      <c r="L183" s="20">
        <f>IF(NOT(OR($A183&lt;&gt;"",$E183&lt;&gt;"",$F183&lt;&gt;"",$G183&lt;&gt;"",$H183&lt;&gt;"",$I183&lt;&gt;"")),"",IF(NOT(ISNUMBER($A183)),"入金日がありません",IF(AND($F183&lt;&gt;"",$O183="なし"),"請求Noが請求台帳にありません",IF(AND(ISNUMBER($O183),$C183&lt;&gt;"",$C183&lt;&gt;$P183),"請求の得意先は "&amp;$P183&amp;" です",IF(ROUND(IF($B183&lt;&gt;"",SUMIF($B$5:$B$1004,$B183,$E$5:$E$1004)-SUMIF($B$5:$B$1004,$B183,$G$5:$G$1004),N($E183)-N($G183)),0)&lt;&gt;0,"通帳の額と当てた額の差 "&amp;TEXT(IF($B183&lt;&gt;"",SUMIF($B$5:$B$1004,$B183,$E$5:$E$1004)-SUMIF($B$5:$B$1004,$B183,$G$5:$G$1004),N($E183)-N($G183)),"#,##0"),IF(AND(ISNUMBER($O183),N($K183)&lt;0),"請求額より多く消し込んでいます",IF($F183="","消込先が未定","OK")))))))</f>
        <v/>
      </c>
      <c r="M183" s="19" t="n"/>
      <c r="N183" s="56" t="n"/>
      <c r="O183" s="32">
        <f>IF($F183="","",IFERROR(MATCH($F183,'請求台帳'!$A$5:$A$1004,0),"なし"))</f>
        <v/>
      </c>
      <c r="P183" s="37">
        <f>IF(NOT(OR($A183&lt;&gt;"",$E183&lt;&gt;"",$F183&lt;&gt;"",$G183&lt;&gt;"",$H183&lt;&gt;"",$I183&lt;&gt;"")),"",IF(ISNUMBER($O183),IF(INDEX('請求台帳'!$C$5:$C$1004,$O183)="","",INDEX('請求台帳'!$C$5:$C$1004,$O183)),IF($C183="","",$C183)))</f>
        <v/>
      </c>
      <c r="Q183" s="35">
        <f>IF(OR(NOT(OR($A183&lt;&gt;"",$E183&lt;&gt;"",$F183&lt;&gt;"",$G183&lt;&gt;"",$H183&lt;&gt;"",$I183&lt;&gt;"")),$P183="",$P183&lt;&gt;'売掛帳'!$B$3,NOT(ISNUMBER($A183)),N($G183)+N($H183)+N($I183)=0),"",IF(AND($A183&gt;='売掛帳'!$Q$3,$A183&lt;='売掛帳'!$Q$4),$A183+0.5+ROW()/10000000,""))</f>
        <v/>
      </c>
      <c r="R183" s="32">
        <f>IF(AND(OR($A183&lt;&gt;"",$E183&lt;&gt;"",$F183&lt;&gt;"",$G183&lt;&gt;"",$H183&lt;&gt;"",$I183&lt;&gt;""),NOT(ISNUMBER($O183))),1,"")</f>
        <v/>
      </c>
    </row>
    <row r="184" ht="18" customHeight="1">
      <c r="A184" s="26" t="n"/>
      <c r="B184" s="18" t="n"/>
      <c r="C184" s="18" t="n"/>
      <c r="D184" s="20">
        <f>IF($P184="","",IFERROR(INDEX('得意先'!$C$5:$C$104,MATCH($P184,'得意先'!$B$5:$B$104,0))&amp;"","※得意先にないコード"))</f>
        <v/>
      </c>
      <c r="E184" s="27" t="n"/>
      <c r="F184" s="18" t="n"/>
      <c r="G184" s="27" t="n"/>
      <c r="H184" s="27" t="n"/>
      <c r="I184" s="27" t="n"/>
      <c r="J184" s="28">
        <f>IF(NOT(OR($A184&lt;&gt;"",$E184&lt;&gt;"",$F184&lt;&gt;"",$G184&lt;&gt;"",$H184&lt;&gt;"",$I184&lt;&gt;"")),"",N($G184)+N($H184)+N($I184))</f>
        <v/>
      </c>
      <c r="K184" s="28">
        <f>IF(ISNUMBER($O184),INDEX('請求台帳'!$R$5:$R$1004,$O184),"")</f>
        <v/>
      </c>
      <c r="L184" s="20">
        <f>IF(NOT(OR($A184&lt;&gt;"",$E184&lt;&gt;"",$F184&lt;&gt;"",$G184&lt;&gt;"",$H184&lt;&gt;"",$I184&lt;&gt;"")),"",IF(NOT(ISNUMBER($A184)),"入金日がありません",IF(AND($F184&lt;&gt;"",$O184="なし"),"請求Noが請求台帳にありません",IF(AND(ISNUMBER($O184),$C184&lt;&gt;"",$C184&lt;&gt;$P184),"請求の得意先は "&amp;$P184&amp;" です",IF(ROUND(IF($B184&lt;&gt;"",SUMIF($B$5:$B$1004,$B184,$E$5:$E$1004)-SUMIF($B$5:$B$1004,$B184,$G$5:$G$1004),N($E184)-N($G184)),0)&lt;&gt;0,"通帳の額と当てた額の差 "&amp;TEXT(IF($B184&lt;&gt;"",SUMIF($B$5:$B$1004,$B184,$E$5:$E$1004)-SUMIF($B$5:$B$1004,$B184,$G$5:$G$1004),N($E184)-N($G184)),"#,##0"),IF(AND(ISNUMBER($O184),N($K184)&lt;0),"請求額より多く消し込んでいます",IF($F184="","消込先が未定","OK")))))))</f>
        <v/>
      </c>
      <c r="M184" s="19" t="n"/>
      <c r="N184" s="56" t="n"/>
      <c r="O184" s="32">
        <f>IF($F184="","",IFERROR(MATCH($F184,'請求台帳'!$A$5:$A$1004,0),"なし"))</f>
        <v/>
      </c>
      <c r="P184" s="37">
        <f>IF(NOT(OR($A184&lt;&gt;"",$E184&lt;&gt;"",$F184&lt;&gt;"",$G184&lt;&gt;"",$H184&lt;&gt;"",$I184&lt;&gt;"")),"",IF(ISNUMBER($O184),IF(INDEX('請求台帳'!$C$5:$C$1004,$O184)="","",INDEX('請求台帳'!$C$5:$C$1004,$O184)),IF($C184="","",$C184)))</f>
        <v/>
      </c>
      <c r="Q184" s="35">
        <f>IF(OR(NOT(OR($A184&lt;&gt;"",$E184&lt;&gt;"",$F184&lt;&gt;"",$G184&lt;&gt;"",$H184&lt;&gt;"",$I184&lt;&gt;"")),$P184="",$P184&lt;&gt;'売掛帳'!$B$3,NOT(ISNUMBER($A184)),N($G184)+N($H184)+N($I184)=0),"",IF(AND($A184&gt;='売掛帳'!$Q$3,$A184&lt;='売掛帳'!$Q$4),$A184+0.5+ROW()/10000000,""))</f>
        <v/>
      </c>
      <c r="R184" s="32">
        <f>IF(AND(OR($A184&lt;&gt;"",$E184&lt;&gt;"",$F184&lt;&gt;"",$G184&lt;&gt;"",$H184&lt;&gt;"",$I184&lt;&gt;""),NOT(ISNUMBER($O184))),1,"")</f>
        <v/>
      </c>
    </row>
    <row r="185" ht="18" customHeight="1">
      <c r="A185" s="26" t="n"/>
      <c r="B185" s="18" t="n"/>
      <c r="C185" s="18" t="n"/>
      <c r="D185" s="20">
        <f>IF($P185="","",IFERROR(INDEX('得意先'!$C$5:$C$104,MATCH($P185,'得意先'!$B$5:$B$104,0))&amp;"","※得意先にないコード"))</f>
        <v/>
      </c>
      <c r="E185" s="27" t="n"/>
      <c r="F185" s="18" t="n"/>
      <c r="G185" s="27" t="n"/>
      <c r="H185" s="27" t="n"/>
      <c r="I185" s="27" t="n"/>
      <c r="J185" s="28">
        <f>IF(NOT(OR($A185&lt;&gt;"",$E185&lt;&gt;"",$F185&lt;&gt;"",$G185&lt;&gt;"",$H185&lt;&gt;"",$I185&lt;&gt;"")),"",N($G185)+N($H185)+N($I185))</f>
        <v/>
      </c>
      <c r="K185" s="28">
        <f>IF(ISNUMBER($O185),INDEX('請求台帳'!$R$5:$R$1004,$O185),"")</f>
        <v/>
      </c>
      <c r="L185" s="20">
        <f>IF(NOT(OR($A185&lt;&gt;"",$E185&lt;&gt;"",$F185&lt;&gt;"",$G185&lt;&gt;"",$H185&lt;&gt;"",$I185&lt;&gt;"")),"",IF(NOT(ISNUMBER($A185)),"入金日がありません",IF(AND($F185&lt;&gt;"",$O185="なし"),"請求Noが請求台帳にありません",IF(AND(ISNUMBER($O185),$C185&lt;&gt;"",$C185&lt;&gt;$P185),"請求の得意先は "&amp;$P185&amp;" です",IF(ROUND(IF($B185&lt;&gt;"",SUMIF($B$5:$B$1004,$B185,$E$5:$E$1004)-SUMIF($B$5:$B$1004,$B185,$G$5:$G$1004),N($E185)-N($G185)),0)&lt;&gt;0,"通帳の額と当てた額の差 "&amp;TEXT(IF($B185&lt;&gt;"",SUMIF($B$5:$B$1004,$B185,$E$5:$E$1004)-SUMIF($B$5:$B$1004,$B185,$G$5:$G$1004),N($E185)-N($G185)),"#,##0"),IF(AND(ISNUMBER($O185),N($K185)&lt;0),"請求額より多く消し込んでいます",IF($F185="","消込先が未定","OK")))))))</f>
        <v/>
      </c>
      <c r="M185" s="19" t="n"/>
      <c r="N185" s="56" t="n"/>
      <c r="O185" s="32">
        <f>IF($F185="","",IFERROR(MATCH($F185,'請求台帳'!$A$5:$A$1004,0),"なし"))</f>
        <v/>
      </c>
      <c r="P185" s="37">
        <f>IF(NOT(OR($A185&lt;&gt;"",$E185&lt;&gt;"",$F185&lt;&gt;"",$G185&lt;&gt;"",$H185&lt;&gt;"",$I185&lt;&gt;"")),"",IF(ISNUMBER($O185),IF(INDEX('請求台帳'!$C$5:$C$1004,$O185)="","",INDEX('請求台帳'!$C$5:$C$1004,$O185)),IF($C185="","",$C185)))</f>
        <v/>
      </c>
      <c r="Q185" s="35">
        <f>IF(OR(NOT(OR($A185&lt;&gt;"",$E185&lt;&gt;"",$F185&lt;&gt;"",$G185&lt;&gt;"",$H185&lt;&gt;"",$I185&lt;&gt;"")),$P185="",$P185&lt;&gt;'売掛帳'!$B$3,NOT(ISNUMBER($A185)),N($G185)+N($H185)+N($I185)=0),"",IF(AND($A185&gt;='売掛帳'!$Q$3,$A185&lt;='売掛帳'!$Q$4),$A185+0.5+ROW()/10000000,""))</f>
        <v/>
      </c>
      <c r="R185" s="32">
        <f>IF(AND(OR($A185&lt;&gt;"",$E185&lt;&gt;"",$F185&lt;&gt;"",$G185&lt;&gt;"",$H185&lt;&gt;"",$I185&lt;&gt;""),NOT(ISNUMBER($O185))),1,"")</f>
        <v/>
      </c>
    </row>
    <row r="186" ht="18" customHeight="1">
      <c r="A186" s="26" t="n"/>
      <c r="B186" s="18" t="n"/>
      <c r="C186" s="18" t="n"/>
      <c r="D186" s="20">
        <f>IF($P186="","",IFERROR(INDEX('得意先'!$C$5:$C$104,MATCH($P186,'得意先'!$B$5:$B$104,0))&amp;"","※得意先にないコード"))</f>
        <v/>
      </c>
      <c r="E186" s="27" t="n"/>
      <c r="F186" s="18" t="n"/>
      <c r="G186" s="27" t="n"/>
      <c r="H186" s="27" t="n"/>
      <c r="I186" s="27" t="n"/>
      <c r="J186" s="28">
        <f>IF(NOT(OR($A186&lt;&gt;"",$E186&lt;&gt;"",$F186&lt;&gt;"",$G186&lt;&gt;"",$H186&lt;&gt;"",$I186&lt;&gt;"")),"",N($G186)+N($H186)+N($I186))</f>
        <v/>
      </c>
      <c r="K186" s="28">
        <f>IF(ISNUMBER($O186),INDEX('請求台帳'!$R$5:$R$1004,$O186),"")</f>
        <v/>
      </c>
      <c r="L186" s="20">
        <f>IF(NOT(OR($A186&lt;&gt;"",$E186&lt;&gt;"",$F186&lt;&gt;"",$G186&lt;&gt;"",$H186&lt;&gt;"",$I186&lt;&gt;"")),"",IF(NOT(ISNUMBER($A186)),"入金日がありません",IF(AND($F186&lt;&gt;"",$O186="なし"),"請求Noが請求台帳にありません",IF(AND(ISNUMBER($O186),$C186&lt;&gt;"",$C186&lt;&gt;$P186),"請求の得意先は "&amp;$P186&amp;" です",IF(ROUND(IF($B186&lt;&gt;"",SUMIF($B$5:$B$1004,$B186,$E$5:$E$1004)-SUMIF($B$5:$B$1004,$B186,$G$5:$G$1004),N($E186)-N($G186)),0)&lt;&gt;0,"通帳の額と当てた額の差 "&amp;TEXT(IF($B186&lt;&gt;"",SUMIF($B$5:$B$1004,$B186,$E$5:$E$1004)-SUMIF($B$5:$B$1004,$B186,$G$5:$G$1004),N($E186)-N($G186)),"#,##0"),IF(AND(ISNUMBER($O186),N($K186)&lt;0),"請求額より多く消し込んでいます",IF($F186="","消込先が未定","OK")))))))</f>
        <v/>
      </c>
      <c r="M186" s="19" t="n"/>
      <c r="N186" s="56" t="n"/>
      <c r="O186" s="32">
        <f>IF($F186="","",IFERROR(MATCH($F186,'請求台帳'!$A$5:$A$1004,0),"なし"))</f>
        <v/>
      </c>
      <c r="P186" s="37">
        <f>IF(NOT(OR($A186&lt;&gt;"",$E186&lt;&gt;"",$F186&lt;&gt;"",$G186&lt;&gt;"",$H186&lt;&gt;"",$I186&lt;&gt;"")),"",IF(ISNUMBER($O186),IF(INDEX('請求台帳'!$C$5:$C$1004,$O186)="","",INDEX('請求台帳'!$C$5:$C$1004,$O186)),IF($C186="","",$C186)))</f>
        <v/>
      </c>
      <c r="Q186" s="35">
        <f>IF(OR(NOT(OR($A186&lt;&gt;"",$E186&lt;&gt;"",$F186&lt;&gt;"",$G186&lt;&gt;"",$H186&lt;&gt;"",$I186&lt;&gt;"")),$P186="",$P186&lt;&gt;'売掛帳'!$B$3,NOT(ISNUMBER($A186)),N($G186)+N($H186)+N($I186)=0),"",IF(AND($A186&gt;='売掛帳'!$Q$3,$A186&lt;='売掛帳'!$Q$4),$A186+0.5+ROW()/10000000,""))</f>
        <v/>
      </c>
      <c r="R186" s="32">
        <f>IF(AND(OR($A186&lt;&gt;"",$E186&lt;&gt;"",$F186&lt;&gt;"",$G186&lt;&gt;"",$H186&lt;&gt;"",$I186&lt;&gt;""),NOT(ISNUMBER($O186))),1,"")</f>
        <v/>
      </c>
    </row>
    <row r="187" ht="18" customHeight="1">
      <c r="A187" s="26" t="n"/>
      <c r="B187" s="18" t="n"/>
      <c r="C187" s="18" t="n"/>
      <c r="D187" s="20">
        <f>IF($P187="","",IFERROR(INDEX('得意先'!$C$5:$C$104,MATCH($P187,'得意先'!$B$5:$B$104,0))&amp;"","※得意先にないコード"))</f>
        <v/>
      </c>
      <c r="E187" s="27" t="n"/>
      <c r="F187" s="18" t="n"/>
      <c r="G187" s="27" t="n"/>
      <c r="H187" s="27" t="n"/>
      <c r="I187" s="27" t="n"/>
      <c r="J187" s="28">
        <f>IF(NOT(OR($A187&lt;&gt;"",$E187&lt;&gt;"",$F187&lt;&gt;"",$G187&lt;&gt;"",$H187&lt;&gt;"",$I187&lt;&gt;"")),"",N($G187)+N($H187)+N($I187))</f>
        <v/>
      </c>
      <c r="K187" s="28">
        <f>IF(ISNUMBER($O187),INDEX('請求台帳'!$R$5:$R$1004,$O187),"")</f>
        <v/>
      </c>
      <c r="L187" s="20">
        <f>IF(NOT(OR($A187&lt;&gt;"",$E187&lt;&gt;"",$F187&lt;&gt;"",$G187&lt;&gt;"",$H187&lt;&gt;"",$I187&lt;&gt;"")),"",IF(NOT(ISNUMBER($A187)),"入金日がありません",IF(AND($F187&lt;&gt;"",$O187="なし"),"請求Noが請求台帳にありません",IF(AND(ISNUMBER($O187),$C187&lt;&gt;"",$C187&lt;&gt;$P187),"請求の得意先は "&amp;$P187&amp;" です",IF(ROUND(IF($B187&lt;&gt;"",SUMIF($B$5:$B$1004,$B187,$E$5:$E$1004)-SUMIF($B$5:$B$1004,$B187,$G$5:$G$1004),N($E187)-N($G187)),0)&lt;&gt;0,"通帳の額と当てた額の差 "&amp;TEXT(IF($B187&lt;&gt;"",SUMIF($B$5:$B$1004,$B187,$E$5:$E$1004)-SUMIF($B$5:$B$1004,$B187,$G$5:$G$1004),N($E187)-N($G187)),"#,##0"),IF(AND(ISNUMBER($O187),N($K187)&lt;0),"請求額より多く消し込んでいます",IF($F187="","消込先が未定","OK")))))))</f>
        <v/>
      </c>
      <c r="M187" s="19" t="n"/>
      <c r="N187" s="56" t="n"/>
      <c r="O187" s="32">
        <f>IF($F187="","",IFERROR(MATCH($F187,'請求台帳'!$A$5:$A$1004,0),"なし"))</f>
        <v/>
      </c>
      <c r="P187" s="37">
        <f>IF(NOT(OR($A187&lt;&gt;"",$E187&lt;&gt;"",$F187&lt;&gt;"",$G187&lt;&gt;"",$H187&lt;&gt;"",$I187&lt;&gt;"")),"",IF(ISNUMBER($O187),IF(INDEX('請求台帳'!$C$5:$C$1004,$O187)="","",INDEX('請求台帳'!$C$5:$C$1004,$O187)),IF($C187="","",$C187)))</f>
        <v/>
      </c>
      <c r="Q187" s="35">
        <f>IF(OR(NOT(OR($A187&lt;&gt;"",$E187&lt;&gt;"",$F187&lt;&gt;"",$G187&lt;&gt;"",$H187&lt;&gt;"",$I187&lt;&gt;"")),$P187="",$P187&lt;&gt;'売掛帳'!$B$3,NOT(ISNUMBER($A187)),N($G187)+N($H187)+N($I187)=0),"",IF(AND($A187&gt;='売掛帳'!$Q$3,$A187&lt;='売掛帳'!$Q$4),$A187+0.5+ROW()/10000000,""))</f>
        <v/>
      </c>
      <c r="R187" s="32">
        <f>IF(AND(OR($A187&lt;&gt;"",$E187&lt;&gt;"",$F187&lt;&gt;"",$G187&lt;&gt;"",$H187&lt;&gt;"",$I187&lt;&gt;""),NOT(ISNUMBER($O187))),1,"")</f>
        <v/>
      </c>
    </row>
    <row r="188" ht="18" customHeight="1">
      <c r="A188" s="26" t="n"/>
      <c r="B188" s="18" t="n"/>
      <c r="C188" s="18" t="n"/>
      <c r="D188" s="20">
        <f>IF($P188="","",IFERROR(INDEX('得意先'!$C$5:$C$104,MATCH($P188,'得意先'!$B$5:$B$104,0))&amp;"","※得意先にないコード"))</f>
        <v/>
      </c>
      <c r="E188" s="27" t="n"/>
      <c r="F188" s="18" t="n"/>
      <c r="G188" s="27" t="n"/>
      <c r="H188" s="27" t="n"/>
      <c r="I188" s="27" t="n"/>
      <c r="J188" s="28">
        <f>IF(NOT(OR($A188&lt;&gt;"",$E188&lt;&gt;"",$F188&lt;&gt;"",$G188&lt;&gt;"",$H188&lt;&gt;"",$I188&lt;&gt;"")),"",N($G188)+N($H188)+N($I188))</f>
        <v/>
      </c>
      <c r="K188" s="28">
        <f>IF(ISNUMBER($O188),INDEX('請求台帳'!$R$5:$R$1004,$O188),"")</f>
        <v/>
      </c>
      <c r="L188" s="20">
        <f>IF(NOT(OR($A188&lt;&gt;"",$E188&lt;&gt;"",$F188&lt;&gt;"",$G188&lt;&gt;"",$H188&lt;&gt;"",$I188&lt;&gt;"")),"",IF(NOT(ISNUMBER($A188)),"入金日がありません",IF(AND($F188&lt;&gt;"",$O188="なし"),"請求Noが請求台帳にありません",IF(AND(ISNUMBER($O188),$C188&lt;&gt;"",$C188&lt;&gt;$P188),"請求の得意先は "&amp;$P188&amp;" です",IF(ROUND(IF($B188&lt;&gt;"",SUMIF($B$5:$B$1004,$B188,$E$5:$E$1004)-SUMIF($B$5:$B$1004,$B188,$G$5:$G$1004),N($E188)-N($G188)),0)&lt;&gt;0,"通帳の額と当てた額の差 "&amp;TEXT(IF($B188&lt;&gt;"",SUMIF($B$5:$B$1004,$B188,$E$5:$E$1004)-SUMIF($B$5:$B$1004,$B188,$G$5:$G$1004),N($E188)-N($G188)),"#,##0"),IF(AND(ISNUMBER($O188),N($K188)&lt;0),"請求額より多く消し込んでいます",IF($F188="","消込先が未定","OK")))))))</f>
        <v/>
      </c>
      <c r="M188" s="19" t="n"/>
      <c r="N188" s="56" t="n"/>
      <c r="O188" s="32">
        <f>IF($F188="","",IFERROR(MATCH($F188,'請求台帳'!$A$5:$A$1004,0),"なし"))</f>
        <v/>
      </c>
      <c r="P188" s="37">
        <f>IF(NOT(OR($A188&lt;&gt;"",$E188&lt;&gt;"",$F188&lt;&gt;"",$G188&lt;&gt;"",$H188&lt;&gt;"",$I188&lt;&gt;"")),"",IF(ISNUMBER($O188),IF(INDEX('請求台帳'!$C$5:$C$1004,$O188)="","",INDEX('請求台帳'!$C$5:$C$1004,$O188)),IF($C188="","",$C188)))</f>
        <v/>
      </c>
      <c r="Q188" s="35">
        <f>IF(OR(NOT(OR($A188&lt;&gt;"",$E188&lt;&gt;"",$F188&lt;&gt;"",$G188&lt;&gt;"",$H188&lt;&gt;"",$I188&lt;&gt;"")),$P188="",$P188&lt;&gt;'売掛帳'!$B$3,NOT(ISNUMBER($A188)),N($G188)+N($H188)+N($I188)=0),"",IF(AND($A188&gt;='売掛帳'!$Q$3,$A188&lt;='売掛帳'!$Q$4),$A188+0.5+ROW()/10000000,""))</f>
        <v/>
      </c>
      <c r="R188" s="32">
        <f>IF(AND(OR($A188&lt;&gt;"",$E188&lt;&gt;"",$F188&lt;&gt;"",$G188&lt;&gt;"",$H188&lt;&gt;"",$I188&lt;&gt;""),NOT(ISNUMBER($O188))),1,"")</f>
        <v/>
      </c>
    </row>
    <row r="189" ht="18" customHeight="1">
      <c r="A189" s="26" t="n"/>
      <c r="B189" s="18" t="n"/>
      <c r="C189" s="18" t="n"/>
      <c r="D189" s="20">
        <f>IF($P189="","",IFERROR(INDEX('得意先'!$C$5:$C$104,MATCH($P189,'得意先'!$B$5:$B$104,0))&amp;"","※得意先にないコード"))</f>
        <v/>
      </c>
      <c r="E189" s="27" t="n"/>
      <c r="F189" s="18" t="n"/>
      <c r="G189" s="27" t="n"/>
      <c r="H189" s="27" t="n"/>
      <c r="I189" s="27" t="n"/>
      <c r="J189" s="28">
        <f>IF(NOT(OR($A189&lt;&gt;"",$E189&lt;&gt;"",$F189&lt;&gt;"",$G189&lt;&gt;"",$H189&lt;&gt;"",$I189&lt;&gt;"")),"",N($G189)+N($H189)+N($I189))</f>
        <v/>
      </c>
      <c r="K189" s="28">
        <f>IF(ISNUMBER($O189),INDEX('請求台帳'!$R$5:$R$1004,$O189),"")</f>
        <v/>
      </c>
      <c r="L189" s="20">
        <f>IF(NOT(OR($A189&lt;&gt;"",$E189&lt;&gt;"",$F189&lt;&gt;"",$G189&lt;&gt;"",$H189&lt;&gt;"",$I189&lt;&gt;"")),"",IF(NOT(ISNUMBER($A189)),"入金日がありません",IF(AND($F189&lt;&gt;"",$O189="なし"),"請求Noが請求台帳にありません",IF(AND(ISNUMBER($O189),$C189&lt;&gt;"",$C189&lt;&gt;$P189),"請求の得意先は "&amp;$P189&amp;" です",IF(ROUND(IF($B189&lt;&gt;"",SUMIF($B$5:$B$1004,$B189,$E$5:$E$1004)-SUMIF($B$5:$B$1004,$B189,$G$5:$G$1004),N($E189)-N($G189)),0)&lt;&gt;0,"通帳の額と当てた額の差 "&amp;TEXT(IF($B189&lt;&gt;"",SUMIF($B$5:$B$1004,$B189,$E$5:$E$1004)-SUMIF($B$5:$B$1004,$B189,$G$5:$G$1004),N($E189)-N($G189)),"#,##0"),IF(AND(ISNUMBER($O189),N($K189)&lt;0),"請求額より多く消し込んでいます",IF($F189="","消込先が未定","OK")))))))</f>
        <v/>
      </c>
      <c r="M189" s="19" t="n"/>
      <c r="N189" s="56" t="n"/>
      <c r="O189" s="32">
        <f>IF($F189="","",IFERROR(MATCH($F189,'請求台帳'!$A$5:$A$1004,0),"なし"))</f>
        <v/>
      </c>
      <c r="P189" s="37">
        <f>IF(NOT(OR($A189&lt;&gt;"",$E189&lt;&gt;"",$F189&lt;&gt;"",$G189&lt;&gt;"",$H189&lt;&gt;"",$I189&lt;&gt;"")),"",IF(ISNUMBER($O189),IF(INDEX('請求台帳'!$C$5:$C$1004,$O189)="","",INDEX('請求台帳'!$C$5:$C$1004,$O189)),IF($C189="","",$C189)))</f>
        <v/>
      </c>
      <c r="Q189" s="35">
        <f>IF(OR(NOT(OR($A189&lt;&gt;"",$E189&lt;&gt;"",$F189&lt;&gt;"",$G189&lt;&gt;"",$H189&lt;&gt;"",$I189&lt;&gt;"")),$P189="",$P189&lt;&gt;'売掛帳'!$B$3,NOT(ISNUMBER($A189)),N($G189)+N($H189)+N($I189)=0),"",IF(AND($A189&gt;='売掛帳'!$Q$3,$A189&lt;='売掛帳'!$Q$4),$A189+0.5+ROW()/10000000,""))</f>
        <v/>
      </c>
      <c r="R189" s="32">
        <f>IF(AND(OR($A189&lt;&gt;"",$E189&lt;&gt;"",$F189&lt;&gt;"",$G189&lt;&gt;"",$H189&lt;&gt;"",$I189&lt;&gt;""),NOT(ISNUMBER($O189))),1,"")</f>
        <v/>
      </c>
    </row>
    <row r="190" ht="18" customHeight="1">
      <c r="A190" s="26" t="n"/>
      <c r="B190" s="18" t="n"/>
      <c r="C190" s="18" t="n"/>
      <c r="D190" s="20">
        <f>IF($P190="","",IFERROR(INDEX('得意先'!$C$5:$C$104,MATCH($P190,'得意先'!$B$5:$B$104,0))&amp;"","※得意先にないコード"))</f>
        <v/>
      </c>
      <c r="E190" s="27" t="n"/>
      <c r="F190" s="18" t="n"/>
      <c r="G190" s="27" t="n"/>
      <c r="H190" s="27" t="n"/>
      <c r="I190" s="27" t="n"/>
      <c r="J190" s="28">
        <f>IF(NOT(OR($A190&lt;&gt;"",$E190&lt;&gt;"",$F190&lt;&gt;"",$G190&lt;&gt;"",$H190&lt;&gt;"",$I190&lt;&gt;"")),"",N($G190)+N($H190)+N($I190))</f>
        <v/>
      </c>
      <c r="K190" s="28">
        <f>IF(ISNUMBER($O190),INDEX('請求台帳'!$R$5:$R$1004,$O190),"")</f>
        <v/>
      </c>
      <c r="L190" s="20">
        <f>IF(NOT(OR($A190&lt;&gt;"",$E190&lt;&gt;"",$F190&lt;&gt;"",$G190&lt;&gt;"",$H190&lt;&gt;"",$I190&lt;&gt;"")),"",IF(NOT(ISNUMBER($A190)),"入金日がありません",IF(AND($F190&lt;&gt;"",$O190="なし"),"請求Noが請求台帳にありません",IF(AND(ISNUMBER($O190),$C190&lt;&gt;"",$C190&lt;&gt;$P190),"請求の得意先は "&amp;$P190&amp;" です",IF(ROUND(IF($B190&lt;&gt;"",SUMIF($B$5:$B$1004,$B190,$E$5:$E$1004)-SUMIF($B$5:$B$1004,$B190,$G$5:$G$1004),N($E190)-N($G190)),0)&lt;&gt;0,"通帳の額と当てた額の差 "&amp;TEXT(IF($B190&lt;&gt;"",SUMIF($B$5:$B$1004,$B190,$E$5:$E$1004)-SUMIF($B$5:$B$1004,$B190,$G$5:$G$1004),N($E190)-N($G190)),"#,##0"),IF(AND(ISNUMBER($O190),N($K190)&lt;0),"請求額より多く消し込んでいます",IF($F190="","消込先が未定","OK")))))))</f>
        <v/>
      </c>
      <c r="M190" s="19" t="n"/>
      <c r="N190" s="56" t="n"/>
      <c r="O190" s="32">
        <f>IF($F190="","",IFERROR(MATCH($F190,'請求台帳'!$A$5:$A$1004,0),"なし"))</f>
        <v/>
      </c>
      <c r="P190" s="37">
        <f>IF(NOT(OR($A190&lt;&gt;"",$E190&lt;&gt;"",$F190&lt;&gt;"",$G190&lt;&gt;"",$H190&lt;&gt;"",$I190&lt;&gt;"")),"",IF(ISNUMBER($O190),IF(INDEX('請求台帳'!$C$5:$C$1004,$O190)="","",INDEX('請求台帳'!$C$5:$C$1004,$O190)),IF($C190="","",$C190)))</f>
        <v/>
      </c>
      <c r="Q190" s="35">
        <f>IF(OR(NOT(OR($A190&lt;&gt;"",$E190&lt;&gt;"",$F190&lt;&gt;"",$G190&lt;&gt;"",$H190&lt;&gt;"",$I190&lt;&gt;"")),$P190="",$P190&lt;&gt;'売掛帳'!$B$3,NOT(ISNUMBER($A190)),N($G190)+N($H190)+N($I190)=0),"",IF(AND($A190&gt;='売掛帳'!$Q$3,$A190&lt;='売掛帳'!$Q$4),$A190+0.5+ROW()/10000000,""))</f>
        <v/>
      </c>
      <c r="R190" s="32">
        <f>IF(AND(OR($A190&lt;&gt;"",$E190&lt;&gt;"",$F190&lt;&gt;"",$G190&lt;&gt;"",$H190&lt;&gt;"",$I190&lt;&gt;""),NOT(ISNUMBER($O190))),1,"")</f>
        <v/>
      </c>
    </row>
    <row r="191" ht="18" customHeight="1">
      <c r="A191" s="26" t="n"/>
      <c r="B191" s="18" t="n"/>
      <c r="C191" s="18" t="n"/>
      <c r="D191" s="20">
        <f>IF($P191="","",IFERROR(INDEX('得意先'!$C$5:$C$104,MATCH($P191,'得意先'!$B$5:$B$104,0))&amp;"","※得意先にないコード"))</f>
        <v/>
      </c>
      <c r="E191" s="27" t="n"/>
      <c r="F191" s="18" t="n"/>
      <c r="G191" s="27" t="n"/>
      <c r="H191" s="27" t="n"/>
      <c r="I191" s="27" t="n"/>
      <c r="J191" s="28">
        <f>IF(NOT(OR($A191&lt;&gt;"",$E191&lt;&gt;"",$F191&lt;&gt;"",$G191&lt;&gt;"",$H191&lt;&gt;"",$I191&lt;&gt;"")),"",N($G191)+N($H191)+N($I191))</f>
        <v/>
      </c>
      <c r="K191" s="28">
        <f>IF(ISNUMBER($O191),INDEX('請求台帳'!$R$5:$R$1004,$O191),"")</f>
        <v/>
      </c>
      <c r="L191" s="20">
        <f>IF(NOT(OR($A191&lt;&gt;"",$E191&lt;&gt;"",$F191&lt;&gt;"",$G191&lt;&gt;"",$H191&lt;&gt;"",$I191&lt;&gt;"")),"",IF(NOT(ISNUMBER($A191)),"入金日がありません",IF(AND($F191&lt;&gt;"",$O191="なし"),"請求Noが請求台帳にありません",IF(AND(ISNUMBER($O191),$C191&lt;&gt;"",$C191&lt;&gt;$P191),"請求の得意先は "&amp;$P191&amp;" です",IF(ROUND(IF($B191&lt;&gt;"",SUMIF($B$5:$B$1004,$B191,$E$5:$E$1004)-SUMIF($B$5:$B$1004,$B191,$G$5:$G$1004),N($E191)-N($G191)),0)&lt;&gt;0,"通帳の額と当てた額の差 "&amp;TEXT(IF($B191&lt;&gt;"",SUMIF($B$5:$B$1004,$B191,$E$5:$E$1004)-SUMIF($B$5:$B$1004,$B191,$G$5:$G$1004),N($E191)-N($G191)),"#,##0"),IF(AND(ISNUMBER($O191),N($K191)&lt;0),"請求額より多く消し込んでいます",IF($F191="","消込先が未定","OK")))))))</f>
        <v/>
      </c>
      <c r="M191" s="19" t="n"/>
      <c r="N191" s="56" t="n"/>
      <c r="O191" s="32">
        <f>IF($F191="","",IFERROR(MATCH($F191,'請求台帳'!$A$5:$A$1004,0),"なし"))</f>
        <v/>
      </c>
      <c r="P191" s="37">
        <f>IF(NOT(OR($A191&lt;&gt;"",$E191&lt;&gt;"",$F191&lt;&gt;"",$G191&lt;&gt;"",$H191&lt;&gt;"",$I191&lt;&gt;"")),"",IF(ISNUMBER($O191),IF(INDEX('請求台帳'!$C$5:$C$1004,$O191)="","",INDEX('請求台帳'!$C$5:$C$1004,$O191)),IF($C191="","",$C191)))</f>
        <v/>
      </c>
      <c r="Q191" s="35">
        <f>IF(OR(NOT(OR($A191&lt;&gt;"",$E191&lt;&gt;"",$F191&lt;&gt;"",$G191&lt;&gt;"",$H191&lt;&gt;"",$I191&lt;&gt;"")),$P191="",$P191&lt;&gt;'売掛帳'!$B$3,NOT(ISNUMBER($A191)),N($G191)+N($H191)+N($I191)=0),"",IF(AND($A191&gt;='売掛帳'!$Q$3,$A191&lt;='売掛帳'!$Q$4),$A191+0.5+ROW()/10000000,""))</f>
        <v/>
      </c>
      <c r="R191" s="32">
        <f>IF(AND(OR($A191&lt;&gt;"",$E191&lt;&gt;"",$F191&lt;&gt;"",$G191&lt;&gt;"",$H191&lt;&gt;"",$I191&lt;&gt;""),NOT(ISNUMBER($O191))),1,"")</f>
        <v/>
      </c>
    </row>
    <row r="192" ht="18" customHeight="1">
      <c r="A192" s="26" t="n"/>
      <c r="B192" s="18" t="n"/>
      <c r="C192" s="18" t="n"/>
      <c r="D192" s="20">
        <f>IF($P192="","",IFERROR(INDEX('得意先'!$C$5:$C$104,MATCH($P192,'得意先'!$B$5:$B$104,0))&amp;"","※得意先にないコード"))</f>
        <v/>
      </c>
      <c r="E192" s="27" t="n"/>
      <c r="F192" s="18" t="n"/>
      <c r="G192" s="27" t="n"/>
      <c r="H192" s="27" t="n"/>
      <c r="I192" s="27" t="n"/>
      <c r="J192" s="28">
        <f>IF(NOT(OR($A192&lt;&gt;"",$E192&lt;&gt;"",$F192&lt;&gt;"",$G192&lt;&gt;"",$H192&lt;&gt;"",$I192&lt;&gt;"")),"",N($G192)+N($H192)+N($I192))</f>
        <v/>
      </c>
      <c r="K192" s="28">
        <f>IF(ISNUMBER($O192),INDEX('請求台帳'!$R$5:$R$1004,$O192),"")</f>
        <v/>
      </c>
      <c r="L192" s="20">
        <f>IF(NOT(OR($A192&lt;&gt;"",$E192&lt;&gt;"",$F192&lt;&gt;"",$G192&lt;&gt;"",$H192&lt;&gt;"",$I192&lt;&gt;"")),"",IF(NOT(ISNUMBER($A192)),"入金日がありません",IF(AND($F192&lt;&gt;"",$O192="なし"),"請求Noが請求台帳にありません",IF(AND(ISNUMBER($O192),$C192&lt;&gt;"",$C192&lt;&gt;$P192),"請求の得意先は "&amp;$P192&amp;" です",IF(ROUND(IF($B192&lt;&gt;"",SUMIF($B$5:$B$1004,$B192,$E$5:$E$1004)-SUMIF($B$5:$B$1004,$B192,$G$5:$G$1004),N($E192)-N($G192)),0)&lt;&gt;0,"通帳の額と当てた額の差 "&amp;TEXT(IF($B192&lt;&gt;"",SUMIF($B$5:$B$1004,$B192,$E$5:$E$1004)-SUMIF($B$5:$B$1004,$B192,$G$5:$G$1004),N($E192)-N($G192)),"#,##0"),IF(AND(ISNUMBER($O192),N($K192)&lt;0),"請求額より多く消し込んでいます",IF($F192="","消込先が未定","OK")))))))</f>
        <v/>
      </c>
      <c r="M192" s="19" t="n"/>
      <c r="N192" s="56" t="n"/>
      <c r="O192" s="32">
        <f>IF($F192="","",IFERROR(MATCH($F192,'請求台帳'!$A$5:$A$1004,0),"なし"))</f>
        <v/>
      </c>
      <c r="P192" s="37">
        <f>IF(NOT(OR($A192&lt;&gt;"",$E192&lt;&gt;"",$F192&lt;&gt;"",$G192&lt;&gt;"",$H192&lt;&gt;"",$I192&lt;&gt;"")),"",IF(ISNUMBER($O192),IF(INDEX('請求台帳'!$C$5:$C$1004,$O192)="","",INDEX('請求台帳'!$C$5:$C$1004,$O192)),IF($C192="","",$C192)))</f>
        <v/>
      </c>
      <c r="Q192" s="35">
        <f>IF(OR(NOT(OR($A192&lt;&gt;"",$E192&lt;&gt;"",$F192&lt;&gt;"",$G192&lt;&gt;"",$H192&lt;&gt;"",$I192&lt;&gt;"")),$P192="",$P192&lt;&gt;'売掛帳'!$B$3,NOT(ISNUMBER($A192)),N($G192)+N($H192)+N($I192)=0),"",IF(AND($A192&gt;='売掛帳'!$Q$3,$A192&lt;='売掛帳'!$Q$4),$A192+0.5+ROW()/10000000,""))</f>
        <v/>
      </c>
      <c r="R192" s="32">
        <f>IF(AND(OR($A192&lt;&gt;"",$E192&lt;&gt;"",$F192&lt;&gt;"",$G192&lt;&gt;"",$H192&lt;&gt;"",$I192&lt;&gt;""),NOT(ISNUMBER($O192))),1,"")</f>
        <v/>
      </c>
    </row>
    <row r="193" ht="18" customHeight="1">
      <c r="A193" s="26" t="n"/>
      <c r="B193" s="18" t="n"/>
      <c r="C193" s="18" t="n"/>
      <c r="D193" s="20">
        <f>IF($P193="","",IFERROR(INDEX('得意先'!$C$5:$C$104,MATCH($P193,'得意先'!$B$5:$B$104,0))&amp;"","※得意先にないコード"))</f>
        <v/>
      </c>
      <c r="E193" s="27" t="n"/>
      <c r="F193" s="18" t="n"/>
      <c r="G193" s="27" t="n"/>
      <c r="H193" s="27" t="n"/>
      <c r="I193" s="27" t="n"/>
      <c r="J193" s="28">
        <f>IF(NOT(OR($A193&lt;&gt;"",$E193&lt;&gt;"",$F193&lt;&gt;"",$G193&lt;&gt;"",$H193&lt;&gt;"",$I193&lt;&gt;"")),"",N($G193)+N($H193)+N($I193))</f>
        <v/>
      </c>
      <c r="K193" s="28">
        <f>IF(ISNUMBER($O193),INDEX('請求台帳'!$R$5:$R$1004,$O193),"")</f>
        <v/>
      </c>
      <c r="L193" s="20">
        <f>IF(NOT(OR($A193&lt;&gt;"",$E193&lt;&gt;"",$F193&lt;&gt;"",$G193&lt;&gt;"",$H193&lt;&gt;"",$I193&lt;&gt;"")),"",IF(NOT(ISNUMBER($A193)),"入金日がありません",IF(AND($F193&lt;&gt;"",$O193="なし"),"請求Noが請求台帳にありません",IF(AND(ISNUMBER($O193),$C193&lt;&gt;"",$C193&lt;&gt;$P193),"請求の得意先は "&amp;$P193&amp;" です",IF(ROUND(IF($B193&lt;&gt;"",SUMIF($B$5:$B$1004,$B193,$E$5:$E$1004)-SUMIF($B$5:$B$1004,$B193,$G$5:$G$1004),N($E193)-N($G193)),0)&lt;&gt;0,"通帳の額と当てた額の差 "&amp;TEXT(IF($B193&lt;&gt;"",SUMIF($B$5:$B$1004,$B193,$E$5:$E$1004)-SUMIF($B$5:$B$1004,$B193,$G$5:$G$1004),N($E193)-N($G193)),"#,##0"),IF(AND(ISNUMBER($O193),N($K193)&lt;0),"請求額より多く消し込んでいます",IF($F193="","消込先が未定","OK")))))))</f>
        <v/>
      </c>
      <c r="M193" s="19" t="n"/>
      <c r="N193" s="56" t="n"/>
      <c r="O193" s="32">
        <f>IF($F193="","",IFERROR(MATCH($F193,'請求台帳'!$A$5:$A$1004,0),"なし"))</f>
        <v/>
      </c>
      <c r="P193" s="37">
        <f>IF(NOT(OR($A193&lt;&gt;"",$E193&lt;&gt;"",$F193&lt;&gt;"",$G193&lt;&gt;"",$H193&lt;&gt;"",$I193&lt;&gt;"")),"",IF(ISNUMBER($O193),IF(INDEX('請求台帳'!$C$5:$C$1004,$O193)="","",INDEX('請求台帳'!$C$5:$C$1004,$O193)),IF($C193="","",$C193)))</f>
        <v/>
      </c>
      <c r="Q193" s="35">
        <f>IF(OR(NOT(OR($A193&lt;&gt;"",$E193&lt;&gt;"",$F193&lt;&gt;"",$G193&lt;&gt;"",$H193&lt;&gt;"",$I193&lt;&gt;"")),$P193="",$P193&lt;&gt;'売掛帳'!$B$3,NOT(ISNUMBER($A193)),N($G193)+N($H193)+N($I193)=0),"",IF(AND($A193&gt;='売掛帳'!$Q$3,$A193&lt;='売掛帳'!$Q$4),$A193+0.5+ROW()/10000000,""))</f>
        <v/>
      </c>
      <c r="R193" s="32">
        <f>IF(AND(OR($A193&lt;&gt;"",$E193&lt;&gt;"",$F193&lt;&gt;"",$G193&lt;&gt;"",$H193&lt;&gt;"",$I193&lt;&gt;""),NOT(ISNUMBER($O193))),1,"")</f>
        <v/>
      </c>
    </row>
    <row r="194" ht="18" customHeight="1">
      <c r="A194" s="26" t="n"/>
      <c r="B194" s="18" t="n"/>
      <c r="C194" s="18" t="n"/>
      <c r="D194" s="20">
        <f>IF($P194="","",IFERROR(INDEX('得意先'!$C$5:$C$104,MATCH($P194,'得意先'!$B$5:$B$104,0))&amp;"","※得意先にないコード"))</f>
        <v/>
      </c>
      <c r="E194" s="27" t="n"/>
      <c r="F194" s="18" t="n"/>
      <c r="G194" s="27" t="n"/>
      <c r="H194" s="27" t="n"/>
      <c r="I194" s="27" t="n"/>
      <c r="J194" s="28">
        <f>IF(NOT(OR($A194&lt;&gt;"",$E194&lt;&gt;"",$F194&lt;&gt;"",$G194&lt;&gt;"",$H194&lt;&gt;"",$I194&lt;&gt;"")),"",N($G194)+N($H194)+N($I194))</f>
        <v/>
      </c>
      <c r="K194" s="28">
        <f>IF(ISNUMBER($O194),INDEX('請求台帳'!$R$5:$R$1004,$O194),"")</f>
        <v/>
      </c>
      <c r="L194" s="20">
        <f>IF(NOT(OR($A194&lt;&gt;"",$E194&lt;&gt;"",$F194&lt;&gt;"",$G194&lt;&gt;"",$H194&lt;&gt;"",$I194&lt;&gt;"")),"",IF(NOT(ISNUMBER($A194)),"入金日がありません",IF(AND($F194&lt;&gt;"",$O194="なし"),"請求Noが請求台帳にありません",IF(AND(ISNUMBER($O194),$C194&lt;&gt;"",$C194&lt;&gt;$P194),"請求の得意先は "&amp;$P194&amp;" です",IF(ROUND(IF($B194&lt;&gt;"",SUMIF($B$5:$B$1004,$B194,$E$5:$E$1004)-SUMIF($B$5:$B$1004,$B194,$G$5:$G$1004),N($E194)-N($G194)),0)&lt;&gt;0,"通帳の額と当てた額の差 "&amp;TEXT(IF($B194&lt;&gt;"",SUMIF($B$5:$B$1004,$B194,$E$5:$E$1004)-SUMIF($B$5:$B$1004,$B194,$G$5:$G$1004),N($E194)-N($G194)),"#,##0"),IF(AND(ISNUMBER($O194),N($K194)&lt;0),"請求額より多く消し込んでいます",IF($F194="","消込先が未定","OK")))))))</f>
        <v/>
      </c>
      <c r="M194" s="19" t="n"/>
      <c r="N194" s="56" t="n"/>
      <c r="O194" s="32">
        <f>IF($F194="","",IFERROR(MATCH($F194,'請求台帳'!$A$5:$A$1004,0),"なし"))</f>
        <v/>
      </c>
      <c r="P194" s="37">
        <f>IF(NOT(OR($A194&lt;&gt;"",$E194&lt;&gt;"",$F194&lt;&gt;"",$G194&lt;&gt;"",$H194&lt;&gt;"",$I194&lt;&gt;"")),"",IF(ISNUMBER($O194),IF(INDEX('請求台帳'!$C$5:$C$1004,$O194)="","",INDEX('請求台帳'!$C$5:$C$1004,$O194)),IF($C194="","",$C194)))</f>
        <v/>
      </c>
      <c r="Q194" s="35">
        <f>IF(OR(NOT(OR($A194&lt;&gt;"",$E194&lt;&gt;"",$F194&lt;&gt;"",$G194&lt;&gt;"",$H194&lt;&gt;"",$I194&lt;&gt;"")),$P194="",$P194&lt;&gt;'売掛帳'!$B$3,NOT(ISNUMBER($A194)),N($G194)+N($H194)+N($I194)=0),"",IF(AND($A194&gt;='売掛帳'!$Q$3,$A194&lt;='売掛帳'!$Q$4),$A194+0.5+ROW()/10000000,""))</f>
        <v/>
      </c>
      <c r="R194" s="32">
        <f>IF(AND(OR($A194&lt;&gt;"",$E194&lt;&gt;"",$F194&lt;&gt;"",$G194&lt;&gt;"",$H194&lt;&gt;"",$I194&lt;&gt;""),NOT(ISNUMBER($O194))),1,"")</f>
        <v/>
      </c>
    </row>
    <row r="195" ht="18" customHeight="1">
      <c r="A195" s="26" t="n"/>
      <c r="B195" s="18" t="n"/>
      <c r="C195" s="18" t="n"/>
      <c r="D195" s="20">
        <f>IF($P195="","",IFERROR(INDEX('得意先'!$C$5:$C$104,MATCH($P195,'得意先'!$B$5:$B$104,0))&amp;"","※得意先にないコード"))</f>
        <v/>
      </c>
      <c r="E195" s="27" t="n"/>
      <c r="F195" s="18" t="n"/>
      <c r="G195" s="27" t="n"/>
      <c r="H195" s="27" t="n"/>
      <c r="I195" s="27" t="n"/>
      <c r="J195" s="28">
        <f>IF(NOT(OR($A195&lt;&gt;"",$E195&lt;&gt;"",$F195&lt;&gt;"",$G195&lt;&gt;"",$H195&lt;&gt;"",$I195&lt;&gt;"")),"",N($G195)+N($H195)+N($I195))</f>
        <v/>
      </c>
      <c r="K195" s="28">
        <f>IF(ISNUMBER($O195),INDEX('請求台帳'!$R$5:$R$1004,$O195),"")</f>
        <v/>
      </c>
      <c r="L195" s="20">
        <f>IF(NOT(OR($A195&lt;&gt;"",$E195&lt;&gt;"",$F195&lt;&gt;"",$G195&lt;&gt;"",$H195&lt;&gt;"",$I195&lt;&gt;"")),"",IF(NOT(ISNUMBER($A195)),"入金日がありません",IF(AND($F195&lt;&gt;"",$O195="なし"),"請求Noが請求台帳にありません",IF(AND(ISNUMBER($O195),$C195&lt;&gt;"",$C195&lt;&gt;$P195),"請求の得意先は "&amp;$P195&amp;" です",IF(ROUND(IF($B195&lt;&gt;"",SUMIF($B$5:$B$1004,$B195,$E$5:$E$1004)-SUMIF($B$5:$B$1004,$B195,$G$5:$G$1004),N($E195)-N($G195)),0)&lt;&gt;0,"通帳の額と当てた額の差 "&amp;TEXT(IF($B195&lt;&gt;"",SUMIF($B$5:$B$1004,$B195,$E$5:$E$1004)-SUMIF($B$5:$B$1004,$B195,$G$5:$G$1004),N($E195)-N($G195)),"#,##0"),IF(AND(ISNUMBER($O195),N($K195)&lt;0),"請求額より多く消し込んでいます",IF($F195="","消込先が未定","OK")))))))</f>
        <v/>
      </c>
      <c r="M195" s="19" t="n"/>
      <c r="N195" s="56" t="n"/>
      <c r="O195" s="32">
        <f>IF($F195="","",IFERROR(MATCH($F195,'請求台帳'!$A$5:$A$1004,0),"なし"))</f>
        <v/>
      </c>
      <c r="P195" s="37">
        <f>IF(NOT(OR($A195&lt;&gt;"",$E195&lt;&gt;"",$F195&lt;&gt;"",$G195&lt;&gt;"",$H195&lt;&gt;"",$I195&lt;&gt;"")),"",IF(ISNUMBER($O195),IF(INDEX('請求台帳'!$C$5:$C$1004,$O195)="","",INDEX('請求台帳'!$C$5:$C$1004,$O195)),IF($C195="","",$C195)))</f>
        <v/>
      </c>
      <c r="Q195" s="35">
        <f>IF(OR(NOT(OR($A195&lt;&gt;"",$E195&lt;&gt;"",$F195&lt;&gt;"",$G195&lt;&gt;"",$H195&lt;&gt;"",$I195&lt;&gt;"")),$P195="",$P195&lt;&gt;'売掛帳'!$B$3,NOT(ISNUMBER($A195)),N($G195)+N($H195)+N($I195)=0),"",IF(AND($A195&gt;='売掛帳'!$Q$3,$A195&lt;='売掛帳'!$Q$4),$A195+0.5+ROW()/10000000,""))</f>
        <v/>
      </c>
      <c r="R195" s="32">
        <f>IF(AND(OR($A195&lt;&gt;"",$E195&lt;&gt;"",$F195&lt;&gt;"",$G195&lt;&gt;"",$H195&lt;&gt;"",$I195&lt;&gt;""),NOT(ISNUMBER($O195))),1,"")</f>
        <v/>
      </c>
    </row>
    <row r="196" ht="18" customHeight="1">
      <c r="A196" s="26" t="n"/>
      <c r="B196" s="18" t="n"/>
      <c r="C196" s="18" t="n"/>
      <c r="D196" s="20">
        <f>IF($P196="","",IFERROR(INDEX('得意先'!$C$5:$C$104,MATCH($P196,'得意先'!$B$5:$B$104,0))&amp;"","※得意先にないコード"))</f>
        <v/>
      </c>
      <c r="E196" s="27" t="n"/>
      <c r="F196" s="18" t="n"/>
      <c r="G196" s="27" t="n"/>
      <c r="H196" s="27" t="n"/>
      <c r="I196" s="27" t="n"/>
      <c r="J196" s="28">
        <f>IF(NOT(OR($A196&lt;&gt;"",$E196&lt;&gt;"",$F196&lt;&gt;"",$G196&lt;&gt;"",$H196&lt;&gt;"",$I196&lt;&gt;"")),"",N($G196)+N($H196)+N($I196))</f>
        <v/>
      </c>
      <c r="K196" s="28">
        <f>IF(ISNUMBER($O196),INDEX('請求台帳'!$R$5:$R$1004,$O196),"")</f>
        <v/>
      </c>
      <c r="L196" s="20">
        <f>IF(NOT(OR($A196&lt;&gt;"",$E196&lt;&gt;"",$F196&lt;&gt;"",$G196&lt;&gt;"",$H196&lt;&gt;"",$I196&lt;&gt;"")),"",IF(NOT(ISNUMBER($A196)),"入金日がありません",IF(AND($F196&lt;&gt;"",$O196="なし"),"請求Noが請求台帳にありません",IF(AND(ISNUMBER($O196),$C196&lt;&gt;"",$C196&lt;&gt;$P196),"請求の得意先は "&amp;$P196&amp;" です",IF(ROUND(IF($B196&lt;&gt;"",SUMIF($B$5:$B$1004,$B196,$E$5:$E$1004)-SUMIF($B$5:$B$1004,$B196,$G$5:$G$1004),N($E196)-N($G196)),0)&lt;&gt;0,"通帳の額と当てた額の差 "&amp;TEXT(IF($B196&lt;&gt;"",SUMIF($B$5:$B$1004,$B196,$E$5:$E$1004)-SUMIF($B$5:$B$1004,$B196,$G$5:$G$1004),N($E196)-N($G196)),"#,##0"),IF(AND(ISNUMBER($O196),N($K196)&lt;0),"請求額より多く消し込んでいます",IF($F196="","消込先が未定","OK")))))))</f>
        <v/>
      </c>
      <c r="M196" s="19" t="n"/>
      <c r="N196" s="56" t="n"/>
      <c r="O196" s="32">
        <f>IF($F196="","",IFERROR(MATCH($F196,'請求台帳'!$A$5:$A$1004,0),"なし"))</f>
        <v/>
      </c>
      <c r="P196" s="37">
        <f>IF(NOT(OR($A196&lt;&gt;"",$E196&lt;&gt;"",$F196&lt;&gt;"",$G196&lt;&gt;"",$H196&lt;&gt;"",$I196&lt;&gt;"")),"",IF(ISNUMBER($O196),IF(INDEX('請求台帳'!$C$5:$C$1004,$O196)="","",INDEX('請求台帳'!$C$5:$C$1004,$O196)),IF($C196="","",$C196)))</f>
        <v/>
      </c>
      <c r="Q196" s="35">
        <f>IF(OR(NOT(OR($A196&lt;&gt;"",$E196&lt;&gt;"",$F196&lt;&gt;"",$G196&lt;&gt;"",$H196&lt;&gt;"",$I196&lt;&gt;"")),$P196="",$P196&lt;&gt;'売掛帳'!$B$3,NOT(ISNUMBER($A196)),N($G196)+N($H196)+N($I196)=0),"",IF(AND($A196&gt;='売掛帳'!$Q$3,$A196&lt;='売掛帳'!$Q$4),$A196+0.5+ROW()/10000000,""))</f>
        <v/>
      </c>
      <c r="R196" s="32">
        <f>IF(AND(OR($A196&lt;&gt;"",$E196&lt;&gt;"",$F196&lt;&gt;"",$G196&lt;&gt;"",$H196&lt;&gt;"",$I196&lt;&gt;""),NOT(ISNUMBER($O196))),1,"")</f>
        <v/>
      </c>
    </row>
    <row r="197" ht="18" customHeight="1">
      <c r="A197" s="26" t="n"/>
      <c r="B197" s="18" t="n"/>
      <c r="C197" s="18" t="n"/>
      <c r="D197" s="20">
        <f>IF($P197="","",IFERROR(INDEX('得意先'!$C$5:$C$104,MATCH($P197,'得意先'!$B$5:$B$104,0))&amp;"","※得意先にないコード"))</f>
        <v/>
      </c>
      <c r="E197" s="27" t="n"/>
      <c r="F197" s="18" t="n"/>
      <c r="G197" s="27" t="n"/>
      <c r="H197" s="27" t="n"/>
      <c r="I197" s="27" t="n"/>
      <c r="J197" s="28">
        <f>IF(NOT(OR($A197&lt;&gt;"",$E197&lt;&gt;"",$F197&lt;&gt;"",$G197&lt;&gt;"",$H197&lt;&gt;"",$I197&lt;&gt;"")),"",N($G197)+N($H197)+N($I197))</f>
        <v/>
      </c>
      <c r="K197" s="28">
        <f>IF(ISNUMBER($O197),INDEX('請求台帳'!$R$5:$R$1004,$O197),"")</f>
        <v/>
      </c>
      <c r="L197" s="20">
        <f>IF(NOT(OR($A197&lt;&gt;"",$E197&lt;&gt;"",$F197&lt;&gt;"",$G197&lt;&gt;"",$H197&lt;&gt;"",$I197&lt;&gt;"")),"",IF(NOT(ISNUMBER($A197)),"入金日がありません",IF(AND($F197&lt;&gt;"",$O197="なし"),"請求Noが請求台帳にありません",IF(AND(ISNUMBER($O197),$C197&lt;&gt;"",$C197&lt;&gt;$P197),"請求の得意先は "&amp;$P197&amp;" です",IF(ROUND(IF($B197&lt;&gt;"",SUMIF($B$5:$B$1004,$B197,$E$5:$E$1004)-SUMIF($B$5:$B$1004,$B197,$G$5:$G$1004),N($E197)-N($G197)),0)&lt;&gt;0,"通帳の額と当てた額の差 "&amp;TEXT(IF($B197&lt;&gt;"",SUMIF($B$5:$B$1004,$B197,$E$5:$E$1004)-SUMIF($B$5:$B$1004,$B197,$G$5:$G$1004),N($E197)-N($G197)),"#,##0"),IF(AND(ISNUMBER($O197),N($K197)&lt;0),"請求額より多く消し込んでいます",IF($F197="","消込先が未定","OK")))))))</f>
        <v/>
      </c>
      <c r="M197" s="19" t="n"/>
      <c r="N197" s="56" t="n"/>
      <c r="O197" s="32">
        <f>IF($F197="","",IFERROR(MATCH($F197,'請求台帳'!$A$5:$A$1004,0),"なし"))</f>
        <v/>
      </c>
      <c r="P197" s="37">
        <f>IF(NOT(OR($A197&lt;&gt;"",$E197&lt;&gt;"",$F197&lt;&gt;"",$G197&lt;&gt;"",$H197&lt;&gt;"",$I197&lt;&gt;"")),"",IF(ISNUMBER($O197),IF(INDEX('請求台帳'!$C$5:$C$1004,$O197)="","",INDEX('請求台帳'!$C$5:$C$1004,$O197)),IF($C197="","",$C197)))</f>
        <v/>
      </c>
      <c r="Q197" s="35">
        <f>IF(OR(NOT(OR($A197&lt;&gt;"",$E197&lt;&gt;"",$F197&lt;&gt;"",$G197&lt;&gt;"",$H197&lt;&gt;"",$I197&lt;&gt;"")),$P197="",$P197&lt;&gt;'売掛帳'!$B$3,NOT(ISNUMBER($A197)),N($G197)+N($H197)+N($I197)=0),"",IF(AND($A197&gt;='売掛帳'!$Q$3,$A197&lt;='売掛帳'!$Q$4),$A197+0.5+ROW()/10000000,""))</f>
        <v/>
      </c>
      <c r="R197" s="32">
        <f>IF(AND(OR($A197&lt;&gt;"",$E197&lt;&gt;"",$F197&lt;&gt;"",$G197&lt;&gt;"",$H197&lt;&gt;"",$I197&lt;&gt;""),NOT(ISNUMBER($O197))),1,"")</f>
        <v/>
      </c>
    </row>
    <row r="198" ht="18" customHeight="1">
      <c r="A198" s="26" t="n"/>
      <c r="B198" s="18" t="n"/>
      <c r="C198" s="18" t="n"/>
      <c r="D198" s="20">
        <f>IF($P198="","",IFERROR(INDEX('得意先'!$C$5:$C$104,MATCH($P198,'得意先'!$B$5:$B$104,0))&amp;"","※得意先にないコード"))</f>
        <v/>
      </c>
      <c r="E198" s="27" t="n"/>
      <c r="F198" s="18" t="n"/>
      <c r="G198" s="27" t="n"/>
      <c r="H198" s="27" t="n"/>
      <c r="I198" s="27" t="n"/>
      <c r="J198" s="28">
        <f>IF(NOT(OR($A198&lt;&gt;"",$E198&lt;&gt;"",$F198&lt;&gt;"",$G198&lt;&gt;"",$H198&lt;&gt;"",$I198&lt;&gt;"")),"",N($G198)+N($H198)+N($I198))</f>
        <v/>
      </c>
      <c r="K198" s="28">
        <f>IF(ISNUMBER($O198),INDEX('請求台帳'!$R$5:$R$1004,$O198),"")</f>
        <v/>
      </c>
      <c r="L198" s="20">
        <f>IF(NOT(OR($A198&lt;&gt;"",$E198&lt;&gt;"",$F198&lt;&gt;"",$G198&lt;&gt;"",$H198&lt;&gt;"",$I198&lt;&gt;"")),"",IF(NOT(ISNUMBER($A198)),"入金日がありません",IF(AND($F198&lt;&gt;"",$O198="なし"),"請求Noが請求台帳にありません",IF(AND(ISNUMBER($O198),$C198&lt;&gt;"",$C198&lt;&gt;$P198),"請求の得意先は "&amp;$P198&amp;" です",IF(ROUND(IF($B198&lt;&gt;"",SUMIF($B$5:$B$1004,$B198,$E$5:$E$1004)-SUMIF($B$5:$B$1004,$B198,$G$5:$G$1004),N($E198)-N($G198)),0)&lt;&gt;0,"通帳の額と当てた額の差 "&amp;TEXT(IF($B198&lt;&gt;"",SUMIF($B$5:$B$1004,$B198,$E$5:$E$1004)-SUMIF($B$5:$B$1004,$B198,$G$5:$G$1004),N($E198)-N($G198)),"#,##0"),IF(AND(ISNUMBER($O198),N($K198)&lt;0),"請求額より多く消し込んでいます",IF($F198="","消込先が未定","OK")))))))</f>
        <v/>
      </c>
      <c r="M198" s="19" t="n"/>
      <c r="N198" s="56" t="n"/>
      <c r="O198" s="32">
        <f>IF($F198="","",IFERROR(MATCH($F198,'請求台帳'!$A$5:$A$1004,0),"なし"))</f>
        <v/>
      </c>
      <c r="P198" s="37">
        <f>IF(NOT(OR($A198&lt;&gt;"",$E198&lt;&gt;"",$F198&lt;&gt;"",$G198&lt;&gt;"",$H198&lt;&gt;"",$I198&lt;&gt;"")),"",IF(ISNUMBER($O198),IF(INDEX('請求台帳'!$C$5:$C$1004,$O198)="","",INDEX('請求台帳'!$C$5:$C$1004,$O198)),IF($C198="","",$C198)))</f>
        <v/>
      </c>
      <c r="Q198" s="35">
        <f>IF(OR(NOT(OR($A198&lt;&gt;"",$E198&lt;&gt;"",$F198&lt;&gt;"",$G198&lt;&gt;"",$H198&lt;&gt;"",$I198&lt;&gt;"")),$P198="",$P198&lt;&gt;'売掛帳'!$B$3,NOT(ISNUMBER($A198)),N($G198)+N($H198)+N($I198)=0),"",IF(AND($A198&gt;='売掛帳'!$Q$3,$A198&lt;='売掛帳'!$Q$4),$A198+0.5+ROW()/10000000,""))</f>
        <v/>
      </c>
      <c r="R198" s="32">
        <f>IF(AND(OR($A198&lt;&gt;"",$E198&lt;&gt;"",$F198&lt;&gt;"",$G198&lt;&gt;"",$H198&lt;&gt;"",$I198&lt;&gt;""),NOT(ISNUMBER($O198))),1,"")</f>
        <v/>
      </c>
    </row>
    <row r="199" ht="18" customHeight="1">
      <c r="A199" s="26" t="n"/>
      <c r="B199" s="18" t="n"/>
      <c r="C199" s="18" t="n"/>
      <c r="D199" s="20">
        <f>IF($P199="","",IFERROR(INDEX('得意先'!$C$5:$C$104,MATCH($P199,'得意先'!$B$5:$B$104,0))&amp;"","※得意先にないコード"))</f>
        <v/>
      </c>
      <c r="E199" s="27" t="n"/>
      <c r="F199" s="18" t="n"/>
      <c r="G199" s="27" t="n"/>
      <c r="H199" s="27" t="n"/>
      <c r="I199" s="27" t="n"/>
      <c r="J199" s="28">
        <f>IF(NOT(OR($A199&lt;&gt;"",$E199&lt;&gt;"",$F199&lt;&gt;"",$G199&lt;&gt;"",$H199&lt;&gt;"",$I199&lt;&gt;"")),"",N($G199)+N($H199)+N($I199))</f>
        <v/>
      </c>
      <c r="K199" s="28">
        <f>IF(ISNUMBER($O199),INDEX('請求台帳'!$R$5:$R$1004,$O199),"")</f>
        <v/>
      </c>
      <c r="L199" s="20">
        <f>IF(NOT(OR($A199&lt;&gt;"",$E199&lt;&gt;"",$F199&lt;&gt;"",$G199&lt;&gt;"",$H199&lt;&gt;"",$I199&lt;&gt;"")),"",IF(NOT(ISNUMBER($A199)),"入金日がありません",IF(AND($F199&lt;&gt;"",$O199="なし"),"請求Noが請求台帳にありません",IF(AND(ISNUMBER($O199),$C199&lt;&gt;"",$C199&lt;&gt;$P199),"請求の得意先は "&amp;$P199&amp;" です",IF(ROUND(IF($B199&lt;&gt;"",SUMIF($B$5:$B$1004,$B199,$E$5:$E$1004)-SUMIF($B$5:$B$1004,$B199,$G$5:$G$1004),N($E199)-N($G199)),0)&lt;&gt;0,"通帳の額と当てた額の差 "&amp;TEXT(IF($B199&lt;&gt;"",SUMIF($B$5:$B$1004,$B199,$E$5:$E$1004)-SUMIF($B$5:$B$1004,$B199,$G$5:$G$1004),N($E199)-N($G199)),"#,##0"),IF(AND(ISNUMBER($O199),N($K199)&lt;0),"請求額より多く消し込んでいます",IF($F199="","消込先が未定","OK")))))))</f>
        <v/>
      </c>
      <c r="M199" s="19" t="n"/>
      <c r="N199" s="56" t="n"/>
      <c r="O199" s="32">
        <f>IF($F199="","",IFERROR(MATCH($F199,'請求台帳'!$A$5:$A$1004,0),"なし"))</f>
        <v/>
      </c>
      <c r="P199" s="37">
        <f>IF(NOT(OR($A199&lt;&gt;"",$E199&lt;&gt;"",$F199&lt;&gt;"",$G199&lt;&gt;"",$H199&lt;&gt;"",$I199&lt;&gt;"")),"",IF(ISNUMBER($O199),IF(INDEX('請求台帳'!$C$5:$C$1004,$O199)="","",INDEX('請求台帳'!$C$5:$C$1004,$O199)),IF($C199="","",$C199)))</f>
        <v/>
      </c>
      <c r="Q199" s="35">
        <f>IF(OR(NOT(OR($A199&lt;&gt;"",$E199&lt;&gt;"",$F199&lt;&gt;"",$G199&lt;&gt;"",$H199&lt;&gt;"",$I199&lt;&gt;"")),$P199="",$P199&lt;&gt;'売掛帳'!$B$3,NOT(ISNUMBER($A199)),N($G199)+N($H199)+N($I199)=0),"",IF(AND($A199&gt;='売掛帳'!$Q$3,$A199&lt;='売掛帳'!$Q$4),$A199+0.5+ROW()/10000000,""))</f>
        <v/>
      </c>
      <c r="R199" s="32">
        <f>IF(AND(OR($A199&lt;&gt;"",$E199&lt;&gt;"",$F199&lt;&gt;"",$G199&lt;&gt;"",$H199&lt;&gt;"",$I199&lt;&gt;""),NOT(ISNUMBER($O199))),1,"")</f>
        <v/>
      </c>
    </row>
    <row r="200" ht="18" customHeight="1">
      <c r="A200" s="26" t="n"/>
      <c r="B200" s="18" t="n"/>
      <c r="C200" s="18" t="n"/>
      <c r="D200" s="20">
        <f>IF($P200="","",IFERROR(INDEX('得意先'!$C$5:$C$104,MATCH($P200,'得意先'!$B$5:$B$104,0))&amp;"","※得意先にないコード"))</f>
        <v/>
      </c>
      <c r="E200" s="27" t="n"/>
      <c r="F200" s="18" t="n"/>
      <c r="G200" s="27" t="n"/>
      <c r="H200" s="27" t="n"/>
      <c r="I200" s="27" t="n"/>
      <c r="J200" s="28">
        <f>IF(NOT(OR($A200&lt;&gt;"",$E200&lt;&gt;"",$F200&lt;&gt;"",$G200&lt;&gt;"",$H200&lt;&gt;"",$I200&lt;&gt;"")),"",N($G200)+N($H200)+N($I200))</f>
        <v/>
      </c>
      <c r="K200" s="28">
        <f>IF(ISNUMBER($O200),INDEX('請求台帳'!$R$5:$R$1004,$O200),"")</f>
        <v/>
      </c>
      <c r="L200" s="20">
        <f>IF(NOT(OR($A200&lt;&gt;"",$E200&lt;&gt;"",$F200&lt;&gt;"",$G200&lt;&gt;"",$H200&lt;&gt;"",$I200&lt;&gt;"")),"",IF(NOT(ISNUMBER($A200)),"入金日がありません",IF(AND($F200&lt;&gt;"",$O200="なし"),"請求Noが請求台帳にありません",IF(AND(ISNUMBER($O200),$C200&lt;&gt;"",$C200&lt;&gt;$P200),"請求の得意先は "&amp;$P200&amp;" です",IF(ROUND(IF($B200&lt;&gt;"",SUMIF($B$5:$B$1004,$B200,$E$5:$E$1004)-SUMIF($B$5:$B$1004,$B200,$G$5:$G$1004),N($E200)-N($G200)),0)&lt;&gt;0,"通帳の額と当てた額の差 "&amp;TEXT(IF($B200&lt;&gt;"",SUMIF($B$5:$B$1004,$B200,$E$5:$E$1004)-SUMIF($B$5:$B$1004,$B200,$G$5:$G$1004),N($E200)-N($G200)),"#,##0"),IF(AND(ISNUMBER($O200),N($K200)&lt;0),"請求額より多く消し込んでいます",IF($F200="","消込先が未定","OK")))))))</f>
        <v/>
      </c>
      <c r="M200" s="19" t="n"/>
      <c r="N200" s="56" t="n"/>
      <c r="O200" s="32">
        <f>IF($F200="","",IFERROR(MATCH($F200,'請求台帳'!$A$5:$A$1004,0),"なし"))</f>
        <v/>
      </c>
      <c r="P200" s="37">
        <f>IF(NOT(OR($A200&lt;&gt;"",$E200&lt;&gt;"",$F200&lt;&gt;"",$G200&lt;&gt;"",$H200&lt;&gt;"",$I200&lt;&gt;"")),"",IF(ISNUMBER($O200),IF(INDEX('請求台帳'!$C$5:$C$1004,$O200)="","",INDEX('請求台帳'!$C$5:$C$1004,$O200)),IF($C200="","",$C200)))</f>
        <v/>
      </c>
      <c r="Q200" s="35">
        <f>IF(OR(NOT(OR($A200&lt;&gt;"",$E200&lt;&gt;"",$F200&lt;&gt;"",$G200&lt;&gt;"",$H200&lt;&gt;"",$I200&lt;&gt;"")),$P200="",$P200&lt;&gt;'売掛帳'!$B$3,NOT(ISNUMBER($A200)),N($G200)+N($H200)+N($I200)=0),"",IF(AND($A200&gt;='売掛帳'!$Q$3,$A200&lt;='売掛帳'!$Q$4),$A200+0.5+ROW()/10000000,""))</f>
        <v/>
      </c>
      <c r="R200" s="32">
        <f>IF(AND(OR($A200&lt;&gt;"",$E200&lt;&gt;"",$F200&lt;&gt;"",$G200&lt;&gt;"",$H200&lt;&gt;"",$I200&lt;&gt;""),NOT(ISNUMBER($O200))),1,"")</f>
        <v/>
      </c>
    </row>
    <row r="201" ht="18" customHeight="1">
      <c r="A201" s="26" t="n"/>
      <c r="B201" s="18" t="n"/>
      <c r="C201" s="18" t="n"/>
      <c r="D201" s="20">
        <f>IF($P201="","",IFERROR(INDEX('得意先'!$C$5:$C$104,MATCH($P201,'得意先'!$B$5:$B$104,0))&amp;"","※得意先にないコード"))</f>
        <v/>
      </c>
      <c r="E201" s="27" t="n"/>
      <c r="F201" s="18" t="n"/>
      <c r="G201" s="27" t="n"/>
      <c r="H201" s="27" t="n"/>
      <c r="I201" s="27" t="n"/>
      <c r="J201" s="28">
        <f>IF(NOT(OR($A201&lt;&gt;"",$E201&lt;&gt;"",$F201&lt;&gt;"",$G201&lt;&gt;"",$H201&lt;&gt;"",$I201&lt;&gt;"")),"",N($G201)+N($H201)+N($I201))</f>
        <v/>
      </c>
      <c r="K201" s="28">
        <f>IF(ISNUMBER($O201),INDEX('請求台帳'!$R$5:$R$1004,$O201),"")</f>
        <v/>
      </c>
      <c r="L201" s="20">
        <f>IF(NOT(OR($A201&lt;&gt;"",$E201&lt;&gt;"",$F201&lt;&gt;"",$G201&lt;&gt;"",$H201&lt;&gt;"",$I201&lt;&gt;"")),"",IF(NOT(ISNUMBER($A201)),"入金日がありません",IF(AND($F201&lt;&gt;"",$O201="なし"),"請求Noが請求台帳にありません",IF(AND(ISNUMBER($O201),$C201&lt;&gt;"",$C201&lt;&gt;$P201),"請求の得意先は "&amp;$P201&amp;" です",IF(ROUND(IF($B201&lt;&gt;"",SUMIF($B$5:$B$1004,$B201,$E$5:$E$1004)-SUMIF($B$5:$B$1004,$B201,$G$5:$G$1004),N($E201)-N($G201)),0)&lt;&gt;0,"通帳の額と当てた額の差 "&amp;TEXT(IF($B201&lt;&gt;"",SUMIF($B$5:$B$1004,$B201,$E$5:$E$1004)-SUMIF($B$5:$B$1004,$B201,$G$5:$G$1004),N($E201)-N($G201)),"#,##0"),IF(AND(ISNUMBER($O201),N($K201)&lt;0),"請求額より多く消し込んでいます",IF($F201="","消込先が未定","OK")))))))</f>
        <v/>
      </c>
      <c r="M201" s="19" t="n"/>
      <c r="N201" s="56" t="n"/>
      <c r="O201" s="32">
        <f>IF($F201="","",IFERROR(MATCH($F201,'請求台帳'!$A$5:$A$1004,0),"なし"))</f>
        <v/>
      </c>
      <c r="P201" s="37">
        <f>IF(NOT(OR($A201&lt;&gt;"",$E201&lt;&gt;"",$F201&lt;&gt;"",$G201&lt;&gt;"",$H201&lt;&gt;"",$I201&lt;&gt;"")),"",IF(ISNUMBER($O201),IF(INDEX('請求台帳'!$C$5:$C$1004,$O201)="","",INDEX('請求台帳'!$C$5:$C$1004,$O201)),IF($C201="","",$C201)))</f>
        <v/>
      </c>
      <c r="Q201" s="35">
        <f>IF(OR(NOT(OR($A201&lt;&gt;"",$E201&lt;&gt;"",$F201&lt;&gt;"",$G201&lt;&gt;"",$H201&lt;&gt;"",$I201&lt;&gt;"")),$P201="",$P201&lt;&gt;'売掛帳'!$B$3,NOT(ISNUMBER($A201)),N($G201)+N($H201)+N($I201)=0),"",IF(AND($A201&gt;='売掛帳'!$Q$3,$A201&lt;='売掛帳'!$Q$4),$A201+0.5+ROW()/10000000,""))</f>
        <v/>
      </c>
      <c r="R201" s="32">
        <f>IF(AND(OR($A201&lt;&gt;"",$E201&lt;&gt;"",$F201&lt;&gt;"",$G201&lt;&gt;"",$H201&lt;&gt;"",$I201&lt;&gt;""),NOT(ISNUMBER($O201))),1,"")</f>
        <v/>
      </c>
    </row>
    <row r="202" ht="18" customHeight="1">
      <c r="A202" s="26" t="n"/>
      <c r="B202" s="18" t="n"/>
      <c r="C202" s="18" t="n"/>
      <c r="D202" s="20">
        <f>IF($P202="","",IFERROR(INDEX('得意先'!$C$5:$C$104,MATCH($P202,'得意先'!$B$5:$B$104,0))&amp;"","※得意先にないコード"))</f>
        <v/>
      </c>
      <c r="E202" s="27" t="n"/>
      <c r="F202" s="18" t="n"/>
      <c r="G202" s="27" t="n"/>
      <c r="H202" s="27" t="n"/>
      <c r="I202" s="27" t="n"/>
      <c r="J202" s="28">
        <f>IF(NOT(OR($A202&lt;&gt;"",$E202&lt;&gt;"",$F202&lt;&gt;"",$G202&lt;&gt;"",$H202&lt;&gt;"",$I202&lt;&gt;"")),"",N($G202)+N($H202)+N($I202))</f>
        <v/>
      </c>
      <c r="K202" s="28">
        <f>IF(ISNUMBER($O202),INDEX('請求台帳'!$R$5:$R$1004,$O202),"")</f>
        <v/>
      </c>
      <c r="L202" s="20">
        <f>IF(NOT(OR($A202&lt;&gt;"",$E202&lt;&gt;"",$F202&lt;&gt;"",$G202&lt;&gt;"",$H202&lt;&gt;"",$I202&lt;&gt;"")),"",IF(NOT(ISNUMBER($A202)),"入金日がありません",IF(AND($F202&lt;&gt;"",$O202="なし"),"請求Noが請求台帳にありません",IF(AND(ISNUMBER($O202),$C202&lt;&gt;"",$C202&lt;&gt;$P202),"請求の得意先は "&amp;$P202&amp;" です",IF(ROUND(IF($B202&lt;&gt;"",SUMIF($B$5:$B$1004,$B202,$E$5:$E$1004)-SUMIF($B$5:$B$1004,$B202,$G$5:$G$1004),N($E202)-N($G202)),0)&lt;&gt;0,"通帳の額と当てた額の差 "&amp;TEXT(IF($B202&lt;&gt;"",SUMIF($B$5:$B$1004,$B202,$E$5:$E$1004)-SUMIF($B$5:$B$1004,$B202,$G$5:$G$1004),N($E202)-N($G202)),"#,##0"),IF(AND(ISNUMBER($O202),N($K202)&lt;0),"請求額より多く消し込んでいます",IF($F202="","消込先が未定","OK")))))))</f>
        <v/>
      </c>
      <c r="M202" s="19" t="n"/>
      <c r="N202" s="56" t="n"/>
      <c r="O202" s="32">
        <f>IF($F202="","",IFERROR(MATCH($F202,'請求台帳'!$A$5:$A$1004,0),"なし"))</f>
        <v/>
      </c>
      <c r="P202" s="37">
        <f>IF(NOT(OR($A202&lt;&gt;"",$E202&lt;&gt;"",$F202&lt;&gt;"",$G202&lt;&gt;"",$H202&lt;&gt;"",$I202&lt;&gt;"")),"",IF(ISNUMBER($O202),IF(INDEX('請求台帳'!$C$5:$C$1004,$O202)="","",INDEX('請求台帳'!$C$5:$C$1004,$O202)),IF($C202="","",$C202)))</f>
        <v/>
      </c>
      <c r="Q202" s="35">
        <f>IF(OR(NOT(OR($A202&lt;&gt;"",$E202&lt;&gt;"",$F202&lt;&gt;"",$G202&lt;&gt;"",$H202&lt;&gt;"",$I202&lt;&gt;"")),$P202="",$P202&lt;&gt;'売掛帳'!$B$3,NOT(ISNUMBER($A202)),N($G202)+N($H202)+N($I202)=0),"",IF(AND($A202&gt;='売掛帳'!$Q$3,$A202&lt;='売掛帳'!$Q$4),$A202+0.5+ROW()/10000000,""))</f>
        <v/>
      </c>
      <c r="R202" s="32">
        <f>IF(AND(OR($A202&lt;&gt;"",$E202&lt;&gt;"",$F202&lt;&gt;"",$G202&lt;&gt;"",$H202&lt;&gt;"",$I202&lt;&gt;""),NOT(ISNUMBER($O202))),1,"")</f>
        <v/>
      </c>
    </row>
    <row r="203" ht="18" customHeight="1">
      <c r="A203" s="26" t="n"/>
      <c r="B203" s="18" t="n"/>
      <c r="C203" s="18" t="n"/>
      <c r="D203" s="20">
        <f>IF($P203="","",IFERROR(INDEX('得意先'!$C$5:$C$104,MATCH($P203,'得意先'!$B$5:$B$104,0))&amp;"","※得意先にないコード"))</f>
        <v/>
      </c>
      <c r="E203" s="27" t="n"/>
      <c r="F203" s="18" t="n"/>
      <c r="G203" s="27" t="n"/>
      <c r="H203" s="27" t="n"/>
      <c r="I203" s="27" t="n"/>
      <c r="J203" s="28">
        <f>IF(NOT(OR($A203&lt;&gt;"",$E203&lt;&gt;"",$F203&lt;&gt;"",$G203&lt;&gt;"",$H203&lt;&gt;"",$I203&lt;&gt;"")),"",N($G203)+N($H203)+N($I203))</f>
        <v/>
      </c>
      <c r="K203" s="28">
        <f>IF(ISNUMBER($O203),INDEX('請求台帳'!$R$5:$R$1004,$O203),"")</f>
        <v/>
      </c>
      <c r="L203" s="20">
        <f>IF(NOT(OR($A203&lt;&gt;"",$E203&lt;&gt;"",$F203&lt;&gt;"",$G203&lt;&gt;"",$H203&lt;&gt;"",$I203&lt;&gt;"")),"",IF(NOT(ISNUMBER($A203)),"入金日がありません",IF(AND($F203&lt;&gt;"",$O203="なし"),"請求Noが請求台帳にありません",IF(AND(ISNUMBER($O203),$C203&lt;&gt;"",$C203&lt;&gt;$P203),"請求の得意先は "&amp;$P203&amp;" です",IF(ROUND(IF($B203&lt;&gt;"",SUMIF($B$5:$B$1004,$B203,$E$5:$E$1004)-SUMIF($B$5:$B$1004,$B203,$G$5:$G$1004),N($E203)-N($G203)),0)&lt;&gt;0,"通帳の額と当てた額の差 "&amp;TEXT(IF($B203&lt;&gt;"",SUMIF($B$5:$B$1004,$B203,$E$5:$E$1004)-SUMIF($B$5:$B$1004,$B203,$G$5:$G$1004),N($E203)-N($G203)),"#,##0"),IF(AND(ISNUMBER($O203),N($K203)&lt;0),"請求額より多く消し込んでいます",IF($F203="","消込先が未定","OK")))))))</f>
        <v/>
      </c>
      <c r="M203" s="19" t="n"/>
      <c r="N203" s="56" t="n"/>
      <c r="O203" s="32">
        <f>IF($F203="","",IFERROR(MATCH($F203,'請求台帳'!$A$5:$A$1004,0),"なし"))</f>
        <v/>
      </c>
      <c r="P203" s="37">
        <f>IF(NOT(OR($A203&lt;&gt;"",$E203&lt;&gt;"",$F203&lt;&gt;"",$G203&lt;&gt;"",$H203&lt;&gt;"",$I203&lt;&gt;"")),"",IF(ISNUMBER($O203),IF(INDEX('請求台帳'!$C$5:$C$1004,$O203)="","",INDEX('請求台帳'!$C$5:$C$1004,$O203)),IF($C203="","",$C203)))</f>
        <v/>
      </c>
      <c r="Q203" s="35">
        <f>IF(OR(NOT(OR($A203&lt;&gt;"",$E203&lt;&gt;"",$F203&lt;&gt;"",$G203&lt;&gt;"",$H203&lt;&gt;"",$I203&lt;&gt;"")),$P203="",$P203&lt;&gt;'売掛帳'!$B$3,NOT(ISNUMBER($A203)),N($G203)+N($H203)+N($I203)=0),"",IF(AND($A203&gt;='売掛帳'!$Q$3,$A203&lt;='売掛帳'!$Q$4),$A203+0.5+ROW()/10000000,""))</f>
        <v/>
      </c>
      <c r="R203" s="32">
        <f>IF(AND(OR($A203&lt;&gt;"",$E203&lt;&gt;"",$F203&lt;&gt;"",$G203&lt;&gt;"",$H203&lt;&gt;"",$I203&lt;&gt;""),NOT(ISNUMBER($O203))),1,"")</f>
        <v/>
      </c>
    </row>
    <row r="204" ht="18" customHeight="1">
      <c r="A204" s="26" t="n"/>
      <c r="B204" s="18" t="n"/>
      <c r="C204" s="18" t="n"/>
      <c r="D204" s="20">
        <f>IF($P204="","",IFERROR(INDEX('得意先'!$C$5:$C$104,MATCH($P204,'得意先'!$B$5:$B$104,0))&amp;"","※得意先にないコード"))</f>
        <v/>
      </c>
      <c r="E204" s="27" t="n"/>
      <c r="F204" s="18" t="n"/>
      <c r="G204" s="27" t="n"/>
      <c r="H204" s="27" t="n"/>
      <c r="I204" s="27" t="n"/>
      <c r="J204" s="28">
        <f>IF(NOT(OR($A204&lt;&gt;"",$E204&lt;&gt;"",$F204&lt;&gt;"",$G204&lt;&gt;"",$H204&lt;&gt;"",$I204&lt;&gt;"")),"",N($G204)+N($H204)+N($I204))</f>
        <v/>
      </c>
      <c r="K204" s="28">
        <f>IF(ISNUMBER($O204),INDEX('請求台帳'!$R$5:$R$1004,$O204),"")</f>
        <v/>
      </c>
      <c r="L204" s="20">
        <f>IF(NOT(OR($A204&lt;&gt;"",$E204&lt;&gt;"",$F204&lt;&gt;"",$G204&lt;&gt;"",$H204&lt;&gt;"",$I204&lt;&gt;"")),"",IF(NOT(ISNUMBER($A204)),"入金日がありません",IF(AND($F204&lt;&gt;"",$O204="なし"),"請求Noが請求台帳にありません",IF(AND(ISNUMBER($O204),$C204&lt;&gt;"",$C204&lt;&gt;$P204),"請求の得意先は "&amp;$P204&amp;" です",IF(ROUND(IF($B204&lt;&gt;"",SUMIF($B$5:$B$1004,$B204,$E$5:$E$1004)-SUMIF($B$5:$B$1004,$B204,$G$5:$G$1004),N($E204)-N($G204)),0)&lt;&gt;0,"通帳の額と当てた額の差 "&amp;TEXT(IF($B204&lt;&gt;"",SUMIF($B$5:$B$1004,$B204,$E$5:$E$1004)-SUMIF($B$5:$B$1004,$B204,$G$5:$G$1004),N($E204)-N($G204)),"#,##0"),IF(AND(ISNUMBER($O204),N($K204)&lt;0),"請求額より多く消し込んでいます",IF($F204="","消込先が未定","OK")))))))</f>
        <v/>
      </c>
      <c r="M204" s="19" t="n"/>
      <c r="N204" s="56" t="n"/>
      <c r="O204" s="32">
        <f>IF($F204="","",IFERROR(MATCH($F204,'請求台帳'!$A$5:$A$1004,0),"なし"))</f>
        <v/>
      </c>
      <c r="P204" s="37">
        <f>IF(NOT(OR($A204&lt;&gt;"",$E204&lt;&gt;"",$F204&lt;&gt;"",$G204&lt;&gt;"",$H204&lt;&gt;"",$I204&lt;&gt;"")),"",IF(ISNUMBER($O204),IF(INDEX('請求台帳'!$C$5:$C$1004,$O204)="","",INDEX('請求台帳'!$C$5:$C$1004,$O204)),IF($C204="","",$C204)))</f>
        <v/>
      </c>
      <c r="Q204" s="35">
        <f>IF(OR(NOT(OR($A204&lt;&gt;"",$E204&lt;&gt;"",$F204&lt;&gt;"",$G204&lt;&gt;"",$H204&lt;&gt;"",$I204&lt;&gt;"")),$P204="",$P204&lt;&gt;'売掛帳'!$B$3,NOT(ISNUMBER($A204)),N($G204)+N($H204)+N($I204)=0),"",IF(AND($A204&gt;='売掛帳'!$Q$3,$A204&lt;='売掛帳'!$Q$4),$A204+0.5+ROW()/10000000,""))</f>
        <v/>
      </c>
      <c r="R204" s="32">
        <f>IF(AND(OR($A204&lt;&gt;"",$E204&lt;&gt;"",$F204&lt;&gt;"",$G204&lt;&gt;"",$H204&lt;&gt;"",$I204&lt;&gt;""),NOT(ISNUMBER($O204))),1,"")</f>
        <v/>
      </c>
    </row>
    <row r="205" ht="18" customHeight="1">
      <c r="A205" s="26" t="n"/>
      <c r="B205" s="18" t="n"/>
      <c r="C205" s="18" t="n"/>
      <c r="D205" s="20">
        <f>IF($P205="","",IFERROR(INDEX('得意先'!$C$5:$C$104,MATCH($P205,'得意先'!$B$5:$B$104,0))&amp;"","※得意先にないコード"))</f>
        <v/>
      </c>
      <c r="E205" s="27" t="n"/>
      <c r="F205" s="18" t="n"/>
      <c r="G205" s="27" t="n"/>
      <c r="H205" s="27" t="n"/>
      <c r="I205" s="27" t="n"/>
      <c r="J205" s="28">
        <f>IF(NOT(OR($A205&lt;&gt;"",$E205&lt;&gt;"",$F205&lt;&gt;"",$G205&lt;&gt;"",$H205&lt;&gt;"",$I205&lt;&gt;"")),"",N($G205)+N($H205)+N($I205))</f>
        <v/>
      </c>
      <c r="K205" s="28">
        <f>IF(ISNUMBER($O205),INDEX('請求台帳'!$R$5:$R$1004,$O205),"")</f>
        <v/>
      </c>
      <c r="L205" s="20">
        <f>IF(NOT(OR($A205&lt;&gt;"",$E205&lt;&gt;"",$F205&lt;&gt;"",$G205&lt;&gt;"",$H205&lt;&gt;"",$I205&lt;&gt;"")),"",IF(NOT(ISNUMBER($A205)),"入金日がありません",IF(AND($F205&lt;&gt;"",$O205="なし"),"請求Noが請求台帳にありません",IF(AND(ISNUMBER($O205),$C205&lt;&gt;"",$C205&lt;&gt;$P205),"請求の得意先は "&amp;$P205&amp;" です",IF(ROUND(IF($B205&lt;&gt;"",SUMIF($B$5:$B$1004,$B205,$E$5:$E$1004)-SUMIF($B$5:$B$1004,$B205,$G$5:$G$1004),N($E205)-N($G205)),0)&lt;&gt;0,"通帳の額と当てた額の差 "&amp;TEXT(IF($B205&lt;&gt;"",SUMIF($B$5:$B$1004,$B205,$E$5:$E$1004)-SUMIF($B$5:$B$1004,$B205,$G$5:$G$1004),N($E205)-N($G205)),"#,##0"),IF(AND(ISNUMBER($O205),N($K205)&lt;0),"請求額より多く消し込んでいます",IF($F205="","消込先が未定","OK")))))))</f>
        <v/>
      </c>
      <c r="M205" s="19" t="n"/>
      <c r="N205" s="56" t="n"/>
      <c r="O205" s="32">
        <f>IF($F205="","",IFERROR(MATCH($F205,'請求台帳'!$A$5:$A$1004,0),"なし"))</f>
        <v/>
      </c>
      <c r="P205" s="37">
        <f>IF(NOT(OR($A205&lt;&gt;"",$E205&lt;&gt;"",$F205&lt;&gt;"",$G205&lt;&gt;"",$H205&lt;&gt;"",$I205&lt;&gt;"")),"",IF(ISNUMBER($O205),IF(INDEX('請求台帳'!$C$5:$C$1004,$O205)="","",INDEX('請求台帳'!$C$5:$C$1004,$O205)),IF($C205="","",$C205)))</f>
        <v/>
      </c>
      <c r="Q205" s="35">
        <f>IF(OR(NOT(OR($A205&lt;&gt;"",$E205&lt;&gt;"",$F205&lt;&gt;"",$G205&lt;&gt;"",$H205&lt;&gt;"",$I205&lt;&gt;"")),$P205="",$P205&lt;&gt;'売掛帳'!$B$3,NOT(ISNUMBER($A205)),N($G205)+N($H205)+N($I205)=0),"",IF(AND($A205&gt;='売掛帳'!$Q$3,$A205&lt;='売掛帳'!$Q$4),$A205+0.5+ROW()/10000000,""))</f>
        <v/>
      </c>
      <c r="R205" s="32">
        <f>IF(AND(OR($A205&lt;&gt;"",$E205&lt;&gt;"",$F205&lt;&gt;"",$G205&lt;&gt;"",$H205&lt;&gt;"",$I205&lt;&gt;""),NOT(ISNUMBER($O205))),1,"")</f>
        <v/>
      </c>
    </row>
    <row r="206" ht="18" customHeight="1">
      <c r="A206" s="26" t="n"/>
      <c r="B206" s="18" t="n"/>
      <c r="C206" s="18" t="n"/>
      <c r="D206" s="20">
        <f>IF($P206="","",IFERROR(INDEX('得意先'!$C$5:$C$104,MATCH($P206,'得意先'!$B$5:$B$104,0))&amp;"","※得意先にないコード"))</f>
        <v/>
      </c>
      <c r="E206" s="27" t="n"/>
      <c r="F206" s="18" t="n"/>
      <c r="G206" s="27" t="n"/>
      <c r="H206" s="27" t="n"/>
      <c r="I206" s="27" t="n"/>
      <c r="J206" s="28">
        <f>IF(NOT(OR($A206&lt;&gt;"",$E206&lt;&gt;"",$F206&lt;&gt;"",$G206&lt;&gt;"",$H206&lt;&gt;"",$I206&lt;&gt;"")),"",N($G206)+N($H206)+N($I206))</f>
        <v/>
      </c>
      <c r="K206" s="28">
        <f>IF(ISNUMBER($O206),INDEX('請求台帳'!$R$5:$R$1004,$O206),"")</f>
        <v/>
      </c>
      <c r="L206" s="20">
        <f>IF(NOT(OR($A206&lt;&gt;"",$E206&lt;&gt;"",$F206&lt;&gt;"",$G206&lt;&gt;"",$H206&lt;&gt;"",$I206&lt;&gt;"")),"",IF(NOT(ISNUMBER($A206)),"入金日がありません",IF(AND($F206&lt;&gt;"",$O206="なし"),"請求Noが請求台帳にありません",IF(AND(ISNUMBER($O206),$C206&lt;&gt;"",$C206&lt;&gt;$P206),"請求の得意先は "&amp;$P206&amp;" です",IF(ROUND(IF($B206&lt;&gt;"",SUMIF($B$5:$B$1004,$B206,$E$5:$E$1004)-SUMIF($B$5:$B$1004,$B206,$G$5:$G$1004),N($E206)-N($G206)),0)&lt;&gt;0,"通帳の額と当てた額の差 "&amp;TEXT(IF($B206&lt;&gt;"",SUMIF($B$5:$B$1004,$B206,$E$5:$E$1004)-SUMIF($B$5:$B$1004,$B206,$G$5:$G$1004),N($E206)-N($G206)),"#,##0"),IF(AND(ISNUMBER($O206),N($K206)&lt;0),"請求額より多く消し込んでいます",IF($F206="","消込先が未定","OK")))))))</f>
        <v/>
      </c>
      <c r="M206" s="19" t="n"/>
      <c r="N206" s="56" t="n"/>
      <c r="O206" s="32">
        <f>IF($F206="","",IFERROR(MATCH($F206,'請求台帳'!$A$5:$A$1004,0),"なし"))</f>
        <v/>
      </c>
      <c r="P206" s="37">
        <f>IF(NOT(OR($A206&lt;&gt;"",$E206&lt;&gt;"",$F206&lt;&gt;"",$G206&lt;&gt;"",$H206&lt;&gt;"",$I206&lt;&gt;"")),"",IF(ISNUMBER($O206),IF(INDEX('請求台帳'!$C$5:$C$1004,$O206)="","",INDEX('請求台帳'!$C$5:$C$1004,$O206)),IF($C206="","",$C206)))</f>
        <v/>
      </c>
      <c r="Q206" s="35">
        <f>IF(OR(NOT(OR($A206&lt;&gt;"",$E206&lt;&gt;"",$F206&lt;&gt;"",$G206&lt;&gt;"",$H206&lt;&gt;"",$I206&lt;&gt;"")),$P206="",$P206&lt;&gt;'売掛帳'!$B$3,NOT(ISNUMBER($A206)),N($G206)+N($H206)+N($I206)=0),"",IF(AND($A206&gt;='売掛帳'!$Q$3,$A206&lt;='売掛帳'!$Q$4),$A206+0.5+ROW()/10000000,""))</f>
        <v/>
      </c>
      <c r="R206" s="32">
        <f>IF(AND(OR($A206&lt;&gt;"",$E206&lt;&gt;"",$F206&lt;&gt;"",$G206&lt;&gt;"",$H206&lt;&gt;"",$I206&lt;&gt;""),NOT(ISNUMBER($O206))),1,"")</f>
        <v/>
      </c>
    </row>
    <row r="207" ht="18" customHeight="1">
      <c r="A207" s="26" t="n"/>
      <c r="B207" s="18" t="n"/>
      <c r="C207" s="18" t="n"/>
      <c r="D207" s="20">
        <f>IF($P207="","",IFERROR(INDEX('得意先'!$C$5:$C$104,MATCH($P207,'得意先'!$B$5:$B$104,0))&amp;"","※得意先にないコード"))</f>
        <v/>
      </c>
      <c r="E207" s="27" t="n"/>
      <c r="F207" s="18" t="n"/>
      <c r="G207" s="27" t="n"/>
      <c r="H207" s="27" t="n"/>
      <c r="I207" s="27" t="n"/>
      <c r="J207" s="28">
        <f>IF(NOT(OR($A207&lt;&gt;"",$E207&lt;&gt;"",$F207&lt;&gt;"",$G207&lt;&gt;"",$H207&lt;&gt;"",$I207&lt;&gt;"")),"",N($G207)+N($H207)+N($I207))</f>
        <v/>
      </c>
      <c r="K207" s="28">
        <f>IF(ISNUMBER($O207),INDEX('請求台帳'!$R$5:$R$1004,$O207),"")</f>
        <v/>
      </c>
      <c r="L207" s="20">
        <f>IF(NOT(OR($A207&lt;&gt;"",$E207&lt;&gt;"",$F207&lt;&gt;"",$G207&lt;&gt;"",$H207&lt;&gt;"",$I207&lt;&gt;"")),"",IF(NOT(ISNUMBER($A207)),"入金日がありません",IF(AND($F207&lt;&gt;"",$O207="なし"),"請求Noが請求台帳にありません",IF(AND(ISNUMBER($O207),$C207&lt;&gt;"",$C207&lt;&gt;$P207),"請求の得意先は "&amp;$P207&amp;" です",IF(ROUND(IF($B207&lt;&gt;"",SUMIF($B$5:$B$1004,$B207,$E$5:$E$1004)-SUMIF($B$5:$B$1004,$B207,$G$5:$G$1004),N($E207)-N($G207)),0)&lt;&gt;0,"通帳の額と当てた額の差 "&amp;TEXT(IF($B207&lt;&gt;"",SUMIF($B$5:$B$1004,$B207,$E$5:$E$1004)-SUMIF($B$5:$B$1004,$B207,$G$5:$G$1004),N($E207)-N($G207)),"#,##0"),IF(AND(ISNUMBER($O207),N($K207)&lt;0),"請求額より多く消し込んでいます",IF($F207="","消込先が未定","OK")))))))</f>
        <v/>
      </c>
      <c r="M207" s="19" t="n"/>
      <c r="N207" s="56" t="n"/>
      <c r="O207" s="32">
        <f>IF($F207="","",IFERROR(MATCH($F207,'請求台帳'!$A$5:$A$1004,0),"なし"))</f>
        <v/>
      </c>
      <c r="P207" s="37">
        <f>IF(NOT(OR($A207&lt;&gt;"",$E207&lt;&gt;"",$F207&lt;&gt;"",$G207&lt;&gt;"",$H207&lt;&gt;"",$I207&lt;&gt;"")),"",IF(ISNUMBER($O207),IF(INDEX('請求台帳'!$C$5:$C$1004,$O207)="","",INDEX('請求台帳'!$C$5:$C$1004,$O207)),IF($C207="","",$C207)))</f>
        <v/>
      </c>
      <c r="Q207" s="35">
        <f>IF(OR(NOT(OR($A207&lt;&gt;"",$E207&lt;&gt;"",$F207&lt;&gt;"",$G207&lt;&gt;"",$H207&lt;&gt;"",$I207&lt;&gt;"")),$P207="",$P207&lt;&gt;'売掛帳'!$B$3,NOT(ISNUMBER($A207)),N($G207)+N($H207)+N($I207)=0),"",IF(AND($A207&gt;='売掛帳'!$Q$3,$A207&lt;='売掛帳'!$Q$4),$A207+0.5+ROW()/10000000,""))</f>
        <v/>
      </c>
      <c r="R207" s="32">
        <f>IF(AND(OR($A207&lt;&gt;"",$E207&lt;&gt;"",$F207&lt;&gt;"",$G207&lt;&gt;"",$H207&lt;&gt;"",$I207&lt;&gt;""),NOT(ISNUMBER($O207))),1,"")</f>
        <v/>
      </c>
    </row>
    <row r="208" ht="18" customHeight="1">
      <c r="A208" s="26" t="n"/>
      <c r="B208" s="18" t="n"/>
      <c r="C208" s="18" t="n"/>
      <c r="D208" s="20">
        <f>IF($P208="","",IFERROR(INDEX('得意先'!$C$5:$C$104,MATCH($P208,'得意先'!$B$5:$B$104,0))&amp;"","※得意先にないコード"))</f>
        <v/>
      </c>
      <c r="E208" s="27" t="n"/>
      <c r="F208" s="18" t="n"/>
      <c r="G208" s="27" t="n"/>
      <c r="H208" s="27" t="n"/>
      <c r="I208" s="27" t="n"/>
      <c r="J208" s="28">
        <f>IF(NOT(OR($A208&lt;&gt;"",$E208&lt;&gt;"",$F208&lt;&gt;"",$G208&lt;&gt;"",$H208&lt;&gt;"",$I208&lt;&gt;"")),"",N($G208)+N($H208)+N($I208))</f>
        <v/>
      </c>
      <c r="K208" s="28">
        <f>IF(ISNUMBER($O208),INDEX('請求台帳'!$R$5:$R$1004,$O208),"")</f>
        <v/>
      </c>
      <c r="L208" s="20">
        <f>IF(NOT(OR($A208&lt;&gt;"",$E208&lt;&gt;"",$F208&lt;&gt;"",$G208&lt;&gt;"",$H208&lt;&gt;"",$I208&lt;&gt;"")),"",IF(NOT(ISNUMBER($A208)),"入金日がありません",IF(AND($F208&lt;&gt;"",$O208="なし"),"請求Noが請求台帳にありません",IF(AND(ISNUMBER($O208),$C208&lt;&gt;"",$C208&lt;&gt;$P208),"請求の得意先は "&amp;$P208&amp;" です",IF(ROUND(IF($B208&lt;&gt;"",SUMIF($B$5:$B$1004,$B208,$E$5:$E$1004)-SUMIF($B$5:$B$1004,$B208,$G$5:$G$1004),N($E208)-N($G208)),0)&lt;&gt;0,"通帳の額と当てた額の差 "&amp;TEXT(IF($B208&lt;&gt;"",SUMIF($B$5:$B$1004,$B208,$E$5:$E$1004)-SUMIF($B$5:$B$1004,$B208,$G$5:$G$1004),N($E208)-N($G208)),"#,##0"),IF(AND(ISNUMBER($O208),N($K208)&lt;0),"請求額より多く消し込んでいます",IF($F208="","消込先が未定","OK")))))))</f>
        <v/>
      </c>
      <c r="M208" s="19" t="n"/>
      <c r="N208" s="56" t="n"/>
      <c r="O208" s="32">
        <f>IF($F208="","",IFERROR(MATCH($F208,'請求台帳'!$A$5:$A$1004,0),"なし"))</f>
        <v/>
      </c>
      <c r="P208" s="37">
        <f>IF(NOT(OR($A208&lt;&gt;"",$E208&lt;&gt;"",$F208&lt;&gt;"",$G208&lt;&gt;"",$H208&lt;&gt;"",$I208&lt;&gt;"")),"",IF(ISNUMBER($O208),IF(INDEX('請求台帳'!$C$5:$C$1004,$O208)="","",INDEX('請求台帳'!$C$5:$C$1004,$O208)),IF($C208="","",$C208)))</f>
        <v/>
      </c>
      <c r="Q208" s="35">
        <f>IF(OR(NOT(OR($A208&lt;&gt;"",$E208&lt;&gt;"",$F208&lt;&gt;"",$G208&lt;&gt;"",$H208&lt;&gt;"",$I208&lt;&gt;"")),$P208="",$P208&lt;&gt;'売掛帳'!$B$3,NOT(ISNUMBER($A208)),N($G208)+N($H208)+N($I208)=0),"",IF(AND($A208&gt;='売掛帳'!$Q$3,$A208&lt;='売掛帳'!$Q$4),$A208+0.5+ROW()/10000000,""))</f>
        <v/>
      </c>
      <c r="R208" s="32">
        <f>IF(AND(OR($A208&lt;&gt;"",$E208&lt;&gt;"",$F208&lt;&gt;"",$G208&lt;&gt;"",$H208&lt;&gt;"",$I208&lt;&gt;""),NOT(ISNUMBER($O208))),1,"")</f>
        <v/>
      </c>
    </row>
    <row r="209" ht="18" customHeight="1">
      <c r="A209" s="26" t="n"/>
      <c r="B209" s="18" t="n"/>
      <c r="C209" s="18" t="n"/>
      <c r="D209" s="20">
        <f>IF($P209="","",IFERROR(INDEX('得意先'!$C$5:$C$104,MATCH($P209,'得意先'!$B$5:$B$104,0))&amp;"","※得意先にないコード"))</f>
        <v/>
      </c>
      <c r="E209" s="27" t="n"/>
      <c r="F209" s="18" t="n"/>
      <c r="G209" s="27" t="n"/>
      <c r="H209" s="27" t="n"/>
      <c r="I209" s="27" t="n"/>
      <c r="J209" s="28">
        <f>IF(NOT(OR($A209&lt;&gt;"",$E209&lt;&gt;"",$F209&lt;&gt;"",$G209&lt;&gt;"",$H209&lt;&gt;"",$I209&lt;&gt;"")),"",N($G209)+N($H209)+N($I209))</f>
        <v/>
      </c>
      <c r="K209" s="28">
        <f>IF(ISNUMBER($O209),INDEX('請求台帳'!$R$5:$R$1004,$O209),"")</f>
        <v/>
      </c>
      <c r="L209" s="20">
        <f>IF(NOT(OR($A209&lt;&gt;"",$E209&lt;&gt;"",$F209&lt;&gt;"",$G209&lt;&gt;"",$H209&lt;&gt;"",$I209&lt;&gt;"")),"",IF(NOT(ISNUMBER($A209)),"入金日がありません",IF(AND($F209&lt;&gt;"",$O209="なし"),"請求Noが請求台帳にありません",IF(AND(ISNUMBER($O209),$C209&lt;&gt;"",$C209&lt;&gt;$P209),"請求の得意先は "&amp;$P209&amp;" です",IF(ROUND(IF($B209&lt;&gt;"",SUMIF($B$5:$B$1004,$B209,$E$5:$E$1004)-SUMIF($B$5:$B$1004,$B209,$G$5:$G$1004),N($E209)-N($G209)),0)&lt;&gt;0,"通帳の額と当てた額の差 "&amp;TEXT(IF($B209&lt;&gt;"",SUMIF($B$5:$B$1004,$B209,$E$5:$E$1004)-SUMIF($B$5:$B$1004,$B209,$G$5:$G$1004),N($E209)-N($G209)),"#,##0"),IF(AND(ISNUMBER($O209),N($K209)&lt;0),"請求額より多く消し込んでいます",IF($F209="","消込先が未定","OK")))))))</f>
        <v/>
      </c>
      <c r="M209" s="19" t="n"/>
      <c r="N209" s="56" t="n"/>
      <c r="O209" s="32">
        <f>IF($F209="","",IFERROR(MATCH($F209,'請求台帳'!$A$5:$A$1004,0),"なし"))</f>
        <v/>
      </c>
      <c r="P209" s="37">
        <f>IF(NOT(OR($A209&lt;&gt;"",$E209&lt;&gt;"",$F209&lt;&gt;"",$G209&lt;&gt;"",$H209&lt;&gt;"",$I209&lt;&gt;"")),"",IF(ISNUMBER($O209),IF(INDEX('請求台帳'!$C$5:$C$1004,$O209)="","",INDEX('請求台帳'!$C$5:$C$1004,$O209)),IF($C209="","",$C209)))</f>
        <v/>
      </c>
      <c r="Q209" s="35">
        <f>IF(OR(NOT(OR($A209&lt;&gt;"",$E209&lt;&gt;"",$F209&lt;&gt;"",$G209&lt;&gt;"",$H209&lt;&gt;"",$I209&lt;&gt;"")),$P209="",$P209&lt;&gt;'売掛帳'!$B$3,NOT(ISNUMBER($A209)),N($G209)+N($H209)+N($I209)=0),"",IF(AND($A209&gt;='売掛帳'!$Q$3,$A209&lt;='売掛帳'!$Q$4),$A209+0.5+ROW()/10000000,""))</f>
        <v/>
      </c>
      <c r="R209" s="32">
        <f>IF(AND(OR($A209&lt;&gt;"",$E209&lt;&gt;"",$F209&lt;&gt;"",$G209&lt;&gt;"",$H209&lt;&gt;"",$I209&lt;&gt;""),NOT(ISNUMBER($O209))),1,"")</f>
        <v/>
      </c>
    </row>
    <row r="210" ht="18" customHeight="1">
      <c r="A210" s="26" t="n"/>
      <c r="B210" s="18" t="n"/>
      <c r="C210" s="18" t="n"/>
      <c r="D210" s="20">
        <f>IF($P210="","",IFERROR(INDEX('得意先'!$C$5:$C$104,MATCH($P210,'得意先'!$B$5:$B$104,0))&amp;"","※得意先にないコード"))</f>
        <v/>
      </c>
      <c r="E210" s="27" t="n"/>
      <c r="F210" s="18" t="n"/>
      <c r="G210" s="27" t="n"/>
      <c r="H210" s="27" t="n"/>
      <c r="I210" s="27" t="n"/>
      <c r="J210" s="28">
        <f>IF(NOT(OR($A210&lt;&gt;"",$E210&lt;&gt;"",$F210&lt;&gt;"",$G210&lt;&gt;"",$H210&lt;&gt;"",$I210&lt;&gt;"")),"",N($G210)+N($H210)+N($I210))</f>
        <v/>
      </c>
      <c r="K210" s="28">
        <f>IF(ISNUMBER($O210),INDEX('請求台帳'!$R$5:$R$1004,$O210),"")</f>
        <v/>
      </c>
      <c r="L210" s="20">
        <f>IF(NOT(OR($A210&lt;&gt;"",$E210&lt;&gt;"",$F210&lt;&gt;"",$G210&lt;&gt;"",$H210&lt;&gt;"",$I210&lt;&gt;"")),"",IF(NOT(ISNUMBER($A210)),"入金日がありません",IF(AND($F210&lt;&gt;"",$O210="なし"),"請求Noが請求台帳にありません",IF(AND(ISNUMBER($O210),$C210&lt;&gt;"",$C210&lt;&gt;$P210),"請求の得意先は "&amp;$P210&amp;" です",IF(ROUND(IF($B210&lt;&gt;"",SUMIF($B$5:$B$1004,$B210,$E$5:$E$1004)-SUMIF($B$5:$B$1004,$B210,$G$5:$G$1004),N($E210)-N($G210)),0)&lt;&gt;0,"通帳の額と当てた額の差 "&amp;TEXT(IF($B210&lt;&gt;"",SUMIF($B$5:$B$1004,$B210,$E$5:$E$1004)-SUMIF($B$5:$B$1004,$B210,$G$5:$G$1004),N($E210)-N($G210)),"#,##0"),IF(AND(ISNUMBER($O210),N($K210)&lt;0),"請求額より多く消し込んでいます",IF($F210="","消込先が未定","OK")))))))</f>
        <v/>
      </c>
      <c r="M210" s="19" t="n"/>
      <c r="N210" s="56" t="n"/>
      <c r="O210" s="32">
        <f>IF($F210="","",IFERROR(MATCH($F210,'請求台帳'!$A$5:$A$1004,0),"なし"))</f>
        <v/>
      </c>
      <c r="P210" s="37">
        <f>IF(NOT(OR($A210&lt;&gt;"",$E210&lt;&gt;"",$F210&lt;&gt;"",$G210&lt;&gt;"",$H210&lt;&gt;"",$I210&lt;&gt;"")),"",IF(ISNUMBER($O210),IF(INDEX('請求台帳'!$C$5:$C$1004,$O210)="","",INDEX('請求台帳'!$C$5:$C$1004,$O210)),IF($C210="","",$C210)))</f>
        <v/>
      </c>
      <c r="Q210" s="35">
        <f>IF(OR(NOT(OR($A210&lt;&gt;"",$E210&lt;&gt;"",$F210&lt;&gt;"",$G210&lt;&gt;"",$H210&lt;&gt;"",$I210&lt;&gt;"")),$P210="",$P210&lt;&gt;'売掛帳'!$B$3,NOT(ISNUMBER($A210)),N($G210)+N($H210)+N($I210)=0),"",IF(AND($A210&gt;='売掛帳'!$Q$3,$A210&lt;='売掛帳'!$Q$4),$A210+0.5+ROW()/10000000,""))</f>
        <v/>
      </c>
      <c r="R210" s="32">
        <f>IF(AND(OR($A210&lt;&gt;"",$E210&lt;&gt;"",$F210&lt;&gt;"",$G210&lt;&gt;"",$H210&lt;&gt;"",$I210&lt;&gt;""),NOT(ISNUMBER($O210))),1,"")</f>
        <v/>
      </c>
    </row>
    <row r="211" ht="18" customHeight="1">
      <c r="A211" s="26" t="n"/>
      <c r="B211" s="18" t="n"/>
      <c r="C211" s="18" t="n"/>
      <c r="D211" s="20">
        <f>IF($P211="","",IFERROR(INDEX('得意先'!$C$5:$C$104,MATCH($P211,'得意先'!$B$5:$B$104,0))&amp;"","※得意先にないコード"))</f>
        <v/>
      </c>
      <c r="E211" s="27" t="n"/>
      <c r="F211" s="18" t="n"/>
      <c r="G211" s="27" t="n"/>
      <c r="H211" s="27" t="n"/>
      <c r="I211" s="27" t="n"/>
      <c r="J211" s="28">
        <f>IF(NOT(OR($A211&lt;&gt;"",$E211&lt;&gt;"",$F211&lt;&gt;"",$G211&lt;&gt;"",$H211&lt;&gt;"",$I211&lt;&gt;"")),"",N($G211)+N($H211)+N($I211))</f>
        <v/>
      </c>
      <c r="K211" s="28">
        <f>IF(ISNUMBER($O211),INDEX('請求台帳'!$R$5:$R$1004,$O211),"")</f>
        <v/>
      </c>
      <c r="L211" s="20">
        <f>IF(NOT(OR($A211&lt;&gt;"",$E211&lt;&gt;"",$F211&lt;&gt;"",$G211&lt;&gt;"",$H211&lt;&gt;"",$I211&lt;&gt;"")),"",IF(NOT(ISNUMBER($A211)),"入金日がありません",IF(AND($F211&lt;&gt;"",$O211="なし"),"請求Noが請求台帳にありません",IF(AND(ISNUMBER($O211),$C211&lt;&gt;"",$C211&lt;&gt;$P211),"請求の得意先は "&amp;$P211&amp;" です",IF(ROUND(IF($B211&lt;&gt;"",SUMIF($B$5:$B$1004,$B211,$E$5:$E$1004)-SUMIF($B$5:$B$1004,$B211,$G$5:$G$1004),N($E211)-N($G211)),0)&lt;&gt;0,"通帳の額と当てた額の差 "&amp;TEXT(IF($B211&lt;&gt;"",SUMIF($B$5:$B$1004,$B211,$E$5:$E$1004)-SUMIF($B$5:$B$1004,$B211,$G$5:$G$1004),N($E211)-N($G211)),"#,##0"),IF(AND(ISNUMBER($O211),N($K211)&lt;0),"請求額より多く消し込んでいます",IF($F211="","消込先が未定","OK")))))))</f>
        <v/>
      </c>
      <c r="M211" s="19" t="n"/>
      <c r="N211" s="56" t="n"/>
      <c r="O211" s="32">
        <f>IF($F211="","",IFERROR(MATCH($F211,'請求台帳'!$A$5:$A$1004,0),"なし"))</f>
        <v/>
      </c>
      <c r="P211" s="37">
        <f>IF(NOT(OR($A211&lt;&gt;"",$E211&lt;&gt;"",$F211&lt;&gt;"",$G211&lt;&gt;"",$H211&lt;&gt;"",$I211&lt;&gt;"")),"",IF(ISNUMBER($O211),IF(INDEX('請求台帳'!$C$5:$C$1004,$O211)="","",INDEX('請求台帳'!$C$5:$C$1004,$O211)),IF($C211="","",$C211)))</f>
        <v/>
      </c>
      <c r="Q211" s="35">
        <f>IF(OR(NOT(OR($A211&lt;&gt;"",$E211&lt;&gt;"",$F211&lt;&gt;"",$G211&lt;&gt;"",$H211&lt;&gt;"",$I211&lt;&gt;"")),$P211="",$P211&lt;&gt;'売掛帳'!$B$3,NOT(ISNUMBER($A211)),N($G211)+N($H211)+N($I211)=0),"",IF(AND($A211&gt;='売掛帳'!$Q$3,$A211&lt;='売掛帳'!$Q$4),$A211+0.5+ROW()/10000000,""))</f>
        <v/>
      </c>
      <c r="R211" s="32">
        <f>IF(AND(OR($A211&lt;&gt;"",$E211&lt;&gt;"",$F211&lt;&gt;"",$G211&lt;&gt;"",$H211&lt;&gt;"",$I211&lt;&gt;""),NOT(ISNUMBER($O211))),1,"")</f>
        <v/>
      </c>
    </row>
    <row r="212" ht="18" customHeight="1">
      <c r="A212" s="26" t="n"/>
      <c r="B212" s="18" t="n"/>
      <c r="C212" s="18" t="n"/>
      <c r="D212" s="20">
        <f>IF($P212="","",IFERROR(INDEX('得意先'!$C$5:$C$104,MATCH($P212,'得意先'!$B$5:$B$104,0))&amp;"","※得意先にないコード"))</f>
        <v/>
      </c>
      <c r="E212" s="27" t="n"/>
      <c r="F212" s="18" t="n"/>
      <c r="G212" s="27" t="n"/>
      <c r="H212" s="27" t="n"/>
      <c r="I212" s="27" t="n"/>
      <c r="J212" s="28">
        <f>IF(NOT(OR($A212&lt;&gt;"",$E212&lt;&gt;"",$F212&lt;&gt;"",$G212&lt;&gt;"",$H212&lt;&gt;"",$I212&lt;&gt;"")),"",N($G212)+N($H212)+N($I212))</f>
        <v/>
      </c>
      <c r="K212" s="28">
        <f>IF(ISNUMBER($O212),INDEX('請求台帳'!$R$5:$R$1004,$O212),"")</f>
        <v/>
      </c>
      <c r="L212" s="20">
        <f>IF(NOT(OR($A212&lt;&gt;"",$E212&lt;&gt;"",$F212&lt;&gt;"",$G212&lt;&gt;"",$H212&lt;&gt;"",$I212&lt;&gt;"")),"",IF(NOT(ISNUMBER($A212)),"入金日がありません",IF(AND($F212&lt;&gt;"",$O212="なし"),"請求Noが請求台帳にありません",IF(AND(ISNUMBER($O212),$C212&lt;&gt;"",$C212&lt;&gt;$P212),"請求の得意先は "&amp;$P212&amp;" です",IF(ROUND(IF($B212&lt;&gt;"",SUMIF($B$5:$B$1004,$B212,$E$5:$E$1004)-SUMIF($B$5:$B$1004,$B212,$G$5:$G$1004),N($E212)-N($G212)),0)&lt;&gt;0,"通帳の額と当てた額の差 "&amp;TEXT(IF($B212&lt;&gt;"",SUMIF($B$5:$B$1004,$B212,$E$5:$E$1004)-SUMIF($B$5:$B$1004,$B212,$G$5:$G$1004),N($E212)-N($G212)),"#,##0"),IF(AND(ISNUMBER($O212),N($K212)&lt;0),"請求額より多く消し込んでいます",IF($F212="","消込先が未定","OK")))))))</f>
        <v/>
      </c>
      <c r="M212" s="19" t="n"/>
      <c r="N212" s="56" t="n"/>
      <c r="O212" s="32">
        <f>IF($F212="","",IFERROR(MATCH($F212,'請求台帳'!$A$5:$A$1004,0),"なし"))</f>
        <v/>
      </c>
      <c r="P212" s="37">
        <f>IF(NOT(OR($A212&lt;&gt;"",$E212&lt;&gt;"",$F212&lt;&gt;"",$G212&lt;&gt;"",$H212&lt;&gt;"",$I212&lt;&gt;"")),"",IF(ISNUMBER($O212),IF(INDEX('請求台帳'!$C$5:$C$1004,$O212)="","",INDEX('請求台帳'!$C$5:$C$1004,$O212)),IF($C212="","",$C212)))</f>
        <v/>
      </c>
      <c r="Q212" s="35">
        <f>IF(OR(NOT(OR($A212&lt;&gt;"",$E212&lt;&gt;"",$F212&lt;&gt;"",$G212&lt;&gt;"",$H212&lt;&gt;"",$I212&lt;&gt;"")),$P212="",$P212&lt;&gt;'売掛帳'!$B$3,NOT(ISNUMBER($A212)),N($G212)+N($H212)+N($I212)=0),"",IF(AND($A212&gt;='売掛帳'!$Q$3,$A212&lt;='売掛帳'!$Q$4),$A212+0.5+ROW()/10000000,""))</f>
        <v/>
      </c>
      <c r="R212" s="32">
        <f>IF(AND(OR($A212&lt;&gt;"",$E212&lt;&gt;"",$F212&lt;&gt;"",$G212&lt;&gt;"",$H212&lt;&gt;"",$I212&lt;&gt;""),NOT(ISNUMBER($O212))),1,"")</f>
        <v/>
      </c>
    </row>
    <row r="213" ht="18" customHeight="1">
      <c r="A213" s="26" t="n"/>
      <c r="B213" s="18" t="n"/>
      <c r="C213" s="18" t="n"/>
      <c r="D213" s="20">
        <f>IF($P213="","",IFERROR(INDEX('得意先'!$C$5:$C$104,MATCH($P213,'得意先'!$B$5:$B$104,0))&amp;"","※得意先にないコード"))</f>
        <v/>
      </c>
      <c r="E213" s="27" t="n"/>
      <c r="F213" s="18" t="n"/>
      <c r="G213" s="27" t="n"/>
      <c r="H213" s="27" t="n"/>
      <c r="I213" s="27" t="n"/>
      <c r="J213" s="28">
        <f>IF(NOT(OR($A213&lt;&gt;"",$E213&lt;&gt;"",$F213&lt;&gt;"",$G213&lt;&gt;"",$H213&lt;&gt;"",$I213&lt;&gt;"")),"",N($G213)+N($H213)+N($I213))</f>
        <v/>
      </c>
      <c r="K213" s="28">
        <f>IF(ISNUMBER($O213),INDEX('請求台帳'!$R$5:$R$1004,$O213),"")</f>
        <v/>
      </c>
      <c r="L213" s="20">
        <f>IF(NOT(OR($A213&lt;&gt;"",$E213&lt;&gt;"",$F213&lt;&gt;"",$G213&lt;&gt;"",$H213&lt;&gt;"",$I213&lt;&gt;"")),"",IF(NOT(ISNUMBER($A213)),"入金日がありません",IF(AND($F213&lt;&gt;"",$O213="なし"),"請求Noが請求台帳にありません",IF(AND(ISNUMBER($O213),$C213&lt;&gt;"",$C213&lt;&gt;$P213),"請求の得意先は "&amp;$P213&amp;" です",IF(ROUND(IF($B213&lt;&gt;"",SUMIF($B$5:$B$1004,$B213,$E$5:$E$1004)-SUMIF($B$5:$B$1004,$B213,$G$5:$G$1004),N($E213)-N($G213)),0)&lt;&gt;0,"通帳の額と当てた額の差 "&amp;TEXT(IF($B213&lt;&gt;"",SUMIF($B$5:$B$1004,$B213,$E$5:$E$1004)-SUMIF($B$5:$B$1004,$B213,$G$5:$G$1004),N($E213)-N($G213)),"#,##0"),IF(AND(ISNUMBER($O213),N($K213)&lt;0),"請求額より多く消し込んでいます",IF($F213="","消込先が未定","OK")))))))</f>
        <v/>
      </c>
      <c r="M213" s="19" t="n"/>
      <c r="N213" s="56" t="n"/>
      <c r="O213" s="32">
        <f>IF($F213="","",IFERROR(MATCH($F213,'請求台帳'!$A$5:$A$1004,0),"なし"))</f>
        <v/>
      </c>
      <c r="P213" s="37">
        <f>IF(NOT(OR($A213&lt;&gt;"",$E213&lt;&gt;"",$F213&lt;&gt;"",$G213&lt;&gt;"",$H213&lt;&gt;"",$I213&lt;&gt;"")),"",IF(ISNUMBER($O213),IF(INDEX('請求台帳'!$C$5:$C$1004,$O213)="","",INDEX('請求台帳'!$C$5:$C$1004,$O213)),IF($C213="","",$C213)))</f>
        <v/>
      </c>
      <c r="Q213" s="35">
        <f>IF(OR(NOT(OR($A213&lt;&gt;"",$E213&lt;&gt;"",$F213&lt;&gt;"",$G213&lt;&gt;"",$H213&lt;&gt;"",$I213&lt;&gt;"")),$P213="",$P213&lt;&gt;'売掛帳'!$B$3,NOT(ISNUMBER($A213)),N($G213)+N($H213)+N($I213)=0),"",IF(AND($A213&gt;='売掛帳'!$Q$3,$A213&lt;='売掛帳'!$Q$4),$A213+0.5+ROW()/10000000,""))</f>
        <v/>
      </c>
      <c r="R213" s="32">
        <f>IF(AND(OR($A213&lt;&gt;"",$E213&lt;&gt;"",$F213&lt;&gt;"",$G213&lt;&gt;"",$H213&lt;&gt;"",$I213&lt;&gt;""),NOT(ISNUMBER($O213))),1,"")</f>
        <v/>
      </c>
    </row>
    <row r="214" ht="18" customHeight="1">
      <c r="A214" s="26" t="n"/>
      <c r="B214" s="18" t="n"/>
      <c r="C214" s="18" t="n"/>
      <c r="D214" s="20">
        <f>IF($P214="","",IFERROR(INDEX('得意先'!$C$5:$C$104,MATCH($P214,'得意先'!$B$5:$B$104,0))&amp;"","※得意先にないコード"))</f>
        <v/>
      </c>
      <c r="E214" s="27" t="n"/>
      <c r="F214" s="18" t="n"/>
      <c r="G214" s="27" t="n"/>
      <c r="H214" s="27" t="n"/>
      <c r="I214" s="27" t="n"/>
      <c r="J214" s="28">
        <f>IF(NOT(OR($A214&lt;&gt;"",$E214&lt;&gt;"",$F214&lt;&gt;"",$G214&lt;&gt;"",$H214&lt;&gt;"",$I214&lt;&gt;"")),"",N($G214)+N($H214)+N($I214))</f>
        <v/>
      </c>
      <c r="K214" s="28">
        <f>IF(ISNUMBER($O214),INDEX('請求台帳'!$R$5:$R$1004,$O214),"")</f>
        <v/>
      </c>
      <c r="L214" s="20">
        <f>IF(NOT(OR($A214&lt;&gt;"",$E214&lt;&gt;"",$F214&lt;&gt;"",$G214&lt;&gt;"",$H214&lt;&gt;"",$I214&lt;&gt;"")),"",IF(NOT(ISNUMBER($A214)),"入金日がありません",IF(AND($F214&lt;&gt;"",$O214="なし"),"請求Noが請求台帳にありません",IF(AND(ISNUMBER($O214),$C214&lt;&gt;"",$C214&lt;&gt;$P214),"請求の得意先は "&amp;$P214&amp;" です",IF(ROUND(IF($B214&lt;&gt;"",SUMIF($B$5:$B$1004,$B214,$E$5:$E$1004)-SUMIF($B$5:$B$1004,$B214,$G$5:$G$1004),N($E214)-N($G214)),0)&lt;&gt;0,"通帳の額と当てた額の差 "&amp;TEXT(IF($B214&lt;&gt;"",SUMIF($B$5:$B$1004,$B214,$E$5:$E$1004)-SUMIF($B$5:$B$1004,$B214,$G$5:$G$1004),N($E214)-N($G214)),"#,##0"),IF(AND(ISNUMBER($O214),N($K214)&lt;0),"請求額より多く消し込んでいます",IF($F214="","消込先が未定","OK")))))))</f>
        <v/>
      </c>
      <c r="M214" s="19" t="n"/>
      <c r="N214" s="56" t="n"/>
      <c r="O214" s="32">
        <f>IF($F214="","",IFERROR(MATCH($F214,'請求台帳'!$A$5:$A$1004,0),"なし"))</f>
        <v/>
      </c>
      <c r="P214" s="37">
        <f>IF(NOT(OR($A214&lt;&gt;"",$E214&lt;&gt;"",$F214&lt;&gt;"",$G214&lt;&gt;"",$H214&lt;&gt;"",$I214&lt;&gt;"")),"",IF(ISNUMBER($O214),IF(INDEX('請求台帳'!$C$5:$C$1004,$O214)="","",INDEX('請求台帳'!$C$5:$C$1004,$O214)),IF($C214="","",$C214)))</f>
        <v/>
      </c>
      <c r="Q214" s="35">
        <f>IF(OR(NOT(OR($A214&lt;&gt;"",$E214&lt;&gt;"",$F214&lt;&gt;"",$G214&lt;&gt;"",$H214&lt;&gt;"",$I214&lt;&gt;"")),$P214="",$P214&lt;&gt;'売掛帳'!$B$3,NOT(ISNUMBER($A214)),N($G214)+N($H214)+N($I214)=0),"",IF(AND($A214&gt;='売掛帳'!$Q$3,$A214&lt;='売掛帳'!$Q$4),$A214+0.5+ROW()/10000000,""))</f>
        <v/>
      </c>
      <c r="R214" s="32">
        <f>IF(AND(OR($A214&lt;&gt;"",$E214&lt;&gt;"",$F214&lt;&gt;"",$G214&lt;&gt;"",$H214&lt;&gt;"",$I214&lt;&gt;""),NOT(ISNUMBER($O214))),1,"")</f>
        <v/>
      </c>
    </row>
    <row r="215" ht="18" customHeight="1">
      <c r="A215" s="26" t="n"/>
      <c r="B215" s="18" t="n"/>
      <c r="C215" s="18" t="n"/>
      <c r="D215" s="20">
        <f>IF($P215="","",IFERROR(INDEX('得意先'!$C$5:$C$104,MATCH($P215,'得意先'!$B$5:$B$104,0))&amp;"","※得意先にないコード"))</f>
        <v/>
      </c>
      <c r="E215" s="27" t="n"/>
      <c r="F215" s="18" t="n"/>
      <c r="G215" s="27" t="n"/>
      <c r="H215" s="27" t="n"/>
      <c r="I215" s="27" t="n"/>
      <c r="J215" s="28">
        <f>IF(NOT(OR($A215&lt;&gt;"",$E215&lt;&gt;"",$F215&lt;&gt;"",$G215&lt;&gt;"",$H215&lt;&gt;"",$I215&lt;&gt;"")),"",N($G215)+N($H215)+N($I215))</f>
        <v/>
      </c>
      <c r="K215" s="28">
        <f>IF(ISNUMBER($O215),INDEX('請求台帳'!$R$5:$R$1004,$O215),"")</f>
        <v/>
      </c>
      <c r="L215" s="20">
        <f>IF(NOT(OR($A215&lt;&gt;"",$E215&lt;&gt;"",$F215&lt;&gt;"",$G215&lt;&gt;"",$H215&lt;&gt;"",$I215&lt;&gt;"")),"",IF(NOT(ISNUMBER($A215)),"入金日がありません",IF(AND($F215&lt;&gt;"",$O215="なし"),"請求Noが請求台帳にありません",IF(AND(ISNUMBER($O215),$C215&lt;&gt;"",$C215&lt;&gt;$P215),"請求の得意先は "&amp;$P215&amp;" です",IF(ROUND(IF($B215&lt;&gt;"",SUMIF($B$5:$B$1004,$B215,$E$5:$E$1004)-SUMIF($B$5:$B$1004,$B215,$G$5:$G$1004),N($E215)-N($G215)),0)&lt;&gt;0,"通帳の額と当てた額の差 "&amp;TEXT(IF($B215&lt;&gt;"",SUMIF($B$5:$B$1004,$B215,$E$5:$E$1004)-SUMIF($B$5:$B$1004,$B215,$G$5:$G$1004),N($E215)-N($G215)),"#,##0"),IF(AND(ISNUMBER($O215),N($K215)&lt;0),"請求額より多く消し込んでいます",IF($F215="","消込先が未定","OK")))))))</f>
        <v/>
      </c>
      <c r="M215" s="19" t="n"/>
      <c r="N215" s="56" t="n"/>
      <c r="O215" s="32">
        <f>IF($F215="","",IFERROR(MATCH($F215,'請求台帳'!$A$5:$A$1004,0),"なし"))</f>
        <v/>
      </c>
      <c r="P215" s="37">
        <f>IF(NOT(OR($A215&lt;&gt;"",$E215&lt;&gt;"",$F215&lt;&gt;"",$G215&lt;&gt;"",$H215&lt;&gt;"",$I215&lt;&gt;"")),"",IF(ISNUMBER($O215),IF(INDEX('請求台帳'!$C$5:$C$1004,$O215)="","",INDEX('請求台帳'!$C$5:$C$1004,$O215)),IF($C215="","",$C215)))</f>
        <v/>
      </c>
      <c r="Q215" s="35">
        <f>IF(OR(NOT(OR($A215&lt;&gt;"",$E215&lt;&gt;"",$F215&lt;&gt;"",$G215&lt;&gt;"",$H215&lt;&gt;"",$I215&lt;&gt;"")),$P215="",$P215&lt;&gt;'売掛帳'!$B$3,NOT(ISNUMBER($A215)),N($G215)+N($H215)+N($I215)=0),"",IF(AND($A215&gt;='売掛帳'!$Q$3,$A215&lt;='売掛帳'!$Q$4),$A215+0.5+ROW()/10000000,""))</f>
        <v/>
      </c>
      <c r="R215" s="32">
        <f>IF(AND(OR($A215&lt;&gt;"",$E215&lt;&gt;"",$F215&lt;&gt;"",$G215&lt;&gt;"",$H215&lt;&gt;"",$I215&lt;&gt;""),NOT(ISNUMBER($O215))),1,"")</f>
        <v/>
      </c>
    </row>
    <row r="216" ht="18" customHeight="1">
      <c r="A216" s="26" t="n"/>
      <c r="B216" s="18" t="n"/>
      <c r="C216" s="18" t="n"/>
      <c r="D216" s="20">
        <f>IF($P216="","",IFERROR(INDEX('得意先'!$C$5:$C$104,MATCH($P216,'得意先'!$B$5:$B$104,0))&amp;"","※得意先にないコード"))</f>
        <v/>
      </c>
      <c r="E216" s="27" t="n"/>
      <c r="F216" s="18" t="n"/>
      <c r="G216" s="27" t="n"/>
      <c r="H216" s="27" t="n"/>
      <c r="I216" s="27" t="n"/>
      <c r="J216" s="28">
        <f>IF(NOT(OR($A216&lt;&gt;"",$E216&lt;&gt;"",$F216&lt;&gt;"",$G216&lt;&gt;"",$H216&lt;&gt;"",$I216&lt;&gt;"")),"",N($G216)+N($H216)+N($I216))</f>
        <v/>
      </c>
      <c r="K216" s="28">
        <f>IF(ISNUMBER($O216),INDEX('請求台帳'!$R$5:$R$1004,$O216),"")</f>
        <v/>
      </c>
      <c r="L216" s="20">
        <f>IF(NOT(OR($A216&lt;&gt;"",$E216&lt;&gt;"",$F216&lt;&gt;"",$G216&lt;&gt;"",$H216&lt;&gt;"",$I216&lt;&gt;"")),"",IF(NOT(ISNUMBER($A216)),"入金日がありません",IF(AND($F216&lt;&gt;"",$O216="なし"),"請求Noが請求台帳にありません",IF(AND(ISNUMBER($O216),$C216&lt;&gt;"",$C216&lt;&gt;$P216),"請求の得意先は "&amp;$P216&amp;" です",IF(ROUND(IF($B216&lt;&gt;"",SUMIF($B$5:$B$1004,$B216,$E$5:$E$1004)-SUMIF($B$5:$B$1004,$B216,$G$5:$G$1004),N($E216)-N($G216)),0)&lt;&gt;0,"通帳の額と当てた額の差 "&amp;TEXT(IF($B216&lt;&gt;"",SUMIF($B$5:$B$1004,$B216,$E$5:$E$1004)-SUMIF($B$5:$B$1004,$B216,$G$5:$G$1004),N($E216)-N($G216)),"#,##0"),IF(AND(ISNUMBER($O216),N($K216)&lt;0),"請求額より多く消し込んでいます",IF($F216="","消込先が未定","OK")))))))</f>
        <v/>
      </c>
      <c r="M216" s="19" t="n"/>
      <c r="N216" s="56" t="n"/>
      <c r="O216" s="32">
        <f>IF($F216="","",IFERROR(MATCH($F216,'請求台帳'!$A$5:$A$1004,0),"なし"))</f>
        <v/>
      </c>
      <c r="P216" s="37">
        <f>IF(NOT(OR($A216&lt;&gt;"",$E216&lt;&gt;"",$F216&lt;&gt;"",$G216&lt;&gt;"",$H216&lt;&gt;"",$I216&lt;&gt;"")),"",IF(ISNUMBER($O216),IF(INDEX('請求台帳'!$C$5:$C$1004,$O216)="","",INDEX('請求台帳'!$C$5:$C$1004,$O216)),IF($C216="","",$C216)))</f>
        <v/>
      </c>
      <c r="Q216" s="35">
        <f>IF(OR(NOT(OR($A216&lt;&gt;"",$E216&lt;&gt;"",$F216&lt;&gt;"",$G216&lt;&gt;"",$H216&lt;&gt;"",$I216&lt;&gt;"")),$P216="",$P216&lt;&gt;'売掛帳'!$B$3,NOT(ISNUMBER($A216)),N($G216)+N($H216)+N($I216)=0),"",IF(AND($A216&gt;='売掛帳'!$Q$3,$A216&lt;='売掛帳'!$Q$4),$A216+0.5+ROW()/10000000,""))</f>
        <v/>
      </c>
      <c r="R216" s="32">
        <f>IF(AND(OR($A216&lt;&gt;"",$E216&lt;&gt;"",$F216&lt;&gt;"",$G216&lt;&gt;"",$H216&lt;&gt;"",$I216&lt;&gt;""),NOT(ISNUMBER($O216))),1,"")</f>
        <v/>
      </c>
    </row>
    <row r="217" ht="18" customHeight="1">
      <c r="A217" s="26" t="n"/>
      <c r="B217" s="18" t="n"/>
      <c r="C217" s="18" t="n"/>
      <c r="D217" s="20">
        <f>IF($P217="","",IFERROR(INDEX('得意先'!$C$5:$C$104,MATCH($P217,'得意先'!$B$5:$B$104,0))&amp;"","※得意先にないコード"))</f>
        <v/>
      </c>
      <c r="E217" s="27" t="n"/>
      <c r="F217" s="18" t="n"/>
      <c r="G217" s="27" t="n"/>
      <c r="H217" s="27" t="n"/>
      <c r="I217" s="27" t="n"/>
      <c r="J217" s="28">
        <f>IF(NOT(OR($A217&lt;&gt;"",$E217&lt;&gt;"",$F217&lt;&gt;"",$G217&lt;&gt;"",$H217&lt;&gt;"",$I217&lt;&gt;"")),"",N($G217)+N($H217)+N($I217))</f>
        <v/>
      </c>
      <c r="K217" s="28">
        <f>IF(ISNUMBER($O217),INDEX('請求台帳'!$R$5:$R$1004,$O217),"")</f>
        <v/>
      </c>
      <c r="L217" s="20">
        <f>IF(NOT(OR($A217&lt;&gt;"",$E217&lt;&gt;"",$F217&lt;&gt;"",$G217&lt;&gt;"",$H217&lt;&gt;"",$I217&lt;&gt;"")),"",IF(NOT(ISNUMBER($A217)),"入金日がありません",IF(AND($F217&lt;&gt;"",$O217="なし"),"請求Noが請求台帳にありません",IF(AND(ISNUMBER($O217),$C217&lt;&gt;"",$C217&lt;&gt;$P217),"請求の得意先は "&amp;$P217&amp;" です",IF(ROUND(IF($B217&lt;&gt;"",SUMIF($B$5:$B$1004,$B217,$E$5:$E$1004)-SUMIF($B$5:$B$1004,$B217,$G$5:$G$1004),N($E217)-N($G217)),0)&lt;&gt;0,"通帳の額と当てた額の差 "&amp;TEXT(IF($B217&lt;&gt;"",SUMIF($B$5:$B$1004,$B217,$E$5:$E$1004)-SUMIF($B$5:$B$1004,$B217,$G$5:$G$1004),N($E217)-N($G217)),"#,##0"),IF(AND(ISNUMBER($O217),N($K217)&lt;0),"請求額より多く消し込んでいます",IF($F217="","消込先が未定","OK")))))))</f>
        <v/>
      </c>
      <c r="M217" s="19" t="n"/>
      <c r="N217" s="56" t="n"/>
      <c r="O217" s="32">
        <f>IF($F217="","",IFERROR(MATCH($F217,'請求台帳'!$A$5:$A$1004,0),"なし"))</f>
        <v/>
      </c>
      <c r="P217" s="37">
        <f>IF(NOT(OR($A217&lt;&gt;"",$E217&lt;&gt;"",$F217&lt;&gt;"",$G217&lt;&gt;"",$H217&lt;&gt;"",$I217&lt;&gt;"")),"",IF(ISNUMBER($O217),IF(INDEX('請求台帳'!$C$5:$C$1004,$O217)="","",INDEX('請求台帳'!$C$5:$C$1004,$O217)),IF($C217="","",$C217)))</f>
        <v/>
      </c>
      <c r="Q217" s="35">
        <f>IF(OR(NOT(OR($A217&lt;&gt;"",$E217&lt;&gt;"",$F217&lt;&gt;"",$G217&lt;&gt;"",$H217&lt;&gt;"",$I217&lt;&gt;"")),$P217="",$P217&lt;&gt;'売掛帳'!$B$3,NOT(ISNUMBER($A217)),N($G217)+N($H217)+N($I217)=0),"",IF(AND($A217&gt;='売掛帳'!$Q$3,$A217&lt;='売掛帳'!$Q$4),$A217+0.5+ROW()/10000000,""))</f>
        <v/>
      </c>
      <c r="R217" s="32">
        <f>IF(AND(OR($A217&lt;&gt;"",$E217&lt;&gt;"",$F217&lt;&gt;"",$G217&lt;&gt;"",$H217&lt;&gt;"",$I217&lt;&gt;""),NOT(ISNUMBER($O217))),1,"")</f>
        <v/>
      </c>
    </row>
    <row r="218" ht="18" customHeight="1">
      <c r="A218" s="26" t="n"/>
      <c r="B218" s="18" t="n"/>
      <c r="C218" s="18" t="n"/>
      <c r="D218" s="20">
        <f>IF($P218="","",IFERROR(INDEX('得意先'!$C$5:$C$104,MATCH($P218,'得意先'!$B$5:$B$104,0))&amp;"","※得意先にないコード"))</f>
        <v/>
      </c>
      <c r="E218" s="27" t="n"/>
      <c r="F218" s="18" t="n"/>
      <c r="G218" s="27" t="n"/>
      <c r="H218" s="27" t="n"/>
      <c r="I218" s="27" t="n"/>
      <c r="J218" s="28">
        <f>IF(NOT(OR($A218&lt;&gt;"",$E218&lt;&gt;"",$F218&lt;&gt;"",$G218&lt;&gt;"",$H218&lt;&gt;"",$I218&lt;&gt;"")),"",N($G218)+N($H218)+N($I218))</f>
        <v/>
      </c>
      <c r="K218" s="28">
        <f>IF(ISNUMBER($O218),INDEX('請求台帳'!$R$5:$R$1004,$O218),"")</f>
        <v/>
      </c>
      <c r="L218" s="20">
        <f>IF(NOT(OR($A218&lt;&gt;"",$E218&lt;&gt;"",$F218&lt;&gt;"",$G218&lt;&gt;"",$H218&lt;&gt;"",$I218&lt;&gt;"")),"",IF(NOT(ISNUMBER($A218)),"入金日がありません",IF(AND($F218&lt;&gt;"",$O218="なし"),"請求Noが請求台帳にありません",IF(AND(ISNUMBER($O218),$C218&lt;&gt;"",$C218&lt;&gt;$P218),"請求の得意先は "&amp;$P218&amp;" です",IF(ROUND(IF($B218&lt;&gt;"",SUMIF($B$5:$B$1004,$B218,$E$5:$E$1004)-SUMIF($B$5:$B$1004,$B218,$G$5:$G$1004),N($E218)-N($G218)),0)&lt;&gt;0,"通帳の額と当てた額の差 "&amp;TEXT(IF($B218&lt;&gt;"",SUMIF($B$5:$B$1004,$B218,$E$5:$E$1004)-SUMIF($B$5:$B$1004,$B218,$G$5:$G$1004),N($E218)-N($G218)),"#,##0"),IF(AND(ISNUMBER($O218),N($K218)&lt;0),"請求額より多く消し込んでいます",IF($F218="","消込先が未定","OK")))))))</f>
        <v/>
      </c>
      <c r="M218" s="19" t="n"/>
      <c r="N218" s="56" t="n"/>
      <c r="O218" s="32">
        <f>IF($F218="","",IFERROR(MATCH($F218,'請求台帳'!$A$5:$A$1004,0),"なし"))</f>
        <v/>
      </c>
      <c r="P218" s="37">
        <f>IF(NOT(OR($A218&lt;&gt;"",$E218&lt;&gt;"",$F218&lt;&gt;"",$G218&lt;&gt;"",$H218&lt;&gt;"",$I218&lt;&gt;"")),"",IF(ISNUMBER($O218),IF(INDEX('請求台帳'!$C$5:$C$1004,$O218)="","",INDEX('請求台帳'!$C$5:$C$1004,$O218)),IF($C218="","",$C218)))</f>
        <v/>
      </c>
      <c r="Q218" s="35">
        <f>IF(OR(NOT(OR($A218&lt;&gt;"",$E218&lt;&gt;"",$F218&lt;&gt;"",$G218&lt;&gt;"",$H218&lt;&gt;"",$I218&lt;&gt;"")),$P218="",$P218&lt;&gt;'売掛帳'!$B$3,NOT(ISNUMBER($A218)),N($G218)+N($H218)+N($I218)=0),"",IF(AND($A218&gt;='売掛帳'!$Q$3,$A218&lt;='売掛帳'!$Q$4),$A218+0.5+ROW()/10000000,""))</f>
        <v/>
      </c>
      <c r="R218" s="32">
        <f>IF(AND(OR($A218&lt;&gt;"",$E218&lt;&gt;"",$F218&lt;&gt;"",$G218&lt;&gt;"",$H218&lt;&gt;"",$I218&lt;&gt;""),NOT(ISNUMBER($O218))),1,"")</f>
        <v/>
      </c>
    </row>
    <row r="219" ht="18" customHeight="1">
      <c r="A219" s="26" t="n"/>
      <c r="B219" s="18" t="n"/>
      <c r="C219" s="18" t="n"/>
      <c r="D219" s="20">
        <f>IF($P219="","",IFERROR(INDEX('得意先'!$C$5:$C$104,MATCH($P219,'得意先'!$B$5:$B$104,0))&amp;"","※得意先にないコード"))</f>
        <v/>
      </c>
      <c r="E219" s="27" t="n"/>
      <c r="F219" s="18" t="n"/>
      <c r="G219" s="27" t="n"/>
      <c r="H219" s="27" t="n"/>
      <c r="I219" s="27" t="n"/>
      <c r="J219" s="28">
        <f>IF(NOT(OR($A219&lt;&gt;"",$E219&lt;&gt;"",$F219&lt;&gt;"",$G219&lt;&gt;"",$H219&lt;&gt;"",$I219&lt;&gt;"")),"",N($G219)+N($H219)+N($I219))</f>
        <v/>
      </c>
      <c r="K219" s="28">
        <f>IF(ISNUMBER($O219),INDEX('請求台帳'!$R$5:$R$1004,$O219),"")</f>
        <v/>
      </c>
      <c r="L219" s="20">
        <f>IF(NOT(OR($A219&lt;&gt;"",$E219&lt;&gt;"",$F219&lt;&gt;"",$G219&lt;&gt;"",$H219&lt;&gt;"",$I219&lt;&gt;"")),"",IF(NOT(ISNUMBER($A219)),"入金日がありません",IF(AND($F219&lt;&gt;"",$O219="なし"),"請求Noが請求台帳にありません",IF(AND(ISNUMBER($O219),$C219&lt;&gt;"",$C219&lt;&gt;$P219),"請求の得意先は "&amp;$P219&amp;" です",IF(ROUND(IF($B219&lt;&gt;"",SUMIF($B$5:$B$1004,$B219,$E$5:$E$1004)-SUMIF($B$5:$B$1004,$B219,$G$5:$G$1004),N($E219)-N($G219)),0)&lt;&gt;0,"通帳の額と当てた額の差 "&amp;TEXT(IF($B219&lt;&gt;"",SUMIF($B$5:$B$1004,$B219,$E$5:$E$1004)-SUMIF($B$5:$B$1004,$B219,$G$5:$G$1004),N($E219)-N($G219)),"#,##0"),IF(AND(ISNUMBER($O219),N($K219)&lt;0),"請求額より多く消し込んでいます",IF($F219="","消込先が未定","OK")))))))</f>
        <v/>
      </c>
      <c r="M219" s="19" t="n"/>
      <c r="N219" s="56" t="n"/>
      <c r="O219" s="32">
        <f>IF($F219="","",IFERROR(MATCH($F219,'請求台帳'!$A$5:$A$1004,0),"なし"))</f>
        <v/>
      </c>
      <c r="P219" s="37">
        <f>IF(NOT(OR($A219&lt;&gt;"",$E219&lt;&gt;"",$F219&lt;&gt;"",$G219&lt;&gt;"",$H219&lt;&gt;"",$I219&lt;&gt;"")),"",IF(ISNUMBER($O219),IF(INDEX('請求台帳'!$C$5:$C$1004,$O219)="","",INDEX('請求台帳'!$C$5:$C$1004,$O219)),IF($C219="","",$C219)))</f>
        <v/>
      </c>
      <c r="Q219" s="35">
        <f>IF(OR(NOT(OR($A219&lt;&gt;"",$E219&lt;&gt;"",$F219&lt;&gt;"",$G219&lt;&gt;"",$H219&lt;&gt;"",$I219&lt;&gt;"")),$P219="",$P219&lt;&gt;'売掛帳'!$B$3,NOT(ISNUMBER($A219)),N($G219)+N($H219)+N($I219)=0),"",IF(AND($A219&gt;='売掛帳'!$Q$3,$A219&lt;='売掛帳'!$Q$4),$A219+0.5+ROW()/10000000,""))</f>
        <v/>
      </c>
      <c r="R219" s="32">
        <f>IF(AND(OR($A219&lt;&gt;"",$E219&lt;&gt;"",$F219&lt;&gt;"",$G219&lt;&gt;"",$H219&lt;&gt;"",$I219&lt;&gt;""),NOT(ISNUMBER($O219))),1,"")</f>
        <v/>
      </c>
    </row>
    <row r="220" ht="18" customHeight="1">
      <c r="A220" s="26" t="n"/>
      <c r="B220" s="18" t="n"/>
      <c r="C220" s="18" t="n"/>
      <c r="D220" s="20">
        <f>IF($P220="","",IFERROR(INDEX('得意先'!$C$5:$C$104,MATCH($P220,'得意先'!$B$5:$B$104,0))&amp;"","※得意先にないコード"))</f>
        <v/>
      </c>
      <c r="E220" s="27" t="n"/>
      <c r="F220" s="18" t="n"/>
      <c r="G220" s="27" t="n"/>
      <c r="H220" s="27" t="n"/>
      <c r="I220" s="27" t="n"/>
      <c r="J220" s="28">
        <f>IF(NOT(OR($A220&lt;&gt;"",$E220&lt;&gt;"",$F220&lt;&gt;"",$G220&lt;&gt;"",$H220&lt;&gt;"",$I220&lt;&gt;"")),"",N($G220)+N($H220)+N($I220))</f>
        <v/>
      </c>
      <c r="K220" s="28">
        <f>IF(ISNUMBER($O220),INDEX('請求台帳'!$R$5:$R$1004,$O220),"")</f>
        <v/>
      </c>
      <c r="L220" s="20">
        <f>IF(NOT(OR($A220&lt;&gt;"",$E220&lt;&gt;"",$F220&lt;&gt;"",$G220&lt;&gt;"",$H220&lt;&gt;"",$I220&lt;&gt;"")),"",IF(NOT(ISNUMBER($A220)),"入金日がありません",IF(AND($F220&lt;&gt;"",$O220="なし"),"請求Noが請求台帳にありません",IF(AND(ISNUMBER($O220),$C220&lt;&gt;"",$C220&lt;&gt;$P220),"請求の得意先は "&amp;$P220&amp;" です",IF(ROUND(IF($B220&lt;&gt;"",SUMIF($B$5:$B$1004,$B220,$E$5:$E$1004)-SUMIF($B$5:$B$1004,$B220,$G$5:$G$1004),N($E220)-N($G220)),0)&lt;&gt;0,"通帳の額と当てた額の差 "&amp;TEXT(IF($B220&lt;&gt;"",SUMIF($B$5:$B$1004,$B220,$E$5:$E$1004)-SUMIF($B$5:$B$1004,$B220,$G$5:$G$1004),N($E220)-N($G220)),"#,##0"),IF(AND(ISNUMBER($O220),N($K220)&lt;0),"請求額より多く消し込んでいます",IF($F220="","消込先が未定","OK")))))))</f>
        <v/>
      </c>
      <c r="M220" s="19" t="n"/>
      <c r="N220" s="56" t="n"/>
      <c r="O220" s="32">
        <f>IF($F220="","",IFERROR(MATCH($F220,'請求台帳'!$A$5:$A$1004,0),"なし"))</f>
        <v/>
      </c>
      <c r="P220" s="37">
        <f>IF(NOT(OR($A220&lt;&gt;"",$E220&lt;&gt;"",$F220&lt;&gt;"",$G220&lt;&gt;"",$H220&lt;&gt;"",$I220&lt;&gt;"")),"",IF(ISNUMBER($O220),IF(INDEX('請求台帳'!$C$5:$C$1004,$O220)="","",INDEX('請求台帳'!$C$5:$C$1004,$O220)),IF($C220="","",$C220)))</f>
        <v/>
      </c>
      <c r="Q220" s="35">
        <f>IF(OR(NOT(OR($A220&lt;&gt;"",$E220&lt;&gt;"",$F220&lt;&gt;"",$G220&lt;&gt;"",$H220&lt;&gt;"",$I220&lt;&gt;"")),$P220="",$P220&lt;&gt;'売掛帳'!$B$3,NOT(ISNUMBER($A220)),N($G220)+N($H220)+N($I220)=0),"",IF(AND($A220&gt;='売掛帳'!$Q$3,$A220&lt;='売掛帳'!$Q$4),$A220+0.5+ROW()/10000000,""))</f>
        <v/>
      </c>
      <c r="R220" s="32">
        <f>IF(AND(OR($A220&lt;&gt;"",$E220&lt;&gt;"",$F220&lt;&gt;"",$G220&lt;&gt;"",$H220&lt;&gt;"",$I220&lt;&gt;""),NOT(ISNUMBER($O220))),1,"")</f>
        <v/>
      </c>
    </row>
    <row r="221" ht="18" customHeight="1">
      <c r="A221" s="26" t="n"/>
      <c r="B221" s="18" t="n"/>
      <c r="C221" s="18" t="n"/>
      <c r="D221" s="20">
        <f>IF($P221="","",IFERROR(INDEX('得意先'!$C$5:$C$104,MATCH($P221,'得意先'!$B$5:$B$104,0))&amp;"","※得意先にないコード"))</f>
        <v/>
      </c>
      <c r="E221" s="27" t="n"/>
      <c r="F221" s="18" t="n"/>
      <c r="G221" s="27" t="n"/>
      <c r="H221" s="27" t="n"/>
      <c r="I221" s="27" t="n"/>
      <c r="J221" s="28">
        <f>IF(NOT(OR($A221&lt;&gt;"",$E221&lt;&gt;"",$F221&lt;&gt;"",$G221&lt;&gt;"",$H221&lt;&gt;"",$I221&lt;&gt;"")),"",N($G221)+N($H221)+N($I221))</f>
        <v/>
      </c>
      <c r="K221" s="28">
        <f>IF(ISNUMBER($O221),INDEX('請求台帳'!$R$5:$R$1004,$O221),"")</f>
        <v/>
      </c>
      <c r="L221" s="20">
        <f>IF(NOT(OR($A221&lt;&gt;"",$E221&lt;&gt;"",$F221&lt;&gt;"",$G221&lt;&gt;"",$H221&lt;&gt;"",$I221&lt;&gt;"")),"",IF(NOT(ISNUMBER($A221)),"入金日がありません",IF(AND($F221&lt;&gt;"",$O221="なし"),"請求Noが請求台帳にありません",IF(AND(ISNUMBER($O221),$C221&lt;&gt;"",$C221&lt;&gt;$P221),"請求の得意先は "&amp;$P221&amp;" です",IF(ROUND(IF($B221&lt;&gt;"",SUMIF($B$5:$B$1004,$B221,$E$5:$E$1004)-SUMIF($B$5:$B$1004,$B221,$G$5:$G$1004),N($E221)-N($G221)),0)&lt;&gt;0,"通帳の額と当てた額の差 "&amp;TEXT(IF($B221&lt;&gt;"",SUMIF($B$5:$B$1004,$B221,$E$5:$E$1004)-SUMIF($B$5:$B$1004,$B221,$G$5:$G$1004),N($E221)-N($G221)),"#,##0"),IF(AND(ISNUMBER($O221),N($K221)&lt;0),"請求額より多く消し込んでいます",IF($F221="","消込先が未定","OK")))))))</f>
        <v/>
      </c>
      <c r="M221" s="19" t="n"/>
      <c r="N221" s="56" t="n"/>
      <c r="O221" s="32">
        <f>IF($F221="","",IFERROR(MATCH($F221,'請求台帳'!$A$5:$A$1004,0),"なし"))</f>
        <v/>
      </c>
      <c r="P221" s="37">
        <f>IF(NOT(OR($A221&lt;&gt;"",$E221&lt;&gt;"",$F221&lt;&gt;"",$G221&lt;&gt;"",$H221&lt;&gt;"",$I221&lt;&gt;"")),"",IF(ISNUMBER($O221),IF(INDEX('請求台帳'!$C$5:$C$1004,$O221)="","",INDEX('請求台帳'!$C$5:$C$1004,$O221)),IF($C221="","",$C221)))</f>
        <v/>
      </c>
      <c r="Q221" s="35">
        <f>IF(OR(NOT(OR($A221&lt;&gt;"",$E221&lt;&gt;"",$F221&lt;&gt;"",$G221&lt;&gt;"",$H221&lt;&gt;"",$I221&lt;&gt;"")),$P221="",$P221&lt;&gt;'売掛帳'!$B$3,NOT(ISNUMBER($A221)),N($G221)+N($H221)+N($I221)=0),"",IF(AND($A221&gt;='売掛帳'!$Q$3,$A221&lt;='売掛帳'!$Q$4),$A221+0.5+ROW()/10000000,""))</f>
        <v/>
      </c>
      <c r="R221" s="32">
        <f>IF(AND(OR($A221&lt;&gt;"",$E221&lt;&gt;"",$F221&lt;&gt;"",$G221&lt;&gt;"",$H221&lt;&gt;"",$I221&lt;&gt;""),NOT(ISNUMBER($O221))),1,"")</f>
        <v/>
      </c>
    </row>
    <row r="222" ht="18" customHeight="1">
      <c r="A222" s="26" t="n"/>
      <c r="B222" s="18" t="n"/>
      <c r="C222" s="18" t="n"/>
      <c r="D222" s="20">
        <f>IF($P222="","",IFERROR(INDEX('得意先'!$C$5:$C$104,MATCH($P222,'得意先'!$B$5:$B$104,0))&amp;"","※得意先にないコード"))</f>
        <v/>
      </c>
      <c r="E222" s="27" t="n"/>
      <c r="F222" s="18" t="n"/>
      <c r="G222" s="27" t="n"/>
      <c r="H222" s="27" t="n"/>
      <c r="I222" s="27" t="n"/>
      <c r="J222" s="28">
        <f>IF(NOT(OR($A222&lt;&gt;"",$E222&lt;&gt;"",$F222&lt;&gt;"",$G222&lt;&gt;"",$H222&lt;&gt;"",$I222&lt;&gt;"")),"",N($G222)+N($H222)+N($I222))</f>
        <v/>
      </c>
      <c r="K222" s="28">
        <f>IF(ISNUMBER($O222),INDEX('請求台帳'!$R$5:$R$1004,$O222),"")</f>
        <v/>
      </c>
      <c r="L222" s="20">
        <f>IF(NOT(OR($A222&lt;&gt;"",$E222&lt;&gt;"",$F222&lt;&gt;"",$G222&lt;&gt;"",$H222&lt;&gt;"",$I222&lt;&gt;"")),"",IF(NOT(ISNUMBER($A222)),"入金日がありません",IF(AND($F222&lt;&gt;"",$O222="なし"),"請求Noが請求台帳にありません",IF(AND(ISNUMBER($O222),$C222&lt;&gt;"",$C222&lt;&gt;$P222),"請求の得意先は "&amp;$P222&amp;" です",IF(ROUND(IF($B222&lt;&gt;"",SUMIF($B$5:$B$1004,$B222,$E$5:$E$1004)-SUMIF($B$5:$B$1004,$B222,$G$5:$G$1004),N($E222)-N($G222)),0)&lt;&gt;0,"通帳の額と当てた額の差 "&amp;TEXT(IF($B222&lt;&gt;"",SUMIF($B$5:$B$1004,$B222,$E$5:$E$1004)-SUMIF($B$5:$B$1004,$B222,$G$5:$G$1004),N($E222)-N($G222)),"#,##0"),IF(AND(ISNUMBER($O222),N($K222)&lt;0),"請求額より多く消し込んでいます",IF($F222="","消込先が未定","OK")))))))</f>
        <v/>
      </c>
      <c r="M222" s="19" t="n"/>
      <c r="N222" s="56" t="n"/>
      <c r="O222" s="32">
        <f>IF($F222="","",IFERROR(MATCH($F222,'請求台帳'!$A$5:$A$1004,0),"なし"))</f>
        <v/>
      </c>
      <c r="P222" s="37">
        <f>IF(NOT(OR($A222&lt;&gt;"",$E222&lt;&gt;"",$F222&lt;&gt;"",$G222&lt;&gt;"",$H222&lt;&gt;"",$I222&lt;&gt;"")),"",IF(ISNUMBER($O222),IF(INDEX('請求台帳'!$C$5:$C$1004,$O222)="","",INDEX('請求台帳'!$C$5:$C$1004,$O222)),IF($C222="","",$C222)))</f>
        <v/>
      </c>
      <c r="Q222" s="35">
        <f>IF(OR(NOT(OR($A222&lt;&gt;"",$E222&lt;&gt;"",$F222&lt;&gt;"",$G222&lt;&gt;"",$H222&lt;&gt;"",$I222&lt;&gt;"")),$P222="",$P222&lt;&gt;'売掛帳'!$B$3,NOT(ISNUMBER($A222)),N($G222)+N($H222)+N($I222)=0),"",IF(AND($A222&gt;='売掛帳'!$Q$3,$A222&lt;='売掛帳'!$Q$4),$A222+0.5+ROW()/10000000,""))</f>
        <v/>
      </c>
      <c r="R222" s="32">
        <f>IF(AND(OR($A222&lt;&gt;"",$E222&lt;&gt;"",$F222&lt;&gt;"",$G222&lt;&gt;"",$H222&lt;&gt;"",$I222&lt;&gt;""),NOT(ISNUMBER($O222))),1,"")</f>
        <v/>
      </c>
    </row>
    <row r="223" ht="18" customHeight="1">
      <c r="A223" s="26" t="n"/>
      <c r="B223" s="18" t="n"/>
      <c r="C223" s="18" t="n"/>
      <c r="D223" s="20">
        <f>IF($P223="","",IFERROR(INDEX('得意先'!$C$5:$C$104,MATCH($P223,'得意先'!$B$5:$B$104,0))&amp;"","※得意先にないコード"))</f>
        <v/>
      </c>
      <c r="E223" s="27" t="n"/>
      <c r="F223" s="18" t="n"/>
      <c r="G223" s="27" t="n"/>
      <c r="H223" s="27" t="n"/>
      <c r="I223" s="27" t="n"/>
      <c r="J223" s="28">
        <f>IF(NOT(OR($A223&lt;&gt;"",$E223&lt;&gt;"",$F223&lt;&gt;"",$G223&lt;&gt;"",$H223&lt;&gt;"",$I223&lt;&gt;"")),"",N($G223)+N($H223)+N($I223))</f>
        <v/>
      </c>
      <c r="K223" s="28">
        <f>IF(ISNUMBER($O223),INDEX('請求台帳'!$R$5:$R$1004,$O223),"")</f>
        <v/>
      </c>
      <c r="L223" s="20">
        <f>IF(NOT(OR($A223&lt;&gt;"",$E223&lt;&gt;"",$F223&lt;&gt;"",$G223&lt;&gt;"",$H223&lt;&gt;"",$I223&lt;&gt;"")),"",IF(NOT(ISNUMBER($A223)),"入金日がありません",IF(AND($F223&lt;&gt;"",$O223="なし"),"請求Noが請求台帳にありません",IF(AND(ISNUMBER($O223),$C223&lt;&gt;"",$C223&lt;&gt;$P223),"請求の得意先は "&amp;$P223&amp;" です",IF(ROUND(IF($B223&lt;&gt;"",SUMIF($B$5:$B$1004,$B223,$E$5:$E$1004)-SUMIF($B$5:$B$1004,$B223,$G$5:$G$1004),N($E223)-N($G223)),0)&lt;&gt;0,"通帳の額と当てた額の差 "&amp;TEXT(IF($B223&lt;&gt;"",SUMIF($B$5:$B$1004,$B223,$E$5:$E$1004)-SUMIF($B$5:$B$1004,$B223,$G$5:$G$1004),N($E223)-N($G223)),"#,##0"),IF(AND(ISNUMBER($O223),N($K223)&lt;0),"請求額より多く消し込んでいます",IF($F223="","消込先が未定","OK")))))))</f>
        <v/>
      </c>
      <c r="M223" s="19" t="n"/>
      <c r="N223" s="56" t="n"/>
      <c r="O223" s="32">
        <f>IF($F223="","",IFERROR(MATCH($F223,'請求台帳'!$A$5:$A$1004,0),"なし"))</f>
        <v/>
      </c>
      <c r="P223" s="37">
        <f>IF(NOT(OR($A223&lt;&gt;"",$E223&lt;&gt;"",$F223&lt;&gt;"",$G223&lt;&gt;"",$H223&lt;&gt;"",$I223&lt;&gt;"")),"",IF(ISNUMBER($O223),IF(INDEX('請求台帳'!$C$5:$C$1004,$O223)="","",INDEX('請求台帳'!$C$5:$C$1004,$O223)),IF($C223="","",$C223)))</f>
        <v/>
      </c>
      <c r="Q223" s="35">
        <f>IF(OR(NOT(OR($A223&lt;&gt;"",$E223&lt;&gt;"",$F223&lt;&gt;"",$G223&lt;&gt;"",$H223&lt;&gt;"",$I223&lt;&gt;"")),$P223="",$P223&lt;&gt;'売掛帳'!$B$3,NOT(ISNUMBER($A223)),N($G223)+N($H223)+N($I223)=0),"",IF(AND($A223&gt;='売掛帳'!$Q$3,$A223&lt;='売掛帳'!$Q$4),$A223+0.5+ROW()/10000000,""))</f>
        <v/>
      </c>
      <c r="R223" s="32">
        <f>IF(AND(OR($A223&lt;&gt;"",$E223&lt;&gt;"",$F223&lt;&gt;"",$G223&lt;&gt;"",$H223&lt;&gt;"",$I223&lt;&gt;""),NOT(ISNUMBER($O223))),1,"")</f>
        <v/>
      </c>
    </row>
    <row r="224" ht="18" customHeight="1">
      <c r="A224" s="26" t="n"/>
      <c r="B224" s="18" t="n"/>
      <c r="C224" s="18" t="n"/>
      <c r="D224" s="20">
        <f>IF($P224="","",IFERROR(INDEX('得意先'!$C$5:$C$104,MATCH($P224,'得意先'!$B$5:$B$104,0))&amp;"","※得意先にないコード"))</f>
        <v/>
      </c>
      <c r="E224" s="27" t="n"/>
      <c r="F224" s="18" t="n"/>
      <c r="G224" s="27" t="n"/>
      <c r="H224" s="27" t="n"/>
      <c r="I224" s="27" t="n"/>
      <c r="J224" s="28">
        <f>IF(NOT(OR($A224&lt;&gt;"",$E224&lt;&gt;"",$F224&lt;&gt;"",$G224&lt;&gt;"",$H224&lt;&gt;"",$I224&lt;&gt;"")),"",N($G224)+N($H224)+N($I224))</f>
        <v/>
      </c>
      <c r="K224" s="28">
        <f>IF(ISNUMBER($O224),INDEX('請求台帳'!$R$5:$R$1004,$O224),"")</f>
        <v/>
      </c>
      <c r="L224" s="20">
        <f>IF(NOT(OR($A224&lt;&gt;"",$E224&lt;&gt;"",$F224&lt;&gt;"",$G224&lt;&gt;"",$H224&lt;&gt;"",$I224&lt;&gt;"")),"",IF(NOT(ISNUMBER($A224)),"入金日がありません",IF(AND($F224&lt;&gt;"",$O224="なし"),"請求Noが請求台帳にありません",IF(AND(ISNUMBER($O224),$C224&lt;&gt;"",$C224&lt;&gt;$P224),"請求の得意先は "&amp;$P224&amp;" です",IF(ROUND(IF($B224&lt;&gt;"",SUMIF($B$5:$B$1004,$B224,$E$5:$E$1004)-SUMIF($B$5:$B$1004,$B224,$G$5:$G$1004),N($E224)-N($G224)),0)&lt;&gt;0,"通帳の額と当てた額の差 "&amp;TEXT(IF($B224&lt;&gt;"",SUMIF($B$5:$B$1004,$B224,$E$5:$E$1004)-SUMIF($B$5:$B$1004,$B224,$G$5:$G$1004),N($E224)-N($G224)),"#,##0"),IF(AND(ISNUMBER($O224),N($K224)&lt;0),"請求額より多く消し込んでいます",IF($F224="","消込先が未定","OK")))))))</f>
        <v/>
      </c>
      <c r="M224" s="19" t="n"/>
      <c r="N224" s="56" t="n"/>
      <c r="O224" s="32">
        <f>IF($F224="","",IFERROR(MATCH($F224,'請求台帳'!$A$5:$A$1004,0),"なし"))</f>
        <v/>
      </c>
      <c r="P224" s="37">
        <f>IF(NOT(OR($A224&lt;&gt;"",$E224&lt;&gt;"",$F224&lt;&gt;"",$G224&lt;&gt;"",$H224&lt;&gt;"",$I224&lt;&gt;"")),"",IF(ISNUMBER($O224),IF(INDEX('請求台帳'!$C$5:$C$1004,$O224)="","",INDEX('請求台帳'!$C$5:$C$1004,$O224)),IF($C224="","",$C224)))</f>
        <v/>
      </c>
      <c r="Q224" s="35">
        <f>IF(OR(NOT(OR($A224&lt;&gt;"",$E224&lt;&gt;"",$F224&lt;&gt;"",$G224&lt;&gt;"",$H224&lt;&gt;"",$I224&lt;&gt;"")),$P224="",$P224&lt;&gt;'売掛帳'!$B$3,NOT(ISNUMBER($A224)),N($G224)+N($H224)+N($I224)=0),"",IF(AND($A224&gt;='売掛帳'!$Q$3,$A224&lt;='売掛帳'!$Q$4),$A224+0.5+ROW()/10000000,""))</f>
        <v/>
      </c>
      <c r="R224" s="32">
        <f>IF(AND(OR($A224&lt;&gt;"",$E224&lt;&gt;"",$F224&lt;&gt;"",$G224&lt;&gt;"",$H224&lt;&gt;"",$I224&lt;&gt;""),NOT(ISNUMBER($O224))),1,"")</f>
        <v/>
      </c>
    </row>
    <row r="225" ht="18" customHeight="1">
      <c r="A225" s="26" t="n"/>
      <c r="B225" s="18" t="n"/>
      <c r="C225" s="18" t="n"/>
      <c r="D225" s="20">
        <f>IF($P225="","",IFERROR(INDEX('得意先'!$C$5:$C$104,MATCH($P225,'得意先'!$B$5:$B$104,0))&amp;"","※得意先にないコード"))</f>
        <v/>
      </c>
      <c r="E225" s="27" t="n"/>
      <c r="F225" s="18" t="n"/>
      <c r="G225" s="27" t="n"/>
      <c r="H225" s="27" t="n"/>
      <c r="I225" s="27" t="n"/>
      <c r="J225" s="28">
        <f>IF(NOT(OR($A225&lt;&gt;"",$E225&lt;&gt;"",$F225&lt;&gt;"",$G225&lt;&gt;"",$H225&lt;&gt;"",$I225&lt;&gt;"")),"",N($G225)+N($H225)+N($I225))</f>
        <v/>
      </c>
      <c r="K225" s="28">
        <f>IF(ISNUMBER($O225),INDEX('請求台帳'!$R$5:$R$1004,$O225),"")</f>
        <v/>
      </c>
      <c r="L225" s="20">
        <f>IF(NOT(OR($A225&lt;&gt;"",$E225&lt;&gt;"",$F225&lt;&gt;"",$G225&lt;&gt;"",$H225&lt;&gt;"",$I225&lt;&gt;"")),"",IF(NOT(ISNUMBER($A225)),"入金日がありません",IF(AND($F225&lt;&gt;"",$O225="なし"),"請求Noが請求台帳にありません",IF(AND(ISNUMBER($O225),$C225&lt;&gt;"",$C225&lt;&gt;$P225),"請求の得意先は "&amp;$P225&amp;" です",IF(ROUND(IF($B225&lt;&gt;"",SUMIF($B$5:$B$1004,$B225,$E$5:$E$1004)-SUMIF($B$5:$B$1004,$B225,$G$5:$G$1004),N($E225)-N($G225)),0)&lt;&gt;0,"通帳の額と当てた額の差 "&amp;TEXT(IF($B225&lt;&gt;"",SUMIF($B$5:$B$1004,$B225,$E$5:$E$1004)-SUMIF($B$5:$B$1004,$B225,$G$5:$G$1004),N($E225)-N($G225)),"#,##0"),IF(AND(ISNUMBER($O225),N($K225)&lt;0),"請求額より多く消し込んでいます",IF($F225="","消込先が未定","OK")))))))</f>
        <v/>
      </c>
      <c r="M225" s="19" t="n"/>
      <c r="N225" s="56" t="n"/>
      <c r="O225" s="32">
        <f>IF($F225="","",IFERROR(MATCH($F225,'請求台帳'!$A$5:$A$1004,0),"なし"))</f>
        <v/>
      </c>
      <c r="P225" s="37">
        <f>IF(NOT(OR($A225&lt;&gt;"",$E225&lt;&gt;"",$F225&lt;&gt;"",$G225&lt;&gt;"",$H225&lt;&gt;"",$I225&lt;&gt;"")),"",IF(ISNUMBER($O225),IF(INDEX('請求台帳'!$C$5:$C$1004,$O225)="","",INDEX('請求台帳'!$C$5:$C$1004,$O225)),IF($C225="","",$C225)))</f>
        <v/>
      </c>
      <c r="Q225" s="35">
        <f>IF(OR(NOT(OR($A225&lt;&gt;"",$E225&lt;&gt;"",$F225&lt;&gt;"",$G225&lt;&gt;"",$H225&lt;&gt;"",$I225&lt;&gt;"")),$P225="",$P225&lt;&gt;'売掛帳'!$B$3,NOT(ISNUMBER($A225)),N($G225)+N($H225)+N($I225)=0),"",IF(AND($A225&gt;='売掛帳'!$Q$3,$A225&lt;='売掛帳'!$Q$4),$A225+0.5+ROW()/10000000,""))</f>
        <v/>
      </c>
      <c r="R225" s="32">
        <f>IF(AND(OR($A225&lt;&gt;"",$E225&lt;&gt;"",$F225&lt;&gt;"",$G225&lt;&gt;"",$H225&lt;&gt;"",$I225&lt;&gt;""),NOT(ISNUMBER($O225))),1,"")</f>
        <v/>
      </c>
    </row>
    <row r="226" ht="18" customHeight="1">
      <c r="A226" s="26" t="n"/>
      <c r="B226" s="18" t="n"/>
      <c r="C226" s="18" t="n"/>
      <c r="D226" s="20">
        <f>IF($P226="","",IFERROR(INDEX('得意先'!$C$5:$C$104,MATCH($P226,'得意先'!$B$5:$B$104,0))&amp;"","※得意先にないコード"))</f>
        <v/>
      </c>
      <c r="E226" s="27" t="n"/>
      <c r="F226" s="18" t="n"/>
      <c r="G226" s="27" t="n"/>
      <c r="H226" s="27" t="n"/>
      <c r="I226" s="27" t="n"/>
      <c r="J226" s="28">
        <f>IF(NOT(OR($A226&lt;&gt;"",$E226&lt;&gt;"",$F226&lt;&gt;"",$G226&lt;&gt;"",$H226&lt;&gt;"",$I226&lt;&gt;"")),"",N($G226)+N($H226)+N($I226))</f>
        <v/>
      </c>
      <c r="K226" s="28">
        <f>IF(ISNUMBER($O226),INDEX('請求台帳'!$R$5:$R$1004,$O226),"")</f>
        <v/>
      </c>
      <c r="L226" s="20">
        <f>IF(NOT(OR($A226&lt;&gt;"",$E226&lt;&gt;"",$F226&lt;&gt;"",$G226&lt;&gt;"",$H226&lt;&gt;"",$I226&lt;&gt;"")),"",IF(NOT(ISNUMBER($A226)),"入金日がありません",IF(AND($F226&lt;&gt;"",$O226="なし"),"請求Noが請求台帳にありません",IF(AND(ISNUMBER($O226),$C226&lt;&gt;"",$C226&lt;&gt;$P226),"請求の得意先は "&amp;$P226&amp;" です",IF(ROUND(IF($B226&lt;&gt;"",SUMIF($B$5:$B$1004,$B226,$E$5:$E$1004)-SUMIF($B$5:$B$1004,$B226,$G$5:$G$1004),N($E226)-N($G226)),0)&lt;&gt;0,"通帳の額と当てた額の差 "&amp;TEXT(IF($B226&lt;&gt;"",SUMIF($B$5:$B$1004,$B226,$E$5:$E$1004)-SUMIF($B$5:$B$1004,$B226,$G$5:$G$1004),N($E226)-N($G226)),"#,##0"),IF(AND(ISNUMBER($O226),N($K226)&lt;0),"請求額より多く消し込んでいます",IF($F226="","消込先が未定","OK")))))))</f>
        <v/>
      </c>
      <c r="M226" s="19" t="n"/>
      <c r="N226" s="56" t="n"/>
      <c r="O226" s="32">
        <f>IF($F226="","",IFERROR(MATCH($F226,'請求台帳'!$A$5:$A$1004,0),"なし"))</f>
        <v/>
      </c>
      <c r="P226" s="37">
        <f>IF(NOT(OR($A226&lt;&gt;"",$E226&lt;&gt;"",$F226&lt;&gt;"",$G226&lt;&gt;"",$H226&lt;&gt;"",$I226&lt;&gt;"")),"",IF(ISNUMBER($O226),IF(INDEX('請求台帳'!$C$5:$C$1004,$O226)="","",INDEX('請求台帳'!$C$5:$C$1004,$O226)),IF($C226="","",$C226)))</f>
        <v/>
      </c>
      <c r="Q226" s="35">
        <f>IF(OR(NOT(OR($A226&lt;&gt;"",$E226&lt;&gt;"",$F226&lt;&gt;"",$G226&lt;&gt;"",$H226&lt;&gt;"",$I226&lt;&gt;"")),$P226="",$P226&lt;&gt;'売掛帳'!$B$3,NOT(ISNUMBER($A226)),N($G226)+N($H226)+N($I226)=0),"",IF(AND($A226&gt;='売掛帳'!$Q$3,$A226&lt;='売掛帳'!$Q$4),$A226+0.5+ROW()/10000000,""))</f>
        <v/>
      </c>
      <c r="R226" s="32">
        <f>IF(AND(OR($A226&lt;&gt;"",$E226&lt;&gt;"",$F226&lt;&gt;"",$G226&lt;&gt;"",$H226&lt;&gt;"",$I226&lt;&gt;""),NOT(ISNUMBER($O226))),1,"")</f>
        <v/>
      </c>
    </row>
    <row r="227" ht="18" customHeight="1">
      <c r="A227" s="26" t="n"/>
      <c r="B227" s="18" t="n"/>
      <c r="C227" s="18" t="n"/>
      <c r="D227" s="20">
        <f>IF($P227="","",IFERROR(INDEX('得意先'!$C$5:$C$104,MATCH($P227,'得意先'!$B$5:$B$104,0))&amp;"","※得意先にないコード"))</f>
        <v/>
      </c>
      <c r="E227" s="27" t="n"/>
      <c r="F227" s="18" t="n"/>
      <c r="G227" s="27" t="n"/>
      <c r="H227" s="27" t="n"/>
      <c r="I227" s="27" t="n"/>
      <c r="J227" s="28">
        <f>IF(NOT(OR($A227&lt;&gt;"",$E227&lt;&gt;"",$F227&lt;&gt;"",$G227&lt;&gt;"",$H227&lt;&gt;"",$I227&lt;&gt;"")),"",N($G227)+N($H227)+N($I227))</f>
        <v/>
      </c>
      <c r="K227" s="28">
        <f>IF(ISNUMBER($O227),INDEX('請求台帳'!$R$5:$R$1004,$O227),"")</f>
        <v/>
      </c>
      <c r="L227" s="20">
        <f>IF(NOT(OR($A227&lt;&gt;"",$E227&lt;&gt;"",$F227&lt;&gt;"",$G227&lt;&gt;"",$H227&lt;&gt;"",$I227&lt;&gt;"")),"",IF(NOT(ISNUMBER($A227)),"入金日がありません",IF(AND($F227&lt;&gt;"",$O227="なし"),"請求Noが請求台帳にありません",IF(AND(ISNUMBER($O227),$C227&lt;&gt;"",$C227&lt;&gt;$P227),"請求の得意先は "&amp;$P227&amp;" です",IF(ROUND(IF($B227&lt;&gt;"",SUMIF($B$5:$B$1004,$B227,$E$5:$E$1004)-SUMIF($B$5:$B$1004,$B227,$G$5:$G$1004),N($E227)-N($G227)),0)&lt;&gt;0,"通帳の額と当てた額の差 "&amp;TEXT(IF($B227&lt;&gt;"",SUMIF($B$5:$B$1004,$B227,$E$5:$E$1004)-SUMIF($B$5:$B$1004,$B227,$G$5:$G$1004),N($E227)-N($G227)),"#,##0"),IF(AND(ISNUMBER($O227),N($K227)&lt;0),"請求額より多く消し込んでいます",IF($F227="","消込先が未定","OK")))))))</f>
        <v/>
      </c>
      <c r="M227" s="19" t="n"/>
      <c r="N227" s="56" t="n"/>
      <c r="O227" s="32">
        <f>IF($F227="","",IFERROR(MATCH($F227,'請求台帳'!$A$5:$A$1004,0),"なし"))</f>
        <v/>
      </c>
      <c r="P227" s="37">
        <f>IF(NOT(OR($A227&lt;&gt;"",$E227&lt;&gt;"",$F227&lt;&gt;"",$G227&lt;&gt;"",$H227&lt;&gt;"",$I227&lt;&gt;"")),"",IF(ISNUMBER($O227),IF(INDEX('請求台帳'!$C$5:$C$1004,$O227)="","",INDEX('請求台帳'!$C$5:$C$1004,$O227)),IF($C227="","",$C227)))</f>
        <v/>
      </c>
      <c r="Q227" s="35">
        <f>IF(OR(NOT(OR($A227&lt;&gt;"",$E227&lt;&gt;"",$F227&lt;&gt;"",$G227&lt;&gt;"",$H227&lt;&gt;"",$I227&lt;&gt;"")),$P227="",$P227&lt;&gt;'売掛帳'!$B$3,NOT(ISNUMBER($A227)),N($G227)+N($H227)+N($I227)=0),"",IF(AND($A227&gt;='売掛帳'!$Q$3,$A227&lt;='売掛帳'!$Q$4),$A227+0.5+ROW()/10000000,""))</f>
        <v/>
      </c>
      <c r="R227" s="32">
        <f>IF(AND(OR($A227&lt;&gt;"",$E227&lt;&gt;"",$F227&lt;&gt;"",$G227&lt;&gt;"",$H227&lt;&gt;"",$I227&lt;&gt;""),NOT(ISNUMBER($O227))),1,"")</f>
        <v/>
      </c>
    </row>
    <row r="228" ht="18" customHeight="1">
      <c r="A228" s="26" t="n"/>
      <c r="B228" s="18" t="n"/>
      <c r="C228" s="18" t="n"/>
      <c r="D228" s="20">
        <f>IF($P228="","",IFERROR(INDEX('得意先'!$C$5:$C$104,MATCH($P228,'得意先'!$B$5:$B$104,0))&amp;"","※得意先にないコード"))</f>
        <v/>
      </c>
      <c r="E228" s="27" t="n"/>
      <c r="F228" s="18" t="n"/>
      <c r="G228" s="27" t="n"/>
      <c r="H228" s="27" t="n"/>
      <c r="I228" s="27" t="n"/>
      <c r="J228" s="28">
        <f>IF(NOT(OR($A228&lt;&gt;"",$E228&lt;&gt;"",$F228&lt;&gt;"",$G228&lt;&gt;"",$H228&lt;&gt;"",$I228&lt;&gt;"")),"",N($G228)+N($H228)+N($I228))</f>
        <v/>
      </c>
      <c r="K228" s="28">
        <f>IF(ISNUMBER($O228),INDEX('請求台帳'!$R$5:$R$1004,$O228),"")</f>
        <v/>
      </c>
      <c r="L228" s="20">
        <f>IF(NOT(OR($A228&lt;&gt;"",$E228&lt;&gt;"",$F228&lt;&gt;"",$G228&lt;&gt;"",$H228&lt;&gt;"",$I228&lt;&gt;"")),"",IF(NOT(ISNUMBER($A228)),"入金日がありません",IF(AND($F228&lt;&gt;"",$O228="なし"),"請求Noが請求台帳にありません",IF(AND(ISNUMBER($O228),$C228&lt;&gt;"",$C228&lt;&gt;$P228),"請求の得意先は "&amp;$P228&amp;" です",IF(ROUND(IF($B228&lt;&gt;"",SUMIF($B$5:$B$1004,$B228,$E$5:$E$1004)-SUMIF($B$5:$B$1004,$B228,$G$5:$G$1004),N($E228)-N($G228)),0)&lt;&gt;0,"通帳の額と当てた額の差 "&amp;TEXT(IF($B228&lt;&gt;"",SUMIF($B$5:$B$1004,$B228,$E$5:$E$1004)-SUMIF($B$5:$B$1004,$B228,$G$5:$G$1004),N($E228)-N($G228)),"#,##0"),IF(AND(ISNUMBER($O228),N($K228)&lt;0),"請求額より多く消し込んでいます",IF($F228="","消込先が未定","OK")))))))</f>
        <v/>
      </c>
      <c r="M228" s="19" t="n"/>
      <c r="N228" s="56" t="n"/>
      <c r="O228" s="32">
        <f>IF($F228="","",IFERROR(MATCH($F228,'請求台帳'!$A$5:$A$1004,0),"なし"))</f>
        <v/>
      </c>
      <c r="P228" s="37">
        <f>IF(NOT(OR($A228&lt;&gt;"",$E228&lt;&gt;"",$F228&lt;&gt;"",$G228&lt;&gt;"",$H228&lt;&gt;"",$I228&lt;&gt;"")),"",IF(ISNUMBER($O228),IF(INDEX('請求台帳'!$C$5:$C$1004,$O228)="","",INDEX('請求台帳'!$C$5:$C$1004,$O228)),IF($C228="","",$C228)))</f>
        <v/>
      </c>
      <c r="Q228" s="35">
        <f>IF(OR(NOT(OR($A228&lt;&gt;"",$E228&lt;&gt;"",$F228&lt;&gt;"",$G228&lt;&gt;"",$H228&lt;&gt;"",$I228&lt;&gt;"")),$P228="",$P228&lt;&gt;'売掛帳'!$B$3,NOT(ISNUMBER($A228)),N($G228)+N($H228)+N($I228)=0),"",IF(AND($A228&gt;='売掛帳'!$Q$3,$A228&lt;='売掛帳'!$Q$4),$A228+0.5+ROW()/10000000,""))</f>
        <v/>
      </c>
      <c r="R228" s="32">
        <f>IF(AND(OR($A228&lt;&gt;"",$E228&lt;&gt;"",$F228&lt;&gt;"",$G228&lt;&gt;"",$H228&lt;&gt;"",$I228&lt;&gt;""),NOT(ISNUMBER($O228))),1,"")</f>
        <v/>
      </c>
    </row>
    <row r="229" ht="18" customHeight="1">
      <c r="A229" s="26" t="n"/>
      <c r="B229" s="18" t="n"/>
      <c r="C229" s="18" t="n"/>
      <c r="D229" s="20">
        <f>IF($P229="","",IFERROR(INDEX('得意先'!$C$5:$C$104,MATCH($P229,'得意先'!$B$5:$B$104,0))&amp;"","※得意先にないコード"))</f>
        <v/>
      </c>
      <c r="E229" s="27" t="n"/>
      <c r="F229" s="18" t="n"/>
      <c r="G229" s="27" t="n"/>
      <c r="H229" s="27" t="n"/>
      <c r="I229" s="27" t="n"/>
      <c r="J229" s="28">
        <f>IF(NOT(OR($A229&lt;&gt;"",$E229&lt;&gt;"",$F229&lt;&gt;"",$G229&lt;&gt;"",$H229&lt;&gt;"",$I229&lt;&gt;"")),"",N($G229)+N($H229)+N($I229))</f>
        <v/>
      </c>
      <c r="K229" s="28">
        <f>IF(ISNUMBER($O229),INDEX('請求台帳'!$R$5:$R$1004,$O229),"")</f>
        <v/>
      </c>
      <c r="L229" s="20">
        <f>IF(NOT(OR($A229&lt;&gt;"",$E229&lt;&gt;"",$F229&lt;&gt;"",$G229&lt;&gt;"",$H229&lt;&gt;"",$I229&lt;&gt;"")),"",IF(NOT(ISNUMBER($A229)),"入金日がありません",IF(AND($F229&lt;&gt;"",$O229="なし"),"請求Noが請求台帳にありません",IF(AND(ISNUMBER($O229),$C229&lt;&gt;"",$C229&lt;&gt;$P229),"請求の得意先は "&amp;$P229&amp;" です",IF(ROUND(IF($B229&lt;&gt;"",SUMIF($B$5:$B$1004,$B229,$E$5:$E$1004)-SUMIF($B$5:$B$1004,$B229,$G$5:$G$1004),N($E229)-N($G229)),0)&lt;&gt;0,"通帳の額と当てた額の差 "&amp;TEXT(IF($B229&lt;&gt;"",SUMIF($B$5:$B$1004,$B229,$E$5:$E$1004)-SUMIF($B$5:$B$1004,$B229,$G$5:$G$1004),N($E229)-N($G229)),"#,##0"),IF(AND(ISNUMBER($O229),N($K229)&lt;0),"請求額より多く消し込んでいます",IF($F229="","消込先が未定","OK")))))))</f>
        <v/>
      </c>
      <c r="M229" s="19" t="n"/>
      <c r="N229" s="56" t="n"/>
      <c r="O229" s="32">
        <f>IF($F229="","",IFERROR(MATCH($F229,'請求台帳'!$A$5:$A$1004,0),"なし"))</f>
        <v/>
      </c>
      <c r="P229" s="37">
        <f>IF(NOT(OR($A229&lt;&gt;"",$E229&lt;&gt;"",$F229&lt;&gt;"",$G229&lt;&gt;"",$H229&lt;&gt;"",$I229&lt;&gt;"")),"",IF(ISNUMBER($O229),IF(INDEX('請求台帳'!$C$5:$C$1004,$O229)="","",INDEX('請求台帳'!$C$5:$C$1004,$O229)),IF($C229="","",$C229)))</f>
        <v/>
      </c>
      <c r="Q229" s="35">
        <f>IF(OR(NOT(OR($A229&lt;&gt;"",$E229&lt;&gt;"",$F229&lt;&gt;"",$G229&lt;&gt;"",$H229&lt;&gt;"",$I229&lt;&gt;"")),$P229="",$P229&lt;&gt;'売掛帳'!$B$3,NOT(ISNUMBER($A229)),N($G229)+N($H229)+N($I229)=0),"",IF(AND($A229&gt;='売掛帳'!$Q$3,$A229&lt;='売掛帳'!$Q$4),$A229+0.5+ROW()/10000000,""))</f>
        <v/>
      </c>
      <c r="R229" s="32">
        <f>IF(AND(OR($A229&lt;&gt;"",$E229&lt;&gt;"",$F229&lt;&gt;"",$G229&lt;&gt;"",$H229&lt;&gt;"",$I229&lt;&gt;""),NOT(ISNUMBER($O229))),1,"")</f>
        <v/>
      </c>
    </row>
    <row r="230" ht="18" customHeight="1">
      <c r="A230" s="26" t="n"/>
      <c r="B230" s="18" t="n"/>
      <c r="C230" s="18" t="n"/>
      <c r="D230" s="20">
        <f>IF($P230="","",IFERROR(INDEX('得意先'!$C$5:$C$104,MATCH($P230,'得意先'!$B$5:$B$104,0))&amp;"","※得意先にないコード"))</f>
        <v/>
      </c>
      <c r="E230" s="27" t="n"/>
      <c r="F230" s="18" t="n"/>
      <c r="G230" s="27" t="n"/>
      <c r="H230" s="27" t="n"/>
      <c r="I230" s="27" t="n"/>
      <c r="J230" s="28">
        <f>IF(NOT(OR($A230&lt;&gt;"",$E230&lt;&gt;"",$F230&lt;&gt;"",$G230&lt;&gt;"",$H230&lt;&gt;"",$I230&lt;&gt;"")),"",N($G230)+N($H230)+N($I230))</f>
        <v/>
      </c>
      <c r="K230" s="28">
        <f>IF(ISNUMBER($O230),INDEX('請求台帳'!$R$5:$R$1004,$O230),"")</f>
        <v/>
      </c>
      <c r="L230" s="20">
        <f>IF(NOT(OR($A230&lt;&gt;"",$E230&lt;&gt;"",$F230&lt;&gt;"",$G230&lt;&gt;"",$H230&lt;&gt;"",$I230&lt;&gt;"")),"",IF(NOT(ISNUMBER($A230)),"入金日がありません",IF(AND($F230&lt;&gt;"",$O230="なし"),"請求Noが請求台帳にありません",IF(AND(ISNUMBER($O230),$C230&lt;&gt;"",$C230&lt;&gt;$P230),"請求の得意先は "&amp;$P230&amp;" です",IF(ROUND(IF($B230&lt;&gt;"",SUMIF($B$5:$B$1004,$B230,$E$5:$E$1004)-SUMIF($B$5:$B$1004,$B230,$G$5:$G$1004),N($E230)-N($G230)),0)&lt;&gt;0,"通帳の額と当てた額の差 "&amp;TEXT(IF($B230&lt;&gt;"",SUMIF($B$5:$B$1004,$B230,$E$5:$E$1004)-SUMIF($B$5:$B$1004,$B230,$G$5:$G$1004),N($E230)-N($G230)),"#,##0"),IF(AND(ISNUMBER($O230),N($K230)&lt;0),"請求額より多く消し込んでいます",IF($F230="","消込先が未定","OK")))))))</f>
        <v/>
      </c>
      <c r="M230" s="19" t="n"/>
      <c r="N230" s="56" t="n"/>
      <c r="O230" s="32">
        <f>IF($F230="","",IFERROR(MATCH($F230,'請求台帳'!$A$5:$A$1004,0),"なし"))</f>
        <v/>
      </c>
      <c r="P230" s="37">
        <f>IF(NOT(OR($A230&lt;&gt;"",$E230&lt;&gt;"",$F230&lt;&gt;"",$G230&lt;&gt;"",$H230&lt;&gt;"",$I230&lt;&gt;"")),"",IF(ISNUMBER($O230),IF(INDEX('請求台帳'!$C$5:$C$1004,$O230)="","",INDEX('請求台帳'!$C$5:$C$1004,$O230)),IF($C230="","",$C230)))</f>
        <v/>
      </c>
      <c r="Q230" s="35">
        <f>IF(OR(NOT(OR($A230&lt;&gt;"",$E230&lt;&gt;"",$F230&lt;&gt;"",$G230&lt;&gt;"",$H230&lt;&gt;"",$I230&lt;&gt;"")),$P230="",$P230&lt;&gt;'売掛帳'!$B$3,NOT(ISNUMBER($A230)),N($G230)+N($H230)+N($I230)=0),"",IF(AND($A230&gt;='売掛帳'!$Q$3,$A230&lt;='売掛帳'!$Q$4),$A230+0.5+ROW()/10000000,""))</f>
        <v/>
      </c>
      <c r="R230" s="32">
        <f>IF(AND(OR($A230&lt;&gt;"",$E230&lt;&gt;"",$F230&lt;&gt;"",$G230&lt;&gt;"",$H230&lt;&gt;"",$I230&lt;&gt;""),NOT(ISNUMBER($O230))),1,"")</f>
        <v/>
      </c>
    </row>
    <row r="231" ht="18" customHeight="1">
      <c r="A231" s="26" t="n"/>
      <c r="B231" s="18" t="n"/>
      <c r="C231" s="18" t="n"/>
      <c r="D231" s="20">
        <f>IF($P231="","",IFERROR(INDEX('得意先'!$C$5:$C$104,MATCH($P231,'得意先'!$B$5:$B$104,0))&amp;"","※得意先にないコード"))</f>
        <v/>
      </c>
      <c r="E231" s="27" t="n"/>
      <c r="F231" s="18" t="n"/>
      <c r="G231" s="27" t="n"/>
      <c r="H231" s="27" t="n"/>
      <c r="I231" s="27" t="n"/>
      <c r="J231" s="28">
        <f>IF(NOT(OR($A231&lt;&gt;"",$E231&lt;&gt;"",$F231&lt;&gt;"",$G231&lt;&gt;"",$H231&lt;&gt;"",$I231&lt;&gt;"")),"",N($G231)+N($H231)+N($I231))</f>
        <v/>
      </c>
      <c r="K231" s="28">
        <f>IF(ISNUMBER($O231),INDEX('請求台帳'!$R$5:$R$1004,$O231),"")</f>
        <v/>
      </c>
      <c r="L231" s="20">
        <f>IF(NOT(OR($A231&lt;&gt;"",$E231&lt;&gt;"",$F231&lt;&gt;"",$G231&lt;&gt;"",$H231&lt;&gt;"",$I231&lt;&gt;"")),"",IF(NOT(ISNUMBER($A231)),"入金日がありません",IF(AND($F231&lt;&gt;"",$O231="なし"),"請求Noが請求台帳にありません",IF(AND(ISNUMBER($O231),$C231&lt;&gt;"",$C231&lt;&gt;$P231),"請求の得意先は "&amp;$P231&amp;" です",IF(ROUND(IF($B231&lt;&gt;"",SUMIF($B$5:$B$1004,$B231,$E$5:$E$1004)-SUMIF($B$5:$B$1004,$B231,$G$5:$G$1004),N($E231)-N($G231)),0)&lt;&gt;0,"通帳の額と当てた額の差 "&amp;TEXT(IF($B231&lt;&gt;"",SUMIF($B$5:$B$1004,$B231,$E$5:$E$1004)-SUMIF($B$5:$B$1004,$B231,$G$5:$G$1004),N($E231)-N($G231)),"#,##0"),IF(AND(ISNUMBER($O231),N($K231)&lt;0),"請求額より多く消し込んでいます",IF($F231="","消込先が未定","OK")))))))</f>
        <v/>
      </c>
      <c r="M231" s="19" t="n"/>
      <c r="N231" s="56" t="n"/>
      <c r="O231" s="32">
        <f>IF($F231="","",IFERROR(MATCH($F231,'請求台帳'!$A$5:$A$1004,0),"なし"))</f>
        <v/>
      </c>
      <c r="P231" s="37">
        <f>IF(NOT(OR($A231&lt;&gt;"",$E231&lt;&gt;"",$F231&lt;&gt;"",$G231&lt;&gt;"",$H231&lt;&gt;"",$I231&lt;&gt;"")),"",IF(ISNUMBER($O231),IF(INDEX('請求台帳'!$C$5:$C$1004,$O231)="","",INDEX('請求台帳'!$C$5:$C$1004,$O231)),IF($C231="","",$C231)))</f>
        <v/>
      </c>
      <c r="Q231" s="35">
        <f>IF(OR(NOT(OR($A231&lt;&gt;"",$E231&lt;&gt;"",$F231&lt;&gt;"",$G231&lt;&gt;"",$H231&lt;&gt;"",$I231&lt;&gt;"")),$P231="",$P231&lt;&gt;'売掛帳'!$B$3,NOT(ISNUMBER($A231)),N($G231)+N($H231)+N($I231)=0),"",IF(AND($A231&gt;='売掛帳'!$Q$3,$A231&lt;='売掛帳'!$Q$4),$A231+0.5+ROW()/10000000,""))</f>
        <v/>
      </c>
      <c r="R231" s="32">
        <f>IF(AND(OR($A231&lt;&gt;"",$E231&lt;&gt;"",$F231&lt;&gt;"",$G231&lt;&gt;"",$H231&lt;&gt;"",$I231&lt;&gt;""),NOT(ISNUMBER($O231))),1,"")</f>
        <v/>
      </c>
    </row>
    <row r="232" ht="18" customHeight="1">
      <c r="A232" s="26" t="n"/>
      <c r="B232" s="18" t="n"/>
      <c r="C232" s="18" t="n"/>
      <c r="D232" s="20">
        <f>IF($P232="","",IFERROR(INDEX('得意先'!$C$5:$C$104,MATCH($P232,'得意先'!$B$5:$B$104,0))&amp;"","※得意先にないコード"))</f>
        <v/>
      </c>
      <c r="E232" s="27" t="n"/>
      <c r="F232" s="18" t="n"/>
      <c r="G232" s="27" t="n"/>
      <c r="H232" s="27" t="n"/>
      <c r="I232" s="27" t="n"/>
      <c r="J232" s="28">
        <f>IF(NOT(OR($A232&lt;&gt;"",$E232&lt;&gt;"",$F232&lt;&gt;"",$G232&lt;&gt;"",$H232&lt;&gt;"",$I232&lt;&gt;"")),"",N($G232)+N($H232)+N($I232))</f>
        <v/>
      </c>
      <c r="K232" s="28">
        <f>IF(ISNUMBER($O232),INDEX('請求台帳'!$R$5:$R$1004,$O232),"")</f>
        <v/>
      </c>
      <c r="L232" s="20">
        <f>IF(NOT(OR($A232&lt;&gt;"",$E232&lt;&gt;"",$F232&lt;&gt;"",$G232&lt;&gt;"",$H232&lt;&gt;"",$I232&lt;&gt;"")),"",IF(NOT(ISNUMBER($A232)),"入金日がありません",IF(AND($F232&lt;&gt;"",$O232="なし"),"請求Noが請求台帳にありません",IF(AND(ISNUMBER($O232),$C232&lt;&gt;"",$C232&lt;&gt;$P232),"請求の得意先は "&amp;$P232&amp;" です",IF(ROUND(IF($B232&lt;&gt;"",SUMIF($B$5:$B$1004,$B232,$E$5:$E$1004)-SUMIF($B$5:$B$1004,$B232,$G$5:$G$1004),N($E232)-N($G232)),0)&lt;&gt;0,"通帳の額と当てた額の差 "&amp;TEXT(IF($B232&lt;&gt;"",SUMIF($B$5:$B$1004,$B232,$E$5:$E$1004)-SUMIF($B$5:$B$1004,$B232,$G$5:$G$1004),N($E232)-N($G232)),"#,##0"),IF(AND(ISNUMBER($O232),N($K232)&lt;0),"請求額より多く消し込んでいます",IF($F232="","消込先が未定","OK")))))))</f>
        <v/>
      </c>
      <c r="M232" s="19" t="n"/>
      <c r="N232" s="56" t="n"/>
      <c r="O232" s="32">
        <f>IF($F232="","",IFERROR(MATCH($F232,'請求台帳'!$A$5:$A$1004,0),"なし"))</f>
        <v/>
      </c>
      <c r="P232" s="37">
        <f>IF(NOT(OR($A232&lt;&gt;"",$E232&lt;&gt;"",$F232&lt;&gt;"",$G232&lt;&gt;"",$H232&lt;&gt;"",$I232&lt;&gt;"")),"",IF(ISNUMBER($O232),IF(INDEX('請求台帳'!$C$5:$C$1004,$O232)="","",INDEX('請求台帳'!$C$5:$C$1004,$O232)),IF($C232="","",$C232)))</f>
        <v/>
      </c>
      <c r="Q232" s="35">
        <f>IF(OR(NOT(OR($A232&lt;&gt;"",$E232&lt;&gt;"",$F232&lt;&gt;"",$G232&lt;&gt;"",$H232&lt;&gt;"",$I232&lt;&gt;"")),$P232="",$P232&lt;&gt;'売掛帳'!$B$3,NOT(ISNUMBER($A232)),N($G232)+N($H232)+N($I232)=0),"",IF(AND($A232&gt;='売掛帳'!$Q$3,$A232&lt;='売掛帳'!$Q$4),$A232+0.5+ROW()/10000000,""))</f>
        <v/>
      </c>
      <c r="R232" s="32">
        <f>IF(AND(OR($A232&lt;&gt;"",$E232&lt;&gt;"",$F232&lt;&gt;"",$G232&lt;&gt;"",$H232&lt;&gt;"",$I232&lt;&gt;""),NOT(ISNUMBER($O232))),1,"")</f>
        <v/>
      </c>
    </row>
    <row r="233" ht="18" customHeight="1">
      <c r="A233" s="26" t="n"/>
      <c r="B233" s="18" t="n"/>
      <c r="C233" s="18" t="n"/>
      <c r="D233" s="20">
        <f>IF($P233="","",IFERROR(INDEX('得意先'!$C$5:$C$104,MATCH($P233,'得意先'!$B$5:$B$104,0))&amp;"","※得意先にないコード"))</f>
        <v/>
      </c>
      <c r="E233" s="27" t="n"/>
      <c r="F233" s="18" t="n"/>
      <c r="G233" s="27" t="n"/>
      <c r="H233" s="27" t="n"/>
      <c r="I233" s="27" t="n"/>
      <c r="J233" s="28">
        <f>IF(NOT(OR($A233&lt;&gt;"",$E233&lt;&gt;"",$F233&lt;&gt;"",$G233&lt;&gt;"",$H233&lt;&gt;"",$I233&lt;&gt;"")),"",N($G233)+N($H233)+N($I233))</f>
        <v/>
      </c>
      <c r="K233" s="28">
        <f>IF(ISNUMBER($O233),INDEX('請求台帳'!$R$5:$R$1004,$O233),"")</f>
        <v/>
      </c>
      <c r="L233" s="20">
        <f>IF(NOT(OR($A233&lt;&gt;"",$E233&lt;&gt;"",$F233&lt;&gt;"",$G233&lt;&gt;"",$H233&lt;&gt;"",$I233&lt;&gt;"")),"",IF(NOT(ISNUMBER($A233)),"入金日がありません",IF(AND($F233&lt;&gt;"",$O233="なし"),"請求Noが請求台帳にありません",IF(AND(ISNUMBER($O233),$C233&lt;&gt;"",$C233&lt;&gt;$P233),"請求の得意先は "&amp;$P233&amp;" です",IF(ROUND(IF($B233&lt;&gt;"",SUMIF($B$5:$B$1004,$B233,$E$5:$E$1004)-SUMIF($B$5:$B$1004,$B233,$G$5:$G$1004),N($E233)-N($G233)),0)&lt;&gt;0,"通帳の額と当てた額の差 "&amp;TEXT(IF($B233&lt;&gt;"",SUMIF($B$5:$B$1004,$B233,$E$5:$E$1004)-SUMIF($B$5:$B$1004,$B233,$G$5:$G$1004),N($E233)-N($G233)),"#,##0"),IF(AND(ISNUMBER($O233),N($K233)&lt;0),"請求額より多く消し込んでいます",IF($F233="","消込先が未定","OK")))))))</f>
        <v/>
      </c>
      <c r="M233" s="19" t="n"/>
      <c r="N233" s="56" t="n"/>
      <c r="O233" s="32">
        <f>IF($F233="","",IFERROR(MATCH($F233,'請求台帳'!$A$5:$A$1004,0),"なし"))</f>
        <v/>
      </c>
      <c r="P233" s="37">
        <f>IF(NOT(OR($A233&lt;&gt;"",$E233&lt;&gt;"",$F233&lt;&gt;"",$G233&lt;&gt;"",$H233&lt;&gt;"",$I233&lt;&gt;"")),"",IF(ISNUMBER($O233),IF(INDEX('請求台帳'!$C$5:$C$1004,$O233)="","",INDEX('請求台帳'!$C$5:$C$1004,$O233)),IF($C233="","",$C233)))</f>
        <v/>
      </c>
      <c r="Q233" s="35">
        <f>IF(OR(NOT(OR($A233&lt;&gt;"",$E233&lt;&gt;"",$F233&lt;&gt;"",$G233&lt;&gt;"",$H233&lt;&gt;"",$I233&lt;&gt;"")),$P233="",$P233&lt;&gt;'売掛帳'!$B$3,NOT(ISNUMBER($A233)),N($G233)+N($H233)+N($I233)=0),"",IF(AND($A233&gt;='売掛帳'!$Q$3,$A233&lt;='売掛帳'!$Q$4),$A233+0.5+ROW()/10000000,""))</f>
        <v/>
      </c>
      <c r="R233" s="32">
        <f>IF(AND(OR($A233&lt;&gt;"",$E233&lt;&gt;"",$F233&lt;&gt;"",$G233&lt;&gt;"",$H233&lt;&gt;"",$I233&lt;&gt;""),NOT(ISNUMBER($O233))),1,"")</f>
        <v/>
      </c>
    </row>
    <row r="234" ht="18" customHeight="1">
      <c r="A234" s="26" t="n"/>
      <c r="B234" s="18" t="n"/>
      <c r="C234" s="18" t="n"/>
      <c r="D234" s="20">
        <f>IF($P234="","",IFERROR(INDEX('得意先'!$C$5:$C$104,MATCH($P234,'得意先'!$B$5:$B$104,0))&amp;"","※得意先にないコード"))</f>
        <v/>
      </c>
      <c r="E234" s="27" t="n"/>
      <c r="F234" s="18" t="n"/>
      <c r="G234" s="27" t="n"/>
      <c r="H234" s="27" t="n"/>
      <c r="I234" s="27" t="n"/>
      <c r="J234" s="28">
        <f>IF(NOT(OR($A234&lt;&gt;"",$E234&lt;&gt;"",$F234&lt;&gt;"",$G234&lt;&gt;"",$H234&lt;&gt;"",$I234&lt;&gt;"")),"",N($G234)+N($H234)+N($I234))</f>
        <v/>
      </c>
      <c r="K234" s="28">
        <f>IF(ISNUMBER($O234),INDEX('請求台帳'!$R$5:$R$1004,$O234),"")</f>
        <v/>
      </c>
      <c r="L234" s="20">
        <f>IF(NOT(OR($A234&lt;&gt;"",$E234&lt;&gt;"",$F234&lt;&gt;"",$G234&lt;&gt;"",$H234&lt;&gt;"",$I234&lt;&gt;"")),"",IF(NOT(ISNUMBER($A234)),"入金日がありません",IF(AND($F234&lt;&gt;"",$O234="なし"),"請求Noが請求台帳にありません",IF(AND(ISNUMBER($O234),$C234&lt;&gt;"",$C234&lt;&gt;$P234),"請求の得意先は "&amp;$P234&amp;" です",IF(ROUND(IF($B234&lt;&gt;"",SUMIF($B$5:$B$1004,$B234,$E$5:$E$1004)-SUMIF($B$5:$B$1004,$B234,$G$5:$G$1004),N($E234)-N($G234)),0)&lt;&gt;0,"通帳の額と当てた額の差 "&amp;TEXT(IF($B234&lt;&gt;"",SUMIF($B$5:$B$1004,$B234,$E$5:$E$1004)-SUMIF($B$5:$B$1004,$B234,$G$5:$G$1004),N($E234)-N($G234)),"#,##0"),IF(AND(ISNUMBER($O234),N($K234)&lt;0),"請求額より多く消し込んでいます",IF($F234="","消込先が未定","OK")))))))</f>
        <v/>
      </c>
      <c r="M234" s="19" t="n"/>
      <c r="N234" s="56" t="n"/>
      <c r="O234" s="32">
        <f>IF($F234="","",IFERROR(MATCH($F234,'請求台帳'!$A$5:$A$1004,0),"なし"))</f>
        <v/>
      </c>
      <c r="P234" s="37">
        <f>IF(NOT(OR($A234&lt;&gt;"",$E234&lt;&gt;"",$F234&lt;&gt;"",$G234&lt;&gt;"",$H234&lt;&gt;"",$I234&lt;&gt;"")),"",IF(ISNUMBER($O234),IF(INDEX('請求台帳'!$C$5:$C$1004,$O234)="","",INDEX('請求台帳'!$C$5:$C$1004,$O234)),IF($C234="","",$C234)))</f>
        <v/>
      </c>
      <c r="Q234" s="35">
        <f>IF(OR(NOT(OR($A234&lt;&gt;"",$E234&lt;&gt;"",$F234&lt;&gt;"",$G234&lt;&gt;"",$H234&lt;&gt;"",$I234&lt;&gt;"")),$P234="",$P234&lt;&gt;'売掛帳'!$B$3,NOT(ISNUMBER($A234)),N($G234)+N($H234)+N($I234)=0),"",IF(AND($A234&gt;='売掛帳'!$Q$3,$A234&lt;='売掛帳'!$Q$4),$A234+0.5+ROW()/10000000,""))</f>
        <v/>
      </c>
      <c r="R234" s="32">
        <f>IF(AND(OR($A234&lt;&gt;"",$E234&lt;&gt;"",$F234&lt;&gt;"",$G234&lt;&gt;"",$H234&lt;&gt;"",$I234&lt;&gt;""),NOT(ISNUMBER($O234))),1,"")</f>
        <v/>
      </c>
    </row>
    <row r="235" ht="18" customHeight="1">
      <c r="A235" s="26" t="n"/>
      <c r="B235" s="18" t="n"/>
      <c r="C235" s="18" t="n"/>
      <c r="D235" s="20">
        <f>IF($P235="","",IFERROR(INDEX('得意先'!$C$5:$C$104,MATCH($P235,'得意先'!$B$5:$B$104,0))&amp;"","※得意先にないコード"))</f>
        <v/>
      </c>
      <c r="E235" s="27" t="n"/>
      <c r="F235" s="18" t="n"/>
      <c r="G235" s="27" t="n"/>
      <c r="H235" s="27" t="n"/>
      <c r="I235" s="27" t="n"/>
      <c r="J235" s="28">
        <f>IF(NOT(OR($A235&lt;&gt;"",$E235&lt;&gt;"",$F235&lt;&gt;"",$G235&lt;&gt;"",$H235&lt;&gt;"",$I235&lt;&gt;"")),"",N($G235)+N($H235)+N($I235))</f>
        <v/>
      </c>
      <c r="K235" s="28">
        <f>IF(ISNUMBER($O235),INDEX('請求台帳'!$R$5:$R$1004,$O235),"")</f>
        <v/>
      </c>
      <c r="L235" s="20">
        <f>IF(NOT(OR($A235&lt;&gt;"",$E235&lt;&gt;"",$F235&lt;&gt;"",$G235&lt;&gt;"",$H235&lt;&gt;"",$I235&lt;&gt;"")),"",IF(NOT(ISNUMBER($A235)),"入金日がありません",IF(AND($F235&lt;&gt;"",$O235="なし"),"請求Noが請求台帳にありません",IF(AND(ISNUMBER($O235),$C235&lt;&gt;"",$C235&lt;&gt;$P235),"請求の得意先は "&amp;$P235&amp;" です",IF(ROUND(IF($B235&lt;&gt;"",SUMIF($B$5:$B$1004,$B235,$E$5:$E$1004)-SUMIF($B$5:$B$1004,$B235,$G$5:$G$1004),N($E235)-N($G235)),0)&lt;&gt;0,"通帳の額と当てた額の差 "&amp;TEXT(IF($B235&lt;&gt;"",SUMIF($B$5:$B$1004,$B235,$E$5:$E$1004)-SUMIF($B$5:$B$1004,$B235,$G$5:$G$1004),N($E235)-N($G235)),"#,##0"),IF(AND(ISNUMBER($O235),N($K235)&lt;0),"請求額より多く消し込んでいます",IF($F235="","消込先が未定","OK")))))))</f>
        <v/>
      </c>
      <c r="M235" s="19" t="n"/>
      <c r="N235" s="56" t="n"/>
      <c r="O235" s="32">
        <f>IF($F235="","",IFERROR(MATCH($F235,'請求台帳'!$A$5:$A$1004,0),"なし"))</f>
        <v/>
      </c>
      <c r="P235" s="37">
        <f>IF(NOT(OR($A235&lt;&gt;"",$E235&lt;&gt;"",$F235&lt;&gt;"",$G235&lt;&gt;"",$H235&lt;&gt;"",$I235&lt;&gt;"")),"",IF(ISNUMBER($O235),IF(INDEX('請求台帳'!$C$5:$C$1004,$O235)="","",INDEX('請求台帳'!$C$5:$C$1004,$O235)),IF($C235="","",$C235)))</f>
        <v/>
      </c>
      <c r="Q235" s="35">
        <f>IF(OR(NOT(OR($A235&lt;&gt;"",$E235&lt;&gt;"",$F235&lt;&gt;"",$G235&lt;&gt;"",$H235&lt;&gt;"",$I235&lt;&gt;"")),$P235="",$P235&lt;&gt;'売掛帳'!$B$3,NOT(ISNUMBER($A235)),N($G235)+N($H235)+N($I235)=0),"",IF(AND($A235&gt;='売掛帳'!$Q$3,$A235&lt;='売掛帳'!$Q$4),$A235+0.5+ROW()/10000000,""))</f>
        <v/>
      </c>
      <c r="R235" s="32">
        <f>IF(AND(OR($A235&lt;&gt;"",$E235&lt;&gt;"",$F235&lt;&gt;"",$G235&lt;&gt;"",$H235&lt;&gt;"",$I235&lt;&gt;""),NOT(ISNUMBER($O235))),1,"")</f>
        <v/>
      </c>
    </row>
    <row r="236" ht="18" customHeight="1">
      <c r="A236" s="26" t="n"/>
      <c r="B236" s="18" t="n"/>
      <c r="C236" s="18" t="n"/>
      <c r="D236" s="20">
        <f>IF($P236="","",IFERROR(INDEX('得意先'!$C$5:$C$104,MATCH($P236,'得意先'!$B$5:$B$104,0))&amp;"","※得意先にないコード"))</f>
        <v/>
      </c>
      <c r="E236" s="27" t="n"/>
      <c r="F236" s="18" t="n"/>
      <c r="G236" s="27" t="n"/>
      <c r="H236" s="27" t="n"/>
      <c r="I236" s="27" t="n"/>
      <c r="J236" s="28">
        <f>IF(NOT(OR($A236&lt;&gt;"",$E236&lt;&gt;"",$F236&lt;&gt;"",$G236&lt;&gt;"",$H236&lt;&gt;"",$I236&lt;&gt;"")),"",N($G236)+N($H236)+N($I236))</f>
        <v/>
      </c>
      <c r="K236" s="28">
        <f>IF(ISNUMBER($O236),INDEX('請求台帳'!$R$5:$R$1004,$O236),"")</f>
        <v/>
      </c>
      <c r="L236" s="20">
        <f>IF(NOT(OR($A236&lt;&gt;"",$E236&lt;&gt;"",$F236&lt;&gt;"",$G236&lt;&gt;"",$H236&lt;&gt;"",$I236&lt;&gt;"")),"",IF(NOT(ISNUMBER($A236)),"入金日がありません",IF(AND($F236&lt;&gt;"",$O236="なし"),"請求Noが請求台帳にありません",IF(AND(ISNUMBER($O236),$C236&lt;&gt;"",$C236&lt;&gt;$P236),"請求の得意先は "&amp;$P236&amp;" です",IF(ROUND(IF($B236&lt;&gt;"",SUMIF($B$5:$B$1004,$B236,$E$5:$E$1004)-SUMIF($B$5:$B$1004,$B236,$G$5:$G$1004),N($E236)-N($G236)),0)&lt;&gt;0,"通帳の額と当てた額の差 "&amp;TEXT(IF($B236&lt;&gt;"",SUMIF($B$5:$B$1004,$B236,$E$5:$E$1004)-SUMIF($B$5:$B$1004,$B236,$G$5:$G$1004),N($E236)-N($G236)),"#,##0"),IF(AND(ISNUMBER($O236),N($K236)&lt;0),"請求額より多く消し込んでいます",IF($F236="","消込先が未定","OK")))))))</f>
        <v/>
      </c>
      <c r="M236" s="19" t="n"/>
      <c r="N236" s="56" t="n"/>
      <c r="O236" s="32">
        <f>IF($F236="","",IFERROR(MATCH($F236,'請求台帳'!$A$5:$A$1004,0),"なし"))</f>
        <v/>
      </c>
      <c r="P236" s="37">
        <f>IF(NOT(OR($A236&lt;&gt;"",$E236&lt;&gt;"",$F236&lt;&gt;"",$G236&lt;&gt;"",$H236&lt;&gt;"",$I236&lt;&gt;"")),"",IF(ISNUMBER($O236),IF(INDEX('請求台帳'!$C$5:$C$1004,$O236)="","",INDEX('請求台帳'!$C$5:$C$1004,$O236)),IF($C236="","",$C236)))</f>
        <v/>
      </c>
      <c r="Q236" s="35">
        <f>IF(OR(NOT(OR($A236&lt;&gt;"",$E236&lt;&gt;"",$F236&lt;&gt;"",$G236&lt;&gt;"",$H236&lt;&gt;"",$I236&lt;&gt;"")),$P236="",$P236&lt;&gt;'売掛帳'!$B$3,NOT(ISNUMBER($A236)),N($G236)+N($H236)+N($I236)=0),"",IF(AND($A236&gt;='売掛帳'!$Q$3,$A236&lt;='売掛帳'!$Q$4),$A236+0.5+ROW()/10000000,""))</f>
        <v/>
      </c>
      <c r="R236" s="32">
        <f>IF(AND(OR($A236&lt;&gt;"",$E236&lt;&gt;"",$F236&lt;&gt;"",$G236&lt;&gt;"",$H236&lt;&gt;"",$I236&lt;&gt;""),NOT(ISNUMBER($O236))),1,"")</f>
        <v/>
      </c>
    </row>
    <row r="237" ht="18" customHeight="1">
      <c r="A237" s="26" t="n"/>
      <c r="B237" s="18" t="n"/>
      <c r="C237" s="18" t="n"/>
      <c r="D237" s="20">
        <f>IF($P237="","",IFERROR(INDEX('得意先'!$C$5:$C$104,MATCH($P237,'得意先'!$B$5:$B$104,0))&amp;"","※得意先にないコード"))</f>
        <v/>
      </c>
      <c r="E237" s="27" t="n"/>
      <c r="F237" s="18" t="n"/>
      <c r="G237" s="27" t="n"/>
      <c r="H237" s="27" t="n"/>
      <c r="I237" s="27" t="n"/>
      <c r="J237" s="28">
        <f>IF(NOT(OR($A237&lt;&gt;"",$E237&lt;&gt;"",$F237&lt;&gt;"",$G237&lt;&gt;"",$H237&lt;&gt;"",$I237&lt;&gt;"")),"",N($G237)+N($H237)+N($I237))</f>
        <v/>
      </c>
      <c r="K237" s="28">
        <f>IF(ISNUMBER($O237),INDEX('請求台帳'!$R$5:$R$1004,$O237),"")</f>
        <v/>
      </c>
      <c r="L237" s="20">
        <f>IF(NOT(OR($A237&lt;&gt;"",$E237&lt;&gt;"",$F237&lt;&gt;"",$G237&lt;&gt;"",$H237&lt;&gt;"",$I237&lt;&gt;"")),"",IF(NOT(ISNUMBER($A237)),"入金日がありません",IF(AND($F237&lt;&gt;"",$O237="なし"),"請求Noが請求台帳にありません",IF(AND(ISNUMBER($O237),$C237&lt;&gt;"",$C237&lt;&gt;$P237),"請求の得意先は "&amp;$P237&amp;" です",IF(ROUND(IF($B237&lt;&gt;"",SUMIF($B$5:$B$1004,$B237,$E$5:$E$1004)-SUMIF($B$5:$B$1004,$B237,$G$5:$G$1004),N($E237)-N($G237)),0)&lt;&gt;0,"通帳の額と当てた額の差 "&amp;TEXT(IF($B237&lt;&gt;"",SUMIF($B$5:$B$1004,$B237,$E$5:$E$1004)-SUMIF($B$5:$B$1004,$B237,$G$5:$G$1004),N($E237)-N($G237)),"#,##0"),IF(AND(ISNUMBER($O237),N($K237)&lt;0),"請求額より多く消し込んでいます",IF($F237="","消込先が未定","OK")))))))</f>
        <v/>
      </c>
      <c r="M237" s="19" t="n"/>
      <c r="N237" s="56" t="n"/>
      <c r="O237" s="32">
        <f>IF($F237="","",IFERROR(MATCH($F237,'請求台帳'!$A$5:$A$1004,0),"なし"))</f>
        <v/>
      </c>
      <c r="P237" s="37">
        <f>IF(NOT(OR($A237&lt;&gt;"",$E237&lt;&gt;"",$F237&lt;&gt;"",$G237&lt;&gt;"",$H237&lt;&gt;"",$I237&lt;&gt;"")),"",IF(ISNUMBER($O237),IF(INDEX('請求台帳'!$C$5:$C$1004,$O237)="","",INDEX('請求台帳'!$C$5:$C$1004,$O237)),IF($C237="","",$C237)))</f>
        <v/>
      </c>
      <c r="Q237" s="35">
        <f>IF(OR(NOT(OR($A237&lt;&gt;"",$E237&lt;&gt;"",$F237&lt;&gt;"",$G237&lt;&gt;"",$H237&lt;&gt;"",$I237&lt;&gt;"")),$P237="",$P237&lt;&gt;'売掛帳'!$B$3,NOT(ISNUMBER($A237)),N($G237)+N($H237)+N($I237)=0),"",IF(AND($A237&gt;='売掛帳'!$Q$3,$A237&lt;='売掛帳'!$Q$4),$A237+0.5+ROW()/10000000,""))</f>
        <v/>
      </c>
      <c r="R237" s="32">
        <f>IF(AND(OR($A237&lt;&gt;"",$E237&lt;&gt;"",$F237&lt;&gt;"",$G237&lt;&gt;"",$H237&lt;&gt;"",$I237&lt;&gt;""),NOT(ISNUMBER($O237))),1,"")</f>
        <v/>
      </c>
    </row>
    <row r="238" ht="18" customHeight="1">
      <c r="A238" s="26" t="n"/>
      <c r="B238" s="18" t="n"/>
      <c r="C238" s="18" t="n"/>
      <c r="D238" s="20">
        <f>IF($P238="","",IFERROR(INDEX('得意先'!$C$5:$C$104,MATCH($P238,'得意先'!$B$5:$B$104,0))&amp;"","※得意先にないコード"))</f>
        <v/>
      </c>
      <c r="E238" s="27" t="n"/>
      <c r="F238" s="18" t="n"/>
      <c r="G238" s="27" t="n"/>
      <c r="H238" s="27" t="n"/>
      <c r="I238" s="27" t="n"/>
      <c r="J238" s="28">
        <f>IF(NOT(OR($A238&lt;&gt;"",$E238&lt;&gt;"",$F238&lt;&gt;"",$G238&lt;&gt;"",$H238&lt;&gt;"",$I238&lt;&gt;"")),"",N($G238)+N($H238)+N($I238))</f>
        <v/>
      </c>
      <c r="K238" s="28">
        <f>IF(ISNUMBER($O238),INDEX('請求台帳'!$R$5:$R$1004,$O238),"")</f>
        <v/>
      </c>
      <c r="L238" s="20">
        <f>IF(NOT(OR($A238&lt;&gt;"",$E238&lt;&gt;"",$F238&lt;&gt;"",$G238&lt;&gt;"",$H238&lt;&gt;"",$I238&lt;&gt;"")),"",IF(NOT(ISNUMBER($A238)),"入金日がありません",IF(AND($F238&lt;&gt;"",$O238="なし"),"請求Noが請求台帳にありません",IF(AND(ISNUMBER($O238),$C238&lt;&gt;"",$C238&lt;&gt;$P238),"請求の得意先は "&amp;$P238&amp;" です",IF(ROUND(IF($B238&lt;&gt;"",SUMIF($B$5:$B$1004,$B238,$E$5:$E$1004)-SUMIF($B$5:$B$1004,$B238,$G$5:$G$1004),N($E238)-N($G238)),0)&lt;&gt;0,"通帳の額と当てた額の差 "&amp;TEXT(IF($B238&lt;&gt;"",SUMIF($B$5:$B$1004,$B238,$E$5:$E$1004)-SUMIF($B$5:$B$1004,$B238,$G$5:$G$1004),N($E238)-N($G238)),"#,##0"),IF(AND(ISNUMBER($O238),N($K238)&lt;0),"請求額より多く消し込んでいます",IF($F238="","消込先が未定","OK")))))))</f>
        <v/>
      </c>
      <c r="M238" s="19" t="n"/>
      <c r="N238" s="56" t="n"/>
      <c r="O238" s="32">
        <f>IF($F238="","",IFERROR(MATCH($F238,'請求台帳'!$A$5:$A$1004,0),"なし"))</f>
        <v/>
      </c>
      <c r="P238" s="37">
        <f>IF(NOT(OR($A238&lt;&gt;"",$E238&lt;&gt;"",$F238&lt;&gt;"",$G238&lt;&gt;"",$H238&lt;&gt;"",$I238&lt;&gt;"")),"",IF(ISNUMBER($O238),IF(INDEX('請求台帳'!$C$5:$C$1004,$O238)="","",INDEX('請求台帳'!$C$5:$C$1004,$O238)),IF($C238="","",$C238)))</f>
        <v/>
      </c>
      <c r="Q238" s="35">
        <f>IF(OR(NOT(OR($A238&lt;&gt;"",$E238&lt;&gt;"",$F238&lt;&gt;"",$G238&lt;&gt;"",$H238&lt;&gt;"",$I238&lt;&gt;"")),$P238="",$P238&lt;&gt;'売掛帳'!$B$3,NOT(ISNUMBER($A238)),N($G238)+N($H238)+N($I238)=0),"",IF(AND($A238&gt;='売掛帳'!$Q$3,$A238&lt;='売掛帳'!$Q$4),$A238+0.5+ROW()/10000000,""))</f>
        <v/>
      </c>
      <c r="R238" s="32">
        <f>IF(AND(OR($A238&lt;&gt;"",$E238&lt;&gt;"",$F238&lt;&gt;"",$G238&lt;&gt;"",$H238&lt;&gt;"",$I238&lt;&gt;""),NOT(ISNUMBER($O238))),1,"")</f>
        <v/>
      </c>
    </row>
    <row r="239" ht="18" customHeight="1">
      <c r="A239" s="26" t="n"/>
      <c r="B239" s="18" t="n"/>
      <c r="C239" s="18" t="n"/>
      <c r="D239" s="20">
        <f>IF($P239="","",IFERROR(INDEX('得意先'!$C$5:$C$104,MATCH($P239,'得意先'!$B$5:$B$104,0))&amp;"","※得意先にないコード"))</f>
        <v/>
      </c>
      <c r="E239" s="27" t="n"/>
      <c r="F239" s="18" t="n"/>
      <c r="G239" s="27" t="n"/>
      <c r="H239" s="27" t="n"/>
      <c r="I239" s="27" t="n"/>
      <c r="J239" s="28">
        <f>IF(NOT(OR($A239&lt;&gt;"",$E239&lt;&gt;"",$F239&lt;&gt;"",$G239&lt;&gt;"",$H239&lt;&gt;"",$I239&lt;&gt;"")),"",N($G239)+N($H239)+N($I239))</f>
        <v/>
      </c>
      <c r="K239" s="28">
        <f>IF(ISNUMBER($O239),INDEX('請求台帳'!$R$5:$R$1004,$O239),"")</f>
        <v/>
      </c>
      <c r="L239" s="20">
        <f>IF(NOT(OR($A239&lt;&gt;"",$E239&lt;&gt;"",$F239&lt;&gt;"",$G239&lt;&gt;"",$H239&lt;&gt;"",$I239&lt;&gt;"")),"",IF(NOT(ISNUMBER($A239)),"入金日がありません",IF(AND($F239&lt;&gt;"",$O239="なし"),"請求Noが請求台帳にありません",IF(AND(ISNUMBER($O239),$C239&lt;&gt;"",$C239&lt;&gt;$P239),"請求の得意先は "&amp;$P239&amp;" です",IF(ROUND(IF($B239&lt;&gt;"",SUMIF($B$5:$B$1004,$B239,$E$5:$E$1004)-SUMIF($B$5:$B$1004,$B239,$G$5:$G$1004),N($E239)-N($G239)),0)&lt;&gt;0,"通帳の額と当てた額の差 "&amp;TEXT(IF($B239&lt;&gt;"",SUMIF($B$5:$B$1004,$B239,$E$5:$E$1004)-SUMIF($B$5:$B$1004,$B239,$G$5:$G$1004),N($E239)-N($G239)),"#,##0"),IF(AND(ISNUMBER($O239),N($K239)&lt;0),"請求額より多く消し込んでいます",IF($F239="","消込先が未定","OK")))))))</f>
        <v/>
      </c>
      <c r="M239" s="19" t="n"/>
      <c r="N239" s="56" t="n"/>
      <c r="O239" s="32">
        <f>IF($F239="","",IFERROR(MATCH($F239,'請求台帳'!$A$5:$A$1004,0),"なし"))</f>
        <v/>
      </c>
      <c r="P239" s="37">
        <f>IF(NOT(OR($A239&lt;&gt;"",$E239&lt;&gt;"",$F239&lt;&gt;"",$G239&lt;&gt;"",$H239&lt;&gt;"",$I239&lt;&gt;"")),"",IF(ISNUMBER($O239),IF(INDEX('請求台帳'!$C$5:$C$1004,$O239)="","",INDEX('請求台帳'!$C$5:$C$1004,$O239)),IF($C239="","",$C239)))</f>
        <v/>
      </c>
      <c r="Q239" s="35">
        <f>IF(OR(NOT(OR($A239&lt;&gt;"",$E239&lt;&gt;"",$F239&lt;&gt;"",$G239&lt;&gt;"",$H239&lt;&gt;"",$I239&lt;&gt;"")),$P239="",$P239&lt;&gt;'売掛帳'!$B$3,NOT(ISNUMBER($A239)),N($G239)+N($H239)+N($I239)=0),"",IF(AND($A239&gt;='売掛帳'!$Q$3,$A239&lt;='売掛帳'!$Q$4),$A239+0.5+ROW()/10000000,""))</f>
        <v/>
      </c>
      <c r="R239" s="32">
        <f>IF(AND(OR($A239&lt;&gt;"",$E239&lt;&gt;"",$F239&lt;&gt;"",$G239&lt;&gt;"",$H239&lt;&gt;"",$I239&lt;&gt;""),NOT(ISNUMBER($O239))),1,"")</f>
        <v/>
      </c>
    </row>
    <row r="240" ht="18" customHeight="1">
      <c r="A240" s="26" t="n"/>
      <c r="B240" s="18" t="n"/>
      <c r="C240" s="18" t="n"/>
      <c r="D240" s="20">
        <f>IF($P240="","",IFERROR(INDEX('得意先'!$C$5:$C$104,MATCH($P240,'得意先'!$B$5:$B$104,0))&amp;"","※得意先にないコード"))</f>
        <v/>
      </c>
      <c r="E240" s="27" t="n"/>
      <c r="F240" s="18" t="n"/>
      <c r="G240" s="27" t="n"/>
      <c r="H240" s="27" t="n"/>
      <c r="I240" s="27" t="n"/>
      <c r="J240" s="28">
        <f>IF(NOT(OR($A240&lt;&gt;"",$E240&lt;&gt;"",$F240&lt;&gt;"",$G240&lt;&gt;"",$H240&lt;&gt;"",$I240&lt;&gt;"")),"",N($G240)+N($H240)+N($I240))</f>
        <v/>
      </c>
      <c r="K240" s="28">
        <f>IF(ISNUMBER($O240),INDEX('請求台帳'!$R$5:$R$1004,$O240),"")</f>
        <v/>
      </c>
      <c r="L240" s="20">
        <f>IF(NOT(OR($A240&lt;&gt;"",$E240&lt;&gt;"",$F240&lt;&gt;"",$G240&lt;&gt;"",$H240&lt;&gt;"",$I240&lt;&gt;"")),"",IF(NOT(ISNUMBER($A240)),"入金日がありません",IF(AND($F240&lt;&gt;"",$O240="なし"),"請求Noが請求台帳にありません",IF(AND(ISNUMBER($O240),$C240&lt;&gt;"",$C240&lt;&gt;$P240),"請求の得意先は "&amp;$P240&amp;" です",IF(ROUND(IF($B240&lt;&gt;"",SUMIF($B$5:$B$1004,$B240,$E$5:$E$1004)-SUMIF($B$5:$B$1004,$B240,$G$5:$G$1004),N($E240)-N($G240)),0)&lt;&gt;0,"通帳の額と当てた額の差 "&amp;TEXT(IF($B240&lt;&gt;"",SUMIF($B$5:$B$1004,$B240,$E$5:$E$1004)-SUMIF($B$5:$B$1004,$B240,$G$5:$G$1004),N($E240)-N($G240)),"#,##0"),IF(AND(ISNUMBER($O240),N($K240)&lt;0),"請求額より多く消し込んでいます",IF($F240="","消込先が未定","OK")))))))</f>
        <v/>
      </c>
      <c r="M240" s="19" t="n"/>
      <c r="N240" s="56" t="n"/>
      <c r="O240" s="32">
        <f>IF($F240="","",IFERROR(MATCH($F240,'請求台帳'!$A$5:$A$1004,0),"なし"))</f>
        <v/>
      </c>
      <c r="P240" s="37">
        <f>IF(NOT(OR($A240&lt;&gt;"",$E240&lt;&gt;"",$F240&lt;&gt;"",$G240&lt;&gt;"",$H240&lt;&gt;"",$I240&lt;&gt;"")),"",IF(ISNUMBER($O240),IF(INDEX('請求台帳'!$C$5:$C$1004,$O240)="","",INDEX('請求台帳'!$C$5:$C$1004,$O240)),IF($C240="","",$C240)))</f>
        <v/>
      </c>
      <c r="Q240" s="35">
        <f>IF(OR(NOT(OR($A240&lt;&gt;"",$E240&lt;&gt;"",$F240&lt;&gt;"",$G240&lt;&gt;"",$H240&lt;&gt;"",$I240&lt;&gt;"")),$P240="",$P240&lt;&gt;'売掛帳'!$B$3,NOT(ISNUMBER($A240)),N($G240)+N($H240)+N($I240)=0),"",IF(AND($A240&gt;='売掛帳'!$Q$3,$A240&lt;='売掛帳'!$Q$4),$A240+0.5+ROW()/10000000,""))</f>
        <v/>
      </c>
      <c r="R240" s="32">
        <f>IF(AND(OR($A240&lt;&gt;"",$E240&lt;&gt;"",$F240&lt;&gt;"",$G240&lt;&gt;"",$H240&lt;&gt;"",$I240&lt;&gt;""),NOT(ISNUMBER($O240))),1,"")</f>
        <v/>
      </c>
    </row>
    <row r="241" ht="18" customHeight="1">
      <c r="A241" s="26" t="n"/>
      <c r="B241" s="18" t="n"/>
      <c r="C241" s="18" t="n"/>
      <c r="D241" s="20">
        <f>IF($P241="","",IFERROR(INDEX('得意先'!$C$5:$C$104,MATCH($P241,'得意先'!$B$5:$B$104,0))&amp;"","※得意先にないコード"))</f>
        <v/>
      </c>
      <c r="E241" s="27" t="n"/>
      <c r="F241" s="18" t="n"/>
      <c r="G241" s="27" t="n"/>
      <c r="H241" s="27" t="n"/>
      <c r="I241" s="27" t="n"/>
      <c r="J241" s="28">
        <f>IF(NOT(OR($A241&lt;&gt;"",$E241&lt;&gt;"",$F241&lt;&gt;"",$G241&lt;&gt;"",$H241&lt;&gt;"",$I241&lt;&gt;"")),"",N($G241)+N($H241)+N($I241))</f>
        <v/>
      </c>
      <c r="K241" s="28">
        <f>IF(ISNUMBER($O241),INDEX('請求台帳'!$R$5:$R$1004,$O241),"")</f>
        <v/>
      </c>
      <c r="L241" s="20">
        <f>IF(NOT(OR($A241&lt;&gt;"",$E241&lt;&gt;"",$F241&lt;&gt;"",$G241&lt;&gt;"",$H241&lt;&gt;"",$I241&lt;&gt;"")),"",IF(NOT(ISNUMBER($A241)),"入金日がありません",IF(AND($F241&lt;&gt;"",$O241="なし"),"請求Noが請求台帳にありません",IF(AND(ISNUMBER($O241),$C241&lt;&gt;"",$C241&lt;&gt;$P241),"請求の得意先は "&amp;$P241&amp;" です",IF(ROUND(IF($B241&lt;&gt;"",SUMIF($B$5:$B$1004,$B241,$E$5:$E$1004)-SUMIF($B$5:$B$1004,$B241,$G$5:$G$1004),N($E241)-N($G241)),0)&lt;&gt;0,"通帳の額と当てた額の差 "&amp;TEXT(IF($B241&lt;&gt;"",SUMIF($B$5:$B$1004,$B241,$E$5:$E$1004)-SUMIF($B$5:$B$1004,$B241,$G$5:$G$1004),N($E241)-N($G241)),"#,##0"),IF(AND(ISNUMBER($O241),N($K241)&lt;0),"請求額より多く消し込んでいます",IF($F241="","消込先が未定","OK")))))))</f>
        <v/>
      </c>
      <c r="M241" s="19" t="n"/>
      <c r="N241" s="56" t="n"/>
      <c r="O241" s="32">
        <f>IF($F241="","",IFERROR(MATCH($F241,'請求台帳'!$A$5:$A$1004,0),"なし"))</f>
        <v/>
      </c>
      <c r="P241" s="37">
        <f>IF(NOT(OR($A241&lt;&gt;"",$E241&lt;&gt;"",$F241&lt;&gt;"",$G241&lt;&gt;"",$H241&lt;&gt;"",$I241&lt;&gt;"")),"",IF(ISNUMBER($O241),IF(INDEX('請求台帳'!$C$5:$C$1004,$O241)="","",INDEX('請求台帳'!$C$5:$C$1004,$O241)),IF($C241="","",$C241)))</f>
        <v/>
      </c>
      <c r="Q241" s="35">
        <f>IF(OR(NOT(OR($A241&lt;&gt;"",$E241&lt;&gt;"",$F241&lt;&gt;"",$G241&lt;&gt;"",$H241&lt;&gt;"",$I241&lt;&gt;"")),$P241="",$P241&lt;&gt;'売掛帳'!$B$3,NOT(ISNUMBER($A241)),N($G241)+N($H241)+N($I241)=0),"",IF(AND($A241&gt;='売掛帳'!$Q$3,$A241&lt;='売掛帳'!$Q$4),$A241+0.5+ROW()/10000000,""))</f>
        <v/>
      </c>
      <c r="R241" s="32">
        <f>IF(AND(OR($A241&lt;&gt;"",$E241&lt;&gt;"",$F241&lt;&gt;"",$G241&lt;&gt;"",$H241&lt;&gt;"",$I241&lt;&gt;""),NOT(ISNUMBER($O241))),1,"")</f>
        <v/>
      </c>
    </row>
    <row r="242" ht="18" customHeight="1">
      <c r="A242" s="26" t="n"/>
      <c r="B242" s="18" t="n"/>
      <c r="C242" s="18" t="n"/>
      <c r="D242" s="20">
        <f>IF($P242="","",IFERROR(INDEX('得意先'!$C$5:$C$104,MATCH($P242,'得意先'!$B$5:$B$104,0))&amp;"","※得意先にないコード"))</f>
        <v/>
      </c>
      <c r="E242" s="27" t="n"/>
      <c r="F242" s="18" t="n"/>
      <c r="G242" s="27" t="n"/>
      <c r="H242" s="27" t="n"/>
      <c r="I242" s="27" t="n"/>
      <c r="J242" s="28">
        <f>IF(NOT(OR($A242&lt;&gt;"",$E242&lt;&gt;"",$F242&lt;&gt;"",$G242&lt;&gt;"",$H242&lt;&gt;"",$I242&lt;&gt;"")),"",N($G242)+N($H242)+N($I242))</f>
        <v/>
      </c>
      <c r="K242" s="28">
        <f>IF(ISNUMBER($O242),INDEX('請求台帳'!$R$5:$R$1004,$O242),"")</f>
        <v/>
      </c>
      <c r="L242" s="20">
        <f>IF(NOT(OR($A242&lt;&gt;"",$E242&lt;&gt;"",$F242&lt;&gt;"",$G242&lt;&gt;"",$H242&lt;&gt;"",$I242&lt;&gt;"")),"",IF(NOT(ISNUMBER($A242)),"入金日がありません",IF(AND($F242&lt;&gt;"",$O242="なし"),"請求Noが請求台帳にありません",IF(AND(ISNUMBER($O242),$C242&lt;&gt;"",$C242&lt;&gt;$P242),"請求の得意先は "&amp;$P242&amp;" です",IF(ROUND(IF($B242&lt;&gt;"",SUMIF($B$5:$B$1004,$B242,$E$5:$E$1004)-SUMIF($B$5:$B$1004,$B242,$G$5:$G$1004),N($E242)-N($G242)),0)&lt;&gt;0,"通帳の額と当てた額の差 "&amp;TEXT(IF($B242&lt;&gt;"",SUMIF($B$5:$B$1004,$B242,$E$5:$E$1004)-SUMIF($B$5:$B$1004,$B242,$G$5:$G$1004),N($E242)-N($G242)),"#,##0"),IF(AND(ISNUMBER($O242),N($K242)&lt;0),"請求額より多く消し込んでいます",IF($F242="","消込先が未定","OK")))))))</f>
        <v/>
      </c>
      <c r="M242" s="19" t="n"/>
      <c r="N242" s="56" t="n"/>
      <c r="O242" s="32">
        <f>IF($F242="","",IFERROR(MATCH($F242,'請求台帳'!$A$5:$A$1004,0),"なし"))</f>
        <v/>
      </c>
      <c r="P242" s="37">
        <f>IF(NOT(OR($A242&lt;&gt;"",$E242&lt;&gt;"",$F242&lt;&gt;"",$G242&lt;&gt;"",$H242&lt;&gt;"",$I242&lt;&gt;"")),"",IF(ISNUMBER($O242),IF(INDEX('請求台帳'!$C$5:$C$1004,$O242)="","",INDEX('請求台帳'!$C$5:$C$1004,$O242)),IF($C242="","",$C242)))</f>
        <v/>
      </c>
      <c r="Q242" s="35">
        <f>IF(OR(NOT(OR($A242&lt;&gt;"",$E242&lt;&gt;"",$F242&lt;&gt;"",$G242&lt;&gt;"",$H242&lt;&gt;"",$I242&lt;&gt;"")),$P242="",$P242&lt;&gt;'売掛帳'!$B$3,NOT(ISNUMBER($A242)),N($G242)+N($H242)+N($I242)=0),"",IF(AND($A242&gt;='売掛帳'!$Q$3,$A242&lt;='売掛帳'!$Q$4),$A242+0.5+ROW()/10000000,""))</f>
        <v/>
      </c>
      <c r="R242" s="32">
        <f>IF(AND(OR($A242&lt;&gt;"",$E242&lt;&gt;"",$F242&lt;&gt;"",$G242&lt;&gt;"",$H242&lt;&gt;"",$I242&lt;&gt;""),NOT(ISNUMBER($O242))),1,"")</f>
        <v/>
      </c>
    </row>
    <row r="243" ht="18" customHeight="1">
      <c r="A243" s="26" t="n"/>
      <c r="B243" s="18" t="n"/>
      <c r="C243" s="18" t="n"/>
      <c r="D243" s="20">
        <f>IF($P243="","",IFERROR(INDEX('得意先'!$C$5:$C$104,MATCH($P243,'得意先'!$B$5:$B$104,0))&amp;"","※得意先にないコード"))</f>
        <v/>
      </c>
      <c r="E243" s="27" t="n"/>
      <c r="F243" s="18" t="n"/>
      <c r="G243" s="27" t="n"/>
      <c r="H243" s="27" t="n"/>
      <c r="I243" s="27" t="n"/>
      <c r="J243" s="28">
        <f>IF(NOT(OR($A243&lt;&gt;"",$E243&lt;&gt;"",$F243&lt;&gt;"",$G243&lt;&gt;"",$H243&lt;&gt;"",$I243&lt;&gt;"")),"",N($G243)+N($H243)+N($I243))</f>
        <v/>
      </c>
      <c r="K243" s="28">
        <f>IF(ISNUMBER($O243),INDEX('請求台帳'!$R$5:$R$1004,$O243),"")</f>
        <v/>
      </c>
      <c r="L243" s="20">
        <f>IF(NOT(OR($A243&lt;&gt;"",$E243&lt;&gt;"",$F243&lt;&gt;"",$G243&lt;&gt;"",$H243&lt;&gt;"",$I243&lt;&gt;"")),"",IF(NOT(ISNUMBER($A243)),"入金日がありません",IF(AND($F243&lt;&gt;"",$O243="なし"),"請求Noが請求台帳にありません",IF(AND(ISNUMBER($O243),$C243&lt;&gt;"",$C243&lt;&gt;$P243),"請求の得意先は "&amp;$P243&amp;" です",IF(ROUND(IF($B243&lt;&gt;"",SUMIF($B$5:$B$1004,$B243,$E$5:$E$1004)-SUMIF($B$5:$B$1004,$B243,$G$5:$G$1004),N($E243)-N($G243)),0)&lt;&gt;0,"通帳の額と当てた額の差 "&amp;TEXT(IF($B243&lt;&gt;"",SUMIF($B$5:$B$1004,$B243,$E$5:$E$1004)-SUMIF($B$5:$B$1004,$B243,$G$5:$G$1004),N($E243)-N($G243)),"#,##0"),IF(AND(ISNUMBER($O243),N($K243)&lt;0),"請求額より多く消し込んでいます",IF($F243="","消込先が未定","OK")))))))</f>
        <v/>
      </c>
      <c r="M243" s="19" t="n"/>
      <c r="N243" s="56" t="n"/>
      <c r="O243" s="32">
        <f>IF($F243="","",IFERROR(MATCH($F243,'請求台帳'!$A$5:$A$1004,0),"なし"))</f>
        <v/>
      </c>
      <c r="P243" s="37">
        <f>IF(NOT(OR($A243&lt;&gt;"",$E243&lt;&gt;"",$F243&lt;&gt;"",$G243&lt;&gt;"",$H243&lt;&gt;"",$I243&lt;&gt;"")),"",IF(ISNUMBER($O243),IF(INDEX('請求台帳'!$C$5:$C$1004,$O243)="","",INDEX('請求台帳'!$C$5:$C$1004,$O243)),IF($C243="","",$C243)))</f>
        <v/>
      </c>
      <c r="Q243" s="35">
        <f>IF(OR(NOT(OR($A243&lt;&gt;"",$E243&lt;&gt;"",$F243&lt;&gt;"",$G243&lt;&gt;"",$H243&lt;&gt;"",$I243&lt;&gt;"")),$P243="",$P243&lt;&gt;'売掛帳'!$B$3,NOT(ISNUMBER($A243)),N($G243)+N($H243)+N($I243)=0),"",IF(AND($A243&gt;='売掛帳'!$Q$3,$A243&lt;='売掛帳'!$Q$4),$A243+0.5+ROW()/10000000,""))</f>
        <v/>
      </c>
      <c r="R243" s="32">
        <f>IF(AND(OR($A243&lt;&gt;"",$E243&lt;&gt;"",$F243&lt;&gt;"",$G243&lt;&gt;"",$H243&lt;&gt;"",$I243&lt;&gt;""),NOT(ISNUMBER($O243))),1,"")</f>
        <v/>
      </c>
    </row>
    <row r="244" ht="18" customHeight="1">
      <c r="A244" s="26" t="n"/>
      <c r="B244" s="18" t="n"/>
      <c r="C244" s="18" t="n"/>
      <c r="D244" s="20">
        <f>IF($P244="","",IFERROR(INDEX('得意先'!$C$5:$C$104,MATCH($P244,'得意先'!$B$5:$B$104,0))&amp;"","※得意先にないコード"))</f>
        <v/>
      </c>
      <c r="E244" s="27" t="n"/>
      <c r="F244" s="18" t="n"/>
      <c r="G244" s="27" t="n"/>
      <c r="H244" s="27" t="n"/>
      <c r="I244" s="27" t="n"/>
      <c r="J244" s="28">
        <f>IF(NOT(OR($A244&lt;&gt;"",$E244&lt;&gt;"",$F244&lt;&gt;"",$G244&lt;&gt;"",$H244&lt;&gt;"",$I244&lt;&gt;"")),"",N($G244)+N($H244)+N($I244))</f>
        <v/>
      </c>
      <c r="K244" s="28">
        <f>IF(ISNUMBER($O244),INDEX('請求台帳'!$R$5:$R$1004,$O244),"")</f>
        <v/>
      </c>
      <c r="L244" s="20">
        <f>IF(NOT(OR($A244&lt;&gt;"",$E244&lt;&gt;"",$F244&lt;&gt;"",$G244&lt;&gt;"",$H244&lt;&gt;"",$I244&lt;&gt;"")),"",IF(NOT(ISNUMBER($A244)),"入金日がありません",IF(AND($F244&lt;&gt;"",$O244="なし"),"請求Noが請求台帳にありません",IF(AND(ISNUMBER($O244),$C244&lt;&gt;"",$C244&lt;&gt;$P244),"請求の得意先は "&amp;$P244&amp;" です",IF(ROUND(IF($B244&lt;&gt;"",SUMIF($B$5:$B$1004,$B244,$E$5:$E$1004)-SUMIF($B$5:$B$1004,$B244,$G$5:$G$1004),N($E244)-N($G244)),0)&lt;&gt;0,"通帳の額と当てた額の差 "&amp;TEXT(IF($B244&lt;&gt;"",SUMIF($B$5:$B$1004,$B244,$E$5:$E$1004)-SUMIF($B$5:$B$1004,$B244,$G$5:$G$1004),N($E244)-N($G244)),"#,##0"),IF(AND(ISNUMBER($O244),N($K244)&lt;0),"請求額より多く消し込んでいます",IF($F244="","消込先が未定","OK")))))))</f>
        <v/>
      </c>
      <c r="M244" s="19" t="n"/>
      <c r="N244" s="56" t="n"/>
      <c r="O244" s="32">
        <f>IF($F244="","",IFERROR(MATCH($F244,'請求台帳'!$A$5:$A$1004,0),"なし"))</f>
        <v/>
      </c>
      <c r="P244" s="37">
        <f>IF(NOT(OR($A244&lt;&gt;"",$E244&lt;&gt;"",$F244&lt;&gt;"",$G244&lt;&gt;"",$H244&lt;&gt;"",$I244&lt;&gt;"")),"",IF(ISNUMBER($O244),IF(INDEX('請求台帳'!$C$5:$C$1004,$O244)="","",INDEX('請求台帳'!$C$5:$C$1004,$O244)),IF($C244="","",$C244)))</f>
        <v/>
      </c>
      <c r="Q244" s="35">
        <f>IF(OR(NOT(OR($A244&lt;&gt;"",$E244&lt;&gt;"",$F244&lt;&gt;"",$G244&lt;&gt;"",$H244&lt;&gt;"",$I244&lt;&gt;"")),$P244="",$P244&lt;&gt;'売掛帳'!$B$3,NOT(ISNUMBER($A244)),N($G244)+N($H244)+N($I244)=0),"",IF(AND($A244&gt;='売掛帳'!$Q$3,$A244&lt;='売掛帳'!$Q$4),$A244+0.5+ROW()/10000000,""))</f>
        <v/>
      </c>
      <c r="R244" s="32">
        <f>IF(AND(OR($A244&lt;&gt;"",$E244&lt;&gt;"",$F244&lt;&gt;"",$G244&lt;&gt;"",$H244&lt;&gt;"",$I244&lt;&gt;""),NOT(ISNUMBER($O244))),1,"")</f>
        <v/>
      </c>
    </row>
    <row r="245" ht="18" customHeight="1">
      <c r="A245" s="26" t="n"/>
      <c r="B245" s="18" t="n"/>
      <c r="C245" s="18" t="n"/>
      <c r="D245" s="20">
        <f>IF($P245="","",IFERROR(INDEX('得意先'!$C$5:$C$104,MATCH($P245,'得意先'!$B$5:$B$104,0))&amp;"","※得意先にないコード"))</f>
        <v/>
      </c>
      <c r="E245" s="27" t="n"/>
      <c r="F245" s="18" t="n"/>
      <c r="G245" s="27" t="n"/>
      <c r="H245" s="27" t="n"/>
      <c r="I245" s="27" t="n"/>
      <c r="J245" s="28">
        <f>IF(NOT(OR($A245&lt;&gt;"",$E245&lt;&gt;"",$F245&lt;&gt;"",$G245&lt;&gt;"",$H245&lt;&gt;"",$I245&lt;&gt;"")),"",N($G245)+N($H245)+N($I245))</f>
        <v/>
      </c>
      <c r="K245" s="28">
        <f>IF(ISNUMBER($O245),INDEX('請求台帳'!$R$5:$R$1004,$O245),"")</f>
        <v/>
      </c>
      <c r="L245" s="20">
        <f>IF(NOT(OR($A245&lt;&gt;"",$E245&lt;&gt;"",$F245&lt;&gt;"",$G245&lt;&gt;"",$H245&lt;&gt;"",$I245&lt;&gt;"")),"",IF(NOT(ISNUMBER($A245)),"入金日がありません",IF(AND($F245&lt;&gt;"",$O245="なし"),"請求Noが請求台帳にありません",IF(AND(ISNUMBER($O245),$C245&lt;&gt;"",$C245&lt;&gt;$P245),"請求の得意先は "&amp;$P245&amp;" です",IF(ROUND(IF($B245&lt;&gt;"",SUMIF($B$5:$B$1004,$B245,$E$5:$E$1004)-SUMIF($B$5:$B$1004,$B245,$G$5:$G$1004),N($E245)-N($G245)),0)&lt;&gt;0,"通帳の額と当てた額の差 "&amp;TEXT(IF($B245&lt;&gt;"",SUMIF($B$5:$B$1004,$B245,$E$5:$E$1004)-SUMIF($B$5:$B$1004,$B245,$G$5:$G$1004),N($E245)-N($G245)),"#,##0"),IF(AND(ISNUMBER($O245),N($K245)&lt;0),"請求額より多く消し込んでいます",IF($F245="","消込先が未定","OK")))))))</f>
        <v/>
      </c>
      <c r="M245" s="19" t="n"/>
      <c r="N245" s="56" t="n"/>
      <c r="O245" s="32">
        <f>IF($F245="","",IFERROR(MATCH($F245,'請求台帳'!$A$5:$A$1004,0),"なし"))</f>
        <v/>
      </c>
      <c r="P245" s="37">
        <f>IF(NOT(OR($A245&lt;&gt;"",$E245&lt;&gt;"",$F245&lt;&gt;"",$G245&lt;&gt;"",$H245&lt;&gt;"",$I245&lt;&gt;"")),"",IF(ISNUMBER($O245),IF(INDEX('請求台帳'!$C$5:$C$1004,$O245)="","",INDEX('請求台帳'!$C$5:$C$1004,$O245)),IF($C245="","",$C245)))</f>
        <v/>
      </c>
      <c r="Q245" s="35">
        <f>IF(OR(NOT(OR($A245&lt;&gt;"",$E245&lt;&gt;"",$F245&lt;&gt;"",$G245&lt;&gt;"",$H245&lt;&gt;"",$I245&lt;&gt;"")),$P245="",$P245&lt;&gt;'売掛帳'!$B$3,NOT(ISNUMBER($A245)),N($G245)+N($H245)+N($I245)=0),"",IF(AND($A245&gt;='売掛帳'!$Q$3,$A245&lt;='売掛帳'!$Q$4),$A245+0.5+ROW()/10000000,""))</f>
        <v/>
      </c>
      <c r="R245" s="32">
        <f>IF(AND(OR($A245&lt;&gt;"",$E245&lt;&gt;"",$F245&lt;&gt;"",$G245&lt;&gt;"",$H245&lt;&gt;"",$I245&lt;&gt;""),NOT(ISNUMBER($O245))),1,"")</f>
        <v/>
      </c>
    </row>
    <row r="246" ht="18" customHeight="1">
      <c r="A246" s="26" t="n"/>
      <c r="B246" s="18" t="n"/>
      <c r="C246" s="18" t="n"/>
      <c r="D246" s="20">
        <f>IF($P246="","",IFERROR(INDEX('得意先'!$C$5:$C$104,MATCH($P246,'得意先'!$B$5:$B$104,0))&amp;"","※得意先にないコード"))</f>
        <v/>
      </c>
      <c r="E246" s="27" t="n"/>
      <c r="F246" s="18" t="n"/>
      <c r="G246" s="27" t="n"/>
      <c r="H246" s="27" t="n"/>
      <c r="I246" s="27" t="n"/>
      <c r="J246" s="28">
        <f>IF(NOT(OR($A246&lt;&gt;"",$E246&lt;&gt;"",$F246&lt;&gt;"",$G246&lt;&gt;"",$H246&lt;&gt;"",$I246&lt;&gt;"")),"",N($G246)+N($H246)+N($I246))</f>
        <v/>
      </c>
      <c r="K246" s="28">
        <f>IF(ISNUMBER($O246),INDEX('請求台帳'!$R$5:$R$1004,$O246),"")</f>
        <v/>
      </c>
      <c r="L246" s="20">
        <f>IF(NOT(OR($A246&lt;&gt;"",$E246&lt;&gt;"",$F246&lt;&gt;"",$G246&lt;&gt;"",$H246&lt;&gt;"",$I246&lt;&gt;"")),"",IF(NOT(ISNUMBER($A246)),"入金日がありません",IF(AND($F246&lt;&gt;"",$O246="なし"),"請求Noが請求台帳にありません",IF(AND(ISNUMBER($O246),$C246&lt;&gt;"",$C246&lt;&gt;$P246),"請求の得意先は "&amp;$P246&amp;" です",IF(ROUND(IF($B246&lt;&gt;"",SUMIF($B$5:$B$1004,$B246,$E$5:$E$1004)-SUMIF($B$5:$B$1004,$B246,$G$5:$G$1004),N($E246)-N($G246)),0)&lt;&gt;0,"通帳の額と当てた額の差 "&amp;TEXT(IF($B246&lt;&gt;"",SUMIF($B$5:$B$1004,$B246,$E$5:$E$1004)-SUMIF($B$5:$B$1004,$B246,$G$5:$G$1004),N($E246)-N($G246)),"#,##0"),IF(AND(ISNUMBER($O246),N($K246)&lt;0),"請求額より多く消し込んでいます",IF($F246="","消込先が未定","OK")))))))</f>
        <v/>
      </c>
      <c r="M246" s="19" t="n"/>
      <c r="N246" s="56" t="n"/>
      <c r="O246" s="32">
        <f>IF($F246="","",IFERROR(MATCH($F246,'請求台帳'!$A$5:$A$1004,0),"なし"))</f>
        <v/>
      </c>
      <c r="P246" s="37">
        <f>IF(NOT(OR($A246&lt;&gt;"",$E246&lt;&gt;"",$F246&lt;&gt;"",$G246&lt;&gt;"",$H246&lt;&gt;"",$I246&lt;&gt;"")),"",IF(ISNUMBER($O246),IF(INDEX('請求台帳'!$C$5:$C$1004,$O246)="","",INDEX('請求台帳'!$C$5:$C$1004,$O246)),IF($C246="","",$C246)))</f>
        <v/>
      </c>
      <c r="Q246" s="35">
        <f>IF(OR(NOT(OR($A246&lt;&gt;"",$E246&lt;&gt;"",$F246&lt;&gt;"",$G246&lt;&gt;"",$H246&lt;&gt;"",$I246&lt;&gt;"")),$P246="",$P246&lt;&gt;'売掛帳'!$B$3,NOT(ISNUMBER($A246)),N($G246)+N($H246)+N($I246)=0),"",IF(AND($A246&gt;='売掛帳'!$Q$3,$A246&lt;='売掛帳'!$Q$4),$A246+0.5+ROW()/10000000,""))</f>
        <v/>
      </c>
      <c r="R246" s="32">
        <f>IF(AND(OR($A246&lt;&gt;"",$E246&lt;&gt;"",$F246&lt;&gt;"",$G246&lt;&gt;"",$H246&lt;&gt;"",$I246&lt;&gt;""),NOT(ISNUMBER($O246))),1,"")</f>
        <v/>
      </c>
    </row>
    <row r="247" ht="18" customHeight="1">
      <c r="A247" s="26" t="n"/>
      <c r="B247" s="18" t="n"/>
      <c r="C247" s="18" t="n"/>
      <c r="D247" s="20">
        <f>IF($P247="","",IFERROR(INDEX('得意先'!$C$5:$C$104,MATCH($P247,'得意先'!$B$5:$B$104,0))&amp;"","※得意先にないコード"))</f>
        <v/>
      </c>
      <c r="E247" s="27" t="n"/>
      <c r="F247" s="18" t="n"/>
      <c r="G247" s="27" t="n"/>
      <c r="H247" s="27" t="n"/>
      <c r="I247" s="27" t="n"/>
      <c r="J247" s="28">
        <f>IF(NOT(OR($A247&lt;&gt;"",$E247&lt;&gt;"",$F247&lt;&gt;"",$G247&lt;&gt;"",$H247&lt;&gt;"",$I247&lt;&gt;"")),"",N($G247)+N($H247)+N($I247))</f>
        <v/>
      </c>
      <c r="K247" s="28">
        <f>IF(ISNUMBER($O247),INDEX('請求台帳'!$R$5:$R$1004,$O247),"")</f>
        <v/>
      </c>
      <c r="L247" s="20">
        <f>IF(NOT(OR($A247&lt;&gt;"",$E247&lt;&gt;"",$F247&lt;&gt;"",$G247&lt;&gt;"",$H247&lt;&gt;"",$I247&lt;&gt;"")),"",IF(NOT(ISNUMBER($A247)),"入金日がありません",IF(AND($F247&lt;&gt;"",$O247="なし"),"請求Noが請求台帳にありません",IF(AND(ISNUMBER($O247),$C247&lt;&gt;"",$C247&lt;&gt;$P247),"請求の得意先は "&amp;$P247&amp;" です",IF(ROUND(IF($B247&lt;&gt;"",SUMIF($B$5:$B$1004,$B247,$E$5:$E$1004)-SUMIF($B$5:$B$1004,$B247,$G$5:$G$1004),N($E247)-N($G247)),0)&lt;&gt;0,"通帳の額と当てた額の差 "&amp;TEXT(IF($B247&lt;&gt;"",SUMIF($B$5:$B$1004,$B247,$E$5:$E$1004)-SUMIF($B$5:$B$1004,$B247,$G$5:$G$1004),N($E247)-N($G247)),"#,##0"),IF(AND(ISNUMBER($O247),N($K247)&lt;0),"請求額より多く消し込んでいます",IF($F247="","消込先が未定","OK")))))))</f>
        <v/>
      </c>
      <c r="M247" s="19" t="n"/>
      <c r="N247" s="56" t="n"/>
      <c r="O247" s="32">
        <f>IF($F247="","",IFERROR(MATCH($F247,'請求台帳'!$A$5:$A$1004,0),"なし"))</f>
        <v/>
      </c>
      <c r="P247" s="37">
        <f>IF(NOT(OR($A247&lt;&gt;"",$E247&lt;&gt;"",$F247&lt;&gt;"",$G247&lt;&gt;"",$H247&lt;&gt;"",$I247&lt;&gt;"")),"",IF(ISNUMBER($O247),IF(INDEX('請求台帳'!$C$5:$C$1004,$O247)="","",INDEX('請求台帳'!$C$5:$C$1004,$O247)),IF($C247="","",$C247)))</f>
        <v/>
      </c>
      <c r="Q247" s="35">
        <f>IF(OR(NOT(OR($A247&lt;&gt;"",$E247&lt;&gt;"",$F247&lt;&gt;"",$G247&lt;&gt;"",$H247&lt;&gt;"",$I247&lt;&gt;"")),$P247="",$P247&lt;&gt;'売掛帳'!$B$3,NOT(ISNUMBER($A247)),N($G247)+N($H247)+N($I247)=0),"",IF(AND($A247&gt;='売掛帳'!$Q$3,$A247&lt;='売掛帳'!$Q$4),$A247+0.5+ROW()/10000000,""))</f>
        <v/>
      </c>
      <c r="R247" s="32">
        <f>IF(AND(OR($A247&lt;&gt;"",$E247&lt;&gt;"",$F247&lt;&gt;"",$G247&lt;&gt;"",$H247&lt;&gt;"",$I247&lt;&gt;""),NOT(ISNUMBER($O247))),1,"")</f>
        <v/>
      </c>
    </row>
    <row r="248" ht="18" customHeight="1">
      <c r="A248" s="26" t="n"/>
      <c r="B248" s="18" t="n"/>
      <c r="C248" s="18" t="n"/>
      <c r="D248" s="20">
        <f>IF($P248="","",IFERROR(INDEX('得意先'!$C$5:$C$104,MATCH($P248,'得意先'!$B$5:$B$104,0))&amp;"","※得意先にないコード"))</f>
        <v/>
      </c>
      <c r="E248" s="27" t="n"/>
      <c r="F248" s="18" t="n"/>
      <c r="G248" s="27" t="n"/>
      <c r="H248" s="27" t="n"/>
      <c r="I248" s="27" t="n"/>
      <c r="J248" s="28">
        <f>IF(NOT(OR($A248&lt;&gt;"",$E248&lt;&gt;"",$F248&lt;&gt;"",$G248&lt;&gt;"",$H248&lt;&gt;"",$I248&lt;&gt;"")),"",N($G248)+N($H248)+N($I248))</f>
        <v/>
      </c>
      <c r="K248" s="28">
        <f>IF(ISNUMBER($O248),INDEX('請求台帳'!$R$5:$R$1004,$O248),"")</f>
        <v/>
      </c>
      <c r="L248" s="20">
        <f>IF(NOT(OR($A248&lt;&gt;"",$E248&lt;&gt;"",$F248&lt;&gt;"",$G248&lt;&gt;"",$H248&lt;&gt;"",$I248&lt;&gt;"")),"",IF(NOT(ISNUMBER($A248)),"入金日がありません",IF(AND($F248&lt;&gt;"",$O248="なし"),"請求Noが請求台帳にありません",IF(AND(ISNUMBER($O248),$C248&lt;&gt;"",$C248&lt;&gt;$P248),"請求の得意先は "&amp;$P248&amp;" です",IF(ROUND(IF($B248&lt;&gt;"",SUMIF($B$5:$B$1004,$B248,$E$5:$E$1004)-SUMIF($B$5:$B$1004,$B248,$G$5:$G$1004),N($E248)-N($G248)),0)&lt;&gt;0,"通帳の額と当てた額の差 "&amp;TEXT(IF($B248&lt;&gt;"",SUMIF($B$5:$B$1004,$B248,$E$5:$E$1004)-SUMIF($B$5:$B$1004,$B248,$G$5:$G$1004),N($E248)-N($G248)),"#,##0"),IF(AND(ISNUMBER($O248),N($K248)&lt;0),"請求額より多く消し込んでいます",IF($F248="","消込先が未定","OK")))))))</f>
        <v/>
      </c>
      <c r="M248" s="19" t="n"/>
      <c r="N248" s="56" t="n"/>
      <c r="O248" s="32">
        <f>IF($F248="","",IFERROR(MATCH($F248,'請求台帳'!$A$5:$A$1004,0),"なし"))</f>
        <v/>
      </c>
      <c r="P248" s="37">
        <f>IF(NOT(OR($A248&lt;&gt;"",$E248&lt;&gt;"",$F248&lt;&gt;"",$G248&lt;&gt;"",$H248&lt;&gt;"",$I248&lt;&gt;"")),"",IF(ISNUMBER($O248),IF(INDEX('請求台帳'!$C$5:$C$1004,$O248)="","",INDEX('請求台帳'!$C$5:$C$1004,$O248)),IF($C248="","",$C248)))</f>
        <v/>
      </c>
      <c r="Q248" s="35">
        <f>IF(OR(NOT(OR($A248&lt;&gt;"",$E248&lt;&gt;"",$F248&lt;&gt;"",$G248&lt;&gt;"",$H248&lt;&gt;"",$I248&lt;&gt;"")),$P248="",$P248&lt;&gt;'売掛帳'!$B$3,NOT(ISNUMBER($A248)),N($G248)+N($H248)+N($I248)=0),"",IF(AND($A248&gt;='売掛帳'!$Q$3,$A248&lt;='売掛帳'!$Q$4),$A248+0.5+ROW()/10000000,""))</f>
        <v/>
      </c>
      <c r="R248" s="32">
        <f>IF(AND(OR($A248&lt;&gt;"",$E248&lt;&gt;"",$F248&lt;&gt;"",$G248&lt;&gt;"",$H248&lt;&gt;"",$I248&lt;&gt;""),NOT(ISNUMBER($O248))),1,"")</f>
        <v/>
      </c>
    </row>
    <row r="249" ht="18" customHeight="1">
      <c r="A249" s="26" t="n"/>
      <c r="B249" s="18" t="n"/>
      <c r="C249" s="18" t="n"/>
      <c r="D249" s="20">
        <f>IF($P249="","",IFERROR(INDEX('得意先'!$C$5:$C$104,MATCH($P249,'得意先'!$B$5:$B$104,0))&amp;"","※得意先にないコード"))</f>
        <v/>
      </c>
      <c r="E249" s="27" t="n"/>
      <c r="F249" s="18" t="n"/>
      <c r="G249" s="27" t="n"/>
      <c r="H249" s="27" t="n"/>
      <c r="I249" s="27" t="n"/>
      <c r="J249" s="28">
        <f>IF(NOT(OR($A249&lt;&gt;"",$E249&lt;&gt;"",$F249&lt;&gt;"",$G249&lt;&gt;"",$H249&lt;&gt;"",$I249&lt;&gt;"")),"",N($G249)+N($H249)+N($I249))</f>
        <v/>
      </c>
      <c r="K249" s="28">
        <f>IF(ISNUMBER($O249),INDEX('請求台帳'!$R$5:$R$1004,$O249),"")</f>
        <v/>
      </c>
      <c r="L249" s="20">
        <f>IF(NOT(OR($A249&lt;&gt;"",$E249&lt;&gt;"",$F249&lt;&gt;"",$G249&lt;&gt;"",$H249&lt;&gt;"",$I249&lt;&gt;"")),"",IF(NOT(ISNUMBER($A249)),"入金日がありません",IF(AND($F249&lt;&gt;"",$O249="なし"),"請求Noが請求台帳にありません",IF(AND(ISNUMBER($O249),$C249&lt;&gt;"",$C249&lt;&gt;$P249),"請求の得意先は "&amp;$P249&amp;" です",IF(ROUND(IF($B249&lt;&gt;"",SUMIF($B$5:$B$1004,$B249,$E$5:$E$1004)-SUMIF($B$5:$B$1004,$B249,$G$5:$G$1004),N($E249)-N($G249)),0)&lt;&gt;0,"通帳の額と当てた額の差 "&amp;TEXT(IF($B249&lt;&gt;"",SUMIF($B$5:$B$1004,$B249,$E$5:$E$1004)-SUMIF($B$5:$B$1004,$B249,$G$5:$G$1004),N($E249)-N($G249)),"#,##0"),IF(AND(ISNUMBER($O249),N($K249)&lt;0),"請求額より多く消し込んでいます",IF($F249="","消込先が未定","OK")))))))</f>
        <v/>
      </c>
      <c r="M249" s="19" t="n"/>
      <c r="N249" s="56" t="n"/>
      <c r="O249" s="32">
        <f>IF($F249="","",IFERROR(MATCH($F249,'請求台帳'!$A$5:$A$1004,0),"なし"))</f>
        <v/>
      </c>
      <c r="P249" s="37">
        <f>IF(NOT(OR($A249&lt;&gt;"",$E249&lt;&gt;"",$F249&lt;&gt;"",$G249&lt;&gt;"",$H249&lt;&gt;"",$I249&lt;&gt;"")),"",IF(ISNUMBER($O249),IF(INDEX('請求台帳'!$C$5:$C$1004,$O249)="","",INDEX('請求台帳'!$C$5:$C$1004,$O249)),IF($C249="","",$C249)))</f>
        <v/>
      </c>
      <c r="Q249" s="35">
        <f>IF(OR(NOT(OR($A249&lt;&gt;"",$E249&lt;&gt;"",$F249&lt;&gt;"",$G249&lt;&gt;"",$H249&lt;&gt;"",$I249&lt;&gt;"")),$P249="",$P249&lt;&gt;'売掛帳'!$B$3,NOT(ISNUMBER($A249)),N($G249)+N($H249)+N($I249)=0),"",IF(AND($A249&gt;='売掛帳'!$Q$3,$A249&lt;='売掛帳'!$Q$4),$A249+0.5+ROW()/10000000,""))</f>
        <v/>
      </c>
      <c r="R249" s="32">
        <f>IF(AND(OR($A249&lt;&gt;"",$E249&lt;&gt;"",$F249&lt;&gt;"",$G249&lt;&gt;"",$H249&lt;&gt;"",$I249&lt;&gt;""),NOT(ISNUMBER($O249))),1,"")</f>
        <v/>
      </c>
    </row>
    <row r="250" ht="18" customHeight="1">
      <c r="A250" s="26" t="n"/>
      <c r="B250" s="18" t="n"/>
      <c r="C250" s="18" t="n"/>
      <c r="D250" s="20">
        <f>IF($P250="","",IFERROR(INDEX('得意先'!$C$5:$C$104,MATCH($P250,'得意先'!$B$5:$B$104,0))&amp;"","※得意先にないコード"))</f>
        <v/>
      </c>
      <c r="E250" s="27" t="n"/>
      <c r="F250" s="18" t="n"/>
      <c r="G250" s="27" t="n"/>
      <c r="H250" s="27" t="n"/>
      <c r="I250" s="27" t="n"/>
      <c r="J250" s="28">
        <f>IF(NOT(OR($A250&lt;&gt;"",$E250&lt;&gt;"",$F250&lt;&gt;"",$G250&lt;&gt;"",$H250&lt;&gt;"",$I250&lt;&gt;"")),"",N($G250)+N($H250)+N($I250))</f>
        <v/>
      </c>
      <c r="K250" s="28">
        <f>IF(ISNUMBER($O250),INDEX('請求台帳'!$R$5:$R$1004,$O250),"")</f>
        <v/>
      </c>
      <c r="L250" s="20">
        <f>IF(NOT(OR($A250&lt;&gt;"",$E250&lt;&gt;"",$F250&lt;&gt;"",$G250&lt;&gt;"",$H250&lt;&gt;"",$I250&lt;&gt;"")),"",IF(NOT(ISNUMBER($A250)),"入金日がありません",IF(AND($F250&lt;&gt;"",$O250="なし"),"請求Noが請求台帳にありません",IF(AND(ISNUMBER($O250),$C250&lt;&gt;"",$C250&lt;&gt;$P250),"請求の得意先は "&amp;$P250&amp;" です",IF(ROUND(IF($B250&lt;&gt;"",SUMIF($B$5:$B$1004,$B250,$E$5:$E$1004)-SUMIF($B$5:$B$1004,$B250,$G$5:$G$1004),N($E250)-N($G250)),0)&lt;&gt;0,"通帳の額と当てた額の差 "&amp;TEXT(IF($B250&lt;&gt;"",SUMIF($B$5:$B$1004,$B250,$E$5:$E$1004)-SUMIF($B$5:$B$1004,$B250,$G$5:$G$1004),N($E250)-N($G250)),"#,##0"),IF(AND(ISNUMBER($O250),N($K250)&lt;0),"請求額より多く消し込んでいます",IF($F250="","消込先が未定","OK")))))))</f>
        <v/>
      </c>
      <c r="M250" s="19" t="n"/>
      <c r="N250" s="56" t="n"/>
      <c r="O250" s="32">
        <f>IF($F250="","",IFERROR(MATCH($F250,'請求台帳'!$A$5:$A$1004,0),"なし"))</f>
        <v/>
      </c>
      <c r="P250" s="37">
        <f>IF(NOT(OR($A250&lt;&gt;"",$E250&lt;&gt;"",$F250&lt;&gt;"",$G250&lt;&gt;"",$H250&lt;&gt;"",$I250&lt;&gt;"")),"",IF(ISNUMBER($O250),IF(INDEX('請求台帳'!$C$5:$C$1004,$O250)="","",INDEX('請求台帳'!$C$5:$C$1004,$O250)),IF($C250="","",$C250)))</f>
        <v/>
      </c>
      <c r="Q250" s="35">
        <f>IF(OR(NOT(OR($A250&lt;&gt;"",$E250&lt;&gt;"",$F250&lt;&gt;"",$G250&lt;&gt;"",$H250&lt;&gt;"",$I250&lt;&gt;"")),$P250="",$P250&lt;&gt;'売掛帳'!$B$3,NOT(ISNUMBER($A250)),N($G250)+N($H250)+N($I250)=0),"",IF(AND($A250&gt;='売掛帳'!$Q$3,$A250&lt;='売掛帳'!$Q$4),$A250+0.5+ROW()/10000000,""))</f>
        <v/>
      </c>
      <c r="R250" s="32">
        <f>IF(AND(OR($A250&lt;&gt;"",$E250&lt;&gt;"",$F250&lt;&gt;"",$G250&lt;&gt;"",$H250&lt;&gt;"",$I250&lt;&gt;""),NOT(ISNUMBER($O250))),1,"")</f>
        <v/>
      </c>
    </row>
    <row r="251" ht="18" customHeight="1">
      <c r="A251" s="26" t="n"/>
      <c r="B251" s="18" t="n"/>
      <c r="C251" s="18" t="n"/>
      <c r="D251" s="20">
        <f>IF($P251="","",IFERROR(INDEX('得意先'!$C$5:$C$104,MATCH($P251,'得意先'!$B$5:$B$104,0))&amp;"","※得意先にないコード"))</f>
        <v/>
      </c>
      <c r="E251" s="27" t="n"/>
      <c r="F251" s="18" t="n"/>
      <c r="G251" s="27" t="n"/>
      <c r="H251" s="27" t="n"/>
      <c r="I251" s="27" t="n"/>
      <c r="J251" s="28">
        <f>IF(NOT(OR($A251&lt;&gt;"",$E251&lt;&gt;"",$F251&lt;&gt;"",$G251&lt;&gt;"",$H251&lt;&gt;"",$I251&lt;&gt;"")),"",N($G251)+N($H251)+N($I251))</f>
        <v/>
      </c>
      <c r="K251" s="28">
        <f>IF(ISNUMBER($O251),INDEX('請求台帳'!$R$5:$R$1004,$O251),"")</f>
        <v/>
      </c>
      <c r="L251" s="20">
        <f>IF(NOT(OR($A251&lt;&gt;"",$E251&lt;&gt;"",$F251&lt;&gt;"",$G251&lt;&gt;"",$H251&lt;&gt;"",$I251&lt;&gt;"")),"",IF(NOT(ISNUMBER($A251)),"入金日がありません",IF(AND($F251&lt;&gt;"",$O251="なし"),"請求Noが請求台帳にありません",IF(AND(ISNUMBER($O251),$C251&lt;&gt;"",$C251&lt;&gt;$P251),"請求の得意先は "&amp;$P251&amp;" です",IF(ROUND(IF($B251&lt;&gt;"",SUMIF($B$5:$B$1004,$B251,$E$5:$E$1004)-SUMIF($B$5:$B$1004,$B251,$G$5:$G$1004),N($E251)-N($G251)),0)&lt;&gt;0,"通帳の額と当てた額の差 "&amp;TEXT(IF($B251&lt;&gt;"",SUMIF($B$5:$B$1004,$B251,$E$5:$E$1004)-SUMIF($B$5:$B$1004,$B251,$G$5:$G$1004),N($E251)-N($G251)),"#,##0"),IF(AND(ISNUMBER($O251),N($K251)&lt;0),"請求額より多く消し込んでいます",IF($F251="","消込先が未定","OK")))))))</f>
        <v/>
      </c>
      <c r="M251" s="19" t="n"/>
      <c r="N251" s="56" t="n"/>
      <c r="O251" s="32">
        <f>IF($F251="","",IFERROR(MATCH($F251,'請求台帳'!$A$5:$A$1004,0),"なし"))</f>
        <v/>
      </c>
      <c r="P251" s="37">
        <f>IF(NOT(OR($A251&lt;&gt;"",$E251&lt;&gt;"",$F251&lt;&gt;"",$G251&lt;&gt;"",$H251&lt;&gt;"",$I251&lt;&gt;"")),"",IF(ISNUMBER($O251),IF(INDEX('請求台帳'!$C$5:$C$1004,$O251)="","",INDEX('請求台帳'!$C$5:$C$1004,$O251)),IF($C251="","",$C251)))</f>
        <v/>
      </c>
      <c r="Q251" s="35">
        <f>IF(OR(NOT(OR($A251&lt;&gt;"",$E251&lt;&gt;"",$F251&lt;&gt;"",$G251&lt;&gt;"",$H251&lt;&gt;"",$I251&lt;&gt;"")),$P251="",$P251&lt;&gt;'売掛帳'!$B$3,NOT(ISNUMBER($A251)),N($G251)+N($H251)+N($I251)=0),"",IF(AND($A251&gt;='売掛帳'!$Q$3,$A251&lt;='売掛帳'!$Q$4),$A251+0.5+ROW()/10000000,""))</f>
        <v/>
      </c>
      <c r="R251" s="32">
        <f>IF(AND(OR($A251&lt;&gt;"",$E251&lt;&gt;"",$F251&lt;&gt;"",$G251&lt;&gt;"",$H251&lt;&gt;"",$I251&lt;&gt;""),NOT(ISNUMBER($O251))),1,"")</f>
        <v/>
      </c>
    </row>
    <row r="252" ht="18" customHeight="1">
      <c r="A252" s="26" t="n"/>
      <c r="B252" s="18" t="n"/>
      <c r="C252" s="18" t="n"/>
      <c r="D252" s="20">
        <f>IF($P252="","",IFERROR(INDEX('得意先'!$C$5:$C$104,MATCH($P252,'得意先'!$B$5:$B$104,0))&amp;"","※得意先にないコード"))</f>
        <v/>
      </c>
      <c r="E252" s="27" t="n"/>
      <c r="F252" s="18" t="n"/>
      <c r="G252" s="27" t="n"/>
      <c r="H252" s="27" t="n"/>
      <c r="I252" s="27" t="n"/>
      <c r="J252" s="28">
        <f>IF(NOT(OR($A252&lt;&gt;"",$E252&lt;&gt;"",$F252&lt;&gt;"",$G252&lt;&gt;"",$H252&lt;&gt;"",$I252&lt;&gt;"")),"",N($G252)+N($H252)+N($I252))</f>
        <v/>
      </c>
      <c r="K252" s="28">
        <f>IF(ISNUMBER($O252),INDEX('請求台帳'!$R$5:$R$1004,$O252),"")</f>
        <v/>
      </c>
      <c r="L252" s="20">
        <f>IF(NOT(OR($A252&lt;&gt;"",$E252&lt;&gt;"",$F252&lt;&gt;"",$G252&lt;&gt;"",$H252&lt;&gt;"",$I252&lt;&gt;"")),"",IF(NOT(ISNUMBER($A252)),"入金日がありません",IF(AND($F252&lt;&gt;"",$O252="なし"),"請求Noが請求台帳にありません",IF(AND(ISNUMBER($O252),$C252&lt;&gt;"",$C252&lt;&gt;$P252),"請求の得意先は "&amp;$P252&amp;" です",IF(ROUND(IF($B252&lt;&gt;"",SUMIF($B$5:$B$1004,$B252,$E$5:$E$1004)-SUMIF($B$5:$B$1004,$B252,$G$5:$G$1004),N($E252)-N($G252)),0)&lt;&gt;0,"通帳の額と当てた額の差 "&amp;TEXT(IF($B252&lt;&gt;"",SUMIF($B$5:$B$1004,$B252,$E$5:$E$1004)-SUMIF($B$5:$B$1004,$B252,$G$5:$G$1004),N($E252)-N($G252)),"#,##0"),IF(AND(ISNUMBER($O252),N($K252)&lt;0),"請求額より多く消し込んでいます",IF($F252="","消込先が未定","OK")))))))</f>
        <v/>
      </c>
      <c r="M252" s="19" t="n"/>
      <c r="N252" s="56" t="n"/>
      <c r="O252" s="32">
        <f>IF($F252="","",IFERROR(MATCH($F252,'請求台帳'!$A$5:$A$1004,0),"なし"))</f>
        <v/>
      </c>
      <c r="P252" s="37">
        <f>IF(NOT(OR($A252&lt;&gt;"",$E252&lt;&gt;"",$F252&lt;&gt;"",$G252&lt;&gt;"",$H252&lt;&gt;"",$I252&lt;&gt;"")),"",IF(ISNUMBER($O252),IF(INDEX('請求台帳'!$C$5:$C$1004,$O252)="","",INDEX('請求台帳'!$C$5:$C$1004,$O252)),IF($C252="","",$C252)))</f>
        <v/>
      </c>
      <c r="Q252" s="35">
        <f>IF(OR(NOT(OR($A252&lt;&gt;"",$E252&lt;&gt;"",$F252&lt;&gt;"",$G252&lt;&gt;"",$H252&lt;&gt;"",$I252&lt;&gt;"")),$P252="",$P252&lt;&gt;'売掛帳'!$B$3,NOT(ISNUMBER($A252)),N($G252)+N($H252)+N($I252)=0),"",IF(AND($A252&gt;='売掛帳'!$Q$3,$A252&lt;='売掛帳'!$Q$4),$A252+0.5+ROW()/10000000,""))</f>
        <v/>
      </c>
      <c r="R252" s="32">
        <f>IF(AND(OR($A252&lt;&gt;"",$E252&lt;&gt;"",$F252&lt;&gt;"",$G252&lt;&gt;"",$H252&lt;&gt;"",$I252&lt;&gt;""),NOT(ISNUMBER($O252))),1,"")</f>
        <v/>
      </c>
    </row>
    <row r="253" ht="18" customHeight="1">
      <c r="A253" s="26" t="n"/>
      <c r="B253" s="18" t="n"/>
      <c r="C253" s="18" t="n"/>
      <c r="D253" s="20">
        <f>IF($P253="","",IFERROR(INDEX('得意先'!$C$5:$C$104,MATCH($P253,'得意先'!$B$5:$B$104,0))&amp;"","※得意先にないコード"))</f>
        <v/>
      </c>
      <c r="E253" s="27" t="n"/>
      <c r="F253" s="18" t="n"/>
      <c r="G253" s="27" t="n"/>
      <c r="H253" s="27" t="n"/>
      <c r="I253" s="27" t="n"/>
      <c r="J253" s="28">
        <f>IF(NOT(OR($A253&lt;&gt;"",$E253&lt;&gt;"",$F253&lt;&gt;"",$G253&lt;&gt;"",$H253&lt;&gt;"",$I253&lt;&gt;"")),"",N($G253)+N($H253)+N($I253))</f>
        <v/>
      </c>
      <c r="K253" s="28">
        <f>IF(ISNUMBER($O253),INDEX('請求台帳'!$R$5:$R$1004,$O253),"")</f>
        <v/>
      </c>
      <c r="L253" s="20">
        <f>IF(NOT(OR($A253&lt;&gt;"",$E253&lt;&gt;"",$F253&lt;&gt;"",$G253&lt;&gt;"",$H253&lt;&gt;"",$I253&lt;&gt;"")),"",IF(NOT(ISNUMBER($A253)),"入金日がありません",IF(AND($F253&lt;&gt;"",$O253="なし"),"請求Noが請求台帳にありません",IF(AND(ISNUMBER($O253),$C253&lt;&gt;"",$C253&lt;&gt;$P253),"請求の得意先は "&amp;$P253&amp;" です",IF(ROUND(IF($B253&lt;&gt;"",SUMIF($B$5:$B$1004,$B253,$E$5:$E$1004)-SUMIF($B$5:$B$1004,$B253,$G$5:$G$1004),N($E253)-N($G253)),0)&lt;&gt;0,"通帳の額と当てた額の差 "&amp;TEXT(IF($B253&lt;&gt;"",SUMIF($B$5:$B$1004,$B253,$E$5:$E$1004)-SUMIF($B$5:$B$1004,$B253,$G$5:$G$1004),N($E253)-N($G253)),"#,##0"),IF(AND(ISNUMBER($O253),N($K253)&lt;0),"請求額より多く消し込んでいます",IF($F253="","消込先が未定","OK")))))))</f>
        <v/>
      </c>
      <c r="M253" s="19" t="n"/>
      <c r="N253" s="56" t="n"/>
      <c r="O253" s="32">
        <f>IF($F253="","",IFERROR(MATCH($F253,'請求台帳'!$A$5:$A$1004,0),"なし"))</f>
        <v/>
      </c>
      <c r="P253" s="37">
        <f>IF(NOT(OR($A253&lt;&gt;"",$E253&lt;&gt;"",$F253&lt;&gt;"",$G253&lt;&gt;"",$H253&lt;&gt;"",$I253&lt;&gt;"")),"",IF(ISNUMBER($O253),IF(INDEX('請求台帳'!$C$5:$C$1004,$O253)="","",INDEX('請求台帳'!$C$5:$C$1004,$O253)),IF($C253="","",$C253)))</f>
        <v/>
      </c>
      <c r="Q253" s="35">
        <f>IF(OR(NOT(OR($A253&lt;&gt;"",$E253&lt;&gt;"",$F253&lt;&gt;"",$G253&lt;&gt;"",$H253&lt;&gt;"",$I253&lt;&gt;"")),$P253="",$P253&lt;&gt;'売掛帳'!$B$3,NOT(ISNUMBER($A253)),N($G253)+N($H253)+N($I253)=0),"",IF(AND($A253&gt;='売掛帳'!$Q$3,$A253&lt;='売掛帳'!$Q$4),$A253+0.5+ROW()/10000000,""))</f>
        <v/>
      </c>
      <c r="R253" s="32">
        <f>IF(AND(OR($A253&lt;&gt;"",$E253&lt;&gt;"",$F253&lt;&gt;"",$G253&lt;&gt;"",$H253&lt;&gt;"",$I253&lt;&gt;""),NOT(ISNUMBER($O253))),1,"")</f>
        <v/>
      </c>
    </row>
    <row r="254" ht="18" customHeight="1">
      <c r="A254" s="26" t="n"/>
      <c r="B254" s="18" t="n"/>
      <c r="C254" s="18" t="n"/>
      <c r="D254" s="20">
        <f>IF($P254="","",IFERROR(INDEX('得意先'!$C$5:$C$104,MATCH($P254,'得意先'!$B$5:$B$104,0))&amp;"","※得意先にないコード"))</f>
        <v/>
      </c>
      <c r="E254" s="27" t="n"/>
      <c r="F254" s="18" t="n"/>
      <c r="G254" s="27" t="n"/>
      <c r="H254" s="27" t="n"/>
      <c r="I254" s="27" t="n"/>
      <c r="J254" s="28">
        <f>IF(NOT(OR($A254&lt;&gt;"",$E254&lt;&gt;"",$F254&lt;&gt;"",$G254&lt;&gt;"",$H254&lt;&gt;"",$I254&lt;&gt;"")),"",N($G254)+N($H254)+N($I254))</f>
        <v/>
      </c>
      <c r="K254" s="28">
        <f>IF(ISNUMBER($O254),INDEX('請求台帳'!$R$5:$R$1004,$O254),"")</f>
        <v/>
      </c>
      <c r="L254" s="20">
        <f>IF(NOT(OR($A254&lt;&gt;"",$E254&lt;&gt;"",$F254&lt;&gt;"",$G254&lt;&gt;"",$H254&lt;&gt;"",$I254&lt;&gt;"")),"",IF(NOT(ISNUMBER($A254)),"入金日がありません",IF(AND($F254&lt;&gt;"",$O254="なし"),"請求Noが請求台帳にありません",IF(AND(ISNUMBER($O254),$C254&lt;&gt;"",$C254&lt;&gt;$P254),"請求の得意先は "&amp;$P254&amp;" です",IF(ROUND(IF($B254&lt;&gt;"",SUMIF($B$5:$B$1004,$B254,$E$5:$E$1004)-SUMIF($B$5:$B$1004,$B254,$G$5:$G$1004),N($E254)-N($G254)),0)&lt;&gt;0,"通帳の額と当てた額の差 "&amp;TEXT(IF($B254&lt;&gt;"",SUMIF($B$5:$B$1004,$B254,$E$5:$E$1004)-SUMIF($B$5:$B$1004,$B254,$G$5:$G$1004),N($E254)-N($G254)),"#,##0"),IF(AND(ISNUMBER($O254),N($K254)&lt;0),"請求額より多く消し込んでいます",IF($F254="","消込先が未定","OK")))))))</f>
        <v/>
      </c>
      <c r="M254" s="19" t="n"/>
      <c r="N254" s="56" t="n"/>
      <c r="O254" s="32">
        <f>IF($F254="","",IFERROR(MATCH($F254,'請求台帳'!$A$5:$A$1004,0),"なし"))</f>
        <v/>
      </c>
      <c r="P254" s="37">
        <f>IF(NOT(OR($A254&lt;&gt;"",$E254&lt;&gt;"",$F254&lt;&gt;"",$G254&lt;&gt;"",$H254&lt;&gt;"",$I254&lt;&gt;"")),"",IF(ISNUMBER($O254),IF(INDEX('請求台帳'!$C$5:$C$1004,$O254)="","",INDEX('請求台帳'!$C$5:$C$1004,$O254)),IF($C254="","",$C254)))</f>
        <v/>
      </c>
      <c r="Q254" s="35">
        <f>IF(OR(NOT(OR($A254&lt;&gt;"",$E254&lt;&gt;"",$F254&lt;&gt;"",$G254&lt;&gt;"",$H254&lt;&gt;"",$I254&lt;&gt;"")),$P254="",$P254&lt;&gt;'売掛帳'!$B$3,NOT(ISNUMBER($A254)),N($G254)+N($H254)+N($I254)=0),"",IF(AND($A254&gt;='売掛帳'!$Q$3,$A254&lt;='売掛帳'!$Q$4),$A254+0.5+ROW()/10000000,""))</f>
        <v/>
      </c>
      <c r="R254" s="32">
        <f>IF(AND(OR($A254&lt;&gt;"",$E254&lt;&gt;"",$F254&lt;&gt;"",$G254&lt;&gt;"",$H254&lt;&gt;"",$I254&lt;&gt;""),NOT(ISNUMBER($O254))),1,"")</f>
        <v/>
      </c>
    </row>
    <row r="255" ht="18" customHeight="1">
      <c r="A255" s="26" t="n"/>
      <c r="B255" s="18" t="n"/>
      <c r="C255" s="18" t="n"/>
      <c r="D255" s="20">
        <f>IF($P255="","",IFERROR(INDEX('得意先'!$C$5:$C$104,MATCH($P255,'得意先'!$B$5:$B$104,0))&amp;"","※得意先にないコード"))</f>
        <v/>
      </c>
      <c r="E255" s="27" t="n"/>
      <c r="F255" s="18" t="n"/>
      <c r="G255" s="27" t="n"/>
      <c r="H255" s="27" t="n"/>
      <c r="I255" s="27" t="n"/>
      <c r="J255" s="28">
        <f>IF(NOT(OR($A255&lt;&gt;"",$E255&lt;&gt;"",$F255&lt;&gt;"",$G255&lt;&gt;"",$H255&lt;&gt;"",$I255&lt;&gt;"")),"",N($G255)+N($H255)+N($I255))</f>
        <v/>
      </c>
      <c r="K255" s="28">
        <f>IF(ISNUMBER($O255),INDEX('請求台帳'!$R$5:$R$1004,$O255),"")</f>
        <v/>
      </c>
      <c r="L255" s="20">
        <f>IF(NOT(OR($A255&lt;&gt;"",$E255&lt;&gt;"",$F255&lt;&gt;"",$G255&lt;&gt;"",$H255&lt;&gt;"",$I255&lt;&gt;"")),"",IF(NOT(ISNUMBER($A255)),"入金日がありません",IF(AND($F255&lt;&gt;"",$O255="なし"),"請求Noが請求台帳にありません",IF(AND(ISNUMBER($O255),$C255&lt;&gt;"",$C255&lt;&gt;$P255),"請求の得意先は "&amp;$P255&amp;" です",IF(ROUND(IF($B255&lt;&gt;"",SUMIF($B$5:$B$1004,$B255,$E$5:$E$1004)-SUMIF($B$5:$B$1004,$B255,$G$5:$G$1004),N($E255)-N($G255)),0)&lt;&gt;0,"通帳の額と当てた額の差 "&amp;TEXT(IF($B255&lt;&gt;"",SUMIF($B$5:$B$1004,$B255,$E$5:$E$1004)-SUMIF($B$5:$B$1004,$B255,$G$5:$G$1004),N($E255)-N($G255)),"#,##0"),IF(AND(ISNUMBER($O255),N($K255)&lt;0),"請求額より多く消し込んでいます",IF($F255="","消込先が未定","OK")))))))</f>
        <v/>
      </c>
      <c r="M255" s="19" t="n"/>
      <c r="N255" s="56" t="n"/>
      <c r="O255" s="32">
        <f>IF($F255="","",IFERROR(MATCH($F255,'請求台帳'!$A$5:$A$1004,0),"なし"))</f>
        <v/>
      </c>
      <c r="P255" s="37">
        <f>IF(NOT(OR($A255&lt;&gt;"",$E255&lt;&gt;"",$F255&lt;&gt;"",$G255&lt;&gt;"",$H255&lt;&gt;"",$I255&lt;&gt;"")),"",IF(ISNUMBER($O255),IF(INDEX('請求台帳'!$C$5:$C$1004,$O255)="","",INDEX('請求台帳'!$C$5:$C$1004,$O255)),IF($C255="","",$C255)))</f>
        <v/>
      </c>
      <c r="Q255" s="35">
        <f>IF(OR(NOT(OR($A255&lt;&gt;"",$E255&lt;&gt;"",$F255&lt;&gt;"",$G255&lt;&gt;"",$H255&lt;&gt;"",$I255&lt;&gt;"")),$P255="",$P255&lt;&gt;'売掛帳'!$B$3,NOT(ISNUMBER($A255)),N($G255)+N($H255)+N($I255)=0),"",IF(AND($A255&gt;='売掛帳'!$Q$3,$A255&lt;='売掛帳'!$Q$4),$A255+0.5+ROW()/10000000,""))</f>
        <v/>
      </c>
      <c r="R255" s="32">
        <f>IF(AND(OR($A255&lt;&gt;"",$E255&lt;&gt;"",$F255&lt;&gt;"",$G255&lt;&gt;"",$H255&lt;&gt;"",$I255&lt;&gt;""),NOT(ISNUMBER($O255))),1,"")</f>
        <v/>
      </c>
    </row>
    <row r="256" ht="18" customHeight="1">
      <c r="A256" s="26" t="n"/>
      <c r="B256" s="18" t="n"/>
      <c r="C256" s="18" t="n"/>
      <c r="D256" s="20">
        <f>IF($P256="","",IFERROR(INDEX('得意先'!$C$5:$C$104,MATCH($P256,'得意先'!$B$5:$B$104,0))&amp;"","※得意先にないコード"))</f>
        <v/>
      </c>
      <c r="E256" s="27" t="n"/>
      <c r="F256" s="18" t="n"/>
      <c r="G256" s="27" t="n"/>
      <c r="H256" s="27" t="n"/>
      <c r="I256" s="27" t="n"/>
      <c r="J256" s="28">
        <f>IF(NOT(OR($A256&lt;&gt;"",$E256&lt;&gt;"",$F256&lt;&gt;"",$G256&lt;&gt;"",$H256&lt;&gt;"",$I256&lt;&gt;"")),"",N($G256)+N($H256)+N($I256))</f>
        <v/>
      </c>
      <c r="K256" s="28">
        <f>IF(ISNUMBER($O256),INDEX('請求台帳'!$R$5:$R$1004,$O256),"")</f>
        <v/>
      </c>
      <c r="L256" s="20">
        <f>IF(NOT(OR($A256&lt;&gt;"",$E256&lt;&gt;"",$F256&lt;&gt;"",$G256&lt;&gt;"",$H256&lt;&gt;"",$I256&lt;&gt;"")),"",IF(NOT(ISNUMBER($A256)),"入金日がありません",IF(AND($F256&lt;&gt;"",$O256="なし"),"請求Noが請求台帳にありません",IF(AND(ISNUMBER($O256),$C256&lt;&gt;"",$C256&lt;&gt;$P256),"請求の得意先は "&amp;$P256&amp;" です",IF(ROUND(IF($B256&lt;&gt;"",SUMIF($B$5:$B$1004,$B256,$E$5:$E$1004)-SUMIF($B$5:$B$1004,$B256,$G$5:$G$1004),N($E256)-N($G256)),0)&lt;&gt;0,"通帳の額と当てた額の差 "&amp;TEXT(IF($B256&lt;&gt;"",SUMIF($B$5:$B$1004,$B256,$E$5:$E$1004)-SUMIF($B$5:$B$1004,$B256,$G$5:$G$1004),N($E256)-N($G256)),"#,##0"),IF(AND(ISNUMBER($O256),N($K256)&lt;0),"請求額より多く消し込んでいます",IF($F256="","消込先が未定","OK")))))))</f>
        <v/>
      </c>
      <c r="M256" s="19" t="n"/>
      <c r="N256" s="56" t="n"/>
      <c r="O256" s="32">
        <f>IF($F256="","",IFERROR(MATCH($F256,'請求台帳'!$A$5:$A$1004,0),"なし"))</f>
        <v/>
      </c>
      <c r="P256" s="37">
        <f>IF(NOT(OR($A256&lt;&gt;"",$E256&lt;&gt;"",$F256&lt;&gt;"",$G256&lt;&gt;"",$H256&lt;&gt;"",$I256&lt;&gt;"")),"",IF(ISNUMBER($O256),IF(INDEX('請求台帳'!$C$5:$C$1004,$O256)="","",INDEX('請求台帳'!$C$5:$C$1004,$O256)),IF($C256="","",$C256)))</f>
        <v/>
      </c>
      <c r="Q256" s="35">
        <f>IF(OR(NOT(OR($A256&lt;&gt;"",$E256&lt;&gt;"",$F256&lt;&gt;"",$G256&lt;&gt;"",$H256&lt;&gt;"",$I256&lt;&gt;"")),$P256="",$P256&lt;&gt;'売掛帳'!$B$3,NOT(ISNUMBER($A256)),N($G256)+N($H256)+N($I256)=0),"",IF(AND($A256&gt;='売掛帳'!$Q$3,$A256&lt;='売掛帳'!$Q$4),$A256+0.5+ROW()/10000000,""))</f>
        <v/>
      </c>
      <c r="R256" s="32">
        <f>IF(AND(OR($A256&lt;&gt;"",$E256&lt;&gt;"",$F256&lt;&gt;"",$G256&lt;&gt;"",$H256&lt;&gt;"",$I256&lt;&gt;""),NOT(ISNUMBER($O256))),1,"")</f>
        <v/>
      </c>
    </row>
    <row r="257" ht="18" customHeight="1">
      <c r="A257" s="26" t="n"/>
      <c r="B257" s="18" t="n"/>
      <c r="C257" s="18" t="n"/>
      <c r="D257" s="20">
        <f>IF($P257="","",IFERROR(INDEX('得意先'!$C$5:$C$104,MATCH($P257,'得意先'!$B$5:$B$104,0))&amp;"","※得意先にないコード"))</f>
        <v/>
      </c>
      <c r="E257" s="27" t="n"/>
      <c r="F257" s="18" t="n"/>
      <c r="G257" s="27" t="n"/>
      <c r="H257" s="27" t="n"/>
      <c r="I257" s="27" t="n"/>
      <c r="J257" s="28">
        <f>IF(NOT(OR($A257&lt;&gt;"",$E257&lt;&gt;"",$F257&lt;&gt;"",$G257&lt;&gt;"",$H257&lt;&gt;"",$I257&lt;&gt;"")),"",N($G257)+N($H257)+N($I257))</f>
        <v/>
      </c>
      <c r="K257" s="28">
        <f>IF(ISNUMBER($O257),INDEX('請求台帳'!$R$5:$R$1004,$O257),"")</f>
        <v/>
      </c>
      <c r="L257" s="20">
        <f>IF(NOT(OR($A257&lt;&gt;"",$E257&lt;&gt;"",$F257&lt;&gt;"",$G257&lt;&gt;"",$H257&lt;&gt;"",$I257&lt;&gt;"")),"",IF(NOT(ISNUMBER($A257)),"入金日がありません",IF(AND($F257&lt;&gt;"",$O257="なし"),"請求Noが請求台帳にありません",IF(AND(ISNUMBER($O257),$C257&lt;&gt;"",$C257&lt;&gt;$P257),"請求の得意先は "&amp;$P257&amp;" です",IF(ROUND(IF($B257&lt;&gt;"",SUMIF($B$5:$B$1004,$B257,$E$5:$E$1004)-SUMIF($B$5:$B$1004,$B257,$G$5:$G$1004),N($E257)-N($G257)),0)&lt;&gt;0,"通帳の額と当てた額の差 "&amp;TEXT(IF($B257&lt;&gt;"",SUMIF($B$5:$B$1004,$B257,$E$5:$E$1004)-SUMIF($B$5:$B$1004,$B257,$G$5:$G$1004),N($E257)-N($G257)),"#,##0"),IF(AND(ISNUMBER($O257),N($K257)&lt;0),"請求額より多く消し込んでいます",IF($F257="","消込先が未定","OK")))))))</f>
        <v/>
      </c>
      <c r="M257" s="19" t="n"/>
      <c r="N257" s="56" t="n"/>
      <c r="O257" s="32">
        <f>IF($F257="","",IFERROR(MATCH($F257,'請求台帳'!$A$5:$A$1004,0),"なし"))</f>
        <v/>
      </c>
      <c r="P257" s="37">
        <f>IF(NOT(OR($A257&lt;&gt;"",$E257&lt;&gt;"",$F257&lt;&gt;"",$G257&lt;&gt;"",$H257&lt;&gt;"",$I257&lt;&gt;"")),"",IF(ISNUMBER($O257),IF(INDEX('請求台帳'!$C$5:$C$1004,$O257)="","",INDEX('請求台帳'!$C$5:$C$1004,$O257)),IF($C257="","",$C257)))</f>
        <v/>
      </c>
      <c r="Q257" s="35">
        <f>IF(OR(NOT(OR($A257&lt;&gt;"",$E257&lt;&gt;"",$F257&lt;&gt;"",$G257&lt;&gt;"",$H257&lt;&gt;"",$I257&lt;&gt;"")),$P257="",$P257&lt;&gt;'売掛帳'!$B$3,NOT(ISNUMBER($A257)),N($G257)+N($H257)+N($I257)=0),"",IF(AND($A257&gt;='売掛帳'!$Q$3,$A257&lt;='売掛帳'!$Q$4),$A257+0.5+ROW()/10000000,""))</f>
        <v/>
      </c>
      <c r="R257" s="32">
        <f>IF(AND(OR($A257&lt;&gt;"",$E257&lt;&gt;"",$F257&lt;&gt;"",$G257&lt;&gt;"",$H257&lt;&gt;"",$I257&lt;&gt;""),NOT(ISNUMBER($O257))),1,"")</f>
        <v/>
      </c>
    </row>
    <row r="258" ht="18" customHeight="1">
      <c r="A258" s="26" t="n"/>
      <c r="B258" s="18" t="n"/>
      <c r="C258" s="18" t="n"/>
      <c r="D258" s="20">
        <f>IF($P258="","",IFERROR(INDEX('得意先'!$C$5:$C$104,MATCH($P258,'得意先'!$B$5:$B$104,0))&amp;"","※得意先にないコード"))</f>
        <v/>
      </c>
      <c r="E258" s="27" t="n"/>
      <c r="F258" s="18" t="n"/>
      <c r="G258" s="27" t="n"/>
      <c r="H258" s="27" t="n"/>
      <c r="I258" s="27" t="n"/>
      <c r="J258" s="28">
        <f>IF(NOT(OR($A258&lt;&gt;"",$E258&lt;&gt;"",$F258&lt;&gt;"",$G258&lt;&gt;"",$H258&lt;&gt;"",$I258&lt;&gt;"")),"",N($G258)+N($H258)+N($I258))</f>
        <v/>
      </c>
      <c r="K258" s="28">
        <f>IF(ISNUMBER($O258),INDEX('請求台帳'!$R$5:$R$1004,$O258),"")</f>
        <v/>
      </c>
      <c r="L258" s="20">
        <f>IF(NOT(OR($A258&lt;&gt;"",$E258&lt;&gt;"",$F258&lt;&gt;"",$G258&lt;&gt;"",$H258&lt;&gt;"",$I258&lt;&gt;"")),"",IF(NOT(ISNUMBER($A258)),"入金日がありません",IF(AND($F258&lt;&gt;"",$O258="なし"),"請求Noが請求台帳にありません",IF(AND(ISNUMBER($O258),$C258&lt;&gt;"",$C258&lt;&gt;$P258),"請求の得意先は "&amp;$P258&amp;" です",IF(ROUND(IF($B258&lt;&gt;"",SUMIF($B$5:$B$1004,$B258,$E$5:$E$1004)-SUMIF($B$5:$B$1004,$B258,$G$5:$G$1004),N($E258)-N($G258)),0)&lt;&gt;0,"通帳の額と当てた額の差 "&amp;TEXT(IF($B258&lt;&gt;"",SUMIF($B$5:$B$1004,$B258,$E$5:$E$1004)-SUMIF($B$5:$B$1004,$B258,$G$5:$G$1004),N($E258)-N($G258)),"#,##0"),IF(AND(ISNUMBER($O258),N($K258)&lt;0),"請求額より多く消し込んでいます",IF($F258="","消込先が未定","OK")))))))</f>
        <v/>
      </c>
      <c r="M258" s="19" t="n"/>
      <c r="N258" s="56" t="n"/>
      <c r="O258" s="32">
        <f>IF($F258="","",IFERROR(MATCH($F258,'請求台帳'!$A$5:$A$1004,0),"なし"))</f>
        <v/>
      </c>
      <c r="P258" s="37">
        <f>IF(NOT(OR($A258&lt;&gt;"",$E258&lt;&gt;"",$F258&lt;&gt;"",$G258&lt;&gt;"",$H258&lt;&gt;"",$I258&lt;&gt;"")),"",IF(ISNUMBER($O258),IF(INDEX('請求台帳'!$C$5:$C$1004,$O258)="","",INDEX('請求台帳'!$C$5:$C$1004,$O258)),IF($C258="","",$C258)))</f>
        <v/>
      </c>
      <c r="Q258" s="35">
        <f>IF(OR(NOT(OR($A258&lt;&gt;"",$E258&lt;&gt;"",$F258&lt;&gt;"",$G258&lt;&gt;"",$H258&lt;&gt;"",$I258&lt;&gt;"")),$P258="",$P258&lt;&gt;'売掛帳'!$B$3,NOT(ISNUMBER($A258)),N($G258)+N($H258)+N($I258)=0),"",IF(AND($A258&gt;='売掛帳'!$Q$3,$A258&lt;='売掛帳'!$Q$4),$A258+0.5+ROW()/10000000,""))</f>
        <v/>
      </c>
      <c r="R258" s="32">
        <f>IF(AND(OR($A258&lt;&gt;"",$E258&lt;&gt;"",$F258&lt;&gt;"",$G258&lt;&gt;"",$H258&lt;&gt;"",$I258&lt;&gt;""),NOT(ISNUMBER($O258))),1,"")</f>
        <v/>
      </c>
    </row>
    <row r="259" ht="18" customHeight="1">
      <c r="A259" s="26" t="n"/>
      <c r="B259" s="18" t="n"/>
      <c r="C259" s="18" t="n"/>
      <c r="D259" s="20">
        <f>IF($P259="","",IFERROR(INDEX('得意先'!$C$5:$C$104,MATCH($P259,'得意先'!$B$5:$B$104,0))&amp;"","※得意先にないコード"))</f>
        <v/>
      </c>
      <c r="E259" s="27" t="n"/>
      <c r="F259" s="18" t="n"/>
      <c r="G259" s="27" t="n"/>
      <c r="H259" s="27" t="n"/>
      <c r="I259" s="27" t="n"/>
      <c r="J259" s="28">
        <f>IF(NOT(OR($A259&lt;&gt;"",$E259&lt;&gt;"",$F259&lt;&gt;"",$G259&lt;&gt;"",$H259&lt;&gt;"",$I259&lt;&gt;"")),"",N($G259)+N($H259)+N($I259))</f>
        <v/>
      </c>
      <c r="K259" s="28">
        <f>IF(ISNUMBER($O259),INDEX('請求台帳'!$R$5:$R$1004,$O259),"")</f>
        <v/>
      </c>
      <c r="L259" s="20">
        <f>IF(NOT(OR($A259&lt;&gt;"",$E259&lt;&gt;"",$F259&lt;&gt;"",$G259&lt;&gt;"",$H259&lt;&gt;"",$I259&lt;&gt;"")),"",IF(NOT(ISNUMBER($A259)),"入金日がありません",IF(AND($F259&lt;&gt;"",$O259="なし"),"請求Noが請求台帳にありません",IF(AND(ISNUMBER($O259),$C259&lt;&gt;"",$C259&lt;&gt;$P259),"請求の得意先は "&amp;$P259&amp;" です",IF(ROUND(IF($B259&lt;&gt;"",SUMIF($B$5:$B$1004,$B259,$E$5:$E$1004)-SUMIF($B$5:$B$1004,$B259,$G$5:$G$1004),N($E259)-N($G259)),0)&lt;&gt;0,"通帳の額と当てた額の差 "&amp;TEXT(IF($B259&lt;&gt;"",SUMIF($B$5:$B$1004,$B259,$E$5:$E$1004)-SUMIF($B$5:$B$1004,$B259,$G$5:$G$1004),N($E259)-N($G259)),"#,##0"),IF(AND(ISNUMBER($O259),N($K259)&lt;0),"請求額より多く消し込んでいます",IF($F259="","消込先が未定","OK")))))))</f>
        <v/>
      </c>
      <c r="M259" s="19" t="n"/>
      <c r="N259" s="56" t="n"/>
      <c r="O259" s="32">
        <f>IF($F259="","",IFERROR(MATCH($F259,'請求台帳'!$A$5:$A$1004,0),"なし"))</f>
        <v/>
      </c>
      <c r="P259" s="37">
        <f>IF(NOT(OR($A259&lt;&gt;"",$E259&lt;&gt;"",$F259&lt;&gt;"",$G259&lt;&gt;"",$H259&lt;&gt;"",$I259&lt;&gt;"")),"",IF(ISNUMBER($O259),IF(INDEX('請求台帳'!$C$5:$C$1004,$O259)="","",INDEX('請求台帳'!$C$5:$C$1004,$O259)),IF($C259="","",$C259)))</f>
        <v/>
      </c>
      <c r="Q259" s="35">
        <f>IF(OR(NOT(OR($A259&lt;&gt;"",$E259&lt;&gt;"",$F259&lt;&gt;"",$G259&lt;&gt;"",$H259&lt;&gt;"",$I259&lt;&gt;"")),$P259="",$P259&lt;&gt;'売掛帳'!$B$3,NOT(ISNUMBER($A259)),N($G259)+N($H259)+N($I259)=0),"",IF(AND($A259&gt;='売掛帳'!$Q$3,$A259&lt;='売掛帳'!$Q$4),$A259+0.5+ROW()/10000000,""))</f>
        <v/>
      </c>
      <c r="R259" s="32">
        <f>IF(AND(OR($A259&lt;&gt;"",$E259&lt;&gt;"",$F259&lt;&gt;"",$G259&lt;&gt;"",$H259&lt;&gt;"",$I259&lt;&gt;""),NOT(ISNUMBER($O259))),1,"")</f>
        <v/>
      </c>
    </row>
    <row r="260" ht="18" customHeight="1">
      <c r="A260" s="26" t="n"/>
      <c r="B260" s="18" t="n"/>
      <c r="C260" s="18" t="n"/>
      <c r="D260" s="20">
        <f>IF($P260="","",IFERROR(INDEX('得意先'!$C$5:$C$104,MATCH($P260,'得意先'!$B$5:$B$104,0))&amp;"","※得意先にないコード"))</f>
        <v/>
      </c>
      <c r="E260" s="27" t="n"/>
      <c r="F260" s="18" t="n"/>
      <c r="G260" s="27" t="n"/>
      <c r="H260" s="27" t="n"/>
      <c r="I260" s="27" t="n"/>
      <c r="J260" s="28">
        <f>IF(NOT(OR($A260&lt;&gt;"",$E260&lt;&gt;"",$F260&lt;&gt;"",$G260&lt;&gt;"",$H260&lt;&gt;"",$I260&lt;&gt;"")),"",N($G260)+N($H260)+N($I260))</f>
        <v/>
      </c>
      <c r="K260" s="28">
        <f>IF(ISNUMBER($O260),INDEX('請求台帳'!$R$5:$R$1004,$O260),"")</f>
        <v/>
      </c>
      <c r="L260" s="20">
        <f>IF(NOT(OR($A260&lt;&gt;"",$E260&lt;&gt;"",$F260&lt;&gt;"",$G260&lt;&gt;"",$H260&lt;&gt;"",$I260&lt;&gt;"")),"",IF(NOT(ISNUMBER($A260)),"入金日がありません",IF(AND($F260&lt;&gt;"",$O260="なし"),"請求Noが請求台帳にありません",IF(AND(ISNUMBER($O260),$C260&lt;&gt;"",$C260&lt;&gt;$P260),"請求の得意先は "&amp;$P260&amp;" です",IF(ROUND(IF($B260&lt;&gt;"",SUMIF($B$5:$B$1004,$B260,$E$5:$E$1004)-SUMIF($B$5:$B$1004,$B260,$G$5:$G$1004),N($E260)-N($G260)),0)&lt;&gt;0,"通帳の額と当てた額の差 "&amp;TEXT(IF($B260&lt;&gt;"",SUMIF($B$5:$B$1004,$B260,$E$5:$E$1004)-SUMIF($B$5:$B$1004,$B260,$G$5:$G$1004),N($E260)-N($G260)),"#,##0"),IF(AND(ISNUMBER($O260),N($K260)&lt;0),"請求額より多く消し込んでいます",IF($F260="","消込先が未定","OK")))))))</f>
        <v/>
      </c>
      <c r="M260" s="19" t="n"/>
      <c r="N260" s="56" t="n"/>
      <c r="O260" s="32">
        <f>IF($F260="","",IFERROR(MATCH($F260,'請求台帳'!$A$5:$A$1004,0),"なし"))</f>
        <v/>
      </c>
      <c r="P260" s="37">
        <f>IF(NOT(OR($A260&lt;&gt;"",$E260&lt;&gt;"",$F260&lt;&gt;"",$G260&lt;&gt;"",$H260&lt;&gt;"",$I260&lt;&gt;"")),"",IF(ISNUMBER($O260),IF(INDEX('請求台帳'!$C$5:$C$1004,$O260)="","",INDEX('請求台帳'!$C$5:$C$1004,$O260)),IF($C260="","",$C260)))</f>
        <v/>
      </c>
      <c r="Q260" s="35">
        <f>IF(OR(NOT(OR($A260&lt;&gt;"",$E260&lt;&gt;"",$F260&lt;&gt;"",$G260&lt;&gt;"",$H260&lt;&gt;"",$I260&lt;&gt;"")),$P260="",$P260&lt;&gt;'売掛帳'!$B$3,NOT(ISNUMBER($A260)),N($G260)+N($H260)+N($I260)=0),"",IF(AND($A260&gt;='売掛帳'!$Q$3,$A260&lt;='売掛帳'!$Q$4),$A260+0.5+ROW()/10000000,""))</f>
        <v/>
      </c>
      <c r="R260" s="32">
        <f>IF(AND(OR($A260&lt;&gt;"",$E260&lt;&gt;"",$F260&lt;&gt;"",$G260&lt;&gt;"",$H260&lt;&gt;"",$I260&lt;&gt;""),NOT(ISNUMBER($O260))),1,"")</f>
        <v/>
      </c>
    </row>
    <row r="261" ht="18" customHeight="1">
      <c r="A261" s="26" t="n"/>
      <c r="B261" s="18" t="n"/>
      <c r="C261" s="18" t="n"/>
      <c r="D261" s="20">
        <f>IF($P261="","",IFERROR(INDEX('得意先'!$C$5:$C$104,MATCH($P261,'得意先'!$B$5:$B$104,0))&amp;"","※得意先にないコード"))</f>
        <v/>
      </c>
      <c r="E261" s="27" t="n"/>
      <c r="F261" s="18" t="n"/>
      <c r="G261" s="27" t="n"/>
      <c r="H261" s="27" t="n"/>
      <c r="I261" s="27" t="n"/>
      <c r="J261" s="28">
        <f>IF(NOT(OR($A261&lt;&gt;"",$E261&lt;&gt;"",$F261&lt;&gt;"",$G261&lt;&gt;"",$H261&lt;&gt;"",$I261&lt;&gt;"")),"",N($G261)+N($H261)+N($I261))</f>
        <v/>
      </c>
      <c r="K261" s="28">
        <f>IF(ISNUMBER($O261),INDEX('請求台帳'!$R$5:$R$1004,$O261),"")</f>
        <v/>
      </c>
      <c r="L261" s="20">
        <f>IF(NOT(OR($A261&lt;&gt;"",$E261&lt;&gt;"",$F261&lt;&gt;"",$G261&lt;&gt;"",$H261&lt;&gt;"",$I261&lt;&gt;"")),"",IF(NOT(ISNUMBER($A261)),"入金日がありません",IF(AND($F261&lt;&gt;"",$O261="なし"),"請求Noが請求台帳にありません",IF(AND(ISNUMBER($O261),$C261&lt;&gt;"",$C261&lt;&gt;$P261),"請求の得意先は "&amp;$P261&amp;" です",IF(ROUND(IF($B261&lt;&gt;"",SUMIF($B$5:$B$1004,$B261,$E$5:$E$1004)-SUMIF($B$5:$B$1004,$B261,$G$5:$G$1004),N($E261)-N($G261)),0)&lt;&gt;0,"通帳の額と当てた額の差 "&amp;TEXT(IF($B261&lt;&gt;"",SUMIF($B$5:$B$1004,$B261,$E$5:$E$1004)-SUMIF($B$5:$B$1004,$B261,$G$5:$G$1004),N($E261)-N($G261)),"#,##0"),IF(AND(ISNUMBER($O261),N($K261)&lt;0),"請求額より多く消し込んでいます",IF($F261="","消込先が未定","OK")))))))</f>
        <v/>
      </c>
      <c r="M261" s="19" t="n"/>
      <c r="N261" s="56" t="n"/>
      <c r="O261" s="32">
        <f>IF($F261="","",IFERROR(MATCH($F261,'請求台帳'!$A$5:$A$1004,0),"なし"))</f>
        <v/>
      </c>
      <c r="P261" s="37">
        <f>IF(NOT(OR($A261&lt;&gt;"",$E261&lt;&gt;"",$F261&lt;&gt;"",$G261&lt;&gt;"",$H261&lt;&gt;"",$I261&lt;&gt;"")),"",IF(ISNUMBER($O261),IF(INDEX('請求台帳'!$C$5:$C$1004,$O261)="","",INDEX('請求台帳'!$C$5:$C$1004,$O261)),IF($C261="","",$C261)))</f>
        <v/>
      </c>
      <c r="Q261" s="35">
        <f>IF(OR(NOT(OR($A261&lt;&gt;"",$E261&lt;&gt;"",$F261&lt;&gt;"",$G261&lt;&gt;"",$H261&lt;&gt;"",$I261&lt;&gt;"")),$P261="",$P261&lt;&gt;'売掛帳'!$B$3,NOT(ISNUMBER($A261)),N($G261)+N($H261)+N($I261)=0),"",IF(AND($A261&gt;='売掛帳'!$Q$3,$A261&lt;='売掛帳'!$Q$4),$A261+0.5+ROW()/10000000,""))</f>
        <v/>
      </c>
      <c r="R261" s="32">
        <f>IF(AND(OR($A261&lt;&gt;"",$E261&lt;&gt;"",$F261&lt;&gt;"",$G261&lt;&gt;"",$H261&lt;&gt;"",$I261&lt;&gt;""),NOT(ISNUMBER($O261))),1,"")</f>
        <v/>
      </c>
    </row>
    <row r="262" ht="18" customHeight="1">
      <c r="A262" s="26" t="n"/>
      <c r="B262" s="18" t="n"/>
      <c r="C262" s="18" t="n"/>
      <c r="D262" s="20">
        <f>IF($P262="","",IFERROR(INDEX('得意先'!$C$5:$C$104,MATCH($P262,'得意先'!$B$5:$B$104,0))&amp;"","※得意先にないコード"))</f>
        <v/>
      </c>
      <c r="E262" s="27" t="n"/>
      <c r="F262" s="18" t="n"/>
      <c r="G262" s="27" t="n"/>
      <c r="H262" s="27" t="n"/>
      <c r="I262" s="27" t="n"/>
      <c r="J262" s="28">
        <f>IF(NOT(OR($A262&lt;&gt;"",$E262&lt;&gt;"",$F262&lt;&gt;"",$G262&lt;&gt;"",$H262&lt;&gt;"",$I262&lt;&gt;"")),"",N($G262)+N($H262)+N($I262))</f>
        <v/>
      </c>
      <c r="K262" s="28">
        <f>IF(ISNUMBER($O262),INDEX('請求台帳'!$R$5:$R$1004,$O262),"")</f>
        <v/>
      </c>
      <c r="L262" s="20">
        <f>IF(NOT(OR($A262&lt;&gt;"",$E262&lt;&gt;"",$F262&lt;&gt;"",$G262&lt;&gt;"",$H262&lt;&gt;"",$I262&lt;&gt;"")),"",IF(NOT(ISNUMBER($A262)),"入金日がありません",IF(AND($F262&lt;&gt;"",$O262="なし"),"請求Noが請求台帳にありません",IF(AND(ISNUMBER($O262),$C262&lt;&gt;"",$C262&lt;&gt;$P262),"請求の得意先は "&amp;$P262&amp;" です",IF(ROUND(IF($B262&lt;&gt;"",SUMIF($B$5:$B$1004,$B262,$E$5:$E$1004)-SUMIF($B$5:$B$1004,$B262,$G$5:$G$1004),N($E262)-N($G262)),0)&lt;&gt;0,"通帳の額と当てた額の差 "&amp;TEXT(IF($B262&lt;&gt;"",SUMIF($B$5:$B$1004,$B262,$E$5:$E$1004)-SUMIF($B$5:$B$1004,$B262,$G$5:$G$1004),N($E262)-N($G262)),"#,##0"),IF(AND(ISNUMBER($O262),N($K262)&lt;0),"請求額より多く消し込んでいます",IF($F262="","消込先が未定","OK")))))))</f>
        <v/>
      </c>
      <c r="M262" s="19" t="n"/>
      <c r="N262" s="56" t="n"/>
      <c r="O262" s="32">
        <f>IF($F262="","",IFERROR(MATCH($F262,'請求台帳'!$A$5:$A$1004,0),"なし"))</f>
        <v/>
      </c>
      <c r="P262" s="37">
        <f>IF(NOT(OR($A262&lt;&gt;"",$E262&lt;&gt;"",$F262&lt;&gt;"",$G262&lt;&gt;"",$H262&lt;&gt;"",$I262&lt;&gt;"")),"",IF(ISNUMBER($O262),IF(INDEX('請求台帳'!$C$5:$C$1004,$O262)="","",INDEX('請求台帳'!$C$5:$C$1004,$O262)),IF($C262="","",$C262)))</f>
        <v/>
      </c>
      <c r="Q262" s="35">
        <f>IF(OR(NOT(OR($A262&lt;&gt;"",$E262&lt;&gt;"",$F262&lt;&gt;"",$G262&lt;&gt;"",$H262&lt;&gt;"",$I262&lt;&gt;"")),$P262="",$P262&lt;&gt;'売掛帳'!$B$3,NOT(ISNUMBER($A262)),N($G262)+N($H262)+N($I262)=0),"",IF(AND($A262&gt;='売掛帳'!$Q$3,$A262&lt;='売掛帳'!$Q$4),$A262+0.5+ROW()/10000000,""))</f>
        <v/>
      </c>
      <c r="R262" s="32">
        <f>IF(AND(OR($A262&lt;&gt;"",$E262&lt;&gt;"",$F262&lt;&gt;"",$G262&lt;&gt;"",$H262&lt;&gt;"",$I262&lt;&gt;""),NOT(ISNUMBER($O262))),1,"")</f>
        <v/>
      </c>
    </row>
    <row r="263" ht="18" customHeight="1">
      <c r="A263" s="26" t="n"/>
      <c r="B263" s="18" t="n"/>
      <c r="C263" s="18" t="n"/>
      <c r="D263" s="20">
        <f>IF($P263="","",IFERROR(INDEX('得意先'!$C$5:$C$104,MATCH($P263,'得意先'!$B$5:$B$104,0))&amp;"","※得意先にないコード"))</f>
        <v/>
      </c>
      <c r="E263" s="27" t="n"/>
      <c r="F263" s="18" t="n"/>
      <c r="G263" s="27" t="n"/>
      <c r="H263" s="27" t="n"/>
      <c r="I263" s="27" t="n"/>
      <c r="J263" s="28">
        <f>IF(NOT(OR($A263&lt;&gt;"",$E263&lt;&gt;"",$F263&lt;&gt;"",$G263&lt;&gt;"",$H263&lt;&gt;"",$I263&lt;&gt;"")),"",N($G263)+N($H263)+N($I263))</f>
        <v/>
      </c>
      <c r="K263" s="28">
        <f>IF(ISNUMBER($O263),INDEX('請求台帳'!$R$5:$R$1004,$O263),"")</f>
        <v/>
      </c>
      <c r="L263" s="20">
        <f>IF(NOT(OR($A263&lt;&gt;"",$E263&lt;&gt;"",$F263&lt;&gt;"",$G263&lt;&gt;"",$H263&lt;&gt;"",$I263&lt;&gt;"")),"",IF(NOT(ISNUMBER($A263)),"入金日がありません",IF(AND($F263&lt;&gt;"",$O263="なし"),"請求Noが請求台帳にありません",IF(AND(ISNUMBER($O263),$C263&lt;&gt;"",$C263&lt;&gt;$P263),"請求の得意先は "&amp;$P263&amp;" です",IF(ROUND(IF($B263&lt;&gt;"",SUMIF($B$5:$B$1004,$B263,$E$5:$E$1004)-SUMIF($B$5:$B$1004,$B263,$G$5:$G$1004),N($E263)-N($G263)),0)&lt;&gt;0,"通帳の額と当てた額の差 "&amp;TEXT(IF($B263&lt;&gt;"",SUMIF($B$5:$B$1004,$B263,$E$5:$E$1004)-SUMIF($B$5:$B$1004,$B263,$G$5:$G$1004),N($E263)-N($G263)),"#,##0"),IF(AND(ISNUMBER($O263),N($K263)&lt;0),"請求額より多く消し込んでいます",IF($F263="","消込先が未定","OK")))))))</f>
        <v/>
      </c>
      <c r="M263" s="19" t="n"/>
      <c r="N263" s="56" t="n"/>
      <c r="O263" s="32">
        <f>IF($F263="","",IFERROR(MATCH($F263,'請求台帳'!$A$5:$A$1004,0),"なし"))</f>
        <v/>
      </c>
      <c r="P263" s="37">
        <f>IF(NOT(OR($A263&lt;&gt;"",$E263&lt;&gt;"",$F263&lt;&gt;"",$G263&lt;&gt;"",$H263&lt;&gt;"",$I263&lt;&gt;"")),"",IF(ISNUMBER($O263),IF(INDEX('請求台帳'!$C$5:$C$1004,$O263)="","",INDEX('請求台帳'!$C$5:$C$1004,$O263)),IF($C263="","",$C263)))</f>
        <v/>
      </c>
      <c r="Q263" s="35">
        <f>IF(OR(NOT(OR($A263&lt;&gt;"",$E263&lt;&gt;"",$F263&lt;&gt;"",$G263&lt;&gt;"",$H263&lt;&gt;"",$I263&lt;&gt;"")),$P263="",$P263&lt;&gt;'売掛帳'!$B$3,NOT(ISNUMBER($A263)),N($G263)+N($H263)+N($I263)=0),"",IF(AND($A263&gt;='売掛帳'!$Q$3,$A263&lt;='売掛帳'!$Q$4),$A263+0.5+ROW()/10000000,""))</f>
        <v/>
      </c>
      <c r="R263" s="32">
        <f>IF(AND(OR($A263&lt;&gt;"",$E263&lt;&gt;"",$F263&lt;&gt;"",$G263&lt;&gt;"",$H263&lt;&gt;"",$I263&lt;&gt;""),NOT(ISNUMBER($O263))),1,"")</f>
        <v/>
      </c>
    </row>
    <row r="264" ht="18" customHeight="1">
      <c r="A264" s="26" t="n"/>
      <c r="B264" s="18" t="n"/>
      <c r="C264" s="18" t="n"/>
      <c r="D264" s="20">
        <f>IF($P264="","",IFERROR(INDEX('得意先'!$C$5:$C$104,MATCH($P264,'得意先'!$B$5:$B$104,0))&amp;"","※得意先にないコード"))</f>
        <v/>
      </c>
      <c r="E264" s="27" t="n"/>
      <c r="F264" s="18" t="n"/>
      <c r="G264" s="27" t="n"/>
      <c r="H264" s="27" t="n"/>
      <c r="I264" s="27" t="n"/>
      <c r="J264" s="28">
        <f>IF(NOT(OR($A264&lt;&gt;"",$E264&lt;&gt;"",$F264&lt;&gt;"",$G264&lt;&gt;"",$H264&lt;&gt;"",$I264&lt;&gt;"")),"",N($G264)+N($H264)+N($I264))</f>
        <v/>
      </c>
      <c r="K264" s="28">
        <f>IF(ISNUMBER($O264),INDEX('請求台帳'!$R$5:$R$1004,$O264),"")</f>
        <v/>
      </c>
      <c r="L264" s="20">
        <f>IF(NOT(OR($A264&lt;&gt;"",$E264&lt;&gt;"",$F264&lt;&gt;"",$G264&lt;&gt;"",$H264&lt;&gt;"",$I264&lt;&gt;"")),"",IF(NOT(ISNUMBER($A264)),"入金日がありません",IF(AND($F264&lt;&gt;"",$O264="なし"),"請求Noが請求台帳にありません",IF(AND(ISNUMBER($O264),$C264&lt;&gt;"",$C264&lt;&gt;$P264),"請求の得意先は "&amp;$P264&amp;" です",IF(ROUND(IF($B264&lt;&gt;"",SUMIF($B$5:$B$1004,$B264,$E$5:$E$1004)-SUMIF($B$5:$B$1004,$B264,$G$5:$G$1004),N($E264)-N($G264)),0)&lt;&gt;0,"通帳の額と当てた額の差 "&amp;TEXT(IF($B264&lt;&gt;"",SUMIF($B$5:$B$1004,$B264,$E$5:$E$1004)-SUMIF($B$5:$B$1004,$B264,$G$5:$G$1004),N($E264)-N($G264)),"#,##0"),IF(AND(ISNUMBER($O264),N($K264)&lt;0),"請求額より多く消し込んでいます",IF($F264="","消込先が未定","OK")))))))</f>
        <v/>
      </c>
      <c r="M264" s="19" t="n"/>
      <c r="N264" s="56" t="n"/>
      <c r="O264" s="32">
        <f>IF($F264="","",IFERROR(MATCH($F264,'請求台帳'!$A$5:$A$1004,0),"なし"))</f>
        <v/>
      </c>
      <c r="P264" s="37">
        <f>IF(NOT(OR($A264&lt;&gt;"",$E264&lt;&gt;"",$F264&lt;&gt;"",$G264&lt;&gt;"",$H264&lt;&gt;"",$I264&lt;&gt;"")),"",IF(ISNUMBER($O264),IF(INDEX('請求台帳'!$C$5:$C$1004,$O264)="","",INDEX('請求台帳'!$C$5:$C$1004,$O264)),IF($C264="","",$C264)))</f>
        <v/>
      </c>
      <c r="Q264" s="35">
        <f>IF(OR(NOT(OR($A264&lt;&gt;"",$E264&lt;&gt;"",$F264&lt;&gt;"",$G264&lt;&gt;"",$H264&lt;&gt;"",$I264&lt;&gt;"")),$P264="",$P264&lt;&gt;'売掛帳'!$B$3,NOT(ISNUMBER($A264)),N($G264)+N($H264)+N($I264)=0),"",IF(AND($A264&gt;='売掛帳'!$Q$3,$A264&lt;='売掛帳'!$Q$4),$A264+0.5+ROW()/10000000,""))</f>
        <v/>
      </c>
      <c r="R264" s="32">
        <f>IF(AND(OR($A264&lt;&gt;"",$E264&lt;&gt;"",$F264&lt;&gt;"",$G264&lt;&gt;"",$H264&lt;&gt;"",$I264&lt;&gt;""),NOT(ISNUMBER($O264))),1,"")</f>
        <v/>
      </c>
    </row>
    <row r="265" ht="18" customHeight="1">
      <c r="A265" s="26" t="n"/>
      <c r="B265" s="18" t="n"/>
      <c r="C265" s="18" t="n"/>
      <c r="D265" s="20">
        <f>IF($P265="","",IFERROR(INDEX('得意先'!$C$5:$C$104,MATCH($P265,'得意先'!$B$5:$B$104,0))&amp;"","※得意先にないコード"))</f>
        <v/>
      </c>
      <c r="E265" s="27" t="n"/>
      <c r="F265" s="18" t="n"/>
      <c r="G265" s="27" t="n"/>
      <c r="H265" s="27" t="n"/>
      <c r="I265" s="27" t="n"/>
      <c r="J265" s="28">
        <f>IF(NOT(OR($A265&lt;&gt;"",$E265&lt;&gt;"",$F265&lt;&gt;"",$G265&lt;&gt;"",$H265&lt;&gt;"",$I265&lt;&gt;"")),"",N($G265)+N($H265)+N($I265))</f>
        <v/>
      </c>
      <c r="K265" s="28">
        <f>IF(ISNUMBER($O265),INDEX('請求台帳'!$R$5:$R$1004,$O265),"")</f>
        <v/>
      </c>
      <c r="L265" s="20">
        <f>IF(NOT(OR($A265&lt;&gt;"",$E265&lt;&gt;"",$F265&lt;&gt;"",$G265&lt;&gt;"",$H265&lt;&gt;"",$I265&lt;&gt;"")),"",IF(NOT(ISNUMBER($A265)),"入金日がありません",IF(AND($F265&lt;&gt;"",$O265="なし"),"請求Noが請求台帳にありません",IF(AND(ISNUMBER($O265),$C265&lt;&gt;"",$C265&lt;&gt;$P265),"請求の得意先は "&amp;$P265&amp;" です",IF(ROUND(IF($B265&lt;&gt;"",SUMIF($B$5:$B$1004,$B265,$E$5:$E$1004)-SUMIF($B$5:$B$1004,$B265,$G$5:$G$1004),N($E265)-N($G265)),0)&lt;&gt;0,"通帳の額と当てた額の差 "&amp;TEXT(IF($B265&lt;&gt;"",SUMIF($B$5:$B$1004,$B265,$E$5:$E$1004)-SUMIF($B$5:$B$1004,$B265,$G$5:$G$1004),N($E265)-N($G265)),"#,##0"),IF(AND(ISNUMBER($O265),N($K265)&lt;0),"請求額より多く消し込んでいます",IF($F265="","消込先が未定","OK")))))))</f>
        <v/>
      </c>
      <c r="M265" s="19" t="n"/>
      <c r="N265" s="56" t="n"/>
      <c r="O265" s="32">
        <f>IF($F265="","",IFERROR(MATCH($F265,'請求台帳'!$A$5:$A$1004,0),"なし"))</f>
        <v/>
      </c>
      <c r="P265" s="37">
        <f>IF(NOT(OR($A265&lt;&gt;"",$E265&lt;&gt;"",$F265&lt;&gt;"",$G265&lt;&gt;"",$H265&lt;&gt;"",$I265&lt;&gt;"")),"",IF(ISNUMBER($O265),IF(INDEX('請求台帳'!$C$5:$C$1004,$O265)="","",INDEX('請求台帳'!$C$5:$C$1004,$O265)),IF($C265="","",$C265)))</f>
        <v/>
      </c>
      <c r="Q265" s="35">
        <f>IF(OR(NOT(OR($A265&lt;&gt;"",$E265&lt;&gt;"",$F265&lt;&gt;"",$G265&lt;&gt;"",$H265&lt;&gt;"",$I265&lt;&gt;"")),$P265="",$P265&lt;&gt;'売掛帳'!$B$3,NOT(ISNUMBER($A265)),N($G265)+N($H265)+N($I265)=0),"",IF(AND($A265&gt;='売掛帳'!$Q$3,$A265&lt;='売掛帳'!$Q$4),$A265+0.5+ROW()/10000000,""))</f>
        <v/>
      </c>
      <c r="R265" s="32">
        <f>IF(AND(OR($A265&lt;&gt;"",$E265&lt;&gt;"",$F265&lt;&gt;"",$G265&lt;&gt;"",$H265&lt;&gt;"",$I265&lt;&gt;""),NOT(ISNUMBER($O265))),1,"")</f>
        <v/>
      </c>
    </row>
    <row r="266" ht="18" customHeight="1">
      <c r="A266" s="26" t="n"/>
      <c r="B266" s="18" t="n"/>
      <c r="C266" s="18" t="n"/>
      <c r="D266" s="20">
        <f>IF($P266="","",IFERROR(INDEX('得意先'!$C$5:$C$104,MATCH($P266,'得意先'!$B$5:$B$104,0))&amp;"","※得意先にないコード"))</f>
        <v/>
      </c>
      <c r="E266" s="27" t="n"/>
      <c r="F266" s="18" t="n"/>
      <c r="G266" s="27" t="n"/>
      <c r="H266" s="27" t="n"/>
      <c r="I266" s="27" t="n"/>
      <c r="J266" s="28">
        <f>IF(NOT(OR($A266&lt;&gt;"",$E266&lt;&gt;"",$F266&lt;&gt;"",$G266&lt;&gt;"",$H266&lt;&gt;"",$I266&lt;&gt;"")),"",N($G266)+N($H266)+N($I266))</f>
        <v/>
      </c>
      <c r="K266" s="28">
        <f>IF(ISNUMBER($O266),INDEX('請求台帳'!$R$5:$R$1004,$O266),"")</f>
        <v/>
      </c>
      <c r="L266" s="20">
        <f>IF(NOT(OR($A266&lt;&gt;"",$E266&lt;&gt;"",$F266&lt;&gt;"",$G266&lt;&gt;"",$H266&lt;&gt;"",$I266&lt;&gt;"")),"",IF(NOT(ISNUMBER($A266)),"入金日がありません",IF(AND($F266&lt;&gt;"",$O266="なし"),"請求Noが請求台帳にありません",IF(AND(ISNUMBER($O266),$C266&lt;&gt;"",$C266&lt;&gt;$P266),"請求の得意先は "&amp;$P266&amp;" です",IF(ROUND(IF($B266&lt;&gt;"",SUMIF($B$5:$B$1004,$B266,$E$5:$E$1004)-SUMIF($B$5:$B$1004,$B266,$G$5:$G$1004),N($E266)-N($G266)),0)&lt;&gt;0,"通帳の額と当てた額の差 "&amp;TEXT(IF($B266&lt;&gt;"",SUMIF($B$5:$B$1004,$B266,$E$5:$E$1004)-SUMIF($B$5:$B$1004,$B266,$G$5:$G$1004),N($E266)-N($G266)),"#,##0"),IF(AND(ISNUMBER($O266),N($K266)&lt;0),"請求額より多く消し込んでいます",IF($F266="","消込先が未定","OK")))))))</f>
        <v/>
      </c>
      <c r="M266" s="19" t="n"/>
      <c r="N266" s="56" t="n"/>
      <c r="O266" s="32">
        <f>IF($F266="","",IFERROR(MATCH($F266,'請求台帳'!$A$5:$A$1004,0),"なし"))</f>
        <v/>
      </c>
      <c r="P266" s="37">
        <f>IF(NOT(OR($A266&lt;&gt;"",$E266&lt;&gt;"",$F266&lt;&gt;"",$G266&lt;&gt;"",$H266&lt;&gt;"",$I266&lt;&gt;"")),"",IF(ISNUMBER($O266),IF(INDEX('請求台帳'!$C$5:$C$1004,$O266)="","",INDEX('請求台帳'!$C$5:$C$1004,$O266)),IF($C266="","",$C266)))</f>
        <v/>
      </c>
      <c r="Q266" s="35">
        <f>IF(OR(NOT(OR($A266&lt;&gt;"",$E266&lt;&gt;"",$F266&lt;&gt;"",$G266&lt;&gt;"",$H266&lt;&gt;"",$I266&lt;&gt;"")),$P266="",$P266&lt;&gt;'売掛帳'!$B$3,NOT(ISNUMBER($A266)),N($G266)+N($H266)+N($I266)=0),"",IF(AND($A266&gt;='売掛帳'!$Q$3,$A266&lt;='売掛帳'!$Q$4),$A266+0.5+ROW()/10000000,""))</f>
        <v/>
      </c>
      <c r="R266" s="32">
        <f>IF(AND(OR($A266&lt;&gt;"",$E266&lt;&gt;"",$F266&lt;&gt;"",$G266&lt;&gt;"",$H266&lt;&gt;"",$I266&lt;&gt;""),NOT(ISNUMBER($O266))),1,"")</f>
        <v/>
      </c>
    </row>
    <row r="267" ht="18" customHeight="1">
      <c r="A267" s="26" t="n"/>
      <c r="B267" s="18" t="n"/>
      <c r="C267" s="18" t="n"/>
      <c r="D267" s="20">
        <f>IF($P267="","",IFERROR(INDEX('得意先'!$C$5:$C$104,MATCH($P267,'得意先'!$B$5:$B$104,0))&amp;"","※得意先にないコード"))</f>
        <v/>
      </c>
      <c r="E267" s="27" t="n"/>
      <c r="F267" s="18" t="n"/>
      <c r="G267" s="27" t="n"/>
      <c r="H267" s="27" t="n"/>
      <c r="I267" s="27" t="n"/>
      <c r="J267" s="28">
        <f>IF(NOT(OR($A267&lt;&gt;"",$E267&lt;&gt;"",$F267&lt;&gt;"",$G267&lt;&gt;"",$H267&lt;&gt;"",$I267&lt;&gt;"")),"",N($G267)+N($H267)+N($I267))</f>
        <v/>
      </c>
      <c r="K267" s="28">
        <f>IF(ISNUMBER($O267),INDEX('請求台帳'!$R$5:$R$1004,$O267),"")</f>
        <v/>
      </c>
      <c r="L267" s="20">
        <f>IF(NOT(OR($A267&lt;&gt;"",$E267&lt;&gt;"",$F267&lt;&gt;"",$G267&lt;&gt;"",$H267&lt;&gt;"",$I267&lt;&gt;"")),"",IF(NOT(ISNUMBER($A267)),"入金日がありません",IF(AND($F267&lt;&gt;"",$O267="なし"),"請求Noが請求台帳にありません",IF(AND(ISNUMBER($O267),$C267&lt;&gt;"",$C267&lt;&gt;$P267),"請求の得意先は "&amp;$P267&amp;" です",IF(ROUND(IF($B267&lt;&gt;"",SUMIF($B$5:$B$1004,$B267,$E$5:$E$1004)-SUMIF($B$5:$B$1004,$B267,$G$5:$G$1004),N($E267)-N($G267)),0)&lt;&gt;0,"通帳の額と当てた額の差 "&amp;TEXT(IF($B267&lt;&gt;"",SUMIF($B$5:$B$1004,$B267,$E$5:$E$1004)-SUMIF($B$5:$B$1004,$B267,$G$5:$G$1004),N($E267)-N($G267)),"#,##0"),IF(AND(ISNUMBER($O267),N($K267)&lt;0),"請求額より多く消し込んでいます",IF($F267="","消込先が未定","OK")))))))</f>
        <v/>
      </c>
      <c r="M267" s="19" t="n"/>
      <c r="N267" s="56" t="n"/>
      <c r="O267" s="32">
        <f>IF($F267="","",IFERROR(MATCH($F267,'請求台帳'!$A$5:$A$1004,0),"なし"))</f>
        <v/>
      </c>
      <c r="P267" s="37">
        <f>IF(NOT(OR($A267&lt;&gt;"",$E267&lt;&gt;"",$F267&lt;&gt;"",$G267&lt;&gt;"",$H267&lt;&gt;"",$I267&lt;&gt;"")),"",IF(ISNUMBER($O267),IF(INDEX('請求台帳'!$C$5:$C$1004,$O267)="","",INDEX('請求台帳'!$C$5:$C$1004,$O267)),IF($C267="","",$C267)))</f>
        <v/>
      </c>
      <c r="Q267" s="35">
        <f>IF(OR(NOT(OR($A267&lt;&gt;"",$E267&lt;&gt;"",$F267&lt;&gt;"",$G267&lt;&gt;"",$H267&lt;&gt;"",$I267&lt;&gt;"")),$P267="",$P267&lt;&gt;'売掛帳'!$B$3,NOT(ISNUMBER($A267)),N($G267)+N($H267)+N($I267)=0),"",IF(AND($A267&gt;='売掛帳'!$Q$3,$A267&lt;='売掛帳'!$Q$4),$A267+0.5+ROW()/10000000,""))</f>
        <v/>
      </c>
      <c r="R267" s="32">
        <f>IF(AND(OR($A267&lt;&gt;"",$E267&lt;&gt;"",$F267&lt;&gt;"",$G267&lt;&gt;"",$H267&lt;&gt;"",$I267&lt;&gt;""),NOT(ISNUMBER($O267))),1,"")</f>
        <v/>
      </c>
    </row>
    <row r="268" ht="18" customHeight="1">
      <c r="A268" s="26" t="n"/>
      <c r="B268" s="18" t="n"/>
      <c r="C268" s="18" t="n"/>
      <c r="D268" s="20">
        <f>IF($P268="","",IFERROR(INDEX('得意先'!$C$5:$C$104,MATCH($P268,'得意先'!$B$5:$B$104,0))&amp;"","※得意先にないコード"))</f>
        <v/>
      </c>
      <c r="E268" s="27" t="n"/>
      <c r="F268" s="18" t="n"/>
      <c r="G268" s="27" t="n"/>
      <c r="H268" s="27" t="n"/>
      <c r="I268" s="27" t="n"/>
      <c r="J268" s="28">
        <f>IF(NOT(OR($A268&lt;&gt;"",$E268&lt;&gt;"",$F268&lt;&gt;"",$G268&lt;&gt;"",$H268&lt;&gt;"",$I268&lt;&gt;"")),"",N($G268)+N($H268)+N($I268))</f>
        <v/>
      </c>
      <c r="K268" s="28">
        <f>IF(ISNUMBER($O268),INDEX('請求台帳'!$R$5:$R$1004,$O268),"")</f>
        <v/>
      </c>
      <c r="L268" s="20">
        <f>IF(NOT(OR($A268&lt;&gt;"",$E268&lt;&gt;"",$F268&lt;&gt;"",$G268&lt;&gt;"",$H268&lt;&gt;"",$I268&lt;&gt;"")),"",IF(NOT(ISNUMBER($A268)),"入金日がありません",IF(AND($F268&lt;&gt;"",$O268="なし"),"請求Noが請求台帳にありません",IF(AND(ISNUMBER($O268),$C268&lt;&gt;"",$C268&lt;&gt;$P268),"請求の得意先は "&amp;$P268&amp;" です",IF(ROUND(IF($B268&lt;&gt;"",SUMIF($B$5:$B$1004,$B268,$E$5:$E$1004)-SUMIF($B$5:$B$1004,$B268,$G$5:$G$1004),N($E268)-N($G268)),0)&lt;&gt;0,"通帳の額と当てた額の差 "&amp;TEXT(IF($B268&lt;&gt;"",SUMIF($B$5:$B$1004,$B268,$E$5:$E$1004)-SUMIF($B$5:$B$1004,$B268,$G$5:$G$1004),N($E268)-N($G268)),"#,##0"),IF(AND(ISNUMBER($O268),N($K268)&lt;0),"請求額より多く消し込んでいます",IF($F268="","消込先が未定","OK")))))))</f>
        <v/>
      </c>
      <c r="M268" s="19" t="n"/>
      <c r="N268" s="56" t="n"/>
      <c r="O268" s="32">
        <f>IF($F268="","",IFERROR(MATCH($F268,'請求台帳'!$A$5:$A$1004,0),"なし"))</f>
        <v/>
      </c>
      <c r="P268" s="37">
        <f>IF(NOT(OR($A268&lt;&gt;"",$E268&lt;&gt;"",$F268&lt;&gt;"",$G268&lt;&gt;"",$H268&lt;&gt;"",$I268&lt;&gt;"")),"",IF(ISNUMBER($O268),IF(INDEX('請求台帳'!$C$5:$C$1004,$O268)="","",INDEX('請求台帳'!$C$5:$C$1004,$O268)),IF($C268="","",$C268)))</f>
        <v/>
      </c>
      <c r="Q268" s="35">
        <f>IF(OR(NOT(OR($A268&lt;&gt;"",$E268&lt;&gt;"",$F268&lt;&gt;"",$G268&lt;&gt;"",$H268&lt;&gt;"",$I268&lt;&gt;"")),$P268="",$P268&lt;&gt;'売掛帳'!$B$3,NOT(ISNUMBER($A268)),N($G268)+N($H268)+N($I268)=0),"",IF(AND($A268&gt;='売掛帳'!$Q$3,$A268&lt;='売掛帳'!$Q$4),$A268+0.5+ROW()/10000000,""))</f>
        <v/>
      </c>
      <c r="R268" s="32">
        <f>IF(AND(OR($A268&lt;&gt;"",$E268&lt;&gt;"",$F268&lt;&gt;"",$G268&lt;&gt;"",$H268&lt;&gt;"",$I268&lt;&gt;""),NOT(ISNUMBER($O268))),1,"")</f>
        <v/>
      </c>
    </row>
    <row r="269" ht="18" customHeight="1">
      <c r="A269" s="26" t="n"/>
      <c r="B269" s="18" t="n"/>
      <c r="C269" s="18" t="n"/>
      <c r="D269" s="20">
        <f>IF($P269="","",IFERROR(INDEX('得意先'!$C$5:$C$104,MATCH($P269,'得意先'!$B$5:$B$104,0))&amp;"","※得意先にないコード"))</f>
        <v/>
      </c>
      <c r="E269" s="27" t="n"/>
      <c r="F269" s="18" t="n"/>
      <c r="G269" s="27" t="n"/>
      <c r="H269" s="27" t="n"/>
      <c r="I269" s="27" t="n"/>
      <c r="J269" s="28">
        <f>IF(NOT(OR($A269&lt;&gt;"",$E269&lt;&gt;"",$F269&lt;&gt;"",$G269&lt;&gt;"",$H269&lt;&gt;"",$I269&lt;&gt;"")),"",N($G269)+N($H269)+N($I269))</f>
        <v/>
      </c>
      <c r="K269" s="28">
        <f>IF(ISNUMBER($O269),INDEX('請求台帳'!$R$5:$R$1004,$O269),"")</f>
        <v/>
      </c>
      <c r="L269" s="20">
        <f>IF(NOT(OR($A269&lt;&gt;"",$E269&lt;&gt;"",$F269&lt;&gt;"",$G269&lt;&gt;"",$H269&lt;&gt;"",$I269&lt;&gt;"")),"",IF(NOT(ISNUMBER($A269)),"入金日がありません",IF(AND($F269&lt;&gt;"",$O269="なし"),"請求Noが請求台帳にありません",IF(AND(ISNUMBER($O269),$C269&lt;&gt;"",$C269&lt;&gt;$P269),"請求の得意先は "&amp;$P269&amp;" です",IF(ROUND(IF($B269&lt;&gt;"",SUMIF($B$5:$B$1004,$B269,$E$5:$E$1004)-SUMIF($B$5:$B$1004,$B269,$G$5:$G$1004),N($E269)-N($G269)),0)&lt;&gt;0,"通帳の額と当てた額の差 "&amp;TEXT(IF($B269&lt;&gt;"",SUMIF($B$5:$B$1004,$B269,$E$5:$E$1004)-SUMIF($B$5:$B$1004,$B269,$G$5:$G$1004),N($E269)-N($G269)),"#,##0"),IF(AND(ISNUMBER($O269),N($K269)&lt;0),"請求額より多く消し込んでいます",IF($F269="","消込先が未定","OK")))))))</f>
        <v/>
      </c>
      <c r="M269" s="19" t="n"/>
      <c r="N269" s="56" t="n"/>
      <c r="O269" s="32">
        <f>IF($F269="","",IFERROR(MATCH($F269,'請求台帳'!$A$5:$A$1004,0),"なし"))</f>
        <v/>
      </c>
      <c r="P269" s="37">
        <f>IF(NOT(OR($A269&lt;&gt;"",$E269&lt;&gt;"",$F269&lt;&gt;"",$G269&lt;&gt;"",$H269&lt;&gt;"",$I269&lt;&gt;"")),"",IF(ISNUMBER($O269),IF(INDEX('請求台帳'!$C$5:$C$1004,$O269)="","",INDEX('請求台帳'!$C$5:$C$1004,$O269)),IF($C269="","",$C269)))</f>
        <v/>
      </c>
      <c r="Q269" s="35">
        <f>IF(OR(NOT(OR($A269&lt;&gt;"",$E269&lt;&gt;"",$F269&lt;&gt;"",$G269&lt;&gt;"",$H269&lt;&gt;"",$I269&lt;&gt;"")),$P269="",$P269&lt;&gt;'売掛帳'!$B$3,NOT(ISNUMBER($A269)),N($G269)+N($H269)+N($I269)=0),"",IF(AND($A269&gt;='売掛帳'!$Q$3,$A269&lt;='売掛帳'!$Q$4),$A269+0.5+ROW()/10000000,""))</f>
        <v/>
      </c>
      <c r="R269" s="32">
        <f>IF(AND(OR($A269&lt;&gt;"",$E269&lt;&gt;"",$F269&lt;&gt;"",$G269&lt;&gt;"",$H269&lt;&gt;"",$I269&lt;&gt;""),NOT(ISNUMBER($O269))),1,"")</f>
        <v/>
      </c>
    </row>
    <row r="270" ht="18" customHeight="1">
      <c r="A270" s="26" t="n"/>
      <c r="B270" s="18" t="n"/>
      <c r="C270" s="18" t="n"/>
      <c r="D270" s="20">
        <f>IF($P270="","",IFERROR(INDEX('得意先'!$C$5:$C$104,MATCH($P270,'得意先'!$B$5:$B$104,0))&amp;"","※得意先にないコード"))</f>
        <v/>
      </c>
      <c r="E270" s="27" t="n"/>
      <c r="F270" s="18" t="n"/>
      <c r="G270" s="27" t="n"/>
      <c r="H270" s="27" t="n"/>
      <c r="I270" s="27" t="n"/>
      <c r="J270" s="28">
        <f>IF(NOT(OR($A270&lt;&gt;"",$E270&lt;&gt;"",$F270&lt;&gt;"",$G270&lt;&gt;"",$H270&lt;&gt;"",$I270&lt;&gt;"")),"",N($G270)+N($H270)+N($I270))</f>
        <v/>
      </c>
      <c r="K270" s="28">
        <f>IF(ISNUMBER($O270),INDEX('請求台帳'!$R$5:$R$1004,$O270),"")</f>
        <v/>
      </c>
      <c r="L270" s="20">
        <f>IF(NOT(OR($A270&lt;&gt;"",$E270&lt;&gt;"",$F270&lt;&gt;"",$G270&lt;&gt;"",$H270&lt;&gt;"",$I270&lt;&gt;"")),"",IF(NOT(ISNUMBER($A270)),"入金日がありません",IF(AND($F270&lt;&gt;"",$O270="なし"),"請求Noが請求台帳にありません",IF(AND(ISNUMBER($O270),$C270&lt;&gt;"",$C270&lt;&gt;$P270),"請求の得意先は "&amp;$P270&amp;" です",IF(ROUND(IF($B270&lt;&gt;"",SUMIF($B$5:$B$1004,$B270,$E$5:$E$1004)-SUMIF($B$5:$B$1004,$B270,$G$5:$G$1004),N($E270)-N($G270)),0)&lt;&gt;0,"通帳の額と当てた額の差 "&amp;TEXT(IF($B270&lt;&gt;"",SUMIF($B$5:$B$1004,$B270,$E$5:$E$1004)-SUMIF($B$5:$B$1004,$B270,$G$5:$G$1004),N($E270)-N($G270)),"#,##0"),IF(AND(ISNUMBER($O270),N($K270)&lt;0),"請求額より多く消し込んでいます",IF($F270="","消込先が未定","OK")))))))</f>
        <v/>
      </c>
      <c r="M270" s="19" t="n"/>
      <c r="N270" s="56" t="n"/>
      <c r="O270" s="32">
        <f>IF($F270="","",IFERROR(MATCH($F270,'請求台帳'!$A$5:$A$1004,0),"なし"))</f>
        <v/>
      </c>
      <c r="P270" s="37">
        <f>IF(NOT(OR($A270&lt;&gt;"",$E270&lt;&gt;"",$F270&lt;&gt;"",$G270&lt;&gt;"",$H270&lt;&gt;"",$I270&lt;&gt;"")),"",IF(ISNUMBER($O270),IF(INDEX('請求台帳'!$C$5:$C$1004,$O270)="","",INDEX('請求台帳'!$C$5:$C$1004,$O270)),IF($C270="","",$C270)))</f>
        <v/>
      </c>
      <c r="Q270" s="35">
        <f>IF(OR(NOT(OR($A270&lt;&gt;"",$E270&lt;&gt;"",$F270&lt;&gt;"",$G270&lt;&gt;"",$H270&lt;&gt;"",$I270&lt;&gt;"")),$P270="",$P270&lt;&gt;'売掛帳'!$B$3,NOT(ISNUMBER($A270)),N($G270)+N($H270)+N($I270)=0),"",IF(AND($A270&gt;='売掛帳'!$Q$3,$A270&lt;='売掛帳'!$Q$4),$A270+0.5+ROW()/10000000,""))</f>
        <v/>
      </c>
      <c r="R270" s="32">
        <f>IF(AND(OR($A270&lt;&gt;"",$E270&lt;&gt;"",$F270&lt;&gt;"",$G270&lt;&gt;"",$H270&lt;&gt;"",$I270&lt;&gt;""),NOT(ISNUMBER($O270))),1,"")</f>
        <v/>
      </c>
    </row>
    <row r="271" ht="18" customHeight="1">
      <c r="A271" s="26" t="n"/>
      <c r="B271" s="18" t="n"/>
      <c r="C271" s="18" t="n"/>
      <c r="D271" s="20">
        <f>IF($P271="","",IFERROR(INDEX('得意先'!$C$5:$C$104,MATCH($P271,'得意先'!$B$5:$B$104,0))&amp;"","※得意先にないコード"))</f>
        <v/>
      </c>
      <c r="E271" s="27" t="n"/>
      <c r="F271" s="18" t="n"/>
      <c r="G271" s="27" t="n"/>
      <c r="H271" s="27" t="n"/>
      <c r="I271" s="27" t="n"/>
      <c r="J271" s="28">
        <f>IF(NOT(OR($A271&lt;&gt;"",$E271&lt;&gt;"",$F271&lt;&gt;"",$G271&lt;&gt;"",$H271&lt;&gt;"",$I271&lt;&gt;"")),"",N($G271)+N($H271)+N($I271))</f>
        <v/>
      </c>
      <c r="K271" s="28">
        <f>IF(ISNUMBER($O271),INDEX('請求台帳'!$R$5:$R$1004,$O271),"")</f>
        <v/>
      </c>
      <c r="L271" s="20">
        <f>IF(NOT(OR($A271&lt;&gt;"",$E271&lt;&gt;"",$F271&lt;&gt;"",$G271&lt;&gt;"",$H271&lt;&gt;"",$I271&lt;&gt;"")),"",IF(NOT(ISNUMBER($A271)),"入金日がありません",IF(AND($F271&lt;&gt;"",$O271="なし"),"請求Noが請求台帳にありません",IF(AND(ISNUMBER($O271),$C271&lt;&gt;"",$C271&lt;&gt;$P271),"請求の得意先は "&amp;$P271&amp;" です",IF(ROUND(IF($B271&lt;&gt;"",SUMIF($B$5:$B$1004,$B271,$E$5:$E$1004)-SUMIF($B$5:$B$1004,$B271,$G$5:$G$1004),N($E271)-N($G271)),0)&lt;&gt;0,"通帳の額と当てた額の差 "&amp;TEXT(IF($B271&lt;&gt;"",SUMIF($B$5:$B$1004,$B271,$E$5:$E$1004)-SUMIF($B$5:$B$1004,$B271,$G$5:$G$1004),N($E271)-N($G271)),"#,##0"),IF(AND(ISNUMBER($O271),N($K271)&lt;0),"請求額より多く消し込んでいます",IF($F271="","消込先が未定","OK")))))))</f>
        <v/>
      </c>
      <c r="M271" s="19" t="n"/>
      <c r="N271" s="56" t="n"/>
      <c r="O271" s="32">
        <f>IF($F271="","",IFERROR(MATCH($F271,'請求台帳'!$A$5:$A$1004,0),"なし"))</f>
        <v/>
      </c>
      <c r="P271" s="37">
        <f>IF(NOT(OR($A271&lt;&gt;"",$E271&lt;&gt;"",$F271&lt;&gt;"",$G271&lt;&gt;"",$H271&lt;&gt;"",$I271&lt;&gt;"")),"",IF(ISNUMBER($O271),IF(INDEX('請求台帳'!$C$5:$C$1004,$O271)="","",INDEX('請求台帳'!$C$5:$C$1004,$O271)),IF($C271="","",$C271)))</f>
        <v/>
      </c>
      <c r="Q271" s="35">
        <f>IF(OR(NOT(OR($A271&lt;&gt;"",$E271&lt;&gt;"",$F271&lt;&gt;"",$G271&lt;&gt;"",$H271&lt;&gt;"",$I271&lt;&gt;"")),$P271="",$P271&lt;&gt;'売掛帳'!$B$3,NOT(ISNUMBER($A271)),N($G271)+N($H271)+N($I271)=0),"",IF(AND($A271&gt;='売掛帳'!$Q$3,$A271&lt;='売掛帳'!$Q$4),$A271+0.5+ROW()/10000000,""))</f>
        <v/>
      </c>
      <c r="R271" s="32">
        <f>IF(AND(OR($A271&lt;&gt;"",$E271&lt;&gt;"",$F271&lt;&gt;"",$G271&lt;&gt;"",$H271&lt;&gt;"",$I271&lt;&gt;""),NOT(ISNUMBER($O271))),1,"")</f>
        <v/>
      </c>
    </row>
    <row r="272" ht="18" customHeight="1">
      <c r="A272" s="26" t="n"/>
      <c r="B272" s="18" t="n"/>
      <c r="C272" s="18" t="n"/>
      <c r="D272" s="20">
        <f>IF($P272="","",IFERROR(INDEX('得意先'!$C$5:$C$104,MATCH($P272,'得意先'!$B$5:$B$104,0))&amp;"","※得意先にないコード"))</f>
        <v/>
      </c>
      <c r="E272" s="27" t="n"/>
      <c r="F272" s="18" t="n"/>
      <c r="G272" s="27" t="n"/>
      <c r="H272" s="27" t="n"/>
      <c r="I272" s="27" t="n"/>
      <c r="J272" s="28">
        <f>IF(NOT(OR($A272&lt;&gt;"",$E272&lt;&gt;"",$F272&lt;&gt;"",$G272&lt;&gt;"",$H272&lt;&gt;"",$I272&lt;&gt;"")),"",N($G272)+N($H272)+N($I272))</f>
        <v/>
      </c>
      <c r="K272" s="28">
        <f>IF(ISNUMBER($O272),INDEX('請求台帳'!$R$5:$R$1004,$O272),"")</f>
        <v/>
      </c>
      <c r="L272" s="20">
        <f>IF(NOT(OR($A272&lt;&gt;"",$E272&lt;&gt;"",$F272&lt;&gt;"",$G272&lt;&gt;"",$H272&lt;&gt;"",$I272&lt;&gt;"")),"",IF(NOT(ISNUMBER($A272)),"入金日がありません",IF(AND($F272&lt;&gt;"",$O272="なし"),"請求Noが請求台帳にありません",IF(AND(ISNUMBER($O272),$C272&lt;&gt;"",$C272&lt;&gt;$P272),"請求の得意先は "&amp;$P272&amp;" です",IF(ROUND(IF($B272&lt;&gt;"",SUMIF($B$5:$B$1004,$B272,$E$5:$E$1004)-SUMIF($B$5:$B$1004,$B272,$G$5:$G$1004),N($E272)-N($G272)),0)&lt;&gt;0,"通帳の額と当てた額の差 "&amp;TEXT(IF($B272&lt;&gt;"",SUMIF($B$5:$B$1004,$B272,$E$5:$E$1004)-SUMIF($B$5:$B$1004,$B272,$G$5:$G$1004),N($E272)-N($G272)),"#,##0"),IF(AND(ISNUMBER($O272),N($K272)&lt;0),"請求額より多く消し込んでいます",IF($F272="","消込先が未定","OK")))))))</f>
        <v/>
      </c>
      <c r="M272" s="19" t="n"/>
      <c r="N272" s="56" t="n"/>
      <c r="O272" s="32">
        <f>IF($F272="","",IFERROR(MATCH($F272,'請求台帳'!$A$5:$A$1004,0),"なし"))</f>
        <v/>
      </c>
      <c r="P272" s="37">
        <f>IF(NOT(OR($A272&lt;&gt;"",$E272&lt;&gt;"",$F272&lt;&gt;"",$G272&lt;&gt;"",$H272&lt;&gt;"",$I272&lt;&gt;"")),"",IF(ISNUMBER($O272),IF(INDEX('請求台帳'!$C$5:$C$1004,$O272)="","",INDEX('請求台帳'!$C$5:$C$1004,$O272)),IF($C272="","",$C272)))</f>
        <v/>
      </c>
      <c r="Q272" s="35">
        <f>IF(OR(NOT(OR($A272&lt;&gt;"",$E272&lt;&gt;"",$F272&lt;&gt;"",$G272&lt;&gt;"",$H272&lt;&gt;"",$I272&lt;&gt;"")),$P272="",$P272&lt;&gt;'売掛帳'!$B$3,NOT(ISNUMBER($A272)),N($G272)+N($H272)+N($I272)=0),"",IF(AND($A272&gt;='売掛帳'!$Q$3,$A272&lt;='売掛帳'!$Q$4),$A272+0.5+ROW()/10000000,""))</f>
        <v/>
      </c>
      <c r="R272" s="32">
        <f>IF(AND(OR($A272&lt;&gt;"",$E272&lt;&gt;"",$F272&lt;&gt;"",$G272&lt;&gt;"",$H272&lt;&gt;"",$I272&lt;&gt;""),NOT(ISNUMBER($O272))),1,"")</f>
        <v/>
      </c>
    </row>
    <row r="273" ht="18" customHeight="1">
      <c r="A273" s="26" t="n"/>
      <c r="B273" s="18" t="n"/>
      <c r="C273" s="18" t="n"/>
      <c r="D273" s="20">
        <f>IF($P273="","",IFERROR(INDEX('得意先'!$C$5:$C$104,MATCH($P273,'得意先'!$B$5:$B$104,0))&amp;"","※得意先にないコード"))</f>
        <v/>
      </c>
      <c r="E273" s="27" t="n"/>
      <c r="F273" s="18" t="n"/>
      <c r="G273" s="27" t="n"/>
      <c r="H273" s="27" t="n"/>
      <c r="I273" s="27" t="n"/>
      <c r="J273" s="28">
        <f>IF(NOT(OR($A273&lt;&gt;"",$E273&lt;&gt;"",$F273&lt;&gt;"",$G273&lt;&gt;"",$H273&lt;&gt;"",$I273&lt;&gt;"")),"",N($G273)+N($H273)+N($I273))</f>
        <v/>
      </c>
      <c r="K273" s="28">
        <f>IF(ISNUMBER($O273),INDEX('請求台帳'!$R$5:$R$1004,$O273),"")</f>
        <v/>
      </c>
      <c r="L273" s="20">
        <f>IF(NOT(OR($A273&lt;&gt;"",$E273&lt;&gt;"",$F273&lt;&gt;"",$G273&lt;&gt;"",$H273&lt;&gt;"",$I273&lt;&gt;"")),"",IF(NOT(ISNUMBER($A273)),"入金日がありません",IF(AND($F273&lt;&gt;"",$O273="なし"),"請求Noが請求台帳にありません",IF(AND(ISNUMBER($O273),$C273&lt;&gt;"",$C273&lt;&gt;$P273),"請求の得意先は "&amp;$P273&amp;" です",IF(ROUND(IF($B273&lt;&gt;"",SUMIF($B$5:$B$1004,$B273,$E$5:$E$1004)-SUMIF($B$5:$B$1004,$B273,$G$5:$G$1004),N($E273)-N($G273)),0)&lt;&gt;0,"通帳の額と当てた額の差 "&amp;TEXT(IF($B273&lt;&gt;"",SUMIF($B$5:$B$1004,$B273,$E$5:$E$1004)-SUMIF($B$5:$B$1004,$B273,$G$5:$G$1004),N($E273)-N($G273)),"#,##0"),IF(AND(ISNUMBER($O273),N($K273)&lt;0),"請求額より多く消し込んでいます",IF($F273="","消込先が未定","OK")))))))</f>
        <v/>
      </c>
      <c r="M273" s="19" t="n"/>
      <c r="N273" s="56" t="n"/>
      <c r="O273" s="32">
        <f>IF($F273="","",IFERROR(MATCH($F273,'請求台帳'!$A$5:$A$1004,0),"なし"))</f>
        <v/>
      </c>
      <c r="P273" s="37">
        <f>IF(NOT(OR($A273&lt;&gt;"",$E273&lt;&gt;"",$F273&lt;&gt;"",$G273&lt;&gt;"",$H273&lt;&gt;"",$I273&lt;&gt;"")),"",IF(ISNUMBER($O273),IF(INDEX('請求台帳'!$C$5:$C$1004,$O273)="","",INDEX('請求台帳'!$C$5:$C$1004,$O273)),IF($C273="","",$C273)))</f>
        <v/>
      </c>
      <c r="Q273" s="35">
        <f>IF(OR(NOT(OR($A273&lt;&gt;"",$E273&lt;&gt;"",$F273&lt;&gt;"",$G273&lt;&gt;"",$H273&lt;&gt;"",$I273&lt;&gt;"")),$P273="",$P273&lt;&gt;'売掛帳'!$B$3,NOT(ISNUMBER($A273)),N($G273)+N($H273)+N($I273)=0),"",IF(AND($A273&gt;='売掛帳'!$Q$3,$A273&lt;='売掛帳'!$Q$4),$A273+0.5+ROW()/10000000,""))</f>
        <v/>
      </c>
      <c r="R273" s="32">
        <f>IF(AND(OR($A273&lt;&gt;"",$E273&lt;&gt;"",$F273&lt;&gt;"",$G273&lt;&gt;"",$H273&lt;&gt;"",$I273&lt;&gt;""),NOT(ISNUMBER($O273))),1,"")</f>
        <v/>
      </c>
    </row>
    <row r="274" ht="18" customHeight="1">
      <c r="A274" s="26" t="n"/>
      <c r="B274" s="18" t="n"/>
      <c r="C274" s="18" t="n"/>
      <c r="D274" s="20">
        <f>IF($P274="","",IFERROR(INDEX('得意先'!$C$5:$C$104,MATCH($P274,'得意先'!$B$5:$B$104,0))&amp;"","※得意先にないコード"))</f>
        <v/>
      </c>
      <c r="E274" s="27" t="n"/>
      <c r="F274" s="18" t="n"/>
      <c r="G274" s="27" t="n"/>
      <c r="H274" s="27" t="n"/>
      <c r="I274" s="27" t="n"/>
      <c r="J274" s="28">
        <f>IF(NOT(OR($A274&lt;&gt;"",$E274&lt;&gt;"",$F274&lt;&gt;"",$G274&lt;&gt;"",$H274&lt;&gt;"",$I274&lt;&gt;"")),"",N($G274)+N($H274)+N($I274))</f>
        <v/>
      </c>
      <c r="K274" s="28">
        <f>IF(ISNUMBER($O274),INDEX('請求台帳'!$R$5:$R$1004,$O274),"")</f>
        <v/>
      </c>
      <c r="L274" s="20">
        <f>IF(NOT(OR($A274&lt;&gt;"",$E274&lt;&gt;"",$F274&lt;&gt;"",$G274&lt;&gt;"",$H274&lt;&gt;"",$I274&lt;&gt;"")),"",IF(NOT(ISNUMBER($A274)),"入金日がありません",IF(AND($F274&lt;&gt;"",$O274="なし"),"請求Noが請求台帳にありません",IF(AND(ISNUMBER($O274),$C274&lt;&gt;"",$C274&lt;&gt;$P274),"請求の得意先は "&amp;$P274&amp;" です",IF(ROUND(IF($B274&lt;&gt;"",SUMIF($B$5:$B$1004,$B274,$E$5:$E$1004)-SUMIF($B$5:$B$1004,$B274,$G$5:$G$1004),N($E274)-N($G274)),0)&lt;&gt;0,"通帳の額と当てた額の差 "&amp;TEXT(IF($B274&lt;&gt;"",SUMIF($B$5:$B$1004,$B274,$E$5:$E$1004)-SUMIF($B$5:$B$1004,$B274,$G$5:$G$1004),N($E274)-N($G274)),"#,##0"),IF(AND(ISNUMBER($O274),N($K274)&lt;0),"請求額より多く消し込んでいます",IF($F274="","消込先が未定","OK")))))))</f>
        <v/>
      </c>
      <c r="M274" s="19" t="n"/>
      <c r="N274" s="56" t="n"/>
      <c r="O274" s="32">
        <f>IF($F274="","",IFERROR(MATCH($F274,'請求台帳'!$A$5:$A$1004,0),"なし"))</f>
        <v/>
      </c>
      <c r="P274" s="37">
        <f>IF(NOT(OR($A274&lt;&gt;"",$E274&lt;&gt;"",$F274&lt;&gt;"",$G274&lt;&gt;"",$H274&lt;&gt;"",$I274&lt;&gt;"")),"",IF(ISNUMBER($O274),IF(INDEX('請求台帳'!$C$5:$C$1004,$O274)="","",INDEX('請求台帳'!$C$5:$C$1004,$O274)),IF($C274="","",$C274)))</f>
        <v/>
      </c>
      <c r="Q274" s="35">
        <f>IF(OR(NOT(OR($A274&lt;&gt;"",$E274&lt;&gt;"",$F274&lt;&gt;"",$G274&lt;&gt;"",$H274&lt;&gt;"",$I274&lt;&gt;"")),$P274="",$P274&lt;&gt;'売掛帳'!$B$3,NOT(ISNUMBER($A274)),N($G274)+N($H274)+N($I274)=0),"",IF(AND($A274&gt;='売掛帳'!$Q$3,$A274&lt;='売掛帳'!$Q$4),$A274+0.5+ROW()/10000000,""))</f>
        <v/>
      </c>
      <c r="R274" s="32">
        <f>IF(AND(OR($A274&lt;&gt;"",$E274&lt;&gt;"",$F274&lt;&gt;"",$G274&lt;&gt;"",$H274&lt;&gt;"",$I274&lt;&gt;""),NOT(ISNUMBER($O274))),1,"")</f>
        <v/>
      </c>
    </row>
    <row r="275" ht="18" customHeight="1">
      <c r="A275" s="26" t="n"/>
      <c r="B275" s="18" t="n"/>
      <c r="C275" s="18" t="n"/>
      <c r="D275" s="20">
        <f>IF($P275="","",IFERROR(INDEX('得意先'!$C$5:$C$104,MATCH($P275,'得意先'!$B$5:$B$104,0))&amp;"","※得意先にないコード"))</f>
        <v/>
      </c>
      <c r="E275" s="27" t="n"/>
      <c r="F275" s="18" t="n"/>
      <c r="G275" s="27" t="n"/>
      <c r="H275" s="27" t="n"/>
      <c r="I275" s="27" t="n"/>
      <c r="J275" s="28">
        <f>IF(NOT(OR($A275&lt;&gt;"",$E275&lt;&gt;"",$F275&lt;&gt;"",$G275&lt;&gt;"",$H275&lt;&gt;"",$I275&lt;&gt;"")),"",N($G275)+N($H275)+N($I275))</f>
        <v/>
      </c>
      <c r="K275" s="28">
        <f>IF(ISNUMBER($O275),INDEX('請求台帳'!$R$5:$R$1004,$O275),"")</f>
        <v/>
      </c>
      <c r="L275" s="20">
        <f>IF(NOT(OR($A275&lt;&gt;"",$E275&lt;&gt;"",$F275&lt;&gt;"",$G275&lt;&gt;"",$H275&lt;&gt;"",$I275&lt;&gt;"")),"",IF(NOT(ISNUMBER($A275)),"入金日がありません",IF(AND($F275&lt;&gt;"",$O275="なし"),"請求Noが請求台帳にありません",IF(AND(ISNUMBER($O275),$C275&lt;&gt;"",$C275&lt;&gt;$P275),"請求の得意先は "&amp;$P275&amp;" です",IF(ROUND(IF($B275&lt;&gt;"",SUMIF($B$5:$B$1004,$B275,$E$5:$E$1004)-SUMIF($B$5:$B$1004,$B275,$G$5:$G$1004),N($E275)-N($G275)),0)&lt;&gt;0,"通帳の額と当てた額の差 "&amp;TEXT(IF($B275&lt;&gt;"",SUMIF($B$5:$B$1004,$B275,$E$5:$E$1004)-SUMIF($B$5:$B$1004,$B275,$G$5:$G$1004),N($E275)-N($G275)),"#,##0"),IF(AND(ISNUMBER($O275),N($K275)&lt;0),"請求額より多く消し込んでいます",IF($F275="","消込先が未定","OK")))))))</f>
        <v/>
      </c>
      <c r="M275" s="19" t="n"/>
      <c r="N275" s="56" t="n"/>
      <c r="O275" s="32">
        <f>IF($F275="","",IFERROR(MATCH($F275,'請求台帳'!$A$5:$A$1004,0),"なし"))</f>
        <v/>
      </c>
      <c r="P275" s="37">
        <f>IF(NOT(OR($A275&lt;&gt;"",$E275&lt;&gt;"",$F275&lt;&gt;"",$G275&lt;&gt;"",$H275&lt;&gt;"",$I275&lt;&gt;"")),"",IF(ISNUMBER($O275),IF(INDEX('請求台帳'!$C$5:$C$1004,$O275)="","",INDEX('請求台帳'!$C$5:$C$1004,$O275)),IF($C275="","",$C275)))</f>
        <v/>
      </c>
      <c r="Q275" s="35">
        <f>IF(OR(NOT(OR($A275&lt;&gt;"",$E275&lt;&gt;"",$F275&lt;&gt;"",$G275&lt;&gt;"",$H275&lt;&gt;"",$I275&lt;&gt;"")),$P275="",$P275&lt;&gt;'売掛帳'!$B$3,NOT(ISNUMBER($A275)),N($G275)+N($H275)+N($I275)=0),"",IF(AND($A275&gt;='売掛帳'!$Q$3,$A275&lt;='売掛帳'!$Q$4),$A275+0.5+ROW()/10000000,""))</f>
        <v/>
      </c>
      <c r="R275" s="32">
        <f>IF(AND(OR($A275&lt;&gt;"",$E275&lt;&gt;"",$F275&lt;&gt;"",$G275&lt;&gt;"",$H275&lt;&gt;"",$I275&lt;&gt;""),NOT(ISNUMBER($O275))),1,"")</f>
        <v/>
      </c>
    </row>
    <row r="276" ht="18" customHeight="1">
      <c r="A276" s="26" t="n"/>
      <c r="B276" s="18" t="n"/>
      <c r="C276" s="18" t="n"/>
      <c r="D276" s="20">
        <f>IF($P276="","",IFERROR(INDEX('得意先'!$C$5:$C$104,MATCH($P276,'得意先'!$B$5:$B$104,0))&amp;"","※得意先にないコード"))</f>
        <v/>
      </c>
      <c r="E276" s="27" t="n"/>
      <c r="F276" s="18" t="n"/>
      <c r="G276" s="27" t="n"/>
      <c r="H276" s="27" t="n"/>
      <c r="I276" s="27" t="n"/>
      <c r="J276" s="28">
        <f>IF(NOT(OR($A276&lt;&gt;"",$E276&lt;&gt;"",$F276&lt;&gt;"",$G276&lt;&gt;"",$H276&lt;&gt;"",$I276&lt;&gt;"")),"",N($G276)+N($H276)+N($I276))</f>
        <v/>
      </c>
      <c r="K276" s="28">
        <f>IF(ISNUMBER($O276),INDEX('請求台帳'!$R$5:$R$1004,$O276),"")</f>
        <v/>
      </c>
      <c r="L276" s="20">
        <f>IF(NOT(OR($A276&lt;&gt;"",$E276&lt;&gt;"",$F276&lt;&gt;"",$G276&lt;&gt;"",$H276&lt;&gt;"",$I276&lt;&gt;"")),"",IF(NOT(ISNUMBER($A276)),"入金日がありません",IF(AND($F276&lt;&gt;"",$O276="なし"),"請求Noが請求台帳にありません",IF(AND(ISNUMBER($O276),$C276&lt;&gt;"",$C276&lt;&gt;$P276),"請求の得意先は "&amp;$P276&amp;" です",IF(ROUND(IF($B276&lt;&gt;"",SUMIF($B$5:$B$1004,$B276,$E$5:$E$1004)-SUMIF($B$5:$B$1004,$B276,$G$5:$G$1004),N($E276)-N($G276)),0)&lt;&gt;0,"通帳の額と当てた額の差 "&amp;TEXT(IF($B276&lt;&gt;"",SUMIF($B$5:$B$1004,$B276,$E$5:$E$1004)-SUMIF($B$5:$B$1004,$B276,$G$5:$G$1004),N($E276)-N($G276)),"#,##0"),IF(AND(ISNUMBER($O276),N($K276)&lt;0),"請求額より多く消し込んでいます",IF($F276="","消込先が未定","OK")))))))</f>
        <v/>
      </c>
      <c r="M276" s="19" t="n"/>
      <c r="N276" s="56" t="n"/>
      <c r="O276" s="32">
        <f>IF($F276="","",IFERROR(MATCH($F276,'請求台帳'!$A$5:$A$1004,0),"なし"))</f>
        <v/>
      </c>
      <c r="P276" s="37">
        <f>IF(NOT(OR($A276&lt;&gt;"",$E276&lt;&gt;"",$F276&lt;&gt;"",$G276&lt;&gt;"",$H276&lt;&gt;"",$I276&lt;&gt;"")),"",IF(ISNUMBER($O276),IF(INDEX('請求台帳'!$C$5:$C$1004,$O276)="","",INDEX('請求台帳'!$C$5:$C$1004,$O276)),IF($C276="","",$C276)))</f>
        <v/>
      </c>
      <c r="Q276" s="35">
        <f>IF(OR(NOT(OR($A276&lt;&gt;"",$E276&lt;&gt;"",$F276&lt;&gt;"",$G276&lt;&gt;"",$H276&lt;&gt;"",$I276&lt;&gt;"")),$P276="",$P276&lt;&gt;'売掛帳'!$B$3,NOT(ISNUMBER($A276)),N($G276)+N($H276)+N($I276)=0),"",IF(AND($A276&gt;='売掛帳'!$Q$3,$A276&lt;='売掛帳'!$Q$4),$A276+0.5+ROW()/10000000,""))</f>
        <v/>
      </c>
      <c r="R276" s="32">
        <f>IF(AND(OR($A276&lt;&gt;"",$E276&lt;&gt;"",$F276&lt;&gt;"",$G276&lt;&gt;"",$H276&lt;&gt;"",$I276&lt;&gt;""),NOT(ISNUMBER($O276))),1,"")</f>
        <v/>
      </c>
    </row>
    <row r="277" ht="18" customHeight="1">
      <c r="A277" s="26" t="n"/>
      <c r="B277" s="18" t="n"/>
      <c r="C277" s="18" t="n"/>
      <c r="D277" s="20">
        <f>IF($P277="","",IFERROR(INDEX('得意先'!$C$5:$C$104,MATCH($P277,'得意先'!$B$5:$B$104,0))&amp;"","※得意先にないコード"))</f>
        <v/>
      </c>
      <c r="E277" s="27" t="n"/>
      <c r="F277" s="18" t="n"/>
      <c r="G277" s="27" t="n"/>
      <c r="H277" s="27" t="n"/>
      <c r="I277" s="27" t="n"/>
      <c r="J277" s="28">
        <f>IF(NOT(OR($A277&lt;&gt;"",$E277&lt;&gt;"",$F277&lt;&gt;"",$G277&lt;&gt;"",$H277&lt;&gt;"",$I277&lt;&gt;"")),"",N($G277)+N($H277)+N($I277))</f>
        <v/>
      </c>
      <c r="K277" s="28">
        <f>IF(ISNUMBER($O277),INDEX('請求台帳'!$R$5:$R$1004,$O277),"")</f>
        <v/>
      </c>
      <c r="L277" s="20">
        <f>IF(NOT(OR($A277&lt;&gt;"",$E277&lt;&gt;"",$F277&lt;&gt;"",$G277&lt;&gt;"",$H277&lt;&gt;"",$I277&lt;&gt;"")),"",IF(NOT(ISNUMBER($A277)),"入金日がありません",IF(AND($F277&lt;&gt;"",$O277="なし"),"請求Noが請求台帳にありません",IF(AND(ISNUMBER($O277),$C277&lt;&gt;"",$C277&lt;&gt;$P277),"請求の得意先は "&amp;$P277&amp;" です",IF(ROUND(IF($B277&lt;&gt;"",SUMIF($B$5:$B$1004,$B277,$E$5:$E$1004)-SUMIF($B$5:$B$1004,$B277,$G$5:$G$1004),N($E277)-N($G277)),0)&lt;&gt;0,"通帳の額と当てた額の差 "&amp;TEXT(IF($B277&lt;&gt;"",SUMIF($B$5:$B$1004,$B277,$E$5:$E$1004)-SUMIF($B$5:$B$1004,$B277,$G$5:$G$1004),N($E277)-N($G277)),"#,##0"),IF(AND(ISNUMBER($O277),N($K277)&lt;0),"請求額より多く消し込んでいます",IF($F277="","消込先が未定","OK")))))))</f>
        <v/>
      </c>
      <c r="M277" s="19" t="n"/>
      <c r="N277" s="56" t="n"/>
      <c r="O277" s="32">
        <f>IF($F277="","",IFERROR(MATCH($F277,'請求台帳'!$A$5:$A$1004,0),"なし"))</f>
        <v/>
      </c>
      <c r="P277" s="37">
        <f>IF(NOT(OR($A277&lt;&gt;"",$E277&lt;&gt;"",$F277&lt;&gt;"",$G277&lt;&gt;"",$H277&lt;&gt;"",$I277&lt;&gt;"")),"",IF(ISNUMBER($O277),IF(INDEX('請求台帳'!$C$5:$C$1004,$O277)="","",INDEX('請求台帳'!$C$5:$C$1004,$O277)),IF($C277="","",$C277)))</f>
        <v/>
      </c>
      <c r="Q277" s="35">
        <f>IF(OR(NOT(OR($A277&lt;&gt;"",$E277&lt;&gt;"",$F277&lt;&gt;"",$G277&lt;&gt;"",$H277&lt;&gt;"",$I277&lt;&gt;"")),$P277="",$P277&lt;&gt;'売掛帳'!$B$3,NOT(ISNUMBER($A277)),N($G277)+N($H277)+N($I277)=0),"",IF(AND($A277&gt;='売掛帳'!$Q$3,$A277&lt;='売掛帳'!$Q$4),$A277+0.5+ROW()/10000000,""))</f>
        <v/>
      </c>
      <c r="R277" s="32">
        <f>IF(AND(OR($A277&lt;&gt;"",$E277&lt;&gt;"",$F277&lt;&gt;"",$G277&lt;&gt;"",$H277&lt;&gt;"",$I277&lt;&gt;""),NOT(ISNUMBER($O277))),1,"")</f>
        <v/>
      </c>
    </row>
    <row r="278" ht="18" customHeight="1">
      <c r="A278" s="26" t="n"/>
      <c r="B278" s="18" t="n"/>
      <c r="C278" s="18" t="n"/>
      <c r="D278" s="20">
        <f>IF($P278="","",IFERROR(INDEX('得意先'!$C$5:$C$104,MATCH($P278,'得意先'!$B$5:$B$104,0))&amp;"","※得意先にないコード"))</f>
        <v/>
      </c>
      <c r="E278" s="27" t="n"/>
      <c r="F278" s="18" t="n"/>
      <c r="G278" s="27" t="n"/>
      <c r="H278" s="27" t="n"/>
      <c r="I278" s="27" t="n"/>
      <c r="J278" s="28">
        <f>IF(NOT(OR($A278&lt;&gt;"",$E278&lt;&gt;"",$F278&lt;&gt;"",$G278&lt;&gt;"",$H278&lt;&gt;"",$I278&lt;&gt;"")),"",N($G278)+N($H278)+N($I278))</f>
        <v/>
      </c>
      <c r="K278" s="28">
        <f>IF(ISNUMBER($O278),INDEX('請求台帳'!$R$5:$R$1004,$O278),"")</f>
        <v/>
      </c>
      <c r="L278" s="20">
        <f>IF(NOT(OR($A278&lt;&gt;"",$E278&lt;&gt;"",$F278&lt;&gt;"",$G278&lt;&gt;"",$H278&lt;&gt;"",$I278&lt;&gt;"")),"",IF(NOT(ISNUMBER($A278)),"入金日がありません",IF(AND($F278&lt;&gt;"",$O278="なし"),"請求Noが請求台帳にありません",IF(AND(ISNUMBER($O278),$C278&lt;&gt;"",$C278&lt;&gt;$P278),"請求の得意先は "&amp;$P278&amp;" です",IF(ROUND(IF($B278&lt;&gt;"",SUMIF($B$5:$B$1004,$B278,$E$5:$E$1004)-SUMIF($B$5:$B$1004,$B278,$G$5:$G$1004),N($E278)-N($G278)),0)&lt;&gt;0,"通帳の額と当てた額の差 "&amp;TEXT(IF($B278&lt;&gt;"",SUMIF($B$5:$B$1004,$B278,$E$5:$E$1004)-SUMIF($B$5:$B$1004,$B278,$G$5:$G$1004),N($E278)-N($G278)),"#,##0"),IF(AND(ISNUMBER($O278),N($K278)&lt;0),"請求額より多く消し込んでいます",IF($F278="","消込先が未定","OK")))))))</f>
        <v/>
      </c>
      <c r="M278" s="19" t="n"/>
      <c r="N278" s="56" t="n"/>
      <c r="O278" s="32">
        <f>IF($F278="","",IFERROR(MATCH($F278,'請求台帳'!$A$5:$A$1004,0),"なし"))</f>
        <v/>
      </c>
      <c r="P278" s="37">
        <f>IF(NOT(OR($A278&lt;&gt;"",$E278&lt;&gt;"",$F278&lt;&gt;"",$G278&lt;&gt;"",$H278&lt;&gt;"",$I278&lt;&gt;"")),"",IF(ISNUMBER($O278),IF(INDEX('請求台帳'!$C$5:$C$1004,$O278)="","",INDEX('請求台帳'!$C$5:$C$1004,$O278)),IF($C278="","",$C278)))</f>
        <v/>
      </c>
      <c r="Q278" s="35">
        <f>IF(OR(NOT(OR($A278&lt;&gt;"",$E278&lt;&gt;"",$F278&lt;&gt;"",$G278&lt;&gt;"",$H278&lt;&gt;"",$I278&lt;&gt;"")),$P278="",$P278&lt;&gt;'売掛帳'!$B$3,NOT(ISNUMBER($A278)),N($G278)+N($H278)+N($I278)=0),"",IF(AND($A278&gt;='売掛帳'!$Q$3,$A278&lt;='売掛帳'!$Q$4),$A278+0.5+ROW()/10000000,""))</f>
        <v/>
      </c>
      <c r="R278" s="32">
        <f>IF(AND(OR($A278&lt;&gt;"",$E278&lt;&gt;"",$F278&lt;&gt;"",$G278&lt;&gt;"",$H278&lt;&gt;"",$I278&lt;&gt;""),NOT(ISNUMBER($O278))),1,"")</f>
        <v/>
      </c>
    </row>
    <row r="279" ht="18" customHeight="1">
      <c r="A279" s="26" t="n"/>
      <c r="B279" s="18" t="n"/>
      <c r="C279" s="18" t="n"/>
      <c r="D279" s="20">
        <f>IF($P279="","",IFERROR(INDEX('得意先'!$C$5:$C$104,MATCH($P279,'得意先'!$B$5:$B$104,0))&amp;"","※得意先にないコード"))</f>
        <v/>
      </c>
      <c r="E279" s="27" t="n"/>
      <c r="F279" s="18" t="n"/>
      <c r="G279" s="27" t="n"/>
      <c r="H279" s="27" t="n"/>
      <c r="I279" s="27" t="n"/>
      <c r="J279" s="28">
        <f>IF(NOT(OR($A279&lt;&gt;"",$E279&lt;&gt;"",$F279&lt;&gt;"",$G279&lt;&gt;"",$H279&lt;&gt;"",$I279&lt;&gt;"")),"",N($G279)+N($H279)+N($I279))</f>
        <v/>
      </c>
      <c r="K279" s="28">
        <f>IF(ISNUMBER($O279),INDEX('請求台帳'!$R$5:$R$1004,$O279),"")</f>
        <v/>
      </c>
      <c r="L279" s="20">
        <f>IF(NOT(OR($A279&lt;&gt;"",$E279&lt;&gt;"",$F279&lt;&gt;"",$G279&lt;&gt;"",$H279&lt;&gt;"",$I279&lt;&gt;"")),"",IF(NOT(ISNUMBER($A279)),"入金日がありません",IF(AND($F279&lt;&gt;"",$O279="なし"),"請求Noが請求台帳にありません",IF(AND(ISNUMBER($O279),$C279&lt;&gt;"",$C279&lt;&gt;$P279),"請求の得意先は "&amp;$P279&amp;" です",IF(ROUND(IF($B279&lt;&gt;"",SUMIF($B$5:$B$1004,$B279,$E$5:$E$1004)-SUMIF($B$5:$B$1004,$B279,$G$5:$G$1004),N($E279)-N($G279)),0)&lt;&gt;0,"通帳の額と当てた額の差 "&amp;TEXT(IF($B279&lt;&gt;"",SUMIF($B$5:$B$1004,$B279,$E$5:$E$1004)-SUMIF($B$5:$B$1004,$B279,$G$5:$G$1004),N($E279)-N($G279)),"#,##0"),IF(AND(ISNUMBER($O279),N($K279)&lt;0),"請求額より多く消し込んでいます",IF($F279="","消込先が未定","OK")))))))</f>
        <v/>
      </c>
      <c r="M279" s="19" t="n"/>
      <c r="N279" s="56" t="n"/>
      <c r="O279" s="32">
        <f>IF($F279="","",IFERROR(MATCH($F279,'請求台帳'!$A$5:$A$1004,0),"なし"))</f>
        <v/>
      </c>
      <c r="P279" s="37">
        <f>IF(NOT(OR($A279&lt;&gt;"",$E279&lt;&gt;"",$F279&lt;&gt;"",$G279&lt;&gt;"",$H279&lt;&gt;"",$I279&lt;&gt;"")),"",IF(ISNUMBER($O279),IF(INDEX('請求台帳'!$C$5:$C$1004,$O279)="","",INDEX('請求台帳'!$C$5:$C$1004,$O279)),IF($C279="","",$C279)))</f>
        <v/>
      </c>
      <c r="Q279" s="35">
        <f>IF(OR(NOT(OR($A279&lt;&gt;"",$E279&lt;&gt;"",$F279&lt;&gt;"",$G279&lt;&gt;"",$H279&lt;&gt;"",$I279&lt;&gt;"")),$P279="",$P279&lt;&gt;'売掛帳'!$B$3,NOT(ISNUMBER($A279)),N($G279)+N($H279)+N($I279)=0),"",IF(AND($A279&gt;='売掛帳'!$Q$3,$A279&lt;='売掛帳'!$Q$4),$A279+0.5+ROW()/10000000,""))</f>
        <v/>
      </c>
      <c r="R279" s="32">
        <f>IF(AND(OR($A279&lt;&gt;"",$E279&lt;&gt;"",$F279&lt;&gt;"",$G279&lt;&gt;"",$H279&lt;&gt;"",$I279&lt;&gt;""),NOT(ISNUMBER($O279))),1,"")</f>
        <v/>
      </c>
    </row>
    <row r="280" ht="18" customHeight="1">
      <c r="A280" s="26" t="n"/>
      <c r="B280" s="18" t="n"/>
      <c r="C280" s="18" t="n"/>
      <c r="D280" s="20">
        <f>IF($P280="","",IFERROR(INDEX('得意先'!$C$5:$C$104,MATCH($P280,'得意先'!$B$5:$B$104,0))&amp;"","※得意先にないコード"))</f>
        <v/>
      </c>
      <c r="E280" s="27" t="n"/>
      <c r="F280" s="18" t="n"/>
      <c r="G280" s="27" t="n"/>
      <c r="H280" s="27" t="n"/>
      <c r="I280" s="27" t="n"/>
      <c r="J280" s="28">
        <f>IF(NOT(OR($A280&lt;&gt;"",$E280&lt;&gt;"",$F280&lt;&gt;"",$G280&lt;&gt;"",$H280&lt;&gt;"",$I280&lt;&gt;"")),"",N($G280)+N($H280)+N($I280))</f>
        <v/>
      </c>
      <c r="K280" s="28">
        <f>IF(ISNUMBER($O280),INDEX('請求台帳'!$R$5:$R$1004,$O280),"")</f>
        <v/>
      </c>
      <c r="L280" s="20">
        <f>IF(NOT(OR($A280&lt;&gt;"",$E280&lt;&gt;"",$F280&lt;&gt;"",$G280&lt;&gt;"",$H280&lt;&gt;"",$I280&lt;&gt;"")),"",IF(NOT(ISNUMBER($A280)),"入金日がありません",IF(AND($F280&lt;&gt;"",$O280="なし"),"請求Noが請求台帳にありません",IF(AND(ISNUMBER($O280),$C280&lt;&gt;"",$C280&lt;&gt;$P280),"請求の得意先は "&amp;$P280&amp;" です",IF(ROUND(IF($B280&lt;&gt;"",SUMIF($B$5:$B$1004,$B280,$E$5:$E$1004)-SUMIF($B$5:$B$1004,$B280,$G$5:$G$1004),N($E280)-N($G280)),0)&lt;&gt;0,"通帳の額と当てた額の差 "&amp;TEXT(IF($B280&lt;&gt;"",SUMIF($B$5:$B$1004,$B280,$E$5:$E$1004)-SUMIF($B$5:$B$1004,$B280,$G$5:$G$1004),N($E280)-N($G280)),"#,##0"),IF(AND(ISNUMBER($O280),N($K280)&lt;0),"請求額より多く消し込んでいます",IF($F280="","消込先が未定","OK")))))))</f>
        <v/>
      </c>
      <c r="M280" s="19" t="n"/>
      <c r="N280" s="56" t="n"/>
      <c r="O280" s="32">
        <f>IF($F280="","",IFERROR(MATCH($F280,'請求台帳'!$A$5:$A$1004,0),"なし"))</f>
        <v/>
      </c>
      <c r="P280" s="37">
        <f>IF(NOT(OR($A280&lt;&gt;"",$E280&lt;&gt;"",$F280&lt;&gt;"",$G280&lt;&gt;"",$H280&lt;&gt;"",$I280&lt;&gt;"")),"",IF(ISNUMBER($O280),IF(INDEX('請求台帳'!$C$5:$C$1004,$O280)="","",INDEX('請求台帳'!$C$5:$C$1004,$O280)),IF($C280="","",$C280)))</f>
        <v/>
      </c>
      <c r="Q280" s="35">
        <f>IF(OR(NOT(OR($A280&lt;&gt;"",$E280&lt;&gt;"",$F280&lt;&gt;"",$G280&lt;&gt;"",$H280&lt;&gt;"",$I280&lt;&gt;"")),$P280="",$P280&lt;&gt;'売掛帳'!$B$3,NOT(ISNUMBER($A280)),N($G280)+N($H280)+N($I280)=0),"",IF(AND($A280&gt;='売掛帳'!$Q$3,$A280&lt;='売掛帳'!$Q$4),$A280+0.5+ROW()/10000000,""))</f>
        <v/>
      </c>
      <c r="R280" s="32">
        <f>IF(AND(OR($A280&lt;&gt;"",$E280&lt;&gt;"",$F280&lt;&gt;"",$G280&lt;&gt;"",$H280&lt;&gt;"",$I280&lt;&gt;""),NOT(ISNUMBER($O280))),1,"")</f>
        <v/>
      </c>
    </row>
    <row r="281" ht="18" customHeight="1">
      <c r="A281" s="26" t="n"/>
      <c r="B281" s="18" t="n"/>
      <c r="C281" s="18" t="n"/>
      <c r="D281" s="20">
        <f>IF($P281="","",IFERROR(INDEX('得意先'!$C$5:$C$104,MATCH($P281,'得意先'!$B$5:$B$104,0))&amp;"","※得意先にないコード"))</f>
        <v/>
      </c>
      <c r="E281" s="27" t="n"/>
      <c r="F281" s="18" t="n"/>
      <c r="G281" s="27" t="n"/>
      <c r="H281" s="27" t="n"/>
      <c r="I281" s="27" t="n"/>
      <c r="J281" s="28">
        <f>IF(NOT(OR($A281&lt;&gt;"",$E281&lt;&gt;"",$F281&lt;&gt;"",$G281&lt;&gt;"",$H281&lt;&gt;"",$I281&lt;&gt;"")),"",N($G281)+N($H281)+N($I281))</f>
        <v/>
      </c>
      <c r="K281" s="28">
        <f>IF(ISNUMBER($O281),INDEX('請求台帳'!$R$5:$R$1004,$O281),"")</f>
        <v/>
      </c>
      <c r="L281" s="20">
        <f>IF(NOT(OR($A281&lt;&gt;"",$E281&lt;&gt;"",$F281&lt;&gt;"",$G281&lt;&gt;"",$H281&lt;&gt;"",$I281&lt;&gt;"")),"",IF(NOT(ISNUMBER($A281)),"入金日がありません",IF(AND($F281&lt;&gt;"",$O281="なし"),"請求Noが請求台帳にありません",IF(AND(ISNUMBER($O281),$C281&lt;&gt;"",$C281&lt;&gt;$P281),"請求の得意先は "&amp;$P281&amp;" です",IF(ROUND(IF($B281&lt;&gt;"",SUMIF($B$5:$B$1004,$B281,$E$5:$E$1004)-SUMIF($B$5:$B$1004,$B281,$G$5:$G$1004),N($E281)-N($G281)),0)&lt;&gt;0,"通帳の額と当てた額の差 "&amp;TEXT(IF($B281&lt;&gt;"",SUMIF($B$5:$B$1004,$B281,$E$5:$E$1004)-SUMIF($B$5:$B$1004,$B281,$G$5:$G$1004),N($E281)-N($G281)),"#,##0"),IF(AND(ISNUMBER($O281),N($K281)&lt;0),"請求額より多く消し込んでいます",IF($F281="","消込先が未定","OK")))))))</f>
        <v/>
      </c>
      <c r="M281" s="19" t="n"/>
      <c r="N281" s="56" t="n"/>
      <c r="O281" s="32">
        <f>IF($F281="","",IFERROR(MATCH($F281,'請求台帳'!$A$5:$A$1004,0),"なし"))</f>
        <v/>
      </c>
      <c r="P281" s="37">
        <f>IF(NOT(OR($A281&lt;&gt;"",$E281&lt;&gt;"",$F281&lt;&gt;"",$G281&lt;&gt;"",$H281&lt;&gt;"",$I281&lt;&gt;"")),"",IF(ISNUMBER($O281),IF(INDEX('請求台帳'!$C$5:$C$1004,$O281)="","",INDEX('請求台帳'!$C$5:$C$1004,$O281)),IF($C281="","",$C281)))</f>
        <v/>
      </c>
      <c r="Q281" s="35">
        <f>IF(OR(NOT(OR($A281&lt;&gt;"",$E281&lt;&gt;"",$F281&lt;&gt;"",$G281&lt;&gt;"",$H281&lt;&gt;"",$I281&lt;&gt;"")),$P281="",$P281&lt;&gt;'売掛帳'!$B$3,NOT(ISNUMBER($A281)),N($G281)+N($H281)+N($I281)=0),"",IF(AND($A281&gt;='売掛帳'!$Q$3,$A281&lt;='売掛帳'!$Q$4),$A281+0.5+ROW()/10000000,""))</f>
        <v/>
      </c>
      <c r="R281" s="32">
        <f>IF(AND(OR($A281&lt;&gt;"",$E281&lt;&gt;"",$F281&lt;&gt;"",$G281&lt;&gt;"",$H281&lt;&gt;"",$I281&lt;&gt;""),NOT(ISNUMBER($O281))),1,"")</f>
        <v/>
      </c>
    </row>
    <row r="282" ht="18" customHeight="1">
      <c r="A282" s="26" t="n"/>
      <c r="B282" s="18" t="n"/>
      <c r="C282" s="18" t="n"/>
      <c r="D282" s="20">
        <f>IF($P282="","",IFERROR(INDEX('得意先'!$C$5:$C$104,MATCH($P282,'得意先'!$B$5:$B$104,0))&amp;"","※得意先にないコード"))</f>
        <v/>
      </c>
      <c r="E282" s="27" t="n"/>
      <c r="F282" s="18" t="n"/>
      <c r="G282" s="27" t="n"/>
      <c r="H282" s="27" t="n"/>
      <c r="I282" s="27" t="n"/>
      <c r="J282" s="28">
        <f>IF(NOT(OR($A282&lt;&gt;"",$E282&lt;&gt;"",$F282&lt;&gt;"",$G282&lt;&gt;"",$H282&lt;&gt;"",$I282&lt;&gt;"")),"",N($G282)+N($H282)+N($I282))</f>
        <v/>
      </c>
      <c r="K282" s="28">
        <f>IF(ISNUMBER($O282),INDEX('請求台帳'!$R$5:$R$1004,$O282),"")</f>
        <v/>
      </c>
      <c r="L282" s="20">
        <f>IF(NOT(OR($A282&lt;&gt;"",$E282&lt;&gt;"",$F282&lt;&gt;"",$G282&lt;&gt;"",$H282&lt;&gt;"",$I282&lt;&gt;"")),"",IF(NOT(ISNUMBER($A282)),"入金日がありません",IF(AND($F282&lt;&gt;"",$O282="なし"),"請求Noが請求台帳にありません",IF(AND(ISNUMBER($O282),$C282&lt;&gt;"",$C282&lt;&gt;$P282),"請求の得意先は "&amp;$P282&amp;" です",IF(ROUND(IF($B282&lt;&gt;"",SUMIF($B$5:$B$1004,$B282,$E$5:$E$1004)-SUMIF($B$5:$B$1004,$B282,$G$5:$G$1004),N($E282)-N($G282)),0)&lt;&gt;0,"通帳の額と当てた額の差 "&amp;TEXT(IF($B282&lt;&gt;"",SUMIF($B$5:$B$1004,$B282,$E$5:$E$1004)-SUMIF($B$5:$B$1004,$B282,$G$5:$G$1004),N($E282)-N($G282)),"#,##0"),IF(AND(ISNUMBER($O282),N($K282)&lt;0),"請求額より多く消し込んでいます",IF($F282="","消込先が未定","OK")))))))</f>
        <v/>
      </c>
      <c r="M282" s="19" t="n"/>
      <c r="N282" s="56" t="n"/>
      <c r="O282" s="32">
        <f>IF($F282="","",IFERROR(MATCH($F282,'請求台帳'!$A$5:$A$1004,0),"なし"))</f>
        <v/>
      </c>
      <c r="P282" s="37">
        <f>IF(NOT(OR($A282&lt;&gt;"",$E282&lt;&gt;"",$F282&lt;&gt;"",$G282&lt;&gt;"",$H282&lt;&gt;"",$I282&lt;&gt;"")),"",IF(ISNUMBER($O282),IF(INDEX('請求台帳'!$C$5:$C$1004,$O282)="","",INDEX('請求台帳'!$C$5:$C$1004,$O282)),IF($C282="","",$C282)))</f>
        <v/>
      </c>
      <c r="Q282" s="35">
        <f>IF(OR(NOT(OR($A282&lt;&gt;"",$E282&lt;&gt;"",$F282&lt;&gt;"",$G282&lt;&gt;"",$H282&lt;&gt;"",$I282&lt;&gt;"")),$P282="",$P282&lt;&gt;'売掛帳'!$B$3,NOT(ISNUMBER($A282)),N($G282)+N($H282)+N($I282)=0),"",IF(AND($A282&gt;='売掛帳'!$Q$3,$A282&lt;='売掛帳'!$Q$4),$A282+0.5+ROW()/10000000,""))</f>
        <v/>
      </c>
      <c r="R282" s="32">
        <f>IF(AND(OR($A282&lt;&gt;"",$E282&lt;&gt;"",$F282&lt;&gt;"",$G282&lt;&gt;"",$H282&lt;&gt;"",$I282&lt;&gt;""),NOT(ISNUMBER($O282))),1,"")</f>
        <v/>
      </c>
    </row>
    <row r="283" ht="18" customHeight="1">
      <c r="A283" s="26" t="n"/>
      <c r="B283" s="18" t="n"/>
      <c r="C283" s="18" t="n"/>
      <c r="D283" s="20">
        <f>IF($P283="","",IFERROR(INDEX('得意先'!$C$5:$C$104,MATCH($P283,'得意先'!$B$5:$B$104,0))&amp;"","※得意先にないコード"))</f>
        <v/>
      </c>
      <c r="E283" s="27" t="n"/>
      <c r="F283" s="18" t="n"/>
      <c r="G283" s="27" t="n"/>
      <c r="H283" s="27" t="n"/>
      <c r="I283" s="27" t="n"/>
      <c r="J283" s="28">
        <f>IF(NOT(OR($A283&lt;&gt;"",$E283&lt;&gt;"",$F283&lt;&gt;"",$G283&lt;&gt;"",$H283&lt;&gt;"",$I283&lt;&gt;"")),"",N($G283)+N($H283)+N($I283))</f>
        <v/>
      </c>
      <c r="K283" s="28">
        <f>IF(ISNUMBER($O283),INDEX('請求台帳'!$R$5:$R$1004,$O283),"")</f>
        <v/>
      </c>
      <c r="L283" s="20">
        <f>IF(NOT(OR($A283&lt;&gt;"",$E283&lt;&gt;"",$F283&lt;&gt;"",$G283&lt;&gt;"",$H283&lt;&gt;"",$I283&lt;&gt;"")),"",IF(NOT(ISNUMBER($A283)),"入金日がありません",IF(AND($F283&lt;&gt;"",$O283="なし"),"請求Noが請求台帳にありません",IF(AND(ISNUMBER($O283),$C283&lt;&gt;"",$C283&lt;&gt;$P283),"請求の得意先は "&amp;$P283&amp;" です",IF(ROUND(IF($B283&lt;&gt;"",SUMIF($B$5:$B$1004,$B283,$E$5:$E$1004)-SUMIF($B$5:$B$1004,$B283,$G$5:$G$1004),N($E283)-N($G283)),0)&lt;&gt;0,"通帳の額と当てた額の差 "&amp;TEXT(IF($B283&lt;&gt;"",SUMIF($B$5:$B$1004,$B283,$E$5:$E$1004)-SUMIF($B$5:$B$1004,$B283,$G$5:$G$1004),N($E283)-N($G283)),"#,##0"),IF(AND(ISNUMBER($O283),N($K283)&lt;0),"請求額より多く消し込んでいます",IF($F283="","消込先が未定","OK")))))))</f>
        <v/>
      </c>
      <c r="M283" s="19" t="n"/>
      <c r="N283" s="56" t="n"/>
      <c r="O283" s="32">
        <f>IF($F283="","",IFERROR(MATCH($F283,'請求台帳'!$A$5:$A$1004,0),"なし"))</f>
        <v/>
      </c>
      <c r="P283" s="37">
        <f>IF(NOT(OR($A283&lt;&gt;"",$E283&lt;&gt;"",$F283&lt;&gt;"",$G283&lt;&gt;"",$H283&lt;&gt;"",$I283&lt;&gt;"")),"",IF(ISNUMBER($O283),IF(INDEX('請求台帳'!$C$5:$C$1004,$O283)="","",INDEX('請求台帳'!$C$5:$C$1004,$O283)),IF($C283="","",$C283)))</f>
        <v/>
      </c>
      <c r="Q283" s="35">
        <f>IF(OR(NOT(OR($A283&lt;&gt;"",$E283&lt;&gt;"",$F283&lt;&gt;"",$G283&lt;&gt;"",$H283&lt;&gt;"",$I283&lt;&gt;"")),$P283="",$P283&lt;&gt;'売掛帳'!$B$3,NOT(ISNUMBER($A283)),N($G283)+N($H283)+N($I283)=0),"",IF(AND($A283&gt;='売掛帳'!$Q$3,$A283&lt;='売掛帳'!$Q$4),$A283+0.5+ROW()/10000000,""))</f>
        <v/>
      </c>
      <c r="R283" s="32">
        <f>IF(AND(OR($A283&lt;&gt;"",$E283&lt;&gt;"",$F283&lt;&gt;"",$G283&lt;&gt;"",$H283&lt;&gt;"",$I283&lt;&gt;""),NOT(ISNUMBER($O283))),1,"")</f>
        <v/>
      </c>
    </row>
    <row r="284" ht="18" customHeight="1">
      <c r="A284" s="26" t="n"/>
      <c r="B284" s="18" t="n"/>
      <c r="C284" s="18" t="n"/>
      <c r="D284" s="20">
        <f>IF($P284="","",IFERROR(INDEX('得意先'!$C$5:$C$104,MATCH($P284,'得意先'!$B$5:$B$104,0))&amp;"","※得意先にないコード"))</f>
        <v/>
      </c>
      <c r="E284" s="27" t="n"/>
      <c r="F284" s="18" t="n"/>
      <c r="G284" s="27" t="n"/>
      <c r="H284" s="27" t="n"/>
      <c r="I284" s="27" t="n"/>
      <c r="J284" s="28">
        <f>IF(NOT(OR($A284&lt;&gt;"",$E284&lt;&gt;"",$F284&lt;&gt;"",$G284&lt;&gt;"",$H284&lt;&gt;"",$I284&lt;&gt;"")),"",N($G284)+N($H284)+N($I284))</f>
        <v/>
      </c>
      <c r="K284" s="28">
        <f>IF(ISNUMBER($O284),INDEX('請求台帳'!$R$5:$R$1004,$O284),"")</f>
        <v/>
      </c>
      <c r="L284" s="20">
        <f>IF(NOT(OR($A284&lt;&gt;"",$E284&lt;&gt;"",$F284&lt;&gt;"",$G284&lt;&gt;"",$H284&lt;&gt;"",$I284&lt;&gt;"")),"",IF(NOT(ISNUMBER($A284)),"入金日がありません",IF(AND($F284&lt;&gt;"",$O284="なし"),"請求Noが請求台帳にありません",IF(AND(ISNUMBER($O284),$C284&lt;&gt;"",$C284&lt;&gt;$P284),"請求の得意先は "&amp;$P284&amp;" です",IF(ROUND(IF($B284&lt;&gt;"",SUMIF($B$5:$B$1004,$B284,$E$5:$E$1004)-SUMIF($B$5:$B$1004,$B284,$G$5:$G$1004),N($E284)-N($G284)),0)&lt;&gt;0,"通帳の額と当てた額の差 "&amp;TEXT(IF($B284&lt;&gt;"",SUMIF($B$5:$B$1004,$B284,$E$5:$E$1004)-SUMIF($B$5:$B$1004,$B284,$G$5:$G$1004),N($E284)-N($G284)),"#,##0"),IF(AND(ISNUMBER($O284),N($K284)&lt;0),"請求額より多く消し込んでいます",IF($F284="","消込先が未定","OK")))))))</f>
        <v/>
      </c>
      <c r="M284" s="19" t="n"/>
      <c r="N284" s="56" t="n"/>
      <c r="O284" s="32">
        <f>IF($F284="","",IFERROR(MATCH($F284,'請求台帳'!$A$5:$A$1004,0),"なし"))</f>
        <v/>
      </c>
      <c r="P284" s="37">
        <f>IF(NOT(OR($A284&lt;&gt;"",$E284&lt;&gt;"",$F284&lt;&gt;"",$G284&lt;&gt;"",$H284&lt;&gt;"",$I284&lt;&gt;"")),"",IF(ISNUMBER($O284),IF(INDEX('請求台帳'!$C$5:$C$1004,$O284)="","",INDEX('請求台帳'!$C$5:$C$1004,$O284)),IF($C284="","",$C284)))</f>
        <v/>
      </c>
      <c r="Q284" s="35">
        <f>IF(OR(NOT(OR($A284&lt;&gt;"",$E284&lt;&gt;"",$F284&lt;&gt;"",$G284&lt;&gt;"",$H284&lt;&gt;"",$I284&lt;&gt;"")),$P284="",$P284&lt;&gt;'売掛帳'!$B$3,NOT(ISNUMBER($A284)),N($G284)+N($H284)+N($I284)=0),"",IF(AND($A284&gt;='売掛帳'!$Q$3,$A284&lt;='売掛帳'!$Q$4),$A284+0.5+ROW()/10000000,""))</f>
        <v/>
      </c>
      <c r="R284" s="32">
        <f>IF(AND(OR($A284&lt;&gt;"",$E284&lt;&gt;"",$F284&lt;&gt;"",$G284&lt;&gt;"",$H284&lt;&gt;"",$I284&lt;&gt;""),NOT(ISNUMBER($O284))),1,"")</f>
        <v/>
      </c>
    </row>
    <row r="285" ht="18" customHeight="1">
      <c r="A285" s="26" t="n"/>
      <c r="B285" s="18" t="n"/>
      <c r="C285" s="18" t="n"/>
      <c r="D285" s="20">
        <f>IF($P285="","",IFERROR(INDEX('得意先'!$C$5:$C$104,MATCH($P285,'得意先'!$B$5:$B$104,0))&amp;"","※得意先にないコード"))</f>
        <v/>
      </c>
      <c r="E285" s="27" t="n"/>
      <c r="F285" s="18" t="n"/>
      <c r="G285" s="27" t="n"/>
      <c r="H285" s="27" t="n"/>
      <c r="I285" s="27" t="n"/>
      <c r="J285" s="28">
        <f>IF(NOT(OR($A285&lt;&gt;"",$E285&lt;&gt;"",$F285&lt;&gt;"",$G285&lt;&gt;"",$H285&lt;&gt;"",$I285&lt;&gt;"")),"",N($G285)+N($H285)+N($I285))</f>
        <v/>
      </c>
      <c r="K285" s="28">
        <f>IF(ISNUMBER($O285),INDEX('請求台帳'!$R$5:$R$1004,$O285),"")</f>
        <v/>
      </c>
      <c r="L285" s="20">
        <f>IF(NOT(OR($A285&lt;&gt;"",$E285&lt;&gt;"",$F285&lt;&gt;"",$G285&lt;&gt;"",$H285&lt;&gt;"",$I285&lt;&gt;"")),"",IF(NOT(ISNUMBER($A285)),"入金日がありません",IF(AND($F285&lt;&gt;"",$O285="なし"),"請求Noが請求台帳にありません",IF(AND(ISNUMBER($O285),$C285&lt;&gt;"",$C285&lt;&gt;$P285),"請求の得意先は "&amp;$P285&amp;" です",IF(ROUND(IF($B285&lt;&gt;"",SUMIF($B$5:$B$1004,$B285,$E$5:$E$1004)-SUMIF($B$5:$B$1004,$B285,$G$5:$G$1004),N($E285)-N($G285)),0)&lt;&gt;0,"通帳の額と当てた額の差 "&amp;TEXT(IF($B285&lt;&gt;"",SUMIF($B$5:$B$1004,$B285,$E$5:$E$1004)-SUMIF($B$5:$B$1004,$B285,$G$5:$G$1004),N($E285)-N($G285)),"#,##0"),IF(AND(ISNUMBER($O285),N($K285)&lt;0),"請求額より多く消し込んでいます",IF($F285="","消込先が未定","OK")))))))</f>
        <v/>
      </c>
      <c r="M285" s="19" t="n"/>
      <c r="N285" s="56" t="n"/>
      <c r="O285" s="32">
        <f>IF($F285="","",IFERROR(MATCH($F285,'請求台帳'!$A$5:$A$1004,0),"なし"))</f>
        <v/>
      </c>
      <c r="P285" s="37">
        <f>IF(NOT(OR($A285&lt;&gt;"",$E285&lt;&gt;"",$F285&lt;&gt;"",$G285&lt;&gt;"",$H285&lt;&gt;"",$I285&lt;&gt;"")),"",IF(ISNUMBER($O285),IF(INDEX('請求台帳'!$C$5:$C$1004,$O285)="","",INDEX('請求台帳'!$C$5:$C$1004,$O285)),IF($C285="","",$C285)))</f>
        <v/>
      </c>
      <c r="Q285" s="35">
        <f>IF(OR(NOT(OR($A285&lt;&gt;"",$E285&lt;&gt;"",$F285&lt;&gt;"",$G285&lt;&gt;"",$H285&lt;&gt;"",$I285&lt;&gt;"")),$P285="",$P285&lt;&gt;'売掛帳'!$B$3,NOT(ISNUMBER($A285)),N($G285)+N($H285)+N($I285)=0),"",IF(AND($A285&gt;='売掛帳'!$Q$3,$A285&lt;='売掛帳'!$Q$4),$A285+0.5+ROW()/10000000,""))</f>
        <v/>
      </c>
      <c r="R285" s="32">
        <f>IF(AND(OR($A285&lt;&gt;"",$E285&lt;&gt;"",$F285&lt;&gt;"",$G285&lt;&gt;"",$H285&lt;&gt;"",$I285&lt;&gt;""),NOT(ISNUMBER($O285))),1,"")</f>
        <v/>
      </c>
    </row>
    <row r="286" ht="18" customHeight="1">
      <c r="A286" s="26" t="n"/>
      <c r="B286" s="18" t="n"/>
      <c r="C286" s="18" t="n"/>
      <c r="D286" s="20">
        <f>IF($P286="","",IFERROR(INDEX('得意先'!$C$5:$C$104,MATCH($P286,'得意先'!$B$5:$B$104,0))&amp;"","※得意先にないコード"))</f>
        <v/>
      </c>
      <c r="E286" s="27" t="n"/>
      <c r="F286" s="18" t="n"/>
      <c r="G286" s="27" t="n"/>
      <c r="H286" s="27" t="n"/>
      <c r="I286" s="27" t="n"/>
      <c r="J286" s="28">
        <f>IF(NOT(OR($A286&lt;&gt;"",$E286&lt;&gt;"",$F286&lt;&gt;"",$G286&lt;&gt;"",$H286&lt;&gt;"",$I286&lt;&gt;"")),"",N($G286)+N($H286)+N($I286))</f>
        <v/>
      </c>
      <c r="K286" s="28">
        <f>IF(ISNUMBER($O286),INDEX('請求台帳'!$R$5:$R$1004,$O286),"")</f>
        <v/>
      </c>
      <c r="L286" s="20">
        <f>IF(NOT(OR($A286&lt;&gt;"",$E286&lt;&gt;"",$F286&lt;&gt;"",$G286&lt;&gt;"",$H286&lt;&gt;"",$I286&lt;&gt;"")),"",IF(NOT(ISNUMBER($A286)),"入金日がありません",IF(AND($F286&lt;&gt;"",$O286="なし"),"請求Noが請求台帳にありません",IF(AND(ISNUMBER($O286),$C286&lt;&gt;"",$C286&lt;&gt;$P286),"請求の得意先は "&amp;$P286&amp;" です",IF(ROUND(IF($B286&lt;&gt;"",SUMIF($B$5:$B$1004,$B286,$E$5:$E$1004)-SUMIF($B$5:$B$1004,$B286,$G$5:$G$1004),N($E286)-N($G286)),0)&lt;&gt;0,"通帳の額と当てた額の差 "&amp;TEXT(IF($B286&lt;&gt;"",SUMIF($B$5:$B$1004,$B286,$E$5:$E$1004)-SUMIF($B$5:$B$1004,$B286,$G$5:$G$1004),N($E286)-N($G286)),"#,##0"),IF(AND(ISNUMBER($O286),N($K286)&lt;0),"請求額より多く消し込んでいます",IF($F286="","消込先が未定","OK")))))))</f>
        <v/>
      </c>
      <c r="M286" s="19" t="n"/>
      <c r="N286" s="56" t="n"/>
      <c r="O286" s="32">
        <f>IF($F286="","",IFERROR(MATCH($F286,'請求台帳'!$A$5:$A$1004,0),"なし"))</f>
        <v/>
      </c>
      <c r="P286" s="37">
        <f>IF(NOT(OR($A286&lt;&gt;"",$E286&lt;&gt;"",$F286&lt;&gt;"",$G286&lt;&gt;"",$H286&lt;&gt;"",$I286&lt;&gt;"")),"",IF(ISNUMBER($O286),IF(INDEX('請求台帳'!$C$5:$C$1004,$O286)="","",INDEX('請求台帳'!$C$5:$C$1004,$O286)),IF($C286="","",$C286)))</f>
        <v/>
      </c>
      <c r="Q286" s="35">
        <f>IF(OR(NOT(OR($A286&lt;&gt;"",$E286&lt;&gt;"",$F286&lt;&gt;"",$G286&lt;&gt;"",$H286&lt;&gt;"",$I286&lt;&gt;"")),$P286="",$P286&lt;&gt;'売掛帳'!$B$3,NOT(ISNUMBER($A286)),N($G286)+N($H286)+N($I286)=0),"",IF(AND($A286&gt;='売掛帳'!$Q$3,$A286&lt;='売掛帳'!$Q$4),$A286+0.5+ROW()/10000000,""))</f>
        <v/>
      </c>
      <c r="R286" s="32">
        <f>IF(AND(OR($A286&lt;&gt;"",$E286&lt;&gt;"",$F286&lt;&gt;"",$G286&lt;&gt;"",$H286&lt;&gt;"",$I286&lt;&gt;""),NOT(ISNUMBER($O286))),1,"")</f>
        <v/>
      </c>
    </row>
    <row r="287" ht="18" customHeight="1">
      <c r="A287" s="26" t="n"/>
      <c r="B287" s="18" t="n"/>
      <c r="C287" s="18" t="n"/>
      <c r="D287" s="20">
        <f>IF($P287="","",IFERROR(INDEX('得意先'!$C$5:$C$104,MATCH($P287,'得意先'!$B$5:$B$104,0))&amp;"","※得意先にないコード"))</f>
        <v/>
      </c>
      <c r="E287" s="27" t="n"/>
      <c r="F287" s="18" t="n"/>
      <c r="G287" s="27" t="n"/>
      <c r="H287" s="27" t="n"/>
      <c r="I287" s="27" t="n"/>
      <c r="J287" s="28">
        <f>IF(NOT(OR($A287&lt;&gt;"",$E287&lt;&gt;"",$F287&lt;&gt;"",$G287&lt;&gt;"",$H287&lt;&gt;"",$I287&lt;&gt;"")),"",N($G287)+N($H287)+N($I287))</f>
        <v/>
      </c>
      <c r="K287" s="28">
        <f>IF(ISNUMBER($O287),INDEX('請求台帳'!$R$5:$R$1004,$O287),"")</f>
        <v/>
      </c>
      <c r="L287" s="20">
        <f>IF(NOT(OR($A287&lt;&gt;"",$E287&lt;&gt;"",$F287&lt;&gt;"",$G287&lt;&gt;"",$H287&lt;&gt;"",$I287&lt;&gt;"")),"",IF(NOT(ISNUMBER($A287)),"入金日がありません",IF(AND($F287&lt;&gt;"",$O287="なし"),"請求Noが請求台帳にありません",IF(AND(ISNUMBER($O287),$C287&lt;&gt;"",$C287&lt;&gt;$P287),"請求の得意先は "&amp;$P287&amp;" です",IF(ROUND(IF($B287&lt;&gt;"",SUMIF($B$5:$B$1004,$B287,$E$5:$E$1004)-SUMIF($B$5:$B$1004,$B287,$G$5:$G$1004),N($E287)-N($G287)),0)&lt;&gt;0,"通帳の額と当てた額の差 "&amp;TEXT(IF($B287&lt;&gt;"",SUMIF($B$5:$B$1004,$B287,$E$5:$E$1004)-SUMIF($B$5:$B$1004,$B287,$G$5:$G$1004),N($E287)-N($G287)),"#,##0"),IF(AND(ISNUMBER($O287),N($K287)&lt;0),"請求額より多く消し込んでいます",IF($F287="","消込先が未定","OK")))))))</f>
        <v/>
      </c>
      <c r="M287" s="19" t="n"/>
      <c r="N287" s="56" t="n"/>
      <c r="O287" s="32">
        <f>IF($F287="","",IFERROR(MATCH($F287,'請求台帳'!$A$5:$A$1004,0),"なし"))</f>
        <v/>
      </c>
      <c r="P287" s="37">
        <f>IF(NOT(OR($A287&lt;&gt;"",$E287&lt;&gt;"",$F287&lt;&gt;"",$G287&lt;&gt;"",$H287&lt;&gt;"",$I287&lt;&gt;"")),"",IF(ISNUMBER($O287),IF(INDEX('請求台帳'!$C$5:$C$1004,$O287)="","",INDEX('請求台帳'!$C$5:$C$1004,$O287)),IF($C287="","",$C287)))</f>
        <v/>
      </c>
      <c r="Q287" s="35">
        <f>IF(OR(NOT(OR($A287&lt;&gt;"",$E287&lt;&gt;"",$F287&lt;&gt;"",$G287&lt;&gt;"",$H287&lt;&gt;"",$I287&lt;&gt;"")),$P287="",$P287&lt;&gt;'売掛帳'!$B$3,NOT(ISNUMBER($A287)),N($G287)+N($H287)+N($I287)=0),"",IF(AND($A287&gt;='売掛帳'!$Q$3,$A287&lt;='売掛帳'!$Q$4),$A287+0.5+ROW()/10000000,""))</f>
        <v/>
      </c>
      <c r="R287" s="32">
        <f>IF(AND(OR($A287&lt;&gt;"",$E287&lt;&gt;"",$F287&lt;&gt;"",$G287&lt;&gt;"",$H287&lt;&gt;"",$I287&lt;&gt;""),NOT(ISNUMBER($O287))),1,"")</f>
        <v/>
      </c>
    </row>
    <row r="288" ht="18" customHeight="1">
      <c r="A288" s="26" t="n"/>
      <c r="B288" s="18" t="n"/>
      <c r="C288" s="18" t="n"/>
      <c r="D288" s="20">
        <f>IF($P288="","",IFERROR(INDEX('得意先'!$C$5:$C$104,MATCH($P288,'得意先'!$B$5:$B$104,0))&amp;"","※得意先にないコード"))</f>
        <v/>
      </c>
      <c r="E288" s="27" t="n"/>
      <c r="F288" s="18" t="n"/>
      <c r="G288" s="27" t="n"/>
      <c r="H288" s="27" t="n"/>
      <c r="I288" s="27" t="n"/>
      <c r="J288" s="28">
        <f>IF(NOT(OR($A288&lt;&gt;"",$E288&lt;&gt;"",$F288&lt;&gt;"",$G288&lt;&gt;"",$H288&lt;&gt;"",$I288&lt;&gt;"")),"",N($G288)+N($H288)+N($I288))</f>
        <v/>
      </c>
      <c r="K288" s="28">
        <f>IF(ISNUMBER($O288),INDEX('請求台帳'!$R$5:$R$1004,$O288),"")</f>
        <v/>
      </c>
      <c r="L288" s="20">
        <f>IF(NOT(OR($A288&lt;&gt;"",$E288&lt;&gt;"",$F288&lt;&gt;"",$G288&lt;&gt;"",$H288&lt;&gt;"",$I288&lt;&gt;"")),"",IF(NOT(ISNUMBER($A288)),"入金日がありません",IF(AND($F288&lt;&gt;"",$O288="なし"),"請求Noが請求台帳にありません",IF(AND(ISNUMBER($O288),$C288&lt;&gt;"",$C288&lt;&gt;$P288),"請求の得意先は "&amp;$P288&amp;" です",IF(ROUND(IF($B288&lt;&gt;"",SUMIF($B$5:$B$1004,$B288,$E$5:$E$1004)-SUMIF($B$5:$B$1004,$B288,$G$5:$G$1004),N($E288)-N($G288)),0)&lt;&gt;0,"通帳の額と当てた額の差 "&amp;TEXT(IF($B288&lt;&gt;"",SUMIF($B$5:$B$1004,$B288,$E$5:$E$1004)-SUMIF($B$5:$B$1004,$B288,$G$5:$G$1004),N($E288)-N($G288)),"#,##0"),IF(AND(ISNUMBER($O288),N($K288)&lt;0),"請求額より多く消し込んでいます",IF($F288="","消込先が未定","OK")))))))</f>
        <v/>
      </c>
      <c r="M288" s="19" t="n"/>
      <c r="N288" s="56" t="n"/>
      <c r="O288" s="32">
        <f>IF($F288="","",IFERROR(MATCH($F288,'請求台帳'!$A$5:$A$1004,0),"なし"))</f>
        <v/>
      </c>
      <c r="P288" s="37">
        <f>IF(NOT(OR($A288&lt;&gt;"",$E288&lt;&gt;"",$F288&lt;&gt;"",$G288&lt;&gt;"",$H288&lt;&gt;"",$I288&lt;&gt;"")),"",IF(ISNUMBER($O288),IF(INDEX('請求台帳'!$C$5:$C$1004,$O288)="","",INDEX('請求台帳'!$C$5:$C$1004,$O288)),IF($C288="","",$C288)))</f>
        <v/>
      </c>
      <c r="Q288" s="35">
        <f>IF(OR(NOT(OR($A288&lt;&gt;"",$E288&lt;&gt;"",$F288&lt;&gt;"",$G288&lt;&gt;"",$H288&lt;&gt;"",$I288&lt;&gt;"")),$P288="",$P288&lt;&gt;'売掛帳'!$B$3,NOT(ISNUMBER($A288)),N($G288)+N($H288)+N($I288)=0),"",IF(AND($A288&gt;='売掛帳'!$Q$3,$A288&lt;='売掛帳'!$Q$4),$A288+0.5+ROW()/10000000,""))</f>
        <v/>
      </c>
      <c r="R288" s="32">
        <f>IF(AND(OR($A288&lt;&gt;"",$E288&lt;&gt;"",$F288&lt;&gt;"",$G288&lt;&gt;"",$H288&lt;&gt;"",$I288&lt;&gt;""),NOT(ISNUMBER($O288))),1,"")</f>
        <v/>
      </c>
    </row>
    <row r="289" ht="18" customHeight="1">
      <c r="A289" s="26" t="n"/>
      <c r="B289" s="18" t="n"/>
      <c r="C289" s="18" t="n"/>
      <c r="D289" s="20">
        <f>IF($P289="","",IFERROR(INDEX('得意先'!$C$5:$C$104,MATCH($P289,'得意先'!$B$5:$B$104,0))&amp;"","※得意先にないコード"))</f>
        <v/>
      </c>
      <c r="E289" s="27" t="n"/>
      <c r="F289" s="18" t="n"/>
      <c r="G289" s="27" t="n"/>
      <c r="H289" s="27" t="n"/>
      <c r="I289" s="27" t="n"/>
      <c r="J289" s="28">
        <f>IF(NOT(OR($A289&lt;&gt;"",$E289&lt;&gt;"",$F289&lt;&gt;"",$G289&lt;&gt;"",$H289&lt;&gt;"",$I289&lt;&gt;"")),"",N($G289)+N($H289)+N($I289))</f>
        <v/>
      </c>
      <c r="K289" s="28">
        <f>IF(ISNUMBER($O289),INDEX('請求台帳'!$R$5:$R$1004,$O289),"")</f>
        <v/>
      </c>
      <c r="L289" s="20">
        <f>IF(NOT(OR($A289&lt;&gt;"",$E289&lt;&gt;"",$F289&lt;&gt;"",$G289&lt;&gt;"",$H289&lt;&gt;"",$I289&lt;&gt;"")),"",IF(NOT(ISNUMBER($A289)),"入金日がありません",IF(AND($F289&lt;&gt;"",$O289="なし"),"請求Noが請求台帳にありません",IF(AND(ISNUMBER($O289),$C289&lt;&gt;"",$C289&lt;&gt;$P289),"請求の得意先は "&amp;$P289&amp;" です",IF(ROUND(IF($B289&lt;&gt;"",SUMIF($B$5:$B$1004,$B289,$E$5:$E$1004)-SUMIF($B$5:$B$1004,$B289,$G$5:$G$1004),N($E289)-N($G289)),0)&lt;&gt;0,"通帳の額と当てた額の差 "&amp;TEXT(IF($B289&lt;&gt;"",SUMIF($B$5:$B$1004,$B289,$E$5:$E$1004)-SUMIF($B$5:$B$1004,$B289,$G$5:$G$1004),N($E289)-N($G289)),"#,##0"),IF(AND(ISNUMBER($O289),N($K289)&lt;0),"請求額より多く消し込んでいます",IF($F289="","消込先が未定","OK")))))))</f>
        <v/>
      </c>
      <c r="M289" s="19" t="n"/>
      <c r="N289" s="56" t="n"/>
      <c r="O289" s="32">
        <f>IF($F289="","",IFERROR(MATCH($F289,'請求台帳'!$A$5:$A$1004,0),"なし"))</f>
        <v/>
      </c>
      <c r="P289" s="37">
        <f>IF(NOT(OR($A289&lt;&gt;"",$E289&lt;&gt;"",$F289&lt;&gt;"",$G289&lt;&gt;"",$H289&lt;&gt;"",$I289&lt;&gt;"")),"",IF(ISNUMBER($O289),IF(INDEX('請求台帳'!$C$5:$C$1004,$O289)="","",INDEX('請求台帳'!$C$5:$C$1004,$O289)),IF($C289="","",$C289)))</f>
        <v/>
      </c>
      <c r="Q289" s="35">
        <f>IF(OR(NOT(OR($A289&lt;&gt;"",$E289&lt;&gt;"",$F289&lt;&gt;"",$G289&lt;&gt;"",$H289&lt;&gt;"",$I289&lt;&gt;"")),$P289="",$P289&lt;&gt;'売掛帳'!$B$3,NOT(ISNUMBER($A289)),N($G289)+N($H289)+N($I289)=0),"",IF(AND($A289&gt;='売掛帳'!$Q$3,$A289&lt;='売掛帳'!$Q$4),$A289+0.5+ROW()/10000000,""))</f>
        <v/>
      </c>
      <c r="R289" s="32">
        <f>IF(AND(OR($A289&lt;&gt;"",$E289&lt;&gt;"",$F289&lt;&gt;"",$G289&lt;&gt;"",$H289&lt;&gt;"",$I289&lt;&gt;""),NOT(ISNUMBER($O289))),1,"")</f>
        <v/>
      </c>
    </row>
    <row r="290" ht="18" customHeight="1">
      <c r="A290" s="26" t="n"/>
      <c r="B290" s="18" t="n"/>
      <c r="C290" s="18" t="n"/>
      <c r="D290" s="20">
        <f>IF($P290="","",IFERROR(INDEX('得意先'!$C$5:$C$104,MATCH($P290,'得意先'!$B$5:$B$104,0))&amp;"","※得意先にないコード"))</f>
        <v/>
      </c>
      <c r="E290" s="27" t="n"/>
      <c r="F290" s="18" t="n"/>
      <c r="G290" s="27" t="n"/>
      <c r="H290" s="27" t="n"/>
      <c r="I290" s="27" t="n"/>
      <c r="J290" s="28">
        <f>IF(NOT(OR($A290&lt;&gt;"",$E290&lt;&gt;"",$F290&lt;&gt;"",$G290&lt;&gt;"",$H290&lt;&gt;"",$I290&lt;&gt;"")),"",N($G290)+N($H290)+N($I290))</f>
        <v/>
      </c>
      <c r="K290" s="28">
        <f>IF(ISNUMBER($O290),INDEX('請求台帳'!$R$5:$R$1004,$O290),"")</f>
        <v/>
      </c>
      <c r="L290" s="20">
        <f>IF(NOT(OR($A290&lt;&gt;"",$E290&lt;&gt;"",$F290&lt;&gt;"",$G290&lt;&gt;"",$H290&lt;&gt;"",$I290&lt;&gt;"")),"",IF(NOT(ISNUMBER($A290)),"入金日がありません",IF(AND($F290&lt;&gt;"",$O290="なし"),"請求Noが請求台帳にありません",IF(AND(ISNUMBER($O290),$C290&lt;&gt;"",$C290&lt;&gt;$P290),"請求の得意先は "&amp;$P290&amp;" です",IF(ROUND(IF($B290&lt;&gt;"",SUMIF($B$5:$B$1004,$B290,$E$5:$E$1004)-SUMIF($B$5:$B$1004,$B290,$G$5:$G$1004),N($E290)-N($G290)),0)&lt;&gt;0,"通帳の額と当てた額の差 "&amp;TEXT(IF($B290&lt;&gt;"",SUMIF($B$5:$B$1004,$B290,$E$5:$E$1004)-SUMIF($B$5:$B$1004,$B290,$G$5:$G$1004),N($E290)-N($G290)),"#,##0"),IF(AND(ISNUMBER($O290),N($K290)&lt;0),"請求額より多く消し込んでいます",IF($F290="","消込先が未定","OK")))))))</f>
        <v/>
      </c>
      <c r="M290" s="19" t="n"/>
      <c r="N290" s="56" t="n"/>
      <c r="O290" s="32">
        <f>IF($F290="","",IFERROR(MATCH($F290,'請求台帳'!$A$5:$A$1004,0),"なし"))</f>
        <v/>
      </c>
      <c r="P290" s="37">
        <f>IF(NOT(OR($A290&lt;&gt;"",$E290&lt;&gt;"",$F290&lt;&gt;"",$G290&lt;&gt;"",$H290&lt;&gt;"",$I290&lt;&gt;"")),"",IF(ISNUMBER($O290),IF(INDEX('請求台帳'!$C$5:$C$1004,$O290)="","",INDEX('請求台帳'!$C$5:$C$1004,$O290)),IF($C290="","",$C290)))</f>
        <v/>
      </c>
      <c r="Q290" s="35">
        <f>IF(OR(NOT(OR($A290&lt;&gt;"",$E290&lt;&gt;"",$F290&lt;&gt;"",$G290&lt;&gt;"",$H290&lt;&gt;"",$I290&lt;&gt;"")),$P290="",$P290&lt;&gt;'売掛帳'!$B$3,NOT(ISNUMBER($A290)),N($G290)+N($H290)+N($I290)=0),"",IF(AND($A290&gt;='売掛帳'!$Q$3,$A290&lt;='売掛帳'!$Q$4),$A290+0.5+ROW()/10000000,""))</f>
        <v/>
      </c>
      <c r="R290" s="32">
        <f>IF(AND(OR($A290&lt;&gt;"",$E290&lt;&gt;"",$F290&lt;&gt;"",$G290&lt;&gt;"",$H290&lt;&gt;"",$I290&lt;&gt;""),NOT(ISNUMBER($O290))),1,"")</f>
        <v/>
      </c>
    </row>
    <row r="291" ht="18" customHeight="1">
      <c r="A291" s="26" t="n"/>
      <c r="B291" s="18" t="n"/>
      <c r="C291" s="18" t="n"/>
      <c r="D291" s="20">
        <f>IF($P291="","",IFERROR(INDEX('得意先'!$C$5:$C$104,MATCH($P291,'得意先'!$B$5:$B$104,0))&amp;"","※得意先にないコード"))</f>
        <v/>
      </c>
      <c r="E291" s="27" t="n"/>
      <c r="F291" s="18" t="n"/>
      <c r="G291" s="27" t="n"/>
      <c r="H291" s="27" t="n"/>
      <c r="I291" s="27" t="n"/>
      <c r="J291" s="28">
        <f>IF(NOT(OR($A291&lt;&gt;"",$E291&lt;&gt;"",$F291&lt;&gt;"",$G291&lt;&gt;"",$H291&lt;&gt;"",$I291&lt;&gt;"")),"",N($G291)+N($H291)+N($I291))</f>
        <v/>
      </c>
      <c r="K291" s="28">
        <f>IF(ISNUMBER($O291),INDEX('請求台帳'!$R$5:$R$1004,$O291),"")</f>
        <v/>
      </c>
      <c r="L291" s="20">
        <f>IF(NOT(OR($A291&lt;&gt;"",$E291&lt;&gt;"",$F291&lt;&gt;"",$G291&lt;&gt;"",$H291&lt;&gt;"",$I291&lt;&gt;"")),"",IF(NOT(ISNUMBER($A291)),"入金日がありません",IF(AND($F291&lt;&gt;"",$O291="なし"),"請求Noが請求台帳にありません",IF(AND(ISNUMBER($O291),$C291&lt;&gt;"",$C291&lt;&gt;$P291),"請求の得意先は "&amp;$P291&amp;" です",IF(ROUND(IF($B291&lt;&gt;"",SUMIF($B$5:$B$1004,$B291,$E$5:$E$1004)-SUMIF($B$5:$B$1004,$B291,$G$5:$G$1004),N($E291)-N($G291)),0)&lt;&gt;0,"通帳の額と当てた額の差 "&amp;TEXT(IF($B291&lt;&gt;"",SUMIF($B$5:$B$1004,$B291,$E$5:$E$1004)-SUMIF($B$5:$B$1004,$B291,$G$5:$G$1004),N($E291)-N($G291)),"#,##0"),IF(AND(ISNUMBER($O291),N($K291)&lt;0),"請求額より多く消し込んでいます",IF($F291="","消込先が未定","OK")))))))</f>
        <v/>
      </c>
      <c r="M291" s="19" t="n"/>
      <c r="N291" s="56" t="n"/>
      <c r="O291" s="32">
        <f>IF($F291="","",IFERROR(MATCH($F291,'請求台帳'!$A$5:$A$1004,0),"なし"))</f>
        <v/>
      </c>
      <c r="P291" s="37">
        <f>IF(NOT(OR($A291&lt;&gt;"",$E291&lt;&gt;"",$F291&lt;&gt;"",$G291&lt;&gt;"",$H291&lt;&gt;"",$I291&lt;&gt;"")),"",IF(ISNUMBER($O291),IF(INDEX('請求台帳'!$C$5:$C$1004,$O291)="","",INDEX('請求台帳'!$C$5:$C$1004,$O291)),IF($C291="","",$C291)))</f>
        <v/>
      </c>
      <c r="Q291" s="35">
        <f>IF(OR(NOT(OR($A291&lt;&gt;"",$E291&lt;&gt;"",$F291&lt;&gt;"",$G291&lt;&gt;"",$H291&lt;&gt;"",$I291&lt;&gt;"")),$P291="",$P291&lt;&gt;'売掛帳'!$B$3,NOT(ISNUMBER($A291)),N($G291)+N($H291)+N($I291)=0),"",IF(AND($A291&gt;='売掛帳'!$Q$3,$A291&lt;='売掛帳'!$Q$4),$A291+0.5+ROW()/10000000,""))</f>
        <v/>
      </c>
      <c r="R291" s="32">
        <f>IF(AND(OR($A291&lt;&gt;"",$E291&lt;&gt;"",$F291&lt;&gt;"",$G291&lt;&gt;"",$H291&lt;&gt;"",$I291&lt;&gt;""),NOT(ISNUMBER($O291))),1,"")</f>
        <v/>
      </c>
    </row>
    <row r="292" ht="18" customHeight="1">
      <c r="A292" s="26" t="n"/>
      <c r="B292" s="18" t="n"/>
      <c r="C292" s="18" t="n"/>
      <c r="D292" s="20">
        <f>IF($P292="","",IFERROR(INDEX('得意先'!$C$5:$C$104,MATCH($P292,'得意先'!$B$5:$B$104,0))&amp;"","※得意先にないコード"))</f>
        <v/>
      </c>
      <c r="E292" s="27" t="n"/>
      <c r="F292" s="18" t="n"/>
      <c r="G292" s="27" t="n"/>
      <c r="H292" s="27" t="n"/>
      <c r="I292" s="27" t="n"/>
      <c r="J292" s="28">
        <f>IF(NOT(OR($A292&lt;&gt;"",$E292&lt;&gt;"",$F292&lt;&gt;"",$G292&lt;&gt;"",$H292&lt;&gt;"",$I292&lt;&gt;"")),"",N($G292)+N($H292)+N($I292))</f>
        <v/>
      </c>
      <c r="K292" s="28">
        <f>IF(ISNUMBER($O292),INDEX('請求台帳'!$R$5:$R$1004,$O292),"")</f>
        <v/>
      </c>
      <c r="L292" s="20">
        <f>IF(NOT(OR($A292&lt;&gt;"",$E292&lt;&gt;"",$F292&lt;&gt;"",$G292&lt;&gt;"",$H292&lt;&gt;"",$I292&lt;&gt;"")),"",IF(NOT(ISNUMBER($A292)),"入金日がありません",IF(AND($F292&lt;&gt;"",$O292="なし"),"請求Noが請求台帳にありません",IF(AND(ISNUMBER($O292),$C292&lt;&gt;"",$C292&lt;&gt;$P292),"請求の得意先は "&amp;$P292&amp;" です",IF(ROUND(IF($B292&lt;&gt;"",SUMIF($B$5:$B$1004,$B292,$E$5:$E$1004)-SUMIF($B$5:$B$1004,$B292,$G$5:$G$1004),N($E292)-N($G292)),0)&lt;&gt;0,"通帳の額と当てた額の差 "&amp;TEXT(IF($B292&lt;&gt;"",SUMIF($B$5:$B$1004,$B292,$E$5:$E$1004)-SUMIF($B$5:$B$1004,$B292,$G$5:$G$1004),N($E292)-N($G292)),"#,##0"),IF(AND(ISNUMBER($O292),N($K292)&lt;0),"請求額より多く消し込んでいます",IF($F292="","消込先が未定","OK")))))))</f>
        <v/>
      </c>
      <c r="M292" s="19" t="n"/>
      <c r="N292" s="56" t="n"/>
      <c r="O292" s="32">
        <f>IF($F292="","",IFERROR(MATCH($F292,'請求台帳'!$A$5:$A$1004,0),"なし"))</f>
        <v/>
      </c>
      <c r="P292" s="37">
        <f>IF(NOT(OR($A292&lt;&gt;"",$E292&lt;&gt;"",$F292&lt;&gt;"",$G292&lt;&gt;"",$H292&lt;&gt;"",$I292&lt;&gt;"")),"",IF(ISNUMBER($O292),IF(INDEX('請求台帳'!$C$5:$C$1004,$O292)="","",INDEX('請求台帳'!$C$5:$C$1004,$O292)),IF($C292="","",$C292)))</f>
        <v/>
      </c>
      <c r="Q292" s="35">
        <f>IF(OR(NOT(OR($A292&lt;&gt;"",$E292&lt;&gt;"",$F292&lt;&gt;"",$G292&lt;&gt;"",$H292&lt;&gt;"",$I292&lt;&gt;"")),$P292="",$P292&lt;&gt;'売掛帳'!$B$3,NOT(ISNUMBER($A292)),N($G292)+N($H292)+N($I292)=0),"",IF(AND($A292&gt;='売掛帳'!$Q$3,$A292&lt;='売掛帳'!$Q$4),$A292+0.5+ROW()/10000000,""))</f>
        <v/>
      </c>
      <c r="R292" s="32">
        <f>IF(AND(OR($A292&lt;&gt;"",$E292&lt;&gt;"",$F292&lt;&gt;"",$G292&lt;&gt;"",$H292&lt;&gt;"",$I292&lt;&gt;""),NOT(ISNUMBER($O292))),1,"")</f>
        <v/>
      </c>
    </row>
    <row r="293" ht="18" customHeight="1">
      <c r="A293" s="26" t="n"/>
      <c r="B293" s="18" t="n"/>
      <c r="C293" s="18" t="n"/>
      <c r="D293" s="20">
        <f>IF($P293="","",IFERROR(INDEX('得意先'!$C$5:$C$104,MATCH($P293,'得意先'!$B$5:$B$104,0))&amp;"","※得意先にないコード"))</f>
        <v/>
      </c>
      <c r="E293" s="27" t="n"/>
      <c r="F293" s="18" t="n"/>
      <c r="G293" s="27" t="n"/>
      <c r="H293" s="27" t="n"/>
      <c r="I293" s="27" t="n"/>
      <c r="J293" s="28">
        <f>IF(NOT(OR($A293&lt;&gt;"",$E293&lt;&gt;"",$F293&lt;&gt;"",$G293&lt;&gt;"",$H293&lt;&gt;"",$I293&lt;&gt;"")),"",N($G293)+N($H293)+N($I293))</f>
        <v/>
      </c>
      <c r="K293" s="28">
        <f>IF(ISNUMBER($O293),INDEX('請求台帳'!$R$5:$R$1004,$O293),"")</f>
        <v/>
      </c>
      <c r="L293" s="20">
        <f>IF(NOT(OR($A293&lt;&gt;"",$E293&lt;&gt;"",$F293&lt;&gt;"",$G293&lt;&gt;"",$H293&lt;&gt;"",$I293&lt;&gt;"")),"",IF(NOT(ISNUMBER($A293)),"入金日がありません",IF(AND($F293&lt;&gt;"",$O293="なし"),"請求Noが請求台帳にありません",IF(AND(ISNUMBER($O293),$C293&lt;&gt;"",$C293&lt;&gt;$P293),"請求の得意先は "&amp;$P293&amp;" です",IF(ROUND(IF($B293&lt;&gt;"",SUMIF($B$5:$B$1004,$B293,$E$5:$E$1004)-SUMIF($B$5:$B$1004,$B293,$G$5:$G$1004),N($E293)-N($G293)),0)&lt;&gt;0,"通帳の額と当てた額の差 "&amp;TEXT(IF($B293&lt;&gt;"",SUMIF($B$5:$B$1004,$B293,$E$5:$E$1004)-SUMIF($B$5:$B$1004,$B293,$G$5:$G$1004),N($E293)-N($G293)),"#,##0"),IF(AND(ISNUMBER($O293),N($K293)&lt;0),"請求額より多く消し込んでいます",IF($F293="","消込先が未定","OK")))))))</f>
        <v/>
      </c>
      <c r="M293" s="19" t="n"/>
      <c r="N293" s="56" t="n"/>
      <c r="O293" s="32">
        <f>IF($F293="","",IFERROR(MATCH($F293,'請求台帳'!$A$5:$A$1004,0),"なし"))</f>
        <v/>
      </c>
      <c r="P293" s="37">
        <f>IF(NOT(OR($A293&lt;&gt;"",$E293&lt;&gt;"",$F293&lt;&gt;"",$G293&lt;&gt;"",$H293&lt;&gt;"",$I293&lt;&gt;"")),"",IF(ISNUMBER($O293),IF(INDEX('請求台帳'!$C$5:$C$1004,$O293)="","",INDEX('請求台帳'!$C$5:$C$1004,$O293)),IF($C293="","",$C293)))</f>
        <v/>
      </c>
      <c r="Q293" s="35">
        <f>IF(OR(NOT(OR($A293&lt;&gt;"",$E293&lt;&gt;"",$F293&lt;&gt;"",$G293&lt;&gt;"",$H293&lt;&gt;"",$I293&lt;&gt;"")),$P293="",$P293&lt;&gt;'売掛帳'!$B$3,NOT(ISNUMBER($A293)),N($G293)+N($H293)+N($I293)=0),"",IF(AND($A293&gt;='売掛帳'!$Q$3,$A293&lt;='売掛帳'!$Q$4),$A293+0.5+ROW()/10000000,""))</f>
        <v/>
      </c>
      <c r="R293" s="32">
        <f>IF(AND(OR($A293&lt;&gt;"",$E293&lt;&gt;"",$F293&lt;&gt;"",$G293&lt;&gt;"",$H293&lt;&gt;"",$I293&lt;&gt;""),NOT(ISNUMBER($O293))),1,"")</f>
        <v/>
      </c>
    </row>
    <row r="294" ht="18" customHeight="1">
      <c r="A294" s="26" t="n"/>
      <c r="B294" s="18" t="n"/>
      <c r="C294" s="18" t="n"/>
      <c r="D294" s="20">
        <f>IF($P294="","",IFERROR(INDEX('得意先'!$C$5:$C$104,MATCH($P294,'得意先'!$B$5:$B$104,0))&amp;"","※得意先にないコード"))</f>
        <v/>
      </c>
      <c r="E294" s="27" t="n"/>
      <c r="F294" s="18" t="n"/>
      <c r="G294" s="27" t="n"/>
      <c r="H294" s="27" t="n"/>
      <c r="I294" s="27" t="n"/>
      <c r="J294" s="28">
        <f>IF(NOT(OR($A294&lt;&gt;"",$E294&lt;&gt;"",$F294&lt;&gt;"",$G294&lt;&gt;"",$H294&lt;&gt;"",$I294&lt;&gt;"")),"",N($G294)+N($H294)+N($I294))</f>
        <v/>
      </c>
      <c r="K294" s="28">
        <f>IF(ISNUMBER($O294),INDEX('請求台帳'!$R$5:$R$1004,$O294),"")</f>
        <v/>
      </c>
      <c r="L294" s="20">
        <f>IF(NOT(OR($A294&lt;&gt;"",$E294&lt;&gt;"",$F294&lt;&gt;"",$G294&lt;&gt;"",$H294&lt;&gt;"",$I294&lt;&gt;"")),"",IF(NOT(ISNUMBER($A294)),"入金日がありません",IF(AND($F294&lt;&gt;"",$O294="なし"),"請求Noが請求台帳にありません",IF(AND(ISNUMBER($O294),$C294&lt;&gt;"",$C294&lt;&gt;$P294),"請求の得意先は "&amp;$P294&amp;" です",IF(ROUND(IF($B294&lt;&gt;"",SUMIF($B$5:$B$1004,$B294,$E$5:$E$1004)-SUMIF($B$5:$B$1004,$B294,$G$5:$G$1004),N($E294)-N($G294)),0)&lt;&gt;0,"通帳の額と当てた額の差 "&amp;TEXT(IF($B294&lt;&gt;"",SUMIF($B$5:$B$1004,$B294,$E$5:$E$1004)-SUMIF($B$5:$B$1004,$B294,$G$5:$G$1004),N($E294)-N($G294)),"#,##0"),IF(AND(ISNUMBER($O294),N($K294)&lt;0),"請求額より多く消し込んでいます",IF($F294="","消込先が未定","OK")))))))</f>
        <v/>
      </c>
      <c r="M294" s="19" t="n"/>
      <c r="N294" s="56" t="n"/>
      <c r="O294" s="32">
        <f>IF($F294="","",IFERROR(MATCH($F294,'請求台帳'!$A$5:$A$1004,0),"なし"))</f>
        <v/>
      </c>
      <c r="P294" s="37">
        <f>IF(NOT(OR($A294&lt;&gt;"",$E294&lt;&gt;"",$F294&lt;&gt;"",$G294&lt;&gt;"",$H294&lt;&gt;"",$I294&lt;&gt;"")),"",IF(ISNUMBER($O294),IF(INDEX('請求台帳'!$C$5:$C$1004,$O294)="","",INDEX('請求台帳'!$C$5:$C$1004,$O294)),IF($C294="","",$C294)))</f>
        <v/>
      </c>
      <c r="Q294" s="35">
        <f>IF(OR(NOT(OR($A294&lt;&gt;"",$E294&lt;&gt;"",$F294&lt;&gt;"",$G294&lt;&gt;"",$H294&lt;&gt;"",$I294&lt;&gt;"")),$P294="",$P294&lt;&gt;'売掛帳'!$B$3,NOT(ISNUMBER($A294)),N($G294)+N($H294)+N($I294)=0),"",IF(AND($A294&gt;='売掛帳'!$Q$3,$A294&lt;='売掛帳'!$Q$4),$A294+0.5+ROW()/10000000,""))</f>
        <v/>
      </c>
      <c r="R294" s="32">
        <f>IF(AND(OR($A294&lt;&gt;"",$E294&lt;&gt;"",$F294&lt;&gt;"",$G294&lt;&gt;"",$H294&lt;&gt;"",$I294&lt;&gt;""),NOT(ISNUMBER($O294))),1,"")</f>
        <v/>
      </c>
    </row>
    <row r="295" ht="18" customHeight="1">
      <c r="A295" s="26" t="n"/>
      <c r="B295" s="18" t="n"/>
      <c r="C295" s="18" t="n"/>
      <c r="D295" s="20">
        <f>IF($P295="","",IFERROR(INDEX('得意先'!$C$5:$C$104,MATCH($P295,'得意先'!$B$5:$B$104,0))&amp;"","※得意先にないコード"))</f>
        <v/>
      </c>
      <c r="E295" s="27" t="n"/>
      <c r="F295" s="18" t="n"/>
      <c r="G295" s="27" t="n"/>
      <c r="H295" s="27" t="n"/>
      <c r="I295" s="27" t="n"/>
      <c r="J295" s="28">
        <f>IF(NOT(OR($A295&lt;&gt;"",$E295&lt;&gt;"",$F295&lt;&gt;"",$G295&lt;&gt;"",$H295&lt;&gt;"",$I295&lt;&gt;"")),"",N($G295)+N($H295)+N($I295))</f>
        <v/>
      </c>
      <c r="K295" s="28">
        <f>IF(ISNUMBER($O295),INDEX('請求台帳'!$R$5:$R$1004,$O295),"")</f>
        <v/>
      </c>
      <c r="L295" s="20">
        <f>IF(NOT(OR($A295&lt;&gt;"",$E295&lt;&gt;"",$F295&lt;&gt;"",$G295&lt;&gt;"",$H295&lt;&gt;"",$I295&lt;&gt;"")),"",IF(NOT(ISNUMBER($A295)),"入金日がありません",IF(AND($F295&lt;&gt;"",$O295="なし"),"請求Noが請求台帳にありません",IF(AND(ISNUMBER($O295),$C295&lt;&gt;"",$C295&lt;&gt;$P295),"請求の得意先は "&amp;$P295&amp;" です",IF(ROUND(IF($B295&lt;&gt;"",SUMIF($B$5:$B$1004,$B295,$E$5:$E$1004)-SUMIF($B$5:$B$1004,$B295,$G$5:$G$1004),N($E295)-N($G295)),0)&lt;&gt;0,"通帳の額と当てた額の差 "&amp;TEXT(IF($B295&lt;&gt;"",SUMIF($B$5:$B$1004,$B295,$E$5:$E$1004)-SUMIF($B$5:$B$1004,$B295,$G$5:$G$1004),N($E295)-N($G295)),"#,##0"),IF(AND(ISNUMBER($O295),N($K295)&lt;0),"請求額より多く消し込んでいます",IF($F295="","消込先が未定","OK")))))))</f>
        <v/>
      </c>
      <c r="M295" s="19" t="n"/>
      <c r="N295" s="56" t="n"/>
      <c r="O295" s="32">
        <f>IF($F295="","",IFERROR(MATCH($F295,'請求台帳'!$A$5:$A$1004,0),"なし"))</f>
        <v/>
      </c>
      <c r="P295" s="37">
        <f>IF(NOT(OR($A295&lt;&gt;"",$E295&lt;&gt;"",$F295&lt;&gt;"",$G295&lt;&gt;"",$H295&lt;&gt;"",$I295&lt;&gt;"")),"",IF(ISNUMBER($O295),IF(INDEX('請求台帳'!$C$5:$C$1004,$O295)="","",INDEX('請求台帳'!$C$5:$C$1004,$O295)),IF($C295="","",$C295)))</f>
        <v/>
      </c>
      <c r="Q295" s="35">
        <f>IF(OR(NOT(OR($A295&lt;&gt;"",$E295&lt;&gt;"",$F295&lt;&gt;"",$G295&lt;&gt;"",$H295&lt;&gt;"",$I295&lt;&gt;"")),$P295="",$P295&lt;&gt;'売掛帳'!$B$3,NOT(ISNUMBER($A295)),N($G295)+N($H295)+N($I295)=0),"",IF(AND($A295&gt;='売掛帳'!$Q$3,$A295&lt;='売掛帳'!$Q$4),$A295+0.5+ROW()/10000000,""))</f>
        <v/>
      </c>
      <c r="R295" s="32">
        <f>IF(AND(OR($A295&lt;&gt;"",$E295&lt;&gt;"",$F295&lt;&gt;"",$G295&lt;&gt;"",$H295&lt;&gt;"",$I295&lt;&gt;""),NOT(ISNUMBER($O295))),1,"")</f>
        <v/>
      </c>
    </row>
    <row r="296" ht="18" customHeight="1">
      <c r="A296" s="26" t="n"/>
      <c r="B296" s="18" t="n"/>
      <c r="C296" s="18" t="n"/>
      <c r="D296" s="20">
        <f>IF($P296="","",IFERROR(INDEX('得意先'!$C$5:$C$104,MATCH($P296,'得意先'!$B$5:$B$104,0))&amp;"","※得意先にないコード"))</f>
        <v/>
      </c>
      <c r="E296" s="27" t="n"/>
      <c r="F296" s="18" t="n"/>
      <c r="G296" s="27" t="n"/>
      <c r="H296" s="27" t="n"/>
      <c r="I296" s="27" t="n"/>
      <c r="J296" s="28">
        <f>IF(NOT(OR($A296&lt;&gt;"",$E296&lt;&gt;"",$F296&lt;&gt;"",$G296&lt;&gt;"",$H296&lt;&gt;"",$I296&lt;&gt;"")),"",N($G296)+N($H296)+N($I296))</f>
        <v/>
      </c>
      <c r="K296" s="28">
        <f>IF(ISNUMBER($O296),INDEX('請求台帳'!$R$5:$R$1004,$O296),"")</f>
        <v/>
      </c>
      <c r="L296" s="20">
        <f>IF(NOT(OR($A296&lt;&gt;"",$E296&lt;&gt;"",$F296&lt;&gt;"",$G296&lt;&gt;"",$H296&lt;&gt;"",$I296&lt;&gt;"")),"",IF(NOT(ISNUMBER($A296)),"入金日がありません",IF(AND($F296&lt;&gt;"",$O296="なし"),"請求Noが請求台帳にありません",IF(AND(ISNUMBER($O296),$C296&lt;&gt;"",$C296&lt;&gt;$P296),"請求の得意先は "&amp;$P296&amp;" です",IF(ROUND(IF($B296&lt;&gt;"",SUMIF($B$5:$B$1004,$B296,$E$5:$E$1004)-SUMIF($B$5:$B$1004,$B296,$G$5:$G$1004),N($E296)-N($G296)),0)&lt;&gt;0,"通帳の額と当てた額の差 "&amp;TEXT(IF($B296&lt;&gt;"",SUMIF($B$5:$B$1004,$B296,$E$5:$E$1004)-SUMIF($B$5:$B$1004,$B296,$G$5:$G$1004),N($E296)-N($G296)),"#,##0"),IF(AND(ISNUMBER($O296),N($K296)&lt;0),"請求額より多く消し込んでいます",IF($F296="","消込先が未定","OK")))))))</f>
        <v/>
      </c>
      <c r="M296" s="19" t="n"/>
      <c r="N296" s="56" t="n"/>
      <c r="O296" s="32">
        <f>IF($F296="","",IFERROR(MATCH($F296,'請求台帳'!$A$5:$A$1004,0),"なし"))</f>
        <v/>
      </c>
      <c r="P296" s="37">
        <f>IF(NOT(OR($A296&lt;&gt;"",$E296&lt;&gt;"",$F296&lt;&gt;"",$G296&lt;&gt;"",$H296&lt;&gt;"",$I296&lt;&gt;"")),"",IF(ISNUMBER($O296),IF(INDEX('請求台帳'!$C$5:$C$1004,$O296)="","",INDEX('請求台帳'!$C$5:$C$1004,$O296)),IF($C296="","",$C296)))</f>
        <v/>
      </c>
      <c r="Q296" s="35">
        <f>IF(OR(NOT(OR($A296&lt;&gt;"",$E296&lt;&gt;"",$F296&lt;&gt;"",$G296&lt;&gt;"",$H296&lt;&gt;"",$I296&lt;&gt;"")),$P296="",$P296&lt;&gt;'売掛帳'!$B$3,NOT(ISNUMBER($A296)),N($G296)+N($H296)+N($I296)=0),"",IF(AND($A296&gt;='売掛帳'!$Q$3,$A296&lt;='売掛帳'!$Q$4),$A296+0.5+ROW()/10000000,""))</f>
        <v/>
      </c>
      <c r="R296" s="32">
        <f>IF(AND(OR($A296&lt;&gt;"",$E296&lt;&gt;"",$F296&lt;&gt;"",$G296&lt;&gt;"",$H296&lt;&gt;"",$I296&lt;&gt;""),NOT(ISNUMBER($O296))),1,"")</f>
        <v/>
      </c>
    </row>
    <row r="297" ht="18" customHeight="1">
      <c r="A297" s="26" t="n"/>
      <c r="B297" s="18" t="n"/>
      <c r="C297" s="18" t="n"/>
      <c r="D297" s="20">
        <f>IF($P297="","",IFERROR(INDEX('得意先'!$C$5:$C$104,MATCH($P297,'得意先'!$B$5:$B$104,0))&amp;"","※得意先にないコード"))</f>
        <v/>
      </c>
      <c r="E297" s="27" t="n"/>
      <c r="F297" s="18" t="n"/>
      <c r="G297" s="27" t="n"/>
      <c r="H297" s="27" t="n"/>
      <c r="I297" s="27" t="n"/>
      <c r="J297" s="28">
        <f>IF(NOT(OR($A297&lt;&gt;"",$E297&lt;&gt;"",$F297&lt;&gt;"",$G297&lt;&gt;"",$H297&lt;&gt;"",$I297&lt;&gt;"")),"",N($G297)+N($H297)+N($I297))</f>
        <v/>
      </c>
      <c r="K297" s="28">
        <f>IF(ISNUMBER($O297),INDEX('請求台帳'!$R$5:$R$1004,$O297),"")</f>
        <v/>
      </c>
      <c r="L297" s="20">
        <f>IF(NOT(OR($A297&lt;&gt;"",$E297&lt;&gt;"",$F297&lt;&gt;"",$G297&lt;&gt;"",$H297&lt;&gt;"",$I297&lt;&gt;"")),"",IF(NOT(ISNUMBER($A297)),"入金日がありません",IF(AND($F297&lt;&gt;"",$O297="なし"),"請求Noが請求台帳にありません",IF(AND(ISNUMBER($O297),$C297&lt;&gt;"",$C297&lt;&gt;$P297),"請求の得意先は "&amp;$P297&amp;" です",IF(ROUND(IF($B297&lt;&gt;"",SUMIF($B$5:$B$1004,$B297,$E$5:$E$1004)-SUMIF($B$5:$B$1004,$B297,$G$5:$G$1004),N($E297)-N($G297)),0)&lt;&gt;0,"通帳の額と当てた額の差 "&amp;TEXT(IF($B297&lt;&gt;"",SUMIF($B$5:$B$1004,$B297,$E$5:$E$1004)-SUMIF($B$5:$B$1004,$B297,$G$5:$G$1004),N($E297)-N($G297)),"#,##0"),IF(AND(ISNUMBER($O297),N($K297)&lt;0),"請求額より多く消し込んでいます",IF($F297="","消込先が未定","OK")))))))</f>
        <v/>
      </c>
      <c r="M297" s="19" t="n"/>
      <c r="N297" s="56" t="n"/>
      <c r="O297" s="32">
        <f>IF($F297="","",IFERROR(MATCH($F297,'請求台帳'!$A$5:$A$1004,0),"なし"))</f>
        <v/>
      </c>
      <c r="P297" s="37">
        <f>IF(NOT(OR($A297&lt;&gt;"",$E297&lt;&gt;"",$F297&lt;&gt;"",$G297&lt;&gt;"",$H297&lt;&gt;"",$I297&lt;&gt;"")),"",IF(ISNUMBER($O297),IF(INDEX('請求台帳'!$C$5:$C$1004,$O297)="","",INDEX('請求台帳'!$C$5:$C$1004,$O297)),IF($C297="","",$C297)))</f>
        <v/>
      </c>
      <c r="Q297" s="35">
        <f>IF(OR(NOT(OR($A297&lt;&gt;"",$E297&lt;&gt;"",$F297&lt;&gt;"",$G297&lt;&gt;"",$H297&lt;&gt;"",$I297&lt;&gt;"")),$P297="",$P297&lt;&gt;'売掛帳'!$B$3,NOT(ISNUMBER($A297)),N($G297)+N($H297)+N($I297)=0),"",IF(AND($A297&gt;='売掛帳'!$Q$3,$A297&lt;='売掛帳'!$Q$4),$A297+0.5+ROW()/10000000,""))</f>
        <v/>
      </c>
      <c r="R297" s="32">
        <f>IF(AND(OR($A297&lt;&gt;"",$E297&lt;&gt;"",$F297&lt;&gt;"",$G297&lt;&gt;"",$H297&lt;&gt;"",$I297&lt;&gt;""),NOT(ISNUMBER($O297))),1,"")</f>
        <v/>
      </c>
    </row>
    <row r="298" ht="18" customHeight="1">
      <c r="A298" s="26" t="n"/>
      <c r="B298" s="18" t="n"/>
      <c r="C298" s="18" t="n"/>
      <c r="D298" s="20">
        <f>IF($P298="","",IFERROR(INDEX('得意先'!$C$5:$C$104,MATCH($P298,'得意先'!$B$5:$B$104,0))&amp;"","※得意先にないコード"))</f>
        <v/>
      </c>
      <c r="E298" s="27" t="n"/>
      <c r="F298" s="18" t="n"/>
      <c r="G298" s="27" t="n"/>
      <c r="H298" s="27" t="n"/>
      <c r="I298" s="27" t="n"/>
      <c r="J298" s="28">
        <f>IF(NOT(OR($A298&lt;&gt;"",$E298&lt;&gt;"",$F298&lt;&gt;"",$G298&lt;&gt;"",$H298&lt;&gt;"",$I298&lt;&gt;"")),"",N($G298)+N($H298)+N($I298))</f>
        <v/>
      </c>
      <c r="K298" s="28">
        <f>IF(ISNUMBER($O298),INDEX('請求台帳'!$R$5:$R$1004,$O298),"")</f>
        <v/>
      </c>
      <c r="L298" s="20">
        <f>IF(NOT(OR($A298&lt;&gt;"",$E298&lt;&gt;"",$F298&lt;&gt;"",$G298&lt;&gt;"",$H298&lt;&gt;"",$I298&lt;&gt;"")),"",IF(NOT(ISNUMBER($A298)),"入金日がありません",IF(AND($F298&lt;&gt;"",$O298="なし"),"請求Noが請求台帳にありません",IF(AND(ISNUMBER($O298),$C298&lt;&gt;"",$C298&lt;&gt;$P298),"請求の得意先は "&amp;$P298&amp;" です",IF(ROUND(IF($B298&lt;&gt;"",SUMIF($B$5:$B$1004,$B298,$E$5:$E$1004)-SUMIF($B$5:$B$1004,$B298,$G$5:$G$1004),N($E298)-N($G298)),0)&lt;&gt;0,"通帳の額と当てた額の差 "&amp;TEXT(IF($B298&lt;&gt;"",SUMIF($B$5:$B$1004,$B298,$E$5:$E$1004)-SUMIF($B$5:$B$1004,$B298,$G$5:$G$1004),N($E298)-N($G298)),"#,##0"),IF(AND(ISNUMBER($O298),N($K298)&lt;0),"請求額より多く消し込んでいます",IF($F298="","消込先が未定","OK")))))))</f>
        <v/>
      </c>
      <c r="M298" s="19" t="n"/>
      <c r="N298" s="56" t="n"/>
      <c r="O298" s="32">
        <f>IF($F298="","",IFERROR(MATCH($F298,'請求台帳'!$A$5:$A$1004,0),"なし"))</f>
        <v/>
      </c>
      <c r="P298" s="37">
        <f>IF(NOT(OR($A298&lt;&gt;"",$E298&lt;&gt;"",$F298&lt;&gt;"",$G298&lt;&gt;"",$H298&lt;&gt;"",$I298&lt;&gt;"")),"",IF(ISNUMBER($O298),IF(INDEX('請求台帳'!$C$5:$C$1004,$O298)="","",INDEX('請求台帳'!$C$5:$C$1004,$O298)),IF($C298="","",$C298)))</f>
        <v/>
      </c>
      <c r="Q298" s="35">
        <f>IF(OR(NOT(OR($A298&lt;&gt;"",$E298&lt;&gt;"",$F298&lt;&gt;"",$G298&lt;&gt;"",$H298&lt;&gt;"",$I298&lt;&gt;"")),$P298="",$P298&lt;&gt;'売掛帳'!$B$3,NOT(ISNUMBER($A298)),N($G298)+N($H298)+N($I298)=0),"",IF(AND($A298&gt;='売掛帳'!$Q$3,$A298&lt;='売掛帳'!$Q$4),$A298+0.5+ROW()/10000000,""))</f>
        <v/>
      </c>
      <c r="R298" s="32">
        <f>IF(AND(OR($A298&lt;&gt;"",$E298&lt;&gt;"",$F298&lt;&gt;"",$G298&lt;&gt;"",$H298&lt;&gt;"",$I298&lt;&gt;""),NOT(ISNUMBER($O298))),1,"")</f>
        <v/>
      </c>
    </row>
    <row r="299" ht="18" customHeight="1">
      <c r="A299" s="26" t="n"/>
      <c r="B299" s="18" t="n"/>
      <c r="C299" s="18" t="n"/>
      <c r="D299" s="20">
        <f>IF($P299="","",IFERROR(INDEX('得意先'!$C$5:$C$104,MATCH($P299,'得意先'!$B$5:$B$104,0))&amp;"","※得意先にないコード"))</f>
        <v/>
      </c>
      <c r="E299" s="27" t="n"/>
      <c r="F299" s="18" t="n"/>
      <c r="G299" s="27" t="n"/>
      <c r="H299" s="27" t="n"/>
      <c r="I299" s="27" t="n"/>
      <c r="J299" s="28">
        <f>IF(NOT(OR($A299&lt;&gt;"",$E299&lt;&gt;"",$F299&lt;&gt;"",$G299&lt;&gt;"",$H299&lt;&gt;"",$I299&lt;&gt;"")),"",N($G299)+N($H299)+N($I299))</f>
        <v/>
      </c>
      <c r="K299" s="28">
        <f>IF(ISNUMBER($O299),INDEX('請求台帳'!$R$5:$R$1004,$O299),"")</f>
        <v/>
      </c>
      <c r="L299" s="20">
        <f>IF(NOT(OR($A299&lt;&gt;"",$E299&lt;&gt;"",$F299&lt;&gt;"",$G299&lt;&gt;"",$H299&lt;&gt;"",$I299&lt;&gt;"")),"",IF(NOT(ISNUMBER($A299)),"入金日がありません",IF(AND($F299&lt;&gt;"",$O299="なし"),"請求Noが請求台帳にありません",IF(AND(ISNUMBER($O299),$C299&lt;&gt;"",$C299&lt;&gt;$P299),"請求の得意先は "&amp;$P299&amp;" です",IF(ROUND(IF($B299&lt;&gt;"",SUMIF($B$5:$B$1004,$B299,$E$5:$E$1004)-SUMIF($B$5:$B$1004,$B299,$G$5:$G$1004),N($E299)-N($G299)),0)&lt;&gt;0,"通帳の額と当てた額の差 "&amp;TEXT(IF($B299&lt;&gt;"",SUMIF($B$5:$B$1004,$B299,$E$5:$E$1004)-SUMIF($B$5:$B$1004,$B299,$G$5:$G$1004),N($E299)-N($G299)),"#,##0"),IF(AND(ISNUMBER($O299),N($K299)&lt;0),"請求額より多く消し込んでいます",IF($F299="","消込先が未定","OK")))))))</f>
        <v/>
      </c>
      <c r="M299" s="19" t="n"/>
      <c r="N299" s="56" t="n"/>
      <c r="O299" s="32">
        <f>IF($F299="","",IFERROR(MATCH($F299,'請求台帳'!$A$5:$A$1004,0),"なし"))</f>
        <v/>
      </c>
      <c r="P299" s="37">
        <f>IF(NOT(OR($A299&lt;&gt;"",$E299&lt;&gt;"",$F299&lt;&gt;"",$G299&lt;&gt;"",$H299&lt;&gt;"",$I299&lt;&gt;"")),"",IF(ISNUMBER($O299),IF(INDEX('請求台帳'!$C$5:$C$1004,$O299)="","",INDEX('請求台帳'!$C$5:$C$1004,$O299)),IF($C299="","",$C299)))</f>
        <v/>
      </c>
      <c r="Q299" s="35">
        <f>IF(OR(NOT(OR($A299&lt;&gt;"",$E299&lt;&gt;"",$F299&lt;&gt;"",$G299&lt;&gt;"",$H299&lt;&gt;"",$I299&lt;&gt;"")),$P299="",$P299&lt;&gt;'売掛帳'!$B$3,NOT(ISNUMBER($A299)),N($G299)+N($H299)+N($I299)=0),"",IF(AND($A299&gt;='売掛帳'!$Q$3,$A299&lt;='売掛帳'!$Q$4),$A299+0.5+ROW()/10000000,""))</f>
        <v/>
      </c>
      <c r="R299" s="32">
        <f>IF(AND(OR($A299&lt;&gt;"",$E299&lt;&gt;"",$F299&lt;&gt;"",$G299&lt;&gt;"",$H299&lt;&gt;"",$I299&lt;&gt;""),NOT(ISNUMBER($O299))),1,"")</f>
        <v/>
      </c>
    </row>
    <row r="300" ht="18" customHeight="1">
      <c r="A300" s="26" t="n"/>
      <c r="B300" s="18" t="n"/>
      <c r="C300" s="18" t="n"/>
      <c r="D300" s="20">
        <f>IF($P300="","",IFERROR(INDEX('得意先'!$C$5:$C$104,MATCH($P300,'得意先'!$B$5:$B$104,0))&amp;"","※得意先にないコード"))</f>
        <v/>
      </c>
      <c r="E300" s="27" t="n"/>
      <c r="F300" s="18" t="n"/>
      <c r="G300" s="27" t="n"/>
      <c r="H300" s="27" t="n"/>
      <c r="I300" s="27" t="n"/>
      <c r="J300" s="28">
        <f>IF(NOT(OR($A300&lt;&gt;"",$E300&lt;&gt;"",$F300&lt;&gt;"",$G300&lt;&gt;"",$H300&lt;&gt;"",$I300&lt;&gt;"")),"",N($G300)+N($H300)+N($I300))</f>
        <v/>
      </c>
      <c r="K300" s="28">
        <f>IF(ISNUMBER($O300),INDEX('請求台帳'!$R$5:$R$1004,$O300),"")</f>
        <v/>
      </c>
      <c r="L300" s="20">
        <f>IF(NOT(OR($A300&lt;&gt;"",$E300&lt;&gt;"",$F300&lt;&gt;"",$G300&lt;&gt;"",$H300&lt;&gt;"",$I300&lt;&gt;"")),"",IF(NOT(ISNUMBER($A300)),"入金日がありません",IF(AND($F300&lt;&gt;"",$O300="なし"),"請求Noが請求台帳にありません",IF(AND(ISNUMBER($O300),$C300&lt;&gt;"",$C300&lt;&gt;$P300),"請求の得意先は "&amp;$P300&amp;" です",IF(ROUND(IF($B300&lt;&gt;"",SUMIF($B$5:$B$1004,$B300,$E$5:$E$1004)-SUMIF($B$5:$B$1004,$B300,$G$5:$G$1004),N($E300)-N($G300)),0)&lt;&gt;0,"通帳の額と当てた額の差 "&amp;TEXT(IF($B300&lt;&gt;"",SUMIF($B$5:$B$1004,$B300,$E$5:$E$1004)-SUMIF($B$5:$B$1004,$B300,$G$5:$G$1004),N($E300)-N($G300)),"#,##0"),IF(AND(ISNUMBER($O300),N($K300)&lt;0),"請求額より多く消し込んでいます",IF($F300="","消込先が未定","OK")))))))</f>
        <v/>
      </c>
      <c r="M300" s="19" t="n"/>
      <c r="N300" s="56" t="n"/>
      <c r="O300" s="32">
        <f>IF($F300="","",IFERROR(MATCH($F300,'請求台帳'!$A$5:$A$1004,0),"なし"))</f>
        <v/>
      </c>
      <c r="P300" s="37">
        <f>IF(NOT(OR($A300&lt;&gt;"",$E300&lt;&gt;"",$F300&lt;&gt;"",$G300&lt;&gt;"",$H300&lt;&gt;"",$I300&lt;&gt;"")),"",IF(ISNUMBER($O300),IF(INDEX('請求台帳'!$C$5:$C$1004,$O300)="","",INDEX('請求台帳'!$C$5:$C$1004,$O300)),IF($C300="","",$C300)))</f>
        <v/>
      </c>
      <c r="Q300" s="35">
        <f>IF(OR(NOT(OR($A300&lt;&gt;"",$E300&lt;&gt;"",$F300&lt;&gt;"",$G300&lt;&gt;"",$H300&lt;&gt;"",$I300&lt;&gt;"")),$P300="",$P300&lt;&gt;'売掛帳'!$B$3,NOT(ISNUMBER($A300)),N($G300)+N($H300)+N($I300)=0),"",IF(AND($A300&gt;='売掛帳'!$Q$3,$A300&lt;='売掛帳'!$Q$4),$A300+0.5+ROW()/10000000,""))</f>
        <v/>
      </c>
      <c r="R300" s="32">
        <f>IF(AND(OR($A300&lt;&gt;"",$E300&lt;&gt;"",$F300&lt;&gt;"",$G300&lt;&gt;"",$H300&lt;&gt;"",$I300&lt;&gt;""),NOT(ISNUMBER($O300))),1,"")</f>
        <v/>
      </c>
    </row>
    <row r="301" ht="18" customHeight="1">
      <c r="A301" s="26" t="n"/>
      <c r="B301" s="18" t="n"/>
      <c r="C301" s="18" t="n"/>
      <c r="D301" s="20">
        <f>IF($P301="","",IFERROR(INDEX('得意先'!$C$5:$C$104,MATCH($P301,'得意先'!$B$5:$B$104,0))&amp;"","※得意先にないコード"))</f>
        <v/>
      </c>
      <c r="E301" s="27" t="n"/>
      <c r="F301" s="18" t="n"/>
      <c r="G301" s="27" t="n"/>
      <c r="H301" s="27" t="n"/>
      <c r="I301" s="27" t="n"/>
      <c r="J301" s="28">
        <f>IF(NOT(OR($A301&lt;&gt;"",$E301&lt;&gt;"",$F301&lt;&gt;"",$G301&lt;&gt;"",$H301&lt;&gt;"",$I301&lt;&gt;"")),"",N($G301)+N($H301)+N($I301))</f>
        <v/>
      </c>
      <c r="K301" s="28">
        <f>IF(ISNUMBER($O301),INDEX('請求台帳'!$R$5:$R$1004,$O301),"")</f>
        <v/>
      </c>
      <c r="L301" s="20">
        <f>IF(NOT(OR($A301&lt;&gt;"",$E301&lt;&gt;"",$F301&lt;&gt;"",$G301&lt;&gt;"",$H301&lt;&gt;"",$I301&lt;&gt;"")),"",IF(NOT(ISNUMBER($A301)),"入金日がありません",IF(AND($F301&lt;&gt;"",$O301="なし"),"請求Noが請求台帳にありません",IF(AND(ISNUMBER($O301),$C301&lt;&gt;"",$C301&lt;&gt;$P301),"請求の得意先は "&amp;$P301&amp;" です",IF(ROUND(IF($B301&lt;&gt;"",SUMIF($B$5:$B$1004,$B301,$E$5:$E$1004)-SUMIF($B$5:$B$1004,$B301,$G$5:$G$1004),N($E301)-N($G301)),0)&lt;&gt;0,"通帳の額と当てた額の差 "&amp;TEXT(IF($B301&lt;&gt;"",SUMIF($B$5:$B$1004,$B301,$E$5:$E$1004)-SUMIF($B$5:$B$1004,$B301,$G$5:$G$1004),N($E301)-N($G301)),"#,##0"),IF(AND(ISNUMBER($O301),N($K301)&lt;0),"請求額より多く消し込んでいます",IF($F301="","消込先が未定","OK")))))))</f>
        <v/>
      </c>
      <c r="M301" s="19" t="n"/>
      <c r="N301" s="56" t="n"/>
      <c r="O301" s="32">
        <f>IF($F301="","",IFERROR(MATCH($F301,'請求台帳'!$A$5:$A$1004,0),"なし"))</f>
        <v/>
      </c>
      <c r="P301" s="37">
        <f>IF(NOT(OR($A301&lt;&gt;"",$E301&lt;&gt;"",$F301&lt;&gt;"",$G301&lt;&gt;"",$H301&lt;&gt;"",$I301&lt;&gt;"")),"",IF(ISNUMBER($O301),IF(INDEX('請求台帳'!$C$5:$C$1004,$O301)="","",INDEX('請求台帳'!$C$5:$C$1004,$O301)),IF($C301="","",$C301)))</f>
        <v/>
      </c>
      <c r="Q301" s="35">
        <f>IF(OR(NOT(OR($A301&lt;&gt;"",$E301&lt;&gt;"",$F301&lt;&gt;"",$G301&lt;&gt;"",$H301&lt;&gt;"",$I301&lt;&gt;"")),$P301="",$P301&lt;&gt;'売掛帳'!$B$3,NOT(ISNUMBER($A301)),N($G301)+N($H301)+N($I301)=0),"",IF(AND($A301&gt;='売掛帳'!$Q$3,$A301&lt;='売掛帳'!$Q$4),$A301+0.5+ROW()/10000000,""))</f>
        <v/>
      </c>
      <c r="R301" s="32">
        <f>IF(AND(OR($A301&lt;&gt;"",$E301&lt;&gt;"",$F301&lt;&gt;"",$G301&lt;&gt;"",$H301&lt;&gt;"",$I301&lt;&gt;""),NOT(ISNUMBER($O301))),1,"")</f>
        <v/>
      </c>
    </row>
    <row r="302" ht="18" customHeight="1">
      <c r="A302" s="26" t="n"/>
      <c r="B302" s="18" t="n"/>
      <c r="C302" s="18" t="n"/>
      <c r="D302" s="20">
        <f>IF($P302="","",IFERROR(INDEX('得意先'!$C$5:$C$104,MATCH($P302,'得意先'!$B$5:$B$104,0))&amp;"","※得意先にないコード"))</f>
        <v/>
      </c>
      <c r="E302" s="27" t="n"/>
      <c r="F302" s="18" t="n"/>
      <c r="G302" s="27" t="n"/>
      <c r="H302" s="27" t="n"/>
      <c r="I302" s="27" t="n"/>
      <c r="J302" s="28">
        <f>IF(NOT(OR($A302&lt;&gt;"",$E302&lt;&gt;"",$F302&lt;&gt;"",$G302&lt;&gt;"",$H302&lt;&gt;"",$I302&lt;&gt;"")),"",N($G302)+N($H302)+N($I302))</f>
        <v/>
      </c>
      <c r="K302" s="28">
        <f>IF(ISNUMBER($O302),INDEX('請求台帳'!$R$5:$R$1004,$O302),"")</f>
        <v/>
      </c>
      <c r="L302" s="20">
        <f>IF(NOT(OR($A302&lt;&gt;"",$E302&lt;&gt;"",$F302&lt;&gt;"",$G302&lt;&gt;"",$H302&lt;&gt;"",$I302&lt;&gt;"")),"",IF(NOT(ISNUMBER($A302)),"入金日がありません",IF(AND($F302&lt;&gt;"",$O302="なし"),"請求Noが請求台帳にありません",IF(AND(ISNUMBER($O302),$C302&lt;&gt;"",$C302&lt;&gt;$P302),"請求の得意先は "&amp;$P302&amp;" です",IF(ROUND(IF($B302&lt;&gt;"",SUMIF($B$5:$B$1004,$B302,$E$5:$E$1004)-SUMIF($B$5:$B$1004,$B302,$G$5:$G$1004),N($E302)-N($G302)),0)&lt;&gt;0,"通帳の額と当てた額の差 "&amp;TEXT(IF($B302&lt;&gt;"",SUMIF($B$5:$B$1004,$B302,$E$5:$E$1004)-SUMIF($B$5:$B$1004,$B302,$G$5:$G$1004),N($E302)-N($G302)),"#,##0"),IF(AND(ISNUMBER($O302),N($K302)&lt;0),"請求額より多く消し込んでいます",IF($F302="","消込先が未定","OK")))))))</f>
        <v/>
      </c>
      <c r="M302" s="19" t="n"/>
      <c r="N302" s="56" t="n"/>
      <c r="O302" s="32">
        <f>IF($F302="","",IFERROR(MATCH($F302,'請求台帳'!$A$5:$A$1004,0),"なし"))</f>
        <v/>
      </c>
      <c r="P302" s="37">
        <f>IF(NOT(OR($A302&lt;&gt;"",$E302&lt;&gt;"",$F302&lt;&gt;"",$G302&lt;&gt;"",$H302&lt;&gt;"",$I302&lt;&gt;"")),"",IF(ISNUMBER($O302),IF(INDEX('請求台帳'!$C$5:$C$1004,$O302)="","",INDEX('請求台帳'!$C$5:$C$1004,$O302)),IF($C302="","",$C302)))</f>
        <v/>
      </c>
      <c r="Q302" s="35">
        <f>IF(OR(NOT(OR($A302&lt;&gt;"",$E302&lt;&gt;"",$F302&lt;&gt;"",$G302&lt;&gt;"",$H302&lt;&gt;"",$I302&lt;&gt;"")),$P302="",$P302&lt;&gt;'売掛帳'!$B$3,NOT(ISNUMBER($A302)),N($G302)+N($H302)+N($I302)=0),"",IF(AND($A302&gt;='売掛帳'!$Q$3,$A302&lt;='売掛帳'!$Q$4),$A302+0.5+ROW()/10000000,""))</f>
        <v/>
      </c>
      <c r="R302" s="32">
        <f>IF(AND(OR($A302&lt;&gt;"",$E302&lt;&gt;"",$F302&lt;&gt;"",$G302&lt;&gt;"",$H302&lt;&gt;"",$I302&lt;&gt;""),NOT(ISNUMBER($O302))),1,"")</f>
        <v/>
      </c>
    </row>
    <row r="303" ht="18" customHeight="1">
      <c r="A303" s="26" t="n"/>
      <c r="B303" s="18" t="n"/>
      <c r="C303" s="18" t="n"/>
      <c r="D303" s="20">
        <f>IF($P303="","",IFERROR(INDEX('得意先'!$C$5:$C$104,MATCH($P303,'得意先'!$B$5:$B$104,0))&amp;"","※得意先にないコード"))</f>
        <v/>
      </c>
      <c r="E303" s="27" t="n"/>
      <c r="F303" s="18" t="n"/>
      <c r="G303" s="27" t="n"/>
      <c r="H303" s="27" t="n"/>
      <c r="I303" s="27" t="n"/>
      <c r="J303" s="28">
        <f>IF(NOT(OR($A303&lt;&gt;"",$E303&lt;&gt;"",$F303&lt;&gt;"",$G303&lt;&gt;"",$H303&lt;&gt;"",$I303&lt;&gt;"")),"",N($G303)+N($H303)+N($I303))</f>
        <v/>
      </c>
      <c r="K303" s="28">
        <f>IF(ISNUMBER($O303),INDEX('請求台帳'!$R$5:$R$1004,$O303),"")</f>
        <v/>
      </c>
      <c r="L303" s="20">
        <f>IF(NOT(OR($A303&lt;&gt;"",$E303&lt;&gt;"",$F303&lt;&gt;"",$G303&lt;&gt;"",$H303&lt;&gt;"",$I303&lt;&gt;"")),"",IF(NOT(ISNUMBER($A303)),"入金日がありません",IF(AND($F303&lt;&gt;"",$O303="なし"),"請求Noが請求台帳にありません",IF(AND(ISNUMBER($O303),$C303&lt;&gt;"",$C303&lt;&gt;$P303),"請求の得意先は "&amp;$P303&amp;" です",IF(ROUND(IF($B303&lt;&gt;"",SUMIF($B$5:$B$1004,$B303,$E$5:$E$1004)-SUMIF($B$5:$B$1004,$B303,$G$5:$G$1004),N($E303)-N($G303)),0)&lt;&gt;0,"通帳の額と当てた額の差 "&amp;TEXT(IF($B303&lt;&gt;"",SUMIF($B$5:$B$1004,$B303,$E$5:$E$1004)-SUMIF($B$5:$B$1004,$B303,$G$5:$G$1004),N($E303)-N($G303)),"#,##0"),IF(AND(ISNUMBER($O303),N($K303)&lt;0),"請求額より多く消し込んでいます",IF($F303="","消込先が未定","OK")))))))</f>
        <v/>
      </c>
      <c r="M303" s="19" t="n"/>
      <c r="N303" s="56" t="n"/>
      <c r="O303" s="32">
        <f>IF($F303="","",IFERROR(MATCH($F303,'請求台帳'!$A$5:$A$1004,0),"なし"))</f>
        <v/>
      </c>
      <c r="P303" s="37">
        <f>IF(NOT(OR($A303&lt;&gt;"",$E303&lt;&gt;"",$F303&lt;&gt;"",$G303&lt;&gt;"",$H303&lt;&gt;"",$I303&lt;&gt;"")),"",IF(ISNUMBER($O303),IF(INDEX('請求台帳'!$C$5:$C$1004,$O303)="","",INDEX('請求台帳'!$C$5:$C$1004,$O303)),IF($C303="","",$C303)))</f>
        <v/>
      </c>
      <c r="Q303" s="35">
        <f>IF(OR(NOT(OR($A303&lt;&gt;"",$E303&lt;&gt;"",$F303&lt;&gt;"",$G303&lt;&gt;"",$H303&lt;&gt;"",$I303&lt;&gt;"")),$P303="",$P303&lt;&gt;'売掛帳'!$B$3,NOT(ISNUMBER($A303)),N($G303)+N($H303)+N($I303)=0),"",IF(AND($A303&gt;='売掛帳'!$Q$3,$A303&lt;='売掛帳'!$Q$4),$A303+0.5+ROW()/10000000,""))</f>
        <v/>
      </c>
      <c r="R303" s="32">
        <f>IF(AND(OR($A303&lt;&gt;"",$E303&lt;&gt;"",$F303&lt;&gt;"",$G303&lt;&gt;"",$H303&lt;&gt;"",$I303&lt;&gt;""),NOT(ISNUMBER($O303))),1,"")</f>
        <v/>
      </c>
    </row>
    <row r="304" ht="18" customHeight="1">
      <c r="A304" s="26" t="n"/>
      <c r="B304" s="18" t="n"/>
      <c r="C304" s="18" t="n"/>
      <c r="D304" s="20">
        <f>IF($P304="","",IFERROR(INDEX('得意先'!$C$5:$C$104,MATCH($P304,'得意先'!$B$5:$B$104,0))&amp;"","※得意先にないコード"))</f>
        <v/>
      </c>
      <c r="E304" s="27" t="n"/>
      <c r="F304" s="18" t="n"/>
      <c r="G304" s="27" t="n"/>
      <c r="H304" s="27" t="n"/>
      <c r="I304" s="27" t="n"/>
      <c r="J304" s="28">
        <f>IF(NOT(OR($A304&lt;&gt;"",$E304&lt;&gt;"",$F304&lt;&gt;"",$G304&lt;&gt;"",$H304&lt;&gt;"",$I304&lt;&gt;"")),"",N($G304)+N($H304)+N($I304))</f>
        <v/>
      </c>
      <c r="K304" s="28">
        <f>IF(ISNUMBER($O304),INDEX('請求台帳'!$R$5:$R$1004,$O304),"")</f>
        <v/>
      </c>
      <c r="L304" s="20">
        <f>IF(NOT(OR($A304&lt;&gt;"",$E304&lt;&gt;"",$F304&lt;&gt;"",$G304&lt;&gt;"",$H304&lt;&gt;"",$I304&lt;&gt;"")),"",IF(NOT(ISNUMBER($A304)),"入金日がありません",IF(AND($F304&lt;&gt;"",$O304="なし"),"請求Noが請求台帳にありません",IF(AND(ISNUMBER($O304),$C304&lt;&gt;"",$C304&lt;&gt;$P304),"請求の得意先は "&amp;$P304&amp;" です",IF(ROUND(IF($B304&lt;&gt;"",SUMIF($B$5:$B$1004,$B304,$E$5:$E$1004)-SUMIF($B$5:$B$1004,$B304,$G$5:$G$1004),N($E304)-N($G304)),0)&lt;&gt;0,"通帳の額と当てた額の差 "&amp;TEXT(IF($B304&lt;&gt;"",SUMIF($B$5:$B$1004,$B304,$E$5:$E$1004)-SUMIF($B$5:$B$1004,$B304,$G$5:$G$1004),N($E304)-N($G304)),"#,##0"),IF(AND(ISNUMBER($O304),N($K304)&lt;0),"請求額より多く消し込んでいます",IF($F304="","消込先が未定","OK")))))))</f>
        <v/>
      </c>
      <c r="M304" s="19" t="n"/>
      <c r="N304" s="56" t="n"/>
      <c r="O304" s="32">
        <f>IF($F304="","",IFERROR(MATCH($F304,'請求台帳'!$A$5:$A$1004,0),"なし"))</f>
        <v/>
      </c>
      <c r="P304" s="37">
        <f>IF(NOT(OR($A304&lt;&gt;"",$E304&lt;&gt;"",$F304&lt;&gt;"",$G304&lt;&gt;"",$H304&lt;&gt;"",$I304&lt;&gt;"")),"",IF(ISNUMBER($O304),IF(INDEX('請求台帳'!$C$5:$C$1004,$O304)="","",INDEX('請求台帳'!$C$5:$C$1004,$O304)),IF($C304="","",$C304)))</f>
        <v/>
      </c>
      <c r="Q304" s="35">
        <f>IF(OR(NOT(OR($A304&lt;&gt;"",$E304&lt;&gt;"",$F304&lt;&gt;"",$G304&lt;&gt;"",$H304&lt;&gt;"",$I304&lt;&gt;"")),$P304="",$P304&lt;&gt;'売掛帳'!$B$3,NOT(ISNUMBER($A304)),N($G304)+N($H304)+N($I304)=0),"",IF(AND($A304&gt;='売掛帳'!$Q$3,$A304&lt;='売掛帳'!$Q$4),$A304+0.5+ROW()/10000000,""))</f>
        <v/>
      </c>
      <c r="R304" s="32">
        <f>IF(AND(OR($A304&lt;&gt;"",$E304&lt;&gt;"",$F304&lt;&gt;"",$G304&lt;&gt;"",$H304&lt;&gt;"",$I304&lt;&gt;""),NOT(ISNUMBER($O304))),1,"")</f>
        <v/>
      </c>
    </row>
    <row r="305" ht="18" customHeight="1">
      <c r="A305" s="26" t="n"/>
      <c r="B305" s="18" t="n"/>
      <c r="C305" s="18" t="n"/>
      <c r="D305" s="20">
        <f>IF($P305="","",IFERROR(INDEX('得意先'!$C$5:$C$104,MATCH($P305,'得意先'!$B$5:$B$104,0))&amp;"","※得意先にないコード"))</f>
        <v/>
      </c>
      <c r="E305" s="27" t="n"/>
      <c r="F305" s="18" t="n"/>
      <c r="G305" s="27" t="n"/>
      <c r="H305" s="27" t="n"/>
      <c r="I305" s="27" t="n"/>
      <c r="J305" s="28">
        <f>IF(NOT(OR($A305&lt;&gt;"",$E305&lt;&gt;"",$F305&lt;&gt;"",$G305&lt;&gt;"",$H305&lt;&gt;"",$I305&lt;&gt;"")),"",N($G305)+N($H305)+N($I305))</f>
        <v/>
      </c>
      <c r="K305" s="28">
        <f>IF(ISNUMBER($O305),INDEX('請求台帳'!$R$5:$R$1004,$O305),"")</f>
        <v/>
      </c>
      <c r="L305" s="20">
        <f>IF(NOT(OR($A305&lt;&gt;"",$E305&lt;&gt;"",$F305&lt;&gt;"",$G305&lt;&gt;"",$H305&lt;&gt;"",$I305&lt;&gt;"")),"",IF(NOT(ISNUMBER($A305)),"入金日がありません",IF(AND($F305&lt;&gt;"",$O305="なし"),"請求Noが請求台帳にありません",IF(AND(ISNUMBER($O305),$C305&lt;&gt;"",$C305&lt;&gt;$P305),"請求の得意先は "&amp;$P305&amp;" です",IF(ROUND(IF($B305&lt;&gt;"",SUMIF($B$5:$B$1004,$B305,$E$5:$E$1004)-SUMIF($B$5:$B$1004,$B305,$G$5:$G$1004),N($E305)-N($G305)),0)&lt;&gt;0,"通帳の額と当てた額の差 "&amp;TEXT(IF($B305&lt;&gt;"",SUMIF($B$5:$B$1004,$B305,$E$5:$E$1004)-SUMIF($B$5:$B$1004,$B305,$G$5:$G$1004),N($E305)-N($G305)),"#,##0"),IF(AND(ISNUMBER($O305),N($K305)&lt;0),"請求額より多く消し込んでいます",IF($F305="","消込先が未定","OK")))))))</f>
        <v/>
      </c>
      <c r="M305" s="19" t="n"/>
      <c r="N305" s="56" t="n"/>
      <c r="O305" s="32">
        <f>IF($F305="","",IFERROR(MATCH($F305,'請求台帳'!$A$5:$A$1004,0),"なし"))</f>
        <v/>
      </c>
      <c r="P305" s="37">
        <f>IF(NOT(OR($A305&lt;&gt;"",$E305&lt;&gt;"",$F305&lt;&gt;"",$G305&lt;&gt;"",$H305&lt;&gt;"",$I305&lt;&gt;"")),"",IF(ISNUMBER($O305),IF(INDEX('請求台帳'!$C$5:$C$1004,$O305)="","",INDEX('請求台帳'!$C$5:$C$1004,$O305)),IF($C305="","",$C305)))</f>
        <v/>
      </c>
      <c r="Q305" s="35">
        <f>IF(OR(NOT(OR($A305&lt;&gt;"",$E305&lt;&gt;"",$F305&lt;&gt;"",$G305&lt;&gt;"",$H305&lt;&gt;"",$I305&lt;&gt;"")),$P305="",$P305&lt;&gt;'売掛帳'!$B$3,NOT(ISNUMBER($A305)),N($G305)+N($H305)+N($I305)=0),"",IF(AND($A305&gt;='売掛帳'!$Q$3,$A305&lt;='売掛帳'!$Q$4),$A305+0.5+ROW()/10000000,""))</f>
        <v/>
      </c>
      <c r="R305" s="32">
        <f>IF(AND(OR($A305&lt;&gt;"",$E305&lt;&gt;"",$F305&lt;&gt;"",$G305&lt;&gt;"",$H305&lt;&gt;"",$I305&lt;&gt;""),NOT(ISNUMBER($O305))),1,"")</f>
        <v/>
      </c>
    </row>
    <row r="306" ht="18" customHeight="1">
      <c r="A306" s="26" t="n"/>
      <c r="B306" s="18" t="n"/>
      <c r="C306" s="18" t="n"/>
      <c r="D306" s="20">
        <f>IF($P306="","",IFERROR(INDEX('得意先'!$C$5:$C$104,MATCH($P306,'得意先'!$B$5:$B$104,0))&amp;"","※得意先にないコード"))</f>
        <v/>
      </c>
      <c r="E306" s="27" t="n"/>
      <c r="F306" s="18" t="n"/>
      <c r="G306" s="27" t="n"/>
      <c r="H306" s="27" t="n"/>
      <c r="I306" s="27" t="n"/>
      <c r="J306" s="28">
        <f>IF(NOT(OR($A306&lt;&gt;"",$E306&lt;&gt;"",$F306&lt;&gt;"",$G306&lt;&gt;"",$H306&lt;&gt;"",$I306&lt;&gt;"")),"",N($G306)+N($H306)+N($I306))</f>
        <v/>
      </c>
      <c r="K306" s="28">
        <f>IF(ISNUMBER($O306),INDEX('請求台帳'!$R$5:$R$1004,$O306),"")</f>
        <v/>
      </c>
      <c r="L306" s="20">
        <f>IF(NOT(OR($A306&lt;&gt;"",$E306&lt;&gt;"",$F306&lt;&gt;"",$G306&lt;&gt;"",$H306&lt;&gt;"",$I306&lt;&gt;"")),"",IF(NOT(ISNUMBER($A306)),"入金日がありません",IF(AND($F306&lt;&gt;"",$O306="なし"),"請求Noが請求台帳にありません",IF(AND(ISNUMBER($O306),$C306&lt;&gt;"",$C306&lt;&gt;$P306),"請求の得意先は "&amp;$P306&amp;" です",IF(ROUND(IF($B306&lt;&gt;"",SUMIF($B$5:$B$1004,$B306,$E$5:$E$1004)-SUMIF($B$5:$B$1004,$B306,$G$5:$G$1004),N($E306)-N($G306)),0)&lt;&gt;0,"通帳の額と当てた額の差 "&amp;TEXT(IF($B306&lt;&gt;"",SUMIF($B$5:$B$1004,$B306,$E$5:$E$1004)-SUMIF($B$5:$B$1004,$B306,$G$5:$G$1004),N($E306)-N($G306)),"#,##0"),IF(AND(ISNUMBER($O306),N($K306)&lt;0),"請求額より多く消し込んでいます",IF($F306="","消込先が未定","OK")))))))</f>
        <v/>
      </c>
      <c r="M306" s="19" t="n"/>
      <c r="N306" s="56" t="n"/>
      <c r="O306" s="32">
        <f>IF($F306="","",IFERROR(MATCH($F306,'請求台帳'!$A$5:$A$1004,0),"なし"))</f>
        <v/>
      </c>
      <c r="P306" s="37">
        <f>IF(NOT(OR($A306&lt;&gt;"",$E306&lt;&gt;"",$F306&lt;&gt;"",$G306&lt;&gt;"",$H306&lt;&gt;"",$I306&lt;&gt;"")),"",IF(ISNUMBER($O306),IF(INDEX('請求台帳'!$C$5:$C$1004,$O306)="","",INDEX('請求台帳'!$C$5:$C$1004,$O306)),IF($C306="","",$C306)))</f>
        <v/>
      </c>
      <c r="Q306" s="35">
        <f>IF(OR(NOT(OR($A306&lt;&gt;"",$E306&lt;&gt;"",$F306&lt;&gt;"",$G306&lt;&gt;"",$H306&lt;&gt;"",$I306&lt;&gt;"")),$P306="",$P306&lt;&gt;'売掛帳'!$B$3,NOT(ISNUMBER($A306)),N($G306)+N($H306)+N($I306)=0),"",IF(AND($A306&gt;='売掛帳'!$Q$3,$A306&lt;='売掛帳'!$Q$4),$A306+0.5+ROW()/10000000,""))</f>
        <v/>
      </c>
      <c r="R306" s="32">
        <f>IF(AND(OR($A306&lt;&gt;"",$E306&lt;&gt;"",$F306&lt;&gt;"",$G306&lt;&gt;"",$H306&lt;&gt;"",$I306&lt;&gt;""),NOT(ISNUMBER($O306))),1,"")</f>
        <v/>
      </c>
    </row>
    <row r="307" ht="18" customHeight="1">
      <c r="A307" s="26" t="n"/>
      <c r="B307" s="18" t="n"/>
      <c r="C307" s="18" t="n"/>
      <c r="D307" s="20">
        <f>IF($P307="","",IFERROR(INDEX('得意先'!$C$5:$C$104,MATCH($P307,'得意先'!$B$5:$B$104,0))&amp;"","※得意先にないコード"))</f>
        <v/>
      </c>
      <c r="E307" s="27" t="n"/>
      <c r="F307" s="18" t="n"/>
      <c r="G307" s="27" t="n"/>
      <c r="H307" s="27" t="n"/>
      <c r="I307" s="27" t="n"/>
      <c r="J307" s="28">
        <f>IF(NOT(OR($A307&lt;&gt;"",$E307&lt;&gt;"",$F307&lt;&gt;"",$G307&lt;&gt;"",$H307&lt;&gt;"",$I307&lt;&gt;"")),"",N($G307)+N($H307)+N($I307))</f>
        <v/>
      </c>
      <c r="K307" s="28">
        <f>IF(ISNUMBER($O307),INDEX('請求台帳'!$R$5:$R$1004,$O307),"")</f>
        <v/>
      </c>
      <c r="L307" s="20">
        <f>IF(NOT(OR($A307&lt;&gt;"",$E307&lt;&gt;"",$F307&lt;&gt;"",$G307&lt;&gt;"",$H307&lt;&gt;"",$I307&lt;&gt;"")),"",IF(NOT(ISNUMBER($A307)),"入金日がありません",IF(AND($F307&lt;&gt;"",$O307="なし"),"請求Noが請求台帳にありません",IF(AND(ISNUMBER($O307),$C307&lt;&gt;"",$C307&lt;&gt;$P307),"請求の得意先は "&amp;$P307&amp;" です",IF(ROUND(IF($B307&lt;&gt;"",SUMIF($B$5:$B$1004,$B307,$E$5:$E$1004)-SUMIF($B$5:$B$1004,$B307,$G$5:$G$1004),N($E307)-N($G307)),0)&lt;&gt;0,"通帳の額と当てた額の差 "&amp;TEXT(IF($B307&lt;&gt;"",SUMIF($B$5:$B$1004,$B307,$E$5:$E$1004)-SUMIF($B$5:$B$1004,$B307,$G$5:$G$1004),N($E307)-N($G307)),"#,##0"),IF(AND(ISNUMBER($O307),N($K307)&lt;0),"請求額より多く消し込んでいます",IF($F307="","消込先が未定","OK")))))))</f>
        <v/>
      </c>
      <c r="M307" s="19" t="n"/>
      <c r="N307" s="56" t="n"/>
      <c r="O307" s="32">
        <f>IF($F307="","",IFERROR(MATCH($F307,'請求台帳'!$A$5:$A$1004,0),"なし"))</f>
        <v/>
      </c>
      <c r="P307" s="37">
        <f>IF(NOT(OR($A307&lt;&gt;"",$E307&lt;&gt;"",$F307&lt;&gt;"",$G307&lt;&gt;"",$H307&lt;&gt;"",$I307&lt;&gt;"")),"",IF(ISNUMBER($O307),IF(INDEX('請求台帳'!$C$5:$C$1004,$O307)="","",INDEX('請求台帳'!$C$5:$C$1004,$O307)),IF($C307="","",$C307)))</f>
        <v/>
      </c>
      <c r="Q307" s="35">
        <f>IF(OR(NOT(OR($A307&lt;&gt;"",$E307&lt;&gt;"",$F307&lt;&gt;"",$G307&lt;&gt;"",$H307&lt;&gt;"",$I307&lt;&gt;"")),$P307="",$P307&lt;&gt;'売掛帳'!$B$3,NOT(ISNUMBER($A307)),N($G307)+N($H307)+N($I307)=0),"",IF(AND($A307&gt;='売掛帳'!$Q$3,$A307&lt;='売掛帳'!$Q$4),$A307+0.5+ROW()/10000000,""))</f>
        <v/>
      </c>
      <c r="R307" s="32">
        <f>IF(AND(OR($A307&lt;&gt;"",$E307&lt;&gt;"",$F307&lt;&gt;"",$G307&lt;&gt;"",$H307&lt;&gt;"",$I307&lt;&gt;""),NOT(ISNUMBER($O307))),1,"")</f>
        <v/>
      </c>
    </row>
    <row r="308" ht="18" customHeight="1">
      <c r="A308" s="26" t="n"/>
      <c r="B308" s="18" t="n"/>
      <c r="C308" s="18" t="n"/>
      <c r="D308" s="20">
        <f>IF($P308="","",IFERROR(INDEX('得意先'!$C$5:$C$104,MATCH($P308,'得意先'!$B$5:$B$104,0))&amp;"","※得意先にないコード"))</f>
        <v/>
      </c>
      <c r="E308" s="27" t="n"/>
      <c r="F308" s="18" t="n"/>
      <c r="G308" s="27" t="n"/>
      <c r="H308" s="27" t="n"/>
      <c r="I308" s="27" t="n"/>
      <c r="J308" s="28">
        <f>IF(NOT(OR($A308&lt;&gt;"",$E308&lt;&gt;"",$F308&lt;&gt;"",$G308&lt;&gt;"",$H308&lt;&gt;"",$I308&lt;&gt;"")),"",N($G308)+N($H308)+N($I308))</f>
        <v/>
      </c>
      <c r="K308" s="28">
        <f>IF(ISNUMBER($O308),INDEX('請求台帳'!$R$5:$R$1004,$O308),"")</f>
        <v/>
      </c>
      <c r="L308" s="20">
        <f>IF(NOT(OR($A308&lt;&gt;"",$E308&lt;&gt;"",$F308&lt;&gt;"",$G308&lt;&gt;"",$H308&lt;&gt;"",$I308&lt;&gt;"")),"",IF(NOT(ISNUMBER($A308)),"入金日がありません",IF(AND($F308&lt;&gt;"",$O308="なし"),"請求Noが請求台帳にありません",IF(AND(ISNUMBER($O308),$C308&lt;&gt;"",$C308&lt;&gt;$P308),"請求の得意先は "&amp;$P308&amp;" です",IF(ROUND(IF($B308&lt;&gt;"",SUMIF($B$5:$B$1004,$B308,$E$5:$E$1004)-SUMIF($B$5:$B$1004,$B308,$G$5:$G$1004),N($E308)-N($G308)),0)&lt;&gt;0,"通帳の額と当てた額の差 "&amp;TEXT(IF($B308&lt;&gt;"",SUMIF($B$5:$B$1004,$B308,$E$5:$E$1004)-SUMIF($B$5:$B$1004,$B308,$G$5:$G$1004),N($E308)-N($G308)),"#,##0"),IF(AND(ISNUMBER($O308),N($K308)&lt;0),"請求額より多く消し込んでいます",IF($F308="","消込先が未定","OK")))))))</f>
        <v/>
      </c>
      <c r="M308" s="19" t="n"/>
      <c r="N308" s="56" t="n"/>
      <c r="O308" s="32">
        <f>IF($F308="","",IFERROR(MATCH($F308,'請求台帳'!$A$5:$A$1004,0),"なし"))</f>
        <v/>
      </c>
      <c r="P308" s="37">
        <f>IF(NOT(OR($A308&lt;&gt;"",$E308&lt;&gt;"",$F308&lt;&gt;"",$G308&lt;&gt;"",$H308&lt;&gt;"",$I308&lt;&gt;"")),"",IF(ISNUMBER($O308),IF(INDEX('請求台帳'!$C$5:$C$1004,$O308)="","",INDEX('請求台帳'!$C$5:$C$1004,$O308)),IF($C308="","",$C308)))</f>
        <v/>
      </c>
      <c r="Q308" s="35">
        <f>IF(OR(NOT(OR($A308&lt;&gt;"",$E308&lt;&gt;"",$F308&lt;&gt;"",$G308&lt;&gt;"",$H308&lt;&gt;"",$I308&lt;&gt;"")),$P308="",$P308&lt;&gt;'売掛帳'!$B$3,NOT(ISNUMBER($A308)),N($G308)+N($H308)+N($I308)=0),"",IF(AND($A308&gt;='売掛帳'!$Q$3,$A308&lt;='売掛帳'!$Q$4),$A308+0.5+ROW()/10000000,""))</f>
        <v/>
      </c>
      <c r="R308" s="32">
        <f>IF(AND(OR($A308&lt;&gt;"",$E308&lt;&gt;"",$F308&lt;&gt;"",$G308&lt;&gt;"",$H308&lt;&gt;"",$I308&lt;&gt;""),NOT(ISNUMBER($O308))),1,"")</f>
        <v/>
      </c>
    </row>
    <row r="309" ht="18" customHeight="1">
      <c r="A309" s="26" t="n"/>
      <c r="B309" s="18" t="n"/>
      <c r="C309" s="18" t="n"/>
      <c r="D309" s="20">
        <f>IF($P309="","",IFERROR(INDEX('得意先'!$C$5:$C$104,MATCH($P309,'得意先'!$B$5:$B$104,0))&amp;"","※得意先にないコード"))</f>
        <v/>
      </c>
      <c r="E309" s="27" t="n"/>
      <c r="F309" s="18" t="n"/>
      <c r="G309" s="27" t="n"/>
      <c r="H309" s="27" t="n"/>
      <c r="I309" s="27" t="n"/>
      <c r="J309" s="28">
        <f>IF(NOT(OR($A309&lt;&gt;"",$E309&lt;&gt;"",$F309&lt;&gt;"",$G309&lt;&gt;"",$H309&lt;&gt;"",$I309&lt;&gt;"")),"",N($G309)+N($H309)+N($I309))</f>
        <v/>
      </c>
      <c r="K309" s="28">
        <f>IF(ISNUMBER($O309),INDEX('請求台帳'!$R$5:$R$1004,$O309),"")</f>
        <v/>
      </c>
      <c r="L309" s="20">
        <f>IF(NOT(OR($A309&lt;&gt;"",$E309&lt;&gt;"",$F309&lt;&gt;"",$G309&lt;&gt;"",$H309&lt;&gt;"",$I309&lt;&gt;"")),"",IF(NOT(ISNUMBER($A309)),"入金日がありません",IF(AND($F309&lt;&gt;"",$O309="なし"),"請求Noが請求台帳にありません",IF(AND(ISNUMBER($O309),$C309&lt;&gt;"",$C309&lt;&gt;$P309),"請求の得意先は "&amp;$P309&amp;" です",IF(ROUND(IF($B309&lt;&gt;"",SUMIF($B$5:$B$1004,$B309,$E$5:$E$1004)-SUMIF($B$5:$B$1004,$B309,$G$5:$G$1004),N($E309)-N($G309)),0)&lt;&gt;0,"通帳の額と当てた額の差 "&amp;TEXT(IF($B309&lt;&gt;"",SUMIF($B$5:$B$1004,$B309,$E$5:$E$1004)-SUMIF($B$5:$B$1004,$B309,$G$5:$G$1004),N($E309)-N($G309)),"#,##0"),IF(AND(ISNUMBER($O309),N($K309)&lt;0),"請求額より多く消し込んでいます",IF($F309="","消込先が未定","OK")))))))</f>
        <v/>
      </c>
      <c r="M309" s="19" t="n"/>
      <c r="N309" s="56" t="n"/>
      <c r="O309" s="32">
        <f>IF($F309="","",IFERROR(MATCH($F309,'請求台帳'!$A$5:$A$1004,0),"なし"))</f>
        <v/>
      </c>
      <c r="P309" s="37">
        <f>IF(NOT(OR($A309&lt;&gt;"",$E309&lt;&gt;"",$F309&lt;&gt;"",$G309&lt;&gt;"",$H309&lt;&gt;"",$I309&lt;&gt;"")),"",IF(ISNUMBER($O309),IF(INDEX('請求台帳'!$C$5:$C$1004,$O309)="","",INDEX('請求台帳'!$C$5:$C$1004,$O309)),IF($C309="","",$C309)))</f>
        <v/>
      </c>
      <c r="Q309" s="35">
        <f>IF(OR(NOT(OR($A309&lt;&gt;"",$E309&lt;&gt;"",$F309&lt;&gt;"",$G309&lt;&gt;"",$H309&lt;&gt;"",$I309&lt;&gt;"")),$P309="",$P309&lt;&gt;'売掛帳'!$B$3,NOT(ISNUMBER($A309)),N($G309)+N($H309)+N($I309)=0),"",IF(AND($A309&gt;='売掛帳'!$Q$3,$A309&lt;='売掛帳'!$Q$4),$A309+0.5+ROW()/10000000,""))</f>
        <v/>
      </c>
      <c r="R309" s="32">
        <f>IF(AND(OR($A309&lt;&gt;"",$E309&lt;&gt;"",$F309&lt;&gt;"",$G309&lt;&gt;"",$H309&lt;&gt;"",$I309&lt;&gt;""),NOT(ISNUMBER($O309))),1,"")</f>
        <v/>
      </c>
    </row>
    <row r="310" ht="18" customHeight="1">
      <c r="A310" s="26" t="n"/>
      <c r="B310" s="18" t="n"/>
      <c r="C310" s="18" t="n"/>
      <c r="D310" s="20">
        <f>IF($P310="","",IFERROR(INDEX('得意先'!$C$5:$C$104,MATCH($P310,'得意先'!$B$5:$B$104,0))&amp;"","※得意先にないコード"))</f>
        <v/>
      </c>
      <c r="E310" s="27" t="n"/>
      <c r="F310" s="18" t="n"/>
      <c r="G310" s="27" t="n"/>
      <c r="H310" s="27" t="n"/>
      <c r="I310" s="27" t="n"/>
      <c r="J310" s="28">
        <f>IF(NOT(OR($A310&lt;&gt;"",$E310&lt;&gt;"",$F310&lt;&gt;"",$G310&lt;&gt;"",$H310&lt;&gt;"",$I310&lt;&gt;"")),"",N($G310)+N($H310)+N($I310))</f>
        <v/>
      </c>
      <c r="K310" s="28">
        <f>IF(ISNUMBER($O310),INDEX('請求台帳'!$R$5:$R$1004,$O310),"")</f>
        <v/>
      </c>
      <c r="L310" s="20">
        <f>IF(NOT(OR($A310&lt;&gt;"",$E310&lt;&gt;"",$F310&lt;&gt;"",$G310&lt;&gt;"",$H310&lt;&gt;"",$I310&lt;&gt;"")),"",IF(NOT(ISNUMBER($A310)),"入金日がありません",IF(AND($F310&lt;&gt;"",$O310="なし"),"請求Noが請求台帳にありません",IF(AND(ISNUMBER($O310),$C310&lt;&gt;"",$C310&lt;&gt;$P310),"請求の得意先は "&amp;$P310&amp;" です",IF(ROUND(IF($B310&lt;&gt;"",SUMIF($B$5:$B$1004,$B310,$E$5:$E$1004)-SUMIF($B$5:$B$1004,$B310,$G$5:$G$1004),N($E310)-N($G310)),0)&lt;&gt;0,"通帳の額と当てた額の差 "&amp;TEXT(IF($B310&lt;&gt;"",SUMIF($B$5:$B$1004,$B310,$E$5:$E$1004)-SUMIF($B$5:$B$1004,$B310,$G$5:$G$1004),N($E310)-N($G310)),"#,##0"),IF(AND(ISNUMBER($O310),N($K310)&lt;0),"請求額より多く消し込んでいます",IF($F310="","消込先が未定","OK")))))))</f>
        <v/>
      </c>
      <c r="M310" s="19" t="n"/>
      <c r="N310" s="56" t="n"/>
      <c r="O310" s="32">
        <f>IF($F310="","",IFERROR(MATCH($F310,'請求台帳'!$A$5:$A$1004,0),"なし"))</f>
        <v/>
      </c>
      <c r="P310" s="37">
        <f>IF(NOT(OR($A310&lt;&gt;"",$E310&lt;&gt;"",$F310&lt;&gt;"",$G310&lt;&gt;"",$H310&lt;&gt;"",$I310&lt;&gt;"")),"",IF(ISNUMBER($O310),IF(INDEX('請求台帳'!$C$5:$C$1004,$O310)="","",INDEX('請求台帳'!$C$5:$C$1004,$O310)),IF($C310="","",$C310)))</f>
        <v/>
      </c>
      <c r="Q310" s="35">
        <f>IF(OR(NOT(OR($A310&lt;&gt;"",$E310&lt;&gt;"",$F310&lt;&gt;"",$G310&lt;&gt;"",$H310&lt;&gt;"",$I310&lt;&gt;"")),$P310="",$P310&lt;&gt;'売掛帳'!$B$3,NOT(ISNUMBER($A310)),N($G310)+N($H310)+N($I310)=0),"",IF(AND($A310&gt;='売掛帳'!$Q$3,$A310&lt;='売掛帳'!$Q$4),$A310+0.5+ROW()/10000000,""))</f>
        <v/>
      </c>
      <c r="R310" s="32">
        <f>IF(AND(OR($A310&lt;&gt;"",$E310&lt;&gt;"",$F310&lt;&gt;"",$G310&lt;&gt;"",$H310&lt;&gt;"",$I310&lt;&gt;""),NOT(ISNUMBER($O310))),1,"")</f>
        <v/>
      </c>
    </row>
    <row r="311" ht="18" customHeight="1">
      <c r="A311" s="26" t="n"/>
      <c r="B311" s="18" t="n"/>
      <c r="C311" s="18" t="n"/>
      <c r="D311" s="20">
        <f>IF($P311="","",IFERROR(INDEX('得意先'!$C$5:$C$104,MATCH($P311,'得意先'!$B$5:$B$104,0))&amp;"","※得意先にないコード"))</f>
        <v/>
      </c>
      <c r="E311" s="27" t="n"/>
      <c r="F311" s="18" t="n"/>
      <c r="G311" s="27" t="n"/>
      <c r="H311" s="27" t="n"/>
      <c r="I311" s="27" t="n"/>
      <c r="J311" s="28">
        <f>IF(NOT(OR($A311&lt;&gt;"",$E311&lt;&gt;"",$F311&lt;&gt;"",$G311&lt;&gt;"",$H311&lt;&gt;"",$I311&lt;&gt;"")),"",N($G311)+N($H311)+N($I311))</f>
        <v/>
      </c>
      <c r="K311" s="28">
        <f>IF(ISNUMBER($O311),INDEX('請求台帳'!$R$5:$R$1004,$O311),"")</f>
        <v/>
      </c>
      <c r="L311" s="20">
        <f>IF(NOT(OR($A311&lt;&gt;"",$E311&lt;&gt;"",$F311&lt;&gt;"",$G311&lt;&gt;"",$H311&lt;&gt;"",$I311&lt;&gt;"")),"",IF(NOT(ISNUMBER($A311)),"入金日がありません",IF(AND($F311&lt;&gt;"",$O311="なし"),"請求Noが請求台帳にありません",IF(AND(ISNUMBER($O311),$C311&lt;&gt;"",$C311&lt;&gt;$P311),"請求の得意先は "&amp;$P311&amp;" です",IF(ROUND(IF($B311&lt;&gt;"",SUMIF($B$5:$B$1004,$B311,$E$5:$E$1004)-SUMIF($B$5:$B$1004,$B311,$G$5:$G$1004),N($E311)-N($G311)),0)&lt;&gt;0,"通帳の額と当てた額の差 "&amp;TEXT(IF($B311&lt;&gt;"",SUMIF($B$5:$B$1004,$B311,$E$5:$E$1004)-SUMIF($B$5:$B$1004,$B311,$G$5:$G$1004),N($E311)-N($G311)),"#,##0"),IF(AND(ISNUMBER($O311),N($K311)&lt;0),"請求額より多く消し込んでいます",IF($F311="","消込先が未定","OK")))))))</f>
        <v/>
      </c>
      <c r="M311" s="19" t="n"/>
      <c r="N311" s="56" t="n"/>
      <c r="O311" s="32">
        <f>IF($F311="","",IFERROR(MATCH($F311,'請求台帳'!$A$5:$A$1004,0),"なし"))</f>
        <v/>
      </c>
      <c r="P311" s="37">
        <f>IF(NOT(OR($A311&lt;&gt;"",$E311&lt;&gt;"",$F311&lt;&gt;"",$G311&lt;&gt;"",$H311&lt;&gt;"",$I311&lt;&gt;"")),"",IF(ISNUMBER($O311),IF(INDEX('請求台帳'!$C$5:$C$1004,$O311)="","",INDEX('請求台帳'!$C$5:$C$1004,$O311)),IF($C311="","",$C311)))</f>
        <v/>
      </c>
      <c r="Q311" s="35">
        <f>IF(OR(NOT(OR($A311&lt;&gt;"",$E311&lt;&gt;"",$F311&lt;&gt;"",$G311&lt;&gt;"",$H311&lt;&gt;"",$I311&lt;&gt;"")),$P311="",$P311&lt;&gt;'売掛帳'!$B$3,NOT(ISNUMBER($A311)),N($G311)+N($H311)+N($I311)=0),"",IF(AND($A311&gt;='売掛帳'!$Q$3,$A311&lt;='売掛帳'!$Q$4),$A311+0.5+ROW()/10000000,""))</f>
        <v/>
      </c>
      <c r="R311" s="32">
        <f>IF(AND(OR($A311&lt;&gt;"",$E311&lt;&gt;"",$F311&lt;&gt;"",$G311&lt;&gt;"",$H311&lt;&gt;"",$I311&lt;&gt;""),NOT(ISNUMBER($O311))),1,"")</f>
        <v/>
      </c>
    </row>
    <row r="312" ht="18" customHeight="1">
      <c r="A312" s="26" t="n"/>
      <c r="B312" s="18" t="n"/>
      <c r="C312" s="18" t="n"/>
      <c r="D312" s="20">
        <f>IF($P312="","",IFERROR(INDEX('得意先'!$C$5:$C$104,MATCH($P312,'得意先'!$B$5:$B$104,0))&amp;"","※得意先にないコード"))</f>
        <v/>
      </c>
      <c r="E312" s="27" t="n"/>
      <c r="F312" s="18" t="n"/>
      <c r="G312" s="27" t="n"/>
      <c r="H312" s="27" t="n"/>
      <c r="I312" s="27" t="n"/>
      <c r="J312" s="28">
        <f>IF(NOT(OR($A312&lt;&gt;"",$E312&lt;&gt;"",$F312&lt;&gt;"",$G312&lt;&gt;"",$H312&lt;&gt;"",$I312&lt;&gt;"")),"",N($G312)+N($H312)+N($I312))</f>
        <v/>
      </c>
      <c r="K312" s="28">
        <f>IF(ISNUMBER($O312),INDEX('請求台帳'!$R$5:$R$1004,$O312),"")</f>
        <v/>
      </c>
      <c r="L312" s="20">
        <f>IF(NOT(OR($A312&lt;&gt;"",$E312&lt;&gt;"",$F312&lt;&gt;"",$G312&lt;&gt;"",$H312&lt;&gt;"",$I312&lt;&gt;"")),"",IF(NOT(ISNUMBER($A312)),"入金日がありません",IF(AND($F312&lt;&gt;"",$O312="なし"),"請求Noが請求台帳にありません",IF(AND(ISNUMBER($O312),$C312&lt;&gt;"",$C312&lt;&gt;$P312),"請求の得意先は "&amp;$P312&amp;" です",IF(ROUND(IF($B312&lt;&gt;"",SUMIF($B$5:$B$1004,$B312,$E$5:$E$1004)-SUMIF($B$5:$B$1004,$B312,$G$5:$G$1004),N($E312)-N($G312)),0)&lt;&gt;0,"通帳の額と当てた額の差 "&amp;TEXT(IF($B312&lt;&gt;"",SUMIF($B$5:$B$1004,$B312,$E$5:$E$1004)-SUMIF($B$5:$B$1004,$B312,$G$5:$G$1004),N($E312)-N($G312)),"#,##0"),IF(AND(ISNUMBER($O312),N($K312)&lt;0),"請求額より多く消し込んでいます",IF($F312="","消込先が未定","OK")))))))</f>
        <v/>
      </c>
      <c r="M312" s="19" t="n"/>
      <c r="N312" s="56" t="n"/>
      <c r="O312" s="32">
        <f>IF($F312="","",IFERROR(MATCH($F312,'請求台帳'!$A$5:$A$1004,0),"なし"))</f>
        <v/>
      </c>
      <c r="P312" s="37">
        <f>IF(NOT(OR($A312&lt;&gt;"",$E312&lt;&gt;"",$F312&lt;&gt;"",$G312&lt;&gt;"",$H312&lt;&gt;"",$I312&lt;&gt;"")),"",IF(ISNUMBER($O312),IF(INDEX('請求台帳'!$C$5:$C$1004,$O312)="","",INDEX('請求台帳'!$C$5:$C$1004,$O312)),IF($C312="","",$C312)))</f>
        <v/>
      </c>
      <c r="Q312" s="35">
        <f>IF(OR(NOT(OR($A312&lt;&gt;"",$E312&lt;&gt;"",$F312&lt;&gt;"",$G312&lt;&gt;"",$H312&lt;&gt;"",$I312&lt;&gt;"")),$P312="",$P312&lt;&gt;'売掛帳'!$B$3,NOT(ISNUMBER($A312)),N($G312)+N($H312)+N($I312)=0),"",IF(AND($A312&gt;='売掛帳'!$Q$3,$A312&lt;='売掛帳'!$Q$4),$A312+0.5+ROW()/10000000,""))</f>
        <v/>
      </c>
      <c r="R312" s="32">
        <f>IF(AND(OR($A312&lt;&gt;"",$E312&lt;&gt;"",$F312&lt;&gt;"",$G312&lt;&gt;"",$H312&lt;&gt;"",$I312&lt;&gt;""),NOT(ISNUMBER($O312))),1,"")</f>
        <v/>
      </c>
    </row>
    <row r="313" ht="18" customHeight="1">
      <c r="A313" s="26" t="n"/>
      <c r="B313" s="18" t="n"/>
      <c r="C313" s="18" t="n"/>
      <c r="D313" s="20">
        <f>IF($P313="","",IFERROR(INDEX('得意先'!$C$5:$C$104,MATCH($P313,'得意先'!$B$5:$B$104,0))&amp;"","※得意先にないコード"))</f>
        <v/>
      </c>
      <c r="E313" s="27" t="n"/>
      <c r="F313" s="18" t="n"/>
      <c r="G313" s="27" t="n"/>
      <c r="H313" s="27" t="n"/>
      <c r="I313" s="27" t="n"/>
      <c r="J313" s="28">
        <f>IF(NOT(OR($A313&lt;&gt;"",$E313&lt;&gt;"",$F313&lt;&gt;"",$G313&lt;&gt;"",$H313&lt;&gt;"",$I313&lt;&gt;"")),"",N($G313)+N($H313)+N($I313))</f>
        <v/>
      </c>
      <c r="K313" s="28">
        <f>IF(ISNUMBER($O313),INDEX('請求台帳'!$R$5:$R$1004,$O313),"")</f>
        <v/>
      </c>
      <c r="L313" s="20">
        <f>IF(NOT(OR($A313&lt;&gt;"",$E313&lt;&gt;"",$F313&lt;&gt;"",$G313&lt;&gt;"",$H313&lt;&gt;"",$I313&lt;&gt;"")),"",IF(NOT(ISNUMBER($A313)),"入金日がありません",IF(AND($F313&lt;&gt;"",$O313="なし"),"請求Noが請求台帳にありません",IF(AND(ISNUMBER($O313),$C313&lt;&gt;"",$C313&lt;&gt;$P313),"請求の得意先は "&amp;$P313&amp;" です",IF(ROUND(IF($B313&lt;&gt;"",SUMIF($B$5:$B$1004,$B313,$E$5:$E$1004)-SUMIF($B$5:$B$1004,$B313,$G$5:$G$1004),N($E313)-N($G313)),0)&lt;&gt;0,"通帳の額と当てた額の差 "&amp;TEXT(IF($B313&lt;&gt;"",SUMIF($B$5:$B$1004,$B313,$E$5:$E$1004)-SUMIF($B$5:$B$1004,$B313,$G$5:$G$1004),N($E313)-N($G313)),"#,##0"),IF(AND(ISNUMBER($O313),N($K313)&lt;0),"請求額より多く消し込んでいます",IF($F313="","消込先が未定","OK")))))))</f>
        <v/>
      </c>
      <c r="M313" s="19" t="n"/>
      <c r="N313" s="56" t="n"/>
      <c r="O313" s="32">
        <f>IF($F313="","",IFERROR(MATCH($F313,'請求台帳'!$A$5:$A$1004,0),"なし"))</f>
        <v/>
      </c>
      <c r="P313" s="37">
        <f>IF(NOT(OR($A313&lt;&gt;"",$E313&lt;&gt;"",$F313&lt;&gt;"",$G313&lt;&gt;"",$H313&lt;&gt;"",$I313&lt;&gt;"")),"",IF(ISNUMBER($O313),IF(INDEX('請求台帳'!$C$5:$C$1004,$O313)="","",INDEX('請求台帳'!$C$5:$C$1004,$O313)),IF($C313="","",$C313)))</f>
        <v/>
      </c>
      <c r="Q313" s="35">
        <f>IF(OR(NOT(OR($A313&lt;&gt;"",$E313&lt;&gt;"",$F313&lt;&gt;"",$G313&lt;&gt;"",$H313&lt;&gt;"",$I313&lt;&gt;"")),$P313="",$P313&lt;&gt;'売掛帳'!$B$3,NOT(ISNUMBER($A313)),N($G313)+N($H313)+N($I313)=0),"",IF(AND($A313&gt;='売掛帳'!$Q$3,$A313&lt;='売掛帳'!$Q$4),$A313+0.5+ROW()/10000000,""))</f>
        <v/>
      </c>
      <c r="R313" s="32">
        <f>IF(AND(OR($A313&lt;&gt;"",$E313&lt;&gt;"",$F313&lt;&gt;"",$G313&lt;&gt;"",$H313&lt;&gt;"",$I313&lt;&gt;""),NOT(ISNUMBER($O313))),1,"")</f>
        <v/>
      </c>
    </row>
    <row r="314" ht="18" customHeight="1">
      <c r="A314" s="26" t="n"/>
      <c r="B314" s="18" t="n"/>
      <c r="C314" s="18" t="n"/>
      <c r="D314" s="20">
        <f>IF($P314="","",IFERROR(INDEX('得意先'!$C$5:$C$104,MATCH($P314,'得意先'!$B$5:$B$104,0))&amp;"","※得意先にないコード"))</f>
        <v/>
      </c>
      <c r="E314" s="27" t="n"/>
      <c r="F314" s="18" t="n"/>
      <c r="G314" s="27" t="n"/>
      <c r="H314" s="27" t="n"/>
      <c r="I314" s="27" t="n"/>
      <c r="J314" s="28">
        <f>IF(NOT(OR($A314&lt;&gt;"",$E314&lt;&gt;"",$F314&lt;&gt;"",$G314&lt;&gt;"",$H314&lt;&gt;"",$I314&lt;&gt;"")),"",N($G314)+N($H314)+N($I314))</f>
        <v/>
      </c>
      <c r="K314" s="28">
        <f>IF(ISNUMBER($O314),INDEX('請求台帳'!$R$5:$R$1004,$O314),"")</f>
        <v/>
      </c>
      <c r="L314" s="20">
        <f>IF(NOT(OR($A314&lt;&gt;"",$E314&lt;&gt;"",$F314&lt;&gt;"",$G314&lt;&gt;"",$H314&lt;&gt;"",$I314&lt;&gt;"")),"",IF(NOT(ISNUMBER($A314)),"入金日がありません",IF(AND($F314&lt;&gt;"",$O314="なし"),"請求Noが請求台帳にありません",IF(AND(ISNUMBER($O314),$C314&lt;&gt;"",$C314&lt;&gt;$P314),"請求の得意先は "&amp;$P314&amp;" です",IF(ROUND(IF($B314&lt;&gt;"",SUMIF($B$5:$B$1004,$B314,$E$5:$E$1004)-SUMIF($B$5:$B$1004,$B314,$G$5:$G$1004),N($E314)-N($G314)),0)&lt;&gt;0,"通帳の額と当てた額の差 "&amp;TEXT(IF($B314&lt;&gt;"",SUMIF($B$5:$B$1004,$B314,$E$5:$E$1004)-SUMIF($B$5:$B$1004,$B314,$G$5:$G$1004),N($E314)-N($G314)),"#,##0"),IF(AND(ISNUMBER($O314),N($K314)&lt;0),"請求額より多く消し込んでいます",IF($F314="","消込先が未定","OK")))))))</f>
        <v/>
      </c>
      <c r="M314" s="19" t="n"/>
      <c r="N314" s="56" t="n"/>
      <c r="O314" s="32">
        <f>IF($F314="","",IFERROR(MATCH($F314,'請求台帳'!$A$5:$A$1004,0),"なし"))</f>
        <v/>
      </c>
      <c r="P314" s="37">
        <f>IF(NOT(OR($A314&lt;&gt;"",$E314&lt;&gt;"",$F314&lt;&gt;"",$G314&lt;&gt;"",$H314&lt;&gt;"",$I314&lt;&gt;"")),"",IF(ISNUMBER($O314),IF(INDEX('請求台帳'!$C$5:$C$1004,$O314)="","",INDEX('請求台帳'!$C$5:$C$1004,$O314)),IF($C314="","",$C314)))</f>
        <v/>
      </c>
      <c r="Q314" s="35">
        <f>IF(OR(NOT(OR($A314&lt;&gt;"",$E314&lt;&gt;"",$F314&lt;&gt;"",$G314&lt;&gt;"",$H314&lt;&gt;"",$I314&lt;&gt;"")),$P314="",$P314&lt;&gt;'売掛帳'!$B$3,NOT(ISNUMBER($A314)),N($G314)+N($H314)+N($I314)=0),"",IF(AND($A314&gt;='売掛帳'!$Q$3,$A314&lt;='売掛帳'!$Q$4),$A314+0.5+ROW()/10000000,""))</f>
        <v/>
      </c>
      <c r="R314" s="32">
        <f>IF(AND(OR($A314&lt;&gt;"",$E314&lt;&gt;"",$F314&lt;&gt;"",$G314&lt;&gt;"",$H314&lt;&gt;"",$I314&lt;&gt;""),NOT(ISNUMBER($O314))),1,"")</f>
        <v/>
      </c>
    </row>
    <row r="315" ht="18" customHeight="1">
      <c r="A315" s="26" t="n"/>
      <c r="B315" s="18" t="n"/>
      <c r="C315" s="18" t="n"/>
      <c r="D315" s="20">
        <f>IF($P315="","",IFERROR(INDEX('得意先'!$C$5:$C$104,MATCH($P315,'得意先'!$B$5:$B$104,0))&amp;"","※得意先にないコード"))</f>
        <v/>
      </c>
      <c r="E315" s="27" t="n"/>
      <c r="F315" s="18" t="n"/>
      <c r="G315" s="27" t="n"/>
      <c r="H315" s="27" t="n"/>
      <c r="I315" s="27" t="n"/>
      <c r="J315" s="28">
        <f>IF(NOT(OR($A315&lt;&gt;"",$E315&lt;&gt;"",$F315&lt;&gt;"",$G315&lt;&gt;"",$H315&lt;&gt;"",$I315&lt;&gt;"")),"",N($G315)+N($H315)+N($I315))</f>
        <v/>
      </c>
      <c r="K315" s="28">
        <f>IF(ISNUMBER($O315),INDEX('請求台帳'!$R$5:$R$1004,$O315),"")</f>
        <v/>
      </c>
      <c r="L315" s="20">
        <f>IF(NOT(OR($A315&lt;&gt;"",$E315&lt;&gt;"",$F315&lt;&gt;"",$G315&lt;&gt;"",$H315&lt;&gt;"",$I315&lt;&gt;"")),"",IF(NOT(ISNUMBER($A315)),"入金日がありません",IF(AND($F315&lt;&gt;"",$O315="なし"),"請求Noが請求台帳にありません",IF(AND(ISNUMBER($O315),$C315&lt;&gt;"",$C315&lt;&gt;$P315),"請求の得意先は "&amp;$P315&amp;" です",IF(ROUND(IF($B315&lt;&gt;"",SUMIF($B$5:$B$1004,$B315,$E$5:$E$1004)-SUMIF($B$5:$B$1004,$B315,$G$5:$G$1004),N($E315)-N($G315)),0)&lt;&gt;0,"通帳の額と当てた額の差 "&amp;TEXT(IF($B315&lt;&gt;"",SUMIF($B$5:$B$1004,$B315,$E$5:$E$1004)-SUMIF($B$5:$B$1004,$B315,$G$5:$G$1004),N($E315)-N($G315)),"#,##0"),IF(AND(ISNUMBER($O315),N($K315)&lt;0),"請求額より多く消し込んでいます",IF($F315="","消込先が未定","OK")))))))</f>
        <v/>
      </c>
      <c r="M315" s="19" t="n"/>
      <c r="N315" s="56" t="n"/>
      <c r="O315" s="32">
        <f>IF($F315="","",IFERROR(MATCH($F315,'請求台帳'!$A$5:$A$1004,0),"なし"))</f>
        <v/>
      </c>
      <c r="P315" s="37">
        <f>IF(NOT(OR($A315&lt;&gt;"",$E315&lt;&gt;"",$F315&lt;&gt;"",$G315&lt;&gt;"",$H315&lt;&gt;"",$I315&lt;&gt;"")),"",IF(ISNUMBER($O315),IF(INDEX('請求台帳'!$C$5:$C$1004,$O315)="","",INDEX('請求台帳'!$C$5:$C$1004,$O315)),IF($C315="","",$C315)))</f>
        <v/>
      </c>
      <c r="Q315" s="35">
        <f>IF(OR(NOT(OR($A315&lt;&gt;"",$E315&lt;&gt;"",$F315&lt;&gt;"",$G315&lt;&gt;"",$H315&lt;&gt;"",$I315&lt;&gt;"")),$P315="",$P315&lt;&gt;'売掛帳'!$B$3,NOT(ISNUMBER($A315)),N($G315)+N($H315)+N($I315)=0),"",IF(AND($A315&gt;='売掛帳'!$Q$3,$A315&lt;='売掛帳'!$Q$4),$A315+0.5+ROW()/10000000,""))</f>
        <v/>
      </c>
      <c r="R315" s="32">
        <f>IF(AND(OR($A315&lt;&gt;"",$E315&lt;&gt;"",$F315&lt;&gt;"",$G315&lt;&gt;"",$H315&lt;&gt;"",$I315&lt;&gt;""),NOT(ISNUMBER($O315))),1,"")</f>
        <v/>
      </c>
    </row>
    <row r="316" ht="18" customHeight="1">
      <c r="A316" s="26" t="n"/>
      <c r="B316" s="18" t="n"/>
      <c r="C316" s="18" t="n"/>
      <c r="D316" s="20">
        <f>IF($P316="","",IFERROR(INDEX('得意先'!$C$5:$C$104,MATCH($P316,'得意先'!$B$5:$B$104,0))&amp;"","※得意先にないコード"))</f>
        <v/>
      </c>
      <c r="E316" s="27" t="n"/>
      <c r="F316" s="18" t="n"/>
      <c r="G316" s="27" t="n"/>
      <c r="H316" s="27" t="n"/>
      <c r="I316" s="27" t="n"/>
      <c r="J316" s="28">
        <f>IF(NOT(OR($A316&lt;&gt;"",$E316&lt;&gt;"",$F316&lt;&gt;"",$G316&lt;&gt;"",$H316&lt;&gt;"",$I316&lt;&gt;"")),"",N($G316)+N($H316)+N($I316))</f>
        <v/>
      </c>
      <c r="K316" s="28">
        <f>IF(ISNUMBER($O316),INDEX('請求台帳'!$R$5:$R$1004,$O316),"")</f>
        <v/>
      </c>
      <c r="L316" s="20">
        <f>IF(NOT(OR($A316&lt;&gt;"",$E316&lt;&gt;"",$F316&lt;&gt;"",$G316&lt;&gt;"",$H316&lt;&gt;"",$I316&lt;&gt;"")),"",IF(NOT(ISNUMBER($A316)),"入金日がありません",IF(AND($F316&lt;&gt;"",$O316="なし"),"請求Noが請求台帳にありません",IF(AND(ISNUMBER($O316),$C316&lt;&gt;"",$C316&lt;&gt;$P316),"請求の得意先は "&amp;$P316&amp;" です",IF(ROUND(IF($B316&lt;&gt;"",SUMIF($B$5:$B$1004,$B316,$E$5:$E$1004)-SUMIF($B$5:$B$1004,$B316,$G$5:$G$1004),N($E316)-N($G316)),0)&lt;&gt;0,"通帳の額と当てた額の差 "&amp;TEXT(IF($B316&lt;&gt;"",SUMIF($B$5:$B$1004,$B316,$E$5:$E$1004)-SUMIF($B$5:$B$1004,$B316,$G$5:$G$1004),N($E316)-N($G316)),"#,##0"),IF(AND(ISNUMBER($O316),N($K316)&lt;0),"請求額より多く消し込んでいます",IF($F316="","消込先が未定","OK")))))))</f>
        <v/>
      </c>
      <c r="M316" s="19" t="n"/>
      <c r="N316" s="56" t="n"/>
      <c r="O316" s="32">
        <f>IF($F316="","",IFERROR(MATCH($F316,'請求台帳'!$A$5:$A$1004,0),"なし"))</f>
        <v/>
      </c>
      <c r="P316" s="37">
        <f>IF(NOT(OR($A316&lt;&gt;"",$E316&lt;&gt;"",$F316&lt;&gt;"",$G316&lt;&gt;"",$H316&lt;&gt;"",$I316&lt;&gt;"")),"",IF(ISNUMBER($O316),IF(INDEX('請求台帳'!$C$5:$C$1004,$O316)="","",INDEX('請求台帳'!$C$5:$C$1004,$O316)),IF($C316="","",$C316)))</f>
        <v/>
      </c>
      <c r="Q316" s="35">
        <f>IF(OR(NOT(OR($A316&lt;&gt;"",$E316&lt;&gt;"",$F316&lt;&gt;"",$G316&lt;&gt;"",$H316&lt;&gt;"",$I316&lt;&gt;"")),$P316="",$P316&lt;&gt;'売掛帳'!$B$3,NOT(ISNUMBER($A316)),N($G316)+N($H316)+N($I316)=0),"",IF(AND($A316&gt;='売掛帳'!$Q$3,$A316&lt;='売掛帳'!$Q$4),$A316+0.5+ROW()/10000000,""))</f>
        <v/>
      </c>
      <c r="R316" s="32">
        <f>IF(AND(OR($A316&lt;&gt;"",$E316&lt;&gt;"",$F316&lt;&gt;"",$G316&lt;&gt;"",$H316&lt;&gt;"",$I316&lt;&gt;""),NOT(ISNUMBER($O316))),1,"")</f>
        <v/>
      </c>
    </row>
    <row r="317" ht="18" customHeight="1">
      <c r="A317" s="26" t="n"/>
      <c r="B317" s="18" t="n"/>
      <c r="C317" s="18" t="n"/>
      <c r="D317" s="20">
        <f>IF($P317="","",IFERROR(INDEX('得意先'!$C$5:$C$104,MATCH($P317,'得意先'!$B$5:$B$104,0))&amp;"","※得意先にないコード"))</f>
        <v/>
      </c>
      <c r="E317" s="27" t="n"/>
      <c r="F317" s="18" t="n"/>
      <c r="G317" s="27" t="n"/>
      <c r="H317" s="27" t="n"/>
      <c r="I317" s="27" t="n"/>
      <c r="J317" s="28">
        <f>IF(NOT(OR($A317&lt;&gt;"",$E317&lt;&gt;"",$F317&lt;&gt;"",$G317&lt;&gt;"",$H317&lt;&gt;"",$I317&lt;&gt;"")),"",N($G317)+N($H317)+N($I317))</f>
        <v/>
      </c>
      <c r="K317" s="28">
        <f>IF(ISNUMBER($O317),INDEX('請求台帳'!$R$5:$R$1004,$O317),"")</f>
        <v/>
      </c>
      <c r="L317" s="20">
        <f>IF(NOT(OR($A317&lt;&gt;"",$E317&lt;&gt;"",$F317&lt;&gt;"",$G317&lt;&gt;"",$H317&lt;&gt;"",$I317&lt;&gt;"")),"",IF(NOT(ISNUMBER($A317)),"入金日がありません",IF(AND($F317&lt;&gt;"",$O317="なし"),"請求Noが請求台帳にありません",IF(AND(ISNUMBER($O317),$C317&lt;&gt;"",$C317&lt;&gt;$P317),"請求の得意先は "&amp;$P317&amp;" です",IF(ROUND(IF($B317&lt;&gt;"",SUMIF($B$5:$B$1004,$B317,$E$5:$E$1004)-SUMIF($B$5:$B$1004,$B317,$G$5:$G$1004),N($E317)-N($G317)),0)&lt;&gt;0,"通帳の額と当てた額の差 "&amp;TEXT(IF($B317&lt;&gt;"",SUMIF($B$5:$B$1004,$B317,$E$5:$E$1004)-SUMIF($B$5:$B$1004,$B317,$G$5:$G$1004),N($E317)-N($G317)),"#,##0"),IF(AND(ISNUMBER($O317),N($K317)&lt;0),"請求額より多く消し込んでいます",IF($F317="","消込先が未定","OK")))))))</f>
        <v/>
      </c>
      <c r="M317" s="19" t="n"/>
      <c r="N317" s="56" t="n"/>
      <c r="O317" s="32">
        <f>IF($F317="","",IFERROR(MATCH($F317,'請求台帳'!$A$5:$A$1004,0),"なし"))</f>
        <v/>
      </c>
      <c r="P317" s="37">
        <f>IF(NOT(OR($A317&lt;&gt;"",$E317&lt;&gt;"",$F317&lt;&gt;"",$G317&lt;&gt;"",$H317&lt;&gt;"",$I317&lt;&gt;"")),"",IF(ISNUMBER($O317),IF(INDEX('請求台帳'!$C$5:$C$1004,$O317)="","",INDEX('請求台帳'!$C$5:$C$1004,$O317)),IF($C317="","",$C317)))</f>
        <v/>
      </c>
      <c r="Q317" s="35">
        <f>IF(OR(NOT(OR($A317&lt;&gt;"",$E317&lt;&gt;"",$F317&lt;&gt;"",$G317&lt;&gt;"",$H317&lt;&gt;"",$I317&lt;&gt;"")),$P317="",$P317&lt;&gt;'売掛帳'!$B$3,NOT(ISNUMBER($A317)),N($G317)+N($H317)+N($I317)=0),"",IF(AND($A317&gt;='売掛帳'!$Q$3,$A317&lt;='売掛帳'!$Q$4),$A317+0.5+ROW()/10000000,""))</f>
        <v/>
      </c>
      <c r="R317" s="32">
        <f>IF(AND(OR($A317&lt;&gt;"",$E317&lt;&gt;"",$F317&lt;&gt;"",$G317&lt;&gt;"",$H317&lt;&gt;"",$I317&lt;&gt;""),NOT(ISNUMBER($O317))),1,"")</f>
        <v/>
      </c>
    </row>
    <row r="318" ht="18" customHeight="1">
      <c r="A318" s="26" t="n"/>
      <c r="B318" s="18" t="n"/>
      <c r="C318" s="18" t="n"/>
      <c r="D318" s="20">
        <f>IF($P318="","",IFERROR(INDEX('得意先'!$C$5:$C$104,MATCH($P318,'得意先'!$B$5:$B$104,0))&amp;"","※得意先にないコード"))</f>
        <v/>
      </c>
      <c r="E318" s="27" t="n"/>
      <c r="F318" s="18" t="n"/>
      <c r="G318" s="27" t="n"/>
      <c r="H318" s="27" t="n"/>
      <c r="I318" s="27" t="n"/>
      <c r="J318" s="28">
        <f>IF(NOT(OR($A318&lt;&gt;"",$E318&lt;&gt;"",$F318&lt;&gt;"",$G318&lt;&gt;"",$H318&lt;&gt;"",$I318&lt;&gt;"")),"",N($G318)+N($H318)+N($I318))</f>
        <v/>
      </c>
      <c r="K318" s="28">
        <f>IF(ISNUMBER($O318),INDEX('請求台帳'!$R$5:$R$1004,$O318),"")</f>
        <v/>
      </c>
      <c r="L318" s="20">
        <f>IF(NOT(OR($A318&lt;&gt;"",$E318&lt;&gt;"",$F318&lt;&gt;"",$G318&lt;&gt;"",$H318&lt;&gt;"",$I318&lt;&gt;"")),"",IF(NOT(ISNUMBER($A318)),"入金日がありません",IF(AND($F318&lt;&gt;"",$O318="なし"),"請求Noが請求台帳にありません",IF(AND(ISNUMBER($O318),$C318&lt;&gt;"",$C318&lt;&gt;$P318),"請求の得意先は "&amp;$P318&amp;" です",IF(ROUND(IF($B318&lt;&gt;"",SUMIF($B$5:$B$1004,$B318,$E$5:$E$1004)-SUMIF($B$5:$B$1004,$B318,$G$5:$G$1004),N($E318)-N($G318)),0)&lt;&gt;0,"通帳の額と当てた額の差 "&amp;TEXT(IF($B318&lt;&gt;"",SUMIF($B$5:$B$1004,$B318,$E$5:$E$1004)-SUMIF($B$5:$B$1004,$B318,$G$5:$G$1004),N($E318)-N($G318)),"#,##0"),IF(AND(ISNUMBER($O318),N($K318)&lt;0),"請求額より多く消し込んでいます",IF($F318="","消込先が未定","OK")))))))</f>
        <v/>
      </c>
      <c r="M318" s="19" t="n"/>
      <c r="N318" s="56" t="n"/>
      <c r="O318" s="32">
        <f>IF($F318="","",IFERROR(MATCH($F318,'請求台帳'!$A$5:$A$1004,0),"なし"))</f>
        <v/>
      </c>
      <c r="P318" s="37">
        <f>IF(NOT(OR($A318&lt;&gt;"",$E318&lt;&gt;"",$F318&lt;&gt;"",$G318&lt;&gt;"",$H318&lt;&gt;"",$I318&lt;&gt;"")),"",IF(ISNUMBER($O318),IF(INDEX('請求台帳'!$C$5:$C$1004,$O318)="","",INDEX('請求台帳'!$C$5:$C$1004,$O318)),IF($C318="","",$C318)))</f>
        <v/>
      </c>
      <c r="Q318" s="35">
        <f>IF(OR(NOT(OR($A318&lt;&gt;"",$E318&lt;&gt;"",$F318&lt;&gt;"",$G318&lt;&gt;"",$H318&lt;&gt;"",$I318&lt;&gt;"")),$P318="",$P318&lt;&gt;'売掛帳'!$B$3,NOT(ISNUMBER($A318)),N($G318)+N($H318)+N($I318)=0),"",IF(AND($A318&gt;='売掛帳'!$Q$3,$A318&lt;='売掛帳'!$Q$4),$A318+0.5+ROW()/10000000,""))</f>
        <v/>
      </c>
      <c r="R318" s="32">
        <f>IF(AND(OR($A318&lt;&gt;"",$E318&lt;&gt;"",$F318&lt;&gt;"",$G318&lt;&gt;"",$H318&lt;&gt;"",$I318&lt;&gt;""),NOT(ISNUMBER($O318))),1,"")</f>
        <v/>
      </c>
    </row>
    <row r="319" ht="18" customHeight="1">
      <c r="A319" s="26" t="n"/>
      <c r="B319" s="18" t="n"/>
      <c r="C319" s="18" t="n"/>
      <c r="D319" s="20">
        <f>IF($P319="","",IFERROR(INDEX('得意先'!$C$5:$C$104,MATCH($P319,'得意先'!$B$5:$B$104,0))&amp;"","※得意先にないコード"))</f>
        <v/>
      </c>
      <c r="E319" s="27" t="n"/>
      <c r="F319" s="18" t="n"/>
      <c r="G319" s="27" t="n"/>
      <c r="H319" s="27" t="n"/>
      <c r="I319" s="27" t="n"/>
      <c r="J319" s="28">
        <f>IF(NOT(OR($A319&lt;&gt;"",$E319&lt;&gt;"",$F319&lt;&gt;"",$G319&lt;&gt;"",$H319&lt;&gt;"",$I319&lt;&gt;"")),"",N($G319)+N($H319)+N($I319))</f>
        <v/>
      </c>
      <c r="K319" s="28">
        <f>IF(ISNUMBER($O319),INDEX('請求台帳'!$R$5:$R$1004,$O319),"")</f>
        <v/>
      </c>
      <c r="L319" s="20">
        <f>IF(NOT(OR($A319&lt;&gt;"",$E319&lt;&gt;"",$F319&lt;&gt;"",$G319&lt;&gt;"",$H319&lt;&gt;"",$I319&lt;&gt;"")),"",IF(NOT(ISNUMBER($A319)),"入金日がありません",IF(AND($F319&lt;&gt;"",$O319="なし"),"請求Noが請求台帳にありません",IF(AND(ISNUMBER($O319),$C319&lt;&gt;"",$C319&lt;&gt;$P319),"請求の得意先は "&amp;$P319&amp;" です",IF(ROUND(IF($B319&lt;&gt;"",SUMIF($B$5:$B$1004,$B319,$E$5:$E$1004)-SUMIF($B$5:$B$1004,$B319,$G$5:$G$1004),N($E319)-N($G319)),0)&lt;&gt;0,"通帳の額と当てた額の差 "&amp;TEXT(IF($B319&lt;&gt;"",SUMIF($B$5:$B$1004,$B319,$E$5:$E$1004)-SUMIF($B$5:$B$1004,$B319,$G$5:$G$1004),N($E319)-N($G319)),"#,##0"),IF(AND(ISNUMBER($O319),N($K319)&lt;0),"請求額より多く消し込んでいます",IF($F319="","消込先が未定","OK")))))))</f>
        <v/>
      </c>
      <c r="M319" s="19" t="n"/>
      <c r="N319" s="56" t="n"/>
      <c r="O319" s="32">
        <f>IF($F319="","",IFERROR(MATCH($F319,'請求台帳'!$A$5:$A$1004,0),"なし"))</f>
        <v/>
      </c>
      <c r="P319" s="37">
        <f>IF(NOT(OR($A319&lt;&gt;"",$E319&lt;&gt;"",$F319&lt;&gt;"",$G319&lt;&gt;"",$H319&lt;&gt;"",$I319&lt;&gt;"")),"",IF(ISNUMBER($O319),IF(INDEX('請求台帳'!$C$5:$C$1004,$O319)="","",INDEX('請求台帳'!$C$5:$C$1004,$O319)),IF($C319="","",$C319)))</f>
        <v/>
      </c>
      <c r="Q319" s="35">
        <f>IF(OR(NOT(OR($A319&lt;&gt;"",$E319&lt;&gt;"",$F319&lt;&gt;"",$G319&lt;&gt;"",$H319&lt;&gt;"",$I319&lt;&gt;"")),$P319="",$P319&lt;&gt;'売掛帳'!$B$3,NOT(ISNUMBER($A319)),N($G319)+N($H319)+N($I319)=0),"",IF(AND($A319&gt;='売掛帳'!$Q$3,$A319&lt;='売掛帳'!$Q$4),$A319+0.5+ROW()/10000000,""))</f>
        <v/>
      </c>
      <c r="R319" s="32">
        <f>IF(AND(OR($A319&lt;&gt;"",$E319&lt;&gt;"",$F319&lt;&gt;"",$G319&lt;&gt;"",$H319&lt;&gt;"",$I319&lt;&gt;""),NOT(ISNUMBER($O319))),1,"")</f>
        <v/>
      </c>
    </row>
    <row r="320" ht="18" customHeight="1">
      <c r="A320" s="26" t="n"/>
      <c r="B320" s="18" t="n"/>
      <c r="C320" s="18" t="n"/>
      <c r="D320" s="20">
        <f>IF($P320="","",IFERROR(INDEX('得意先'!$C$5:$C$104,MATCH($P320,'得意先'!$B$5:$B$104,0))&amp;"","※得意先にないコード"))</f>
        <v/>
      </c>
      <c r="E320" s="27" t="n"/>
      <c r="F320" s="18" t="n"/>
      <c r="G320" s="27" t="n"/>
      <c r="H320" s="27" t="n"/>
      <c r="I320" s="27" t="n"/>
      <c r="J320" s="28">
        <f>IF(NOT(OR($A320&lt;&gt;"",$E320&lt;&gt;"",$F320&lt;&gt;"",$G320&lt;&gt;"",$H320&lt;&gt;"",$I320&lt;&gt;"")),"",N($G320)+N($H320)+N($I320))</f>
        <v/>
      </c>
      <c r="K320" s="28">
        <f>IF(ISNUMBER($O320),INDEX('請求台帳'!$R$5:$R$1004,$O320),"")</f>
        <v/>
      </c>
      <c r="L320" s="20">
        <f>IF(NOT(OR($A320&lt;&gt;"",$E320&lt;&gt;"",$F320&lt;&gt;"",$G320&lt;&gt;"",$H320&lt;&gt;"",$I320&lt;&gt;"")),"",IF(NOT(ISNUMBER($A320)),"入金日がありません",IF(AND($F320&lt;&gt;"",$O320="なし"),"請求Noが請求台帳にありません",IF(AND(ISNUMBER($O320),$C320&lt;&gt;"",$C320&lt;&gt;$P320),"請求の得意先は "&amp;$P320&amp;" です",IF(ROUND(IF($B320&lt;&gt;"",SUMIF($B$5:$B$1004,$B320,$E$5:$E$1004)-SUMIF($B$5:$B$1004,$B320,$G$5:$G$1004),N($E320)-N($G320)),0)&lt;&gt;0,"通帳の額と当てた額の差 "&amp;TEXT(IF($B320&lt;&gt;"",SUMIF($B$5:$B$1004,$B320,$E$5:$E$1004)-SUMIF($B$5:$B$1004,$B320,$G$5:$G$1004),N($E320)-N($G320)),"#,##0"),IF(AND(ISNUMBER($O320),N($K320)&lt;0),"請求額より多く消し込んでいます",IF($F320="","消込先が未定","OK")))))))</f>
        <v/>
      </c>
      <c r="M320" s="19" t="n"/>
      <c r="N320" s="56" t="n"/>
      <c r="O320" s="32">
        <f>IF($F320="","",IFERROR(MATCH($F320,'請求台帳'!$A$5:$A$1004,0),"なし"))</f>
        <v/>
      </c>
      <c r="P320" s="37">
        <f>IF(NOT(OR($A320&lt;&gt;"",$E320&lt;&gt;"",$F320&lt;&gt;"",$G320&lt;&gt;"",$H320&lt;&gt;"",$I320&lt;&gt;"")),"",IF(ISNUMBER($O320),IF(INDEX('請求台帳'!$C$5:$C$1004,$O320)="","",INDEX('請求台帳'!$C$5:$C$1004,$O320)),IF($C320="","",$C320)))</f>
        <v/>
      </c>
      <c r="Q320" s="35">
        <f>IF(OR(NOT(OR($A320&lt;&gt;"",$E320&lt;&gt;"",$F320&lt;&gt;"",$G320&lt;&gt;"",$H320&lt;&gt;"",$I320&lt;&gt;"")),$P320="",$P320&lt;&gt;'売掛帳'!$B$3,NOT(ISNUMBER($A320)),N($G320)+N($H320)+N($I320)=0),"",IF(AND($A320&gt;='売掛帳'!$Q$3,$A320&lt;='売掛帳'!$Q$4),$A320+0.5+ROW()/10000000,""))</f>
        <v/>
      </c>
      <c r="R320" s="32">
        <f>IF(AND(OR($A320&lt;&gt;"",$E320&lt;&gt;"",$F320&lt;&gt;"",$G320&lt;&gt;"",$H320&lt;&gt;"",$I320&lt;&gt;""),NOT(ISNUMBER($O320))),1,"")</f>
        <v/>
      </c>
    </row>
    <row r="321" ht="18" customHeight="1">
      <c r="A321" s="26" t="n"/>
      <c r="B321" s="18" t="n"/>
      <c r="C321" s="18" t="n"/>
      <c r="D321" s="20">
        <f>IF($P321="","",IFERROR(INDEX('得意先'!$C$5:$C$104,MATCH($P321,'得意先'!$B$5:$B$104,0))&amp;"","※得意先にないコード"))</f>
        <v/>
      </c>
      <c r="E321" s="27" t="n"/>
      <c r="F321" s="18" t="n"/>
      <c r="G321" s="27" t="n"/>
      <c r="H321" s="27" t="n"/>
      <c r="I321" s="27" t="n"/>
      <c r="J321" s="28">
        <f>IF(NOT(OR($A321&lt;&gt;"",$E321&lt;&gt;"",$F321&lt;&gt;"",$G321&lt;&gt;"",$H321&lt;&gt;"",$I321&lt;&gt;"")),"",N($G321)+N($H321)+N($I321))</f>
        <v/>
      </c>
      <c r="K321" s="28">
        <f>IF(ISNUMBER($O321),INDEX('請求台帳'!$R$5:$R$1004,$O321),"")</f>
        <v/>
      </c>
      <c r="L321" s="20">
        <f>IF(NOT(OR($A321&lt;&gt;"",$E321&lt;&gt;"",$F321&lt;&gt;"",$G321&lt;&gt;"",$H321&lt;&gt;"",$I321&lt;&gt;"")),"",IF(NOT(ISNUMBER($A321)),"入金日がありません",IF(AND($F321&lt;&gt;"",$O321="なし"),"請求Noが請求台帳にありません",IF(AND(ISNUMBER($O321),$C321&lt;&gt;"",$C321&lt;&gt;$P321),"請求の得意先は "&amp;$P321&amp;" です",IF(ROUND(IF($B321&lt;&gt;"",SUMIF($B$5:$B$1004,$B321,$E$5:$E$1004)-SUMIF($B$5:$B$1004,$B321,$G$5:$G$1004),N($E321)-N($G321)),0)&lt;&gt;0,"通帳の額と当てた額の差 "&amp;TEXT(IF($B321&lt;&gt;"",SUMIF($B$5:$B$1004,$B321,$E$5:$E$1004)-SUMIF($B$5:$B$1004,$B321,$G$5:$G$1004),N($E321)-N($G321)),"#,##0"),IF(AND(ISNUMBER($O321),N($K321)&lt;0),"請求額より多く消し込んでいます",IF($F321="","消込先が未定","OK")))))))</f>
        <v/>
      </c>
      <c r="M321" s="19" t="n"/>
      <c r="N321" s="56" t="n"/>
      <c r="O321" s="32">
        <f>IF($F321="","",IFERROR(MATCH($F321,'請求台帳'!$A$5:$A$1004,0),"なし"))</f>
        <v/>
      </c>
      <c r="P321" s="37">
        <f>IF(NOT(OR($A321&lt;&gt;"",$E321&lt;&gt;"",$F321&lt;&gt;"",$G321&lt;&gt;"",$H321&lt;&gt;"",$I321&lt;&gt;"")),"",IF(ISNUMBER($O321),IF(INDEX('請求台帳'!$C$5:$C$1004,$O321)="","",INDEX('請求台帳'!$C$5:$C$1004,$O321)),IF($C321="","",$C321)))</f>
        <v/>
      </c>
      <c r="Q321" s="35">
        <f>IF(OR(NOT(OR($A321&lt;&gt;"",$E321&lt;&gt;"",$F321&lt;&gt;"",$G321&lt;&gt;"",$H321&lt;&gt;"",$I321&lt;&gt;"")),$P321="",$P321&lt;&gt;'売掛帳'!$B$3,NOT(ISNUMBER($A321)),N($G321)+N($H321)+N($I321)=0),"",IF(AND($A321&gt;='売掛帳'!$Q$3,$A321&lt;='売掛帳'!$Q$4),$A321+0.5+ROW()/10000000,""))</f>
        <v/>
      </c>
      <c r="R321" s="32">
        <f>IF(AND(OR($A321&lt;&gt;"",$E321&lt;&gt;"",$F321&lt;&gt;"",$G321&lt;&gt;"",$H321&lt;&gt;"",$I321&lt;&gt;""),NOT(ISNUMBER($O321))),1,"")</f>
        <v/>
      </c>
    </row>
    <row r="322" ht="18" customHeight="1">
      <c r="A322" s="26" t="n"/>
      <c r="B322" s="18" t="n"/>
      <c r="C322" s="18" t="n"/>
      <c r="D322" s="20">
        <f>IF($P322="","",IFERROR(INDEX('得意先'!$C$5:$C$104,MATCH($P322,'得意先'!$B$5:$B$104,0))&amp;"","※得意先にないコード"))</f>
        <v/>
      </c>
      <c r="E322" s="27" t="n"/>
      <c r="F322" s="18" t="n"/>
      <c r="G322" s="27" t="n"/>
      <c r="H322" s="27" t="n"/>
      <c r="I322" s="27" t="n"/>
      <c r="J322" s="28">
        <f>IF(NOT(OR($A322&lt;&gt;"",$E322&lt;&gt;"",$F322&lt;&gt;"",$G322&lt;&gt;"",$H322&lt;&gt;"",$I322&lt;&gt;"")),"",N($G322)+N($H322)+N($I322))</f>
        <v/>
      </c>
      <c r="K322" s="28">
        <f>IF(ISNUMBER($O322),INDEX('請求台帳'!$R$5:$R$1004,$O322),"")</f>
        <v/>
      </c>
      <c r="L322" s="20">
        <f>IF(NOT(OR($A322&lt;&gt;"",$E322&lt;&gt;"",$F322&lt;&gt;"",$G322&lt;&gt;"",$H322&lt;&gt;"",$I322&lt;&gt;"")),"",IF(NOT(ISNUMBER($A322)),"入金日がありません",IF(AND($F322&lt;&gt;"",$O322="なし"),"請求Noが請求台帳にありません",IF(AND(ISNUMBER($O322),$C322&lt;&gt;"",$C322&lt;&gt;$P322),"請求の得意先は "&amp;$P322&amp;" です",IF(ROUND(IF($B322&lt;&gt;"",SUMIF($B$5:$B$1004,$B322,$E$5:$E$1004)-SUMIF($B$5:$B$1004,$B322,$G$5:$G$1004),N($E322)-N($G322)),0)&lt;&gt;0,"通帳の額と当てた額の差 "&amp;TEXT(IF($B322&lt;&gt;"",SUMIF($B$5:$B$1004,$B322,$E$5:$E$1004)-SUMIF($B$5:$B$1004,$B322,$G$5:$G$1004),N($E322)-N($G322)),"#,##0"),IF(AND(ISNUMBER($O322),N($K322)&lt;0),"請求額より多く消し込んでいます",IF($F322="","消込先が未定","OK")))))))</f>
        <v/>
      </c>
      <c r="M322" s="19" t="n"/>
      <c r="N322" s="56" t="n"/>
      <c r="O322" s="32">
        <f>IF($F322="","",IFERROR(MATCH($F322,'請求台帳'!$A$5:$A$1004,0),"なし"))</f>
        <v/>
      </c>
      <c r="P322" s="37">
        <f>IF(NOT(OR($A322&lt;&gt;"",$E322&lt;&gt;"",$F322&lt;&gt;"",$G322&lt;&gt;"",$H322&lt;&gt;"",$I322&lt;&gt;"")),"",IF(ISNUMBER($O322),IF(INDEX('請求台帳'!$C$5:$C$1004,$O322)="","",INDEX('請求台帳'!$C$5:$C$1004,$O322)),IF($C322="","",$C322)))</f>
        <v/>
      </c>
      <c r="Q322" s="35">
        <f>IF(OR(NOT(OR($A322&lt;&gt;"",$E322&lt;&gt;"",$F322&lt;&gt;"",$G322&lt;&gt;"",$H322&lt;&gt;"",$I322&lt;&gt;"")),$P322="",$P322&lt;&gt;'売掛帳'!$B$3,NOT(ISNUMBER($A322)),N($G322)+N($H322)+N($I322)=0),"",IF(AND($A322&gt;='売掛帳'!$Q$3,$A322&lt;='売掛帳'!$Q$4),$A322+0.5+ROW()/10000000,""))</f>
        <v/>
      </c>
      <c r="R322" s="32">
        <f>IF(AND(OR($A322&lt;&gt;"",$E322&lt;&gt;"",$F322&lt;&gt;"",$G322&lt;&gt;"",$H322&lt;&gt;"",$I322&lt;&gt;""),NOT(ISNUMBER($O322))),1,"")</f>
        <v/>
      </c>
    </row>
    <row r="323" ht="18" customHeight="1">
      <c r="A323" s="26" t="n"/>
      <c r="B323" s="18" t="n"/>
      <c r="C323" s="18" t="n"/>
      <c r="D323" s="20">
        <f>IF($P323="","",IFERROR(INDEX('得意先'!$C$5:$C$104,MATCH($P323,'得意先'!$B$5:$B$104,0))&amp;"","※得意先にないコード"))</f>
        <v/>
      </c>
      <c r="E323" s="27" t="n"/>
      <c r="F323" s="18" t="n"/>
      <c r="G323" s="27" t="n"/>
      <c r="H323" s="27" t="n"/>
      <c r="I323" s="27" t="n"/>
      <c r="J323" s="28">
        <f>IF(NOT(OR($A323&lt;&gt;"",$E323&lt;&gt;"",$F323&lt;&gt;"",$G323&lt;&gt;"",$H323&lt;&gt;"",$I323&lt;&gt;"")),"",N($G323)+N($H323)+N($I323))</f>
        <v/>
      </c>
      <c r="K323" s="28">
        <f>IF(ISNUMBER($O323),INDEX('請求台帳'!$R$5:$R$1004,$O323),"")</f>
        <v/>
      </c>
      <c r="L323" s="20">
        <f>IF(NOT(OR($A323&lt;&gt;"",$E323&lt;&gt;"",$F323&lt;&gt;"",$G323&lt;&gt;"",$H323&lt;&gt;"",$I323&lt;&gt;"")),"",IF(NOT(ISNUMBER($A323)),"入金日がありません",IF(AND($F323&lt;&gt;"",$O323="なし"),"請求Noが請求台帳にありません",IF(AND(ISNUMBER($O323),$C323&lt;&gt;"",$C323&lt;&gt;$P323),"請求の得意先は "&amp;$P323&amp;" です",IF(ROUND(IF($B323&lt;&gt;"",SUMIF($B$5:$B$1004,$B323,$E$5:$E$1004)-SUMIF($B$5:$B$1004,$B323,$G$5:$G$1004),N($E323)-N($G323)),0)&lt;&gt;0,"通帳の額と当てた額の差 "&amp;TEXT(IF($B323&lt;&gt;"",SUMIF($B$5:$B$1004,$B323,$E$5:$E$1004)-SUMIF($B$5:$B$1004,$B323,$G$5:$G$1004),N($E323)-N($G323)),"#,##0"),IF(AND(ISNUMBER($O323),N($K323)&lt;0),"請求額より多く消し込んでいます",IF($F323="","消込先が未定","OK")))))))</f>
        <v/>
      </c>
      <c r="M323" s="19" t="n"/>
      <c r="N323" s="56" t="n"/>
      <c r="O323" s="32">
        <f>IF($F323="","",IFERROR(MATCH($F323,'請求台帳'!$A$5:$A$1004,0),"なし"))</f>
        <v/>
      </c>
      <c r="P323" s="37">
        <f>IF(NOT(OR($A323&lt;&gt;"",$E323&lt;&gt;"",$F323&lt;&gt;"",$G323&lt;&gt;"",$H323&lt;&gt;"",$I323&lt;&gt;"")),"",IF(ISNUMBER($O323),IF(INDEX('請求台帳'!$C$5:$C$1004,$O323)="","",INDEX('請求台帳'!$C$5:$C$1004,$O323)),IF($C323="","",$C323)))</f>
        <v/>
      </c>
      <c r="Q323" s="35">
        <f>IF(OR(NOT(OR($A323&lt;&gt;"",$E323&lt;&gt;"",$F323&lt;&gt;"",$G323&lt;&gt;"",$H323&lt;&gt;"",$I323&lt;&gt;"")),$P323="",$P323&lt;&gt;'売掛帳'!$B$3,NOT(ISNUMBER($A323)),N($G323)+N($H323)+N($I323)=0),"",IF(AND($A323&gt;='売掛帳'!$Q$3,$A323&lt;='売掛帳'!$Q$4),$A323+0.5+ROW()/10000000,""))</f>
        <v/>
      </c>
      <c r="R323" s="32">
        <f>IF(AND(OR($A323&lt;&gt;"",$E323&lt;&gt;"",$F323&lt;&gt;"",$G323&lt;&gt;"",$H323&lt;&gt;"",$I323&lt;&gt;""),NOT(ISNUMBER($O323))),1,"")</f>
        <v/>
      </c>
    </row>
    <row r="324" ht="18" customHeight="1">
      <c r="A324" s="26" t="n"/>
      <c r="B324" s="18" t="n"/>
      <c r="C324" s="18" t="n"/>
      <c r="D324" s="20">
        <f>IF($P324="","",IFERROR(INDEX('得意先'!$C$5:$C$104,MATCH($P324,'得意先'!$B$5:$B$104,0))&amp;"","※得意先にないコード"))</f>
        <v/>
      </c>
      <c r="E324" s="27" t="n"/>
      <c r="F324" s="18" t="n"/>
      <c r="G324" s="27" t="n"/>
      <c r="H324" s="27" t="n"/>
      <c r="I324" s="27" t="n"/>
      <c r="J324" s="28">
        <f>IF(NOT(OR($A324&lt;&gt;"",$E324&lt;&gt;"",$F324&lt;&gt;"",$G324&lt;&gt;"",$H324&lt;&gt;"",$I324&lt;&gt;"")),"",N($G324)+N($H324)+N($I324))</f>
        <v/>
      </c>
      <c r="K324" s="28">
        <f>IF(ISNUMBER($O324),INDEX('請求台帳'!$R$5:$R$1004,$O324),"")</f>
        <v/>
      </c>
      <c r="L324" s="20">
        <f>IF(NOT(OR($A324&lt;&gt;"",$E324&lt;&gt;"",$F324&lt;&gt;"",$G324&lt;&gt;"",$H324&lt;&gt;"",$I324&lt;&gt;"")),"",IF(NOT(ISNUMBER($A324)),"入金日がありません",IF(AND($F324&lt;&gt;"",$O324="なし"),"請求Noが請求台帳にありません",IF(AND(ISNUMBER($O324),$C324&lt;&gt;"",$C324&lt;&gt;$P324),"請求の得意先は "&amp;$P324&amp;" です",IF(ROUND(IF($B324&lt;&gt;"",SUMIF($B$5:$B$1004,$B324,$E$5:$E$1004)-SUMIF($B$5:$B$1004,$B324,$G$5:$G$1004),N($E324)-N($G324)),0)&lt;&gt;0,"通帳の額と当てた額の差 "&amp;TEXT(IF($B324&lt;&gt;"",SUMIF($B$5:$B$1004,$B324,$E$5:$E$1004)-SUMIF($B$5:$B$1004,$B324,$G$5:$G$1004),N($E324)-N($G324)),"#,##0"),IF(AND(ISNUMBER($O324),N($K324)&lt;0),"請求額より多く消し込んでいます",IF($F324="","消込先が未定","OK")))))))</f>
        <v/>
      </c>
      <c r="M324" s="19" t="n"/>
      <c r="N324" s="56" t="n"/>
      <c r="O324" s="32">
        <f>IF($F324="","",IFERROR(MATCH($F324,'請求台帳'!$A$5:$A$1004,0),"なし"))</f>
        <v/>
      </c>
      <c r="P324" s="37">
        <f>IF(NOT(OR($A324&lt;&gt;"",$E324&lt;&gt;"",$F324&lt;&gt;"",$G324&lt;&gt;"",$H324&lt;&gt;"",$I324&lt;&gt;"")),"",IF(ISNUMBER($O324),IF(INDEX('請求台帳'!$C$5:$C$1004,$O324)="","",INDEX('請求台帳'!$C$5:$C$1004,$O324)),IF($C324="","",$C324)))</f>
        <v/>
      </c>
      <c r="Q324" s="35">
        <f>IF(OR(NOT(OR($A324&lt;&gt;"",$E324&lt;&gt;"",$F324&lt;&gt;"",$G324&lt;&gt;"",$H324&lt;&gt;"",$I324&lt;&gt;"")),$P324="",$P324&lt;&gt;'売掛帳'!$B$3,NOT(ISNUMBER($A324)),N($G324)+N($H324)+N($I324)=0),"",IF(AND($A324&gt;='売掛帳'!$Q$3,$A324&lt;='売掛帳'!$Q$4),$A324+0.5+ROW()/10000000,""))</f>
        <v/>
      </c>
      <c r="R324" s="32">
        <f>IF(AND(OR($A324&lt;&gt;"",$E324&lt;&gt;"",$F324&lt;&gt;"",$G324&lt;&gt;"",$H324&lt;&gt;"",$I324&lt;&gt;""),NOT(ISNUMBER($O324))),1,"")</f>
        <v/>
      </c>
    </row>
    <row r="325" ht="18" customHeight="1">
      <c r="A325" s="26" t="n"/>
      <c r="B325" s="18" t="n"/>
      <c r="C325" s="18" t="n"/>
      <c r="D325" s="20">
        <f>IF($P325="","",IFERROR(INDEX('得意先'!$C$5:$C$104,MATCH($P325,'得意先'!$B$5:$B$104,0))&amp;"","※得意先にないコード"))</f>
        <v/>
      </c>
      <c r="E325" s="27" t="n"/>
      <c r="F325" s="18" t="n"/>
      <c r="G325" s="27" t="n"/>
      <c r="H325" s="27" t="n"/>
      <c r="I325" s="27" t="n"/>
      <c r="J325" s="28">
        <f>IF(NOT(OR($A325&lt;&gt;"",$E325&lt;&gt;"",$F325&lt;&gt;"",$G325&lt;&gt;"",$H325&lt;&gt;"",$I325&lt;&gt;"")),"",N($G325)+N($H325)+N($I325))</f>
        <v/>
      </c>
      <c r="K325" s="28">
        <f>IF(ISNUMBER($O325),INDEX('請求台帳'!$R$5:$R$1004,$O325),"")</f>
        <v/>
      </c>
      <c r="L325" s="20">
        <f>IF(NOT(OR($A325&lt;&gt;"",$E325&lt;&gt;"",$F325&lt;&gt;"",$G325&lt;&gt;"",$H325&lt;&gt;"",$I325&lt;&gt;"")),"",IF(NOT(ISNUMBER($A325)),"入金日がありません",IF(AND($F325&lt;&gt;"",$O325="なし"),"請求Noが請求台帳にありません",IF(AND(ISNUMBER($O325),$C325&lt;&gt;"",$C325&lt;&gt;$P325),"請求の得意先は "&amp;$P325&amp;" です",IF(ROUND(IF($B325&lt;&gt;"",SUMIF($B$5:$B$1004,$B325,$E$5:$E$1004)-SUMIF($B$5:$B$1004,$B325,$G$5:$G$1004),N($E325)-N($G325)),0)&lt;&gt;0,"通帳の額と当てた額の差 "&amp;TEXT(IF($B325&lt;&gt;"",SUMIF($B$5:$B$1004,$B325,$E$5:$E$1004)-SUMIF($B$5:$B$1004,$B325,$G$5:$G$1004),N($E325)-N($G325)),"#,##0"),IF(AND(ISNUMBER($O325),N($K325)&lt;0),"請求額より多く消し込んでいます",IF($F325="","消込先が未定","OK")))))))</f>
        <v/>
      </c>
      <c r="M325" s="19" t="n"/>
      <c r="N325" s="56" t="n"/>
      <c r="O325" s="32">
        <f>IF($F325="","",IFERROR(MATCH($F325,'請求台帳'!$A$5:$A$1004,0),"なし"))</f>
        <v/>
      </c>
      <c r="P325" s="37">
        <f>IF(NOT(OR($A325&lt;&gt;"",$E325&lt;&gt;"",$F325&lt;&gt;"",$G325&lt;&gt;"",$H325&lt;&gt;"",$I325&lt;&gt;"")),"",IF(ISNUMBER($O325),IF(INDEX('請求台帳'!$C$5:$C$1004,$O325)="","",INDEX('請求台帳'!$C$5:$C$1004,$O325)),IF($C325="","",$C325)))</f>
        <v/>
      </c>
      <c r="Q325" s="35">
        <f>IF(OR(NOT(OR($A325&lt;&gt;"",$E325&lt;&gt;"",$F325&lt;&gt;"",$G325&lt;&gt;"",$H325&lt;&gt;"",$I325&lt;&gt;"")),$P325="",$P325&lt;&gt;'売掛帳'!$B$3,NOT(ISNUMBER($A325)),N($G325)+N($H325)+N($I325)=0),"",IF(AND($A325&gt;='売掛帳'!$Q$3,$A325&lt;='売掛帳'!$Q$4),$A325+0.5+ROW()/10000000,""))</f>
        <v/>
      </c>
      <c r="R325" s="32">
        <f>IF(AND(OR($A325&lt;&gt;"",$E325&lt;&gt;"",$F325&lt;&gt;"",$G325&lt;&gt;"",$H325&lt;&gt;"",$I325&lt;&gt;""),NOT(ISNUMBER($O325))),1,"")</f>
        <v/>
      </c>
    </row>
    <row r="326" ht="18" customHeight="1">
      <c r="A326" s="26" t="n"/>
      <c r="B326" s="18" t="n"/>
      <c r="C326" s="18" t="n"/>
      <c r="D326" s="20">
        <f>IF($P326="","",IFERROR(INDEX('得意先'!$C$5:$C$104,MATCH($P326,'得意先'!$B$5:$B$104,0))&amp;"","※得意先にないコード"))</f>
        <v/>
      </c>
      <c r="E326" s="27" t="n"/>
      <c r="F326" s="18" t="n"/>
      <c r="G326" s="27" t="n"/>
      <c r="H326" s="27" t="n"/>
      <c r="I326" s="27" t="n"/>
      <c r="J326" s="28">
        <f>IF(NOT(OR($A326&lt;&gt;"",$E326&lt;&gt;"",$F326&lt;&gt;"",$G326&lt;&gt;"",$H326&lt;&gt;"",$I326&lt;&gt;"")),"",N($G326)+N($H326)+N($I326))</f>
        <v/>
      </c>
      <c r="K326" s="28">
        <f>IF(ISNUMBER($O326),INDEX('請求台帳'!$R$5:$R$1004,$O326),"")</f>
        <v/>
      </c>
      <c r="L326" s="20">
        <f>IF(NOT(OR($A326&lt;&gt;"",$E326&lt;&gt;"",$F326&lt;&gt;"",$G326&lt;&gt;"",$H326&lt;&gt;"",$I326&lt;&gt;"")),"",IF(NOT(ISNUMBER($A326)),"入金日がありません",IF(AND($F326&lt;&gt;"",$O326="なし"),"請求Noが請求台帳にありません",IF(AND(ISNUMBER($O326),$C326&lt;&gt;"",$C326&lt;&gt;$P326),"請求の得意先は "&amp;$P326&amp;" です",IF(ROUND(IF($B326&lt;&gt;"",SUMIF($B$5:$B$1004,$B326,$E$5:$E$1004)-SUMIF($B$5:$B$1004,$B326,$G$5:$G$1004),N($E326)-N($G326)),0)&lt;&gt;0,"通帳の額と当てた額の差 "&amp;TEXT(IF($B326&lt;&gt;"",SUMIF($B$5:$B$1004,$B326,$E$5:$E$1004)-SUMIF($B$5:$B$1004,$B326,$G$5:$G$1004),N($E326)-N($G326)),"#,##0"),IF(AND(ISNUMBER($O326),N($K326)&lt;0),"請求額より多く消し込んでいます",IF($F326="","消込先が未定","OK")))))))</f>
        <v/>
      </c>
      <c r="M326" s="19" t="n"/>
      <c r="N326" s="56" t="n"/>
      <c r="O326" s="32">
        <f>IF($F326="","",IFERROR(MATCH($F326,'請求台帳'!$A$5:$A$1004,0),"なし"))</f>
        <v/>
      </c>
      <c r="P326" s="37">
        <f>IF(NOT(OR($A326&lt;&gt;"",$E326&lt;&gt;"",$F326&lt;&gt;"",$G326&lt;&gt;"",$H326&lt;&gt;"",$I326&lt;&gt;"")),"",IF(ISNUMBER($O326),IF(INDEX('請求台帳'!$C$5:$C$1004,$O326)="","",INDEX('請求台帳'!$C$5:$C$1004,$O326)),IF($C326="","",$C326)))</f>
        <v/>
      </c>
      <c r="Q326" s="35">
        <f>IF(OR(NOT(OR($A326&lt;&gt;"",$E326&lt;&gt;"",$F326&lt;&gt;"",$G326&lt;&gt;"",$H326&lt;&gt;"",$I326&lt;&gt;"")),$P326="",$P326&lt;&gt;'売掛帳'!$B$3,NOT(ISNUMBER($A326)),N($G326)+N($H326)+N($I326)=0),"",IF(AND($A326&gt;='売掛帳'!$Q$3,$A326&lt;='売掛帳'!$Q$4),$A326+0.5+ROW()/10000000,""))</f>
        <v/>
      </c>
      <c r="R326" s="32">
        <f>IF(AND(OR($A326&lt;&gt;"",$E326&lt;&gt;"",$F326&lt;&gt;"",$G326&lt;&gt;"",$H326&lt;&gt;"",$I326&lt;&gt;""),NOT(ISNUMBER($O326))),1,"")</f>
        <v/>
      </c>
    </row>
    <row r="327" ht="18" customHeight="1">
      <c r="A327" s="26" t="n"/>
      <c r="B327" s="18" t="n"/>
      <c r="C327" s="18" t="n"/>
      <c r="D327" s="20">
        <f>IF($P327="","",IFERROR(INDEX('得意先'!$C$5:$C$104,MATCH($P327,'得意先'!$B$5:$B$104,0))&amp;"","※得意先にないコード"))</f>
        <v/>
      </c>
      <c r="E327" s="27" t="n"/>
      <c r="F327" s="18" t="n"/>
      <c r="G327" s="27" t="n"/>
      <c r="H327" s="27" t="n"/>
      <c r="I327" s="27" t="n"/>
      <c r="J327" s="28">
        <f>IF(NOT(OR($A327&lt;&gt;"",$E327&lt;&gt;"",$F327&lt;&gt;"",$G327&lt;&gt;"",$H327&lt;&gt;"",$I327&lt;&gt;"")),"",N($G327)+N($H327)+N($I327))</f>
        <v/>
      </c>
      <c r="K327" s="28">
        <f>IF(ISNUMBER($O327),INDEX('請求台帳'!$R$5:$R$1004,$O327),"")</f>
        <v/>
      </c>
      <c r="L327" s="20">
        <f>IF(NOT(OR($A327&lt;&gt;"",$E327&lt;&gt;"",$F327&lt;&gt;"",$G327&lt;&gt;"",$H327&lt;&gt;"",$I327&lt;&gt;"")),"",IF(NOT(ISNUMBER($A327)),"入金日がありません",IF(AND($F327&lt;&gt;"",$O327="なし"),"請求Noが請求台帳にありません",IF(AND(ISNUMBER($O327),$C327&lt;&gt;"",$C327&lt;&gt;$P327),"請求の得意先は "&amp;$P327&amp;" です",IF(ROUND(IF($B327&lt;&gt;"",SUMIF($B$5:$B$1004,$B327,$E$5:$E$1004)-SUMIF($B$5:$B$1004,$B327,$G$5:$G$1004),N($E327)-N($G327)),0)&lt;&gt;0,"通帳の額と当てた額の差 "&amp;TEXT(IF($B327&lt;&gt;"",SUMIF($B$5:$B$1004,$B327,$E$5:$E$1004)-SUMIF($B$5:$B$1004,$B327,$G$5:$G$1004),N($E327)-N($G327)),"#,##0"),IF(AND(ISNUMBER($O327),N($K327)&lt;0),"請求額より多く消し込んでいます",IF($F327="","消込先が未定","OK")))))))</f>
        <v/>
      </c>
      <c r="M327" s="19" t="n"/>
      <c r="N327" s="56" t="n"/>
      <c r="O327" s="32">
        <f>IF($F327="","",IFERROR(MATCH($F327,'請求台帳'!$A$5:$A$1004,0),"なし"))</f>
        <v/>
      </c>
      <c r="P327" s="37">
        <f>IF(NOT(OR($A327&lt;&gt;"",$E327&lt;&gt;"",$F327&lt;&gt;"",$G327&lt;&gt;"",$H327&lt;&gt;"",$I327&lt;&gt;"")),"",IF(ISNUMBER($O327),IF(INDEX('請求台帳'!$C$5:$C$1004,$O327)="","",INDEX('請求台帳'!$C$5:$C$1004,$O327)),IF($C327="","",$C327)))</f>
        <v/>
      </c>
      <c r="Q327" s="35">
        <f>IF(OR(NOT(OR($A327&lt;&gt;"",$E327&lt;&gt;"",$F327&lt;&gt;"",$G327&lt;&gt;"",$H327&lt;&gt;"",$I327&lt;&gt;"")),$P327="",$P327&lt;&gt;'売掛帳'!$B$3,NOT(ISNUMBER($A327)),N($G327)+N($H327)+N($I327)=0),"",IF(AND($A327&gt;='売掛帳'!$Q$3,$A327&lt;='売掛帳'!$Q$4),$A327+0.5+ROW()/10000000,""))</f>
        <v/>
      </c>
      <c r="R327" s="32">
        <f>IF(AND(OR($A327&lt;&gt;"",$E327&lt;&gt;"",$F327&lt;&gt;"",$G327&lt;&gt;"",$H327&lt;&gt;"",$I327&lt;&gt;""),NOT(ISNUMBER($O327))),1,"")</f>
        <v/>
      </c>
    </row>
    <row r="328" ht="18" customHeight="1">
      <c r="A328" s="26" t="n"/>
      <c r="B328" s="18" t="n"/>
      <c r="C328" s="18" t="n"/>
      <c r="D328" s="20">
        <f>IF($P328="","",IFERROR(INDEX('得意先'!$C$5:$C$104,MATCH($P328,'得意先'!$B$5:$B$104,0))&amp;"","※得意先にないコード"))</f>
        <v/>
      </c>
      <c r="E328" s="27" t="n"/>
      <c r="F328" s="18" t="n"/>
      <c r="G328" s="27" t="n"/>
      <c r="H328" s="27" t="n"/>
      <c r="I328" s="27" t="n"/>
      <c r="J328" s="28">
        <f>IF(NOT(OR($A328&lt;&gt;"",$E328&lt;&gt;"",$F328&lt;&gt;"",$G328&lt;&gt;"",$H328&lt;&gt;"",$I328&lt;&gt;"")),"",N($G328)+N($H328)+N($I328))</f>
        <v/>
      </c>
      <c r="K328" s="28">
        <f>IF(ISNUMBER($O328),INDEX('請求台帳'!$R$5:$R$1004,$O328),"")</f>
        <v/>
      </c>
      <c r="L328" s="20">
        <f>IF(NOT(OR($A328&lt;&gt;"",$E328&lt;&gt;"",$F328&lt;&gt;"",$G328&lt;&gt;"",$H328&lt;&gt;"",$I328&lt;&gt;"")),"",IF(NOT(ISNUMBER($A328)),"入金日がありません",IF(AND($F328&lt;&gt;"",$O328="なし"),"請求Noが請求台帳にありません",IF(AND(ISNUMBER($O328),$C328&lt;&gt;"",$C328&lt;&gt;$P328),"請求の得意先は "&amp;$P328&amp;" です",IF(ROUND(IF($B328&lt;&gt;"",SUMIF($B$5:$B$1004,$B328,$E$5:$E$1004)-SUMIF($B$5:$B$1004,$B328,$G$5:$G$1004),N($E328)-N($G328)),0)&lt;&gt;0,"通帳の額と当てた額の差 "&amp;TEXT(IF($B328&lt;&gt;"",SUMIF($B$5:$B$1004,$B328,$E$5:$E$1004)-SUMIF($B$5:$B$1004,$B328,$G$5:$G$1004),N($E328)-N($G328)),"#,##0"),IF(AND(ISNUMBER($O328),N($K328)&lt;0),"請求額より多く消し込んでいます",IF($F328="","消込先が未定","OK")))))))</f>
        <v/>
      </c>
      <c r="M328" s="19" t="n"/>
      <c r="N328" s="56" t="n"/>
      <c r="O328" s="32">
        <f>IF($F328="","",IFERROR(MATCH($F328,'請求台帳'!$A$5:$A$1004,0),"なし"))</f>
        <v/>
      </c>
      <c r="P328" s="37">
        <f>IF(NOT(OR($A328&lt;&gt;"",$E328&lt;&gt;"",$F328&lt;&gt;"",$G328&lt;&gt;"",$H328&lt;&gt;"",$I328&lt;&gt;"")),"",IF(ISNUMBER($O328),IF(INDEX('請求台帳'!$C$5:$C$1004,$O328)="","",INDEX('請求台帳'!$C$5:$C$1004,$O328)),IF($C328="","",$C328)))</f>
        <v/>
      </c>
      <c r="Q328" s="35">
        <f>IF(OR(NOT(OR($A328&lt;&gt;"",$E328&lt;&gt;"",$F328&lt;&gt;"",$G328&lt;&gt;"",$H328&lt;&gt;"",$I328&lt;&gt;"")),$P328="",$P328&lt;&gt;'売掛帳'!$B$3,NOT(ISNUMBER($A328)),N($G328)+N($H328)+N($I328)=0),"",IF(AND($A328&gt;='売掛帳'!$Q$3,$A328&lt;='売掛帳'!$Q$4),$A328+0.5+ROW()/10000000,""))</f>
        <v/>
      </c>
      <c r="R328" s="32">
        <f>IF(AND(OR($A328&lt;&gt;"",$E328&lt;&gt;"",$F328&lt;&gt;"",$G328&lt;&gt;"",$H328&lt;&gt;"",$I328&lt;&gt;""),NOT(ISNUMBER($O328))),1,"")</f>
        <v/>
      </c>
    </row>
    <row r="329" ht="18" customHeight="1">
      <c r="A329" s="26" t="n"/>
      <c r="B329" s="18" t="n"/>
      <c r="C329" s="18" t="n"/>
      <c r="D329" s="20">
        <f>IF($P329="","",IFERROR(INDEX('得意先'!$C$5:$C$104,MATCH($P329,'得意先'!$B$5:$B$104,0))&amp;"","※得意先にないコード"))</f>
        <v/>
      </c>
      <c r="E329" s="27" t="n"/>
      <c r="F329" s="18" t="n"/>
      <c r="G329" s="27" t="n"/>
      <c r="H329" s="27" t="n"/>
      <c r="I329" s="27" t="n"/>
      <c r="J329" s="28">
        <f>IF(NOT(OR($A329&lt;&gt;"",$E329&lt;&gt;"",$F329&lt;&gt;"",$G329&lt;&gt;"",$H329&lt;&gt;"",$I329&lt;&gt;"")),"",N($G329)+N($H329)+N($I329))</f>
        <v/>
      </c>
      <c r="K329" s="28">
        <f>IF(ISNUMBER($O329),INDEX('請求台帳'!$R$5:$R$1004,$O329),"")</f>
        <v/>
      </c>
      <c r="L329" s="20">
        <f>IF(NOT(OR($A329&lt;&gt;"",$E329&lt;&gt;"",$F329&lt;&gt;"",$G329&lt;&gt;"",$H329&lt;&gt;"",$I329&lt;&gt;"")),"",IF(NOT(ISNUMBER($A329)),"入金日がありません",IF(AND($F329&lt;&gt;"",$O329="なし"),"請求Noが請求台帳にありません",IF(AND(ISNUMBER($O329),$C329&lt;&gt;"",$C329&lt;&gt;$P329),"請求の得意先は "&amp;$P329&amp;" です",IF(ROUND(IF($B329&lt;&gt;"",SUMIF($B$5:$B$1004,$B329,$E$5:$E$1004)-SUMIF($B$5:$B$1004,$B329,$G$5:$G$1004),N($E329)-N($G329)),0)&lt;&gt;0,"通帳の額と当てた額の差 "&amp;TEXT(IF($B329&lt;&gt;"",SUMIF($B$5:$B$1004,$B329,$E$5:$E$1004)-SUMIF($B$5:$B$1004,$B329,$G$5:$G$1004),N($E329)-N($G329)),"#,##0"),IF(AND(ISNUMBER($O329),N($K329)&lt;0),"請求額より多く消し込んでいます",IF($F329="","消込先が未定","OK")))))))</f>
        <v/>
      </c>
      <c r="M329" s="19" t="n"/>
      <c r="N329" s="56" t="n"/>
      <c r="O329" s="32">
        <f>IF($F329="","",IFERROR(MATCH($F329,'請求台帳'!$A$5:$A$1004,0),"なし"))</f>
        <v/>
      </c>
      <c r="P329" s="37">
        <f>IF(NOT(OR($A329&lt;&gt;"",$E329&lt;&gt;"",$F329&lt;&gt;"",$G329&lt;&gt;"",$H329&lt;&gt;"",$I329&lt;&gt;"")),"",IF(ISNUMBER($O329),IF(INDEX('請求台帳'!$C$5:$C$1004,$O329)="","",INDEX('請求台帳'!$C$5:$C$1004,$O329)),IF($C329="","",$C329)))</f>
        <v/>
      </c>
      <c r="Q329" s="35">
        <f>IF(OR(NOT(OR($A329&lt;&gt;"",$E329&lt;&gt;"",$F329&lt;&gt;"",$G329&lt;&gt;"",$H329&lt;&gt;"",$I329&lt;&gt;"")),$P329="",$P329&lt;&gt;'売掛帳'!$B$3,NOT(ISNUMBER($A329)),N($G329)+N($H329)+N($I329)=0),"",IF(AND($A329&gt;='売掛帳'!$Q$3,$A329&lt;='売掛帳'!$Q$4),$A329+0.5+ROW()/10000000,""))</f>
        <v/>
      </c>
      <c r="R329" s="32">
        <f>IF(AND(OR($A329&lt;&gt;"",$E329&lt;&gt;"",$F329&lt;&gt;"",$G329&lt;&gt;"",$H329&lt;&gt;"",$I329&lt;&gt;""),NOT(ISNUMBER($O329))),1,"")</f>
        <v/>
      </c>
    </row>
    <row r="330" ht="18" customHeight="1">
      <c r="A330" s="26" t="n"/>
      <c r="B330" s="18" t="n"/>
      <c r="C330" s="18" t="n"/>
      <c r="D330" s="20">
        <f>IF($P330="","",IFERROR(INDEX('得意先'!$C$5:$C$104,MATCH($P330,'得意先'!$B$5:$B$104,0))&amp;"","※得意先にないコード"))</f>
        <v/>
      </c>
      <c r="E330" s="27" t="n"/>
      <c r="F330" s="18" t="n"/>
      <c r="G330" s="27" t="n"/>
      <c r="H330" s="27" t="n"/>
      <c r="I330" s="27" t="n"/>
      <c r="J330" s="28">
        <f>IF(NOT(OR($A330&lt;&gt;"",$E330&lt;&gt;"",$F330&lt;&gt;"",$G330&lt;&gt;"",$H330&lt;&gt;"",$I330&lt;&gt;"")),"",N($G330)+N($H330)+N($I330))</f>
        <v/>
      </c>
      <c r="K330" s="28">
        <f>IF(ISNUMBER($O330),INDEX('請求台帳'!$R$5:$R$1004,$O330),"")</f>
        <v/>
      </c>
      <c r="L330" s="20">
        <f>IF(NOT(OR($A330&lt;&gt;"",$E330&lt;&gt;"",$F330&lt;&gt;"",$G330&lt;&gt;"",$H330&lt;&gt;"",$I330&lt;&gt;"")),"",IF(NOT(ISNUMBER($A330)),"入金日がありません",IF(AND($F330&lt;&gt;"",$O330="なし"),"請求Noが請求台帳にありません",IF(AND(ISNUMBER($O330),$C330&lt;&gt;"",$C330&lt;&gt;$P330),"請求の得意先は "&amp;$P330&amp;" です",IF(ROUND(IF($B330&lt;&gt;"",SUMIF($B$5:$B$1004,$B330,$E$5:$E$1004)-SUMIF($B$5:$B$1004,$B330,$G$5:$G$1004),N($E330)-N($G330)),0)&lt;&gt;0,"通帳の額と当てた額の差 "&amp;TEXT(IF($B330&lt;&gt;"",SUMIF($B$5:$B$1004,$B330,$E$5:$E$1004)-SUMIF($B$5:$B$1004,$B330,$G$5:$G$1004),N($E330)-N($G330)),"#,##0"),IF(AND(ISNUMBER($O330),N($K330)&lt;0),"請求額より多く消し込んでいます",IF($F330="","消込先が未定","OK")))))))</f>
        <v/>
      </c>
      <c r="M330" s="19" t="n"/>
      <c r="N330" s="56" t="n"/>
      <c r="O330" s="32">
        <f>IF($F330="","",IFERROR(MATCH($F330,'請求台帳'!$A$5:$A$1004,0),"なし"))</f>
        <v/>
      </c>
      <c r="P330" s="37">
        <f>IF(NOT(OR($A330&lt;&gt;"",$E330&lt;&gt;"",$F330&lt;&gt;"",$G330&lt;&gt;"",$H330&lt;&gt;"",$I330&lt;&gt;"")),"",IF(ISNUMBER($O330),IF(INDEX('請求台帳'!$C$5:$C$1004,$O330)="","",INDEX('請求台帳'!$C$5:$C$1004,$O330)),IF($C330="","",$C330)))</f>
        <v/>
      </c>
      <c r="Q330" s="35">
        <f>IF(OR(NOT(OR($A330&lt;&gt;"",$E330&lt;&gt;"",$F330&lt;&gt;"",$G330&lt;&gt;"",$H330&lt;&gt;"",$I330&lt;&gt;"")),$P330="",$P330&lt;&gt;'売掛帳'!$B$3,NOT(ISNUMBER($A330)),N($G330)+N($H330)+N($I330)=0),"",IF(AND($A330&gt;='売掛帳'!$Q$3,$A330&lt;='売掛帳'!$Q$4),$A330+0.5+ROW()/10000000,""))</f>
        <v/>
      </c>
      <c r="R330" s="32">
        <f>IF(AND(OR($A330&lt;&gt;"",$E330&lt;&gt;"",$F330&lt;&gt;"",$G330&lt;&gt;"",$H330&lt;&gt;"",$I330&lt;&gt;""),NOT(ISNUMBER($O330))),1,"")</f>
        <v/>
      </c>
    </row>
    <row r="331" ht="18" customHeight="1">
      <c r="A331" s="26" t="n"/>
      <c r="B331" s="18" t="n"/>
      <c r="C331" s="18" t="n"/>
      <c r="D331" s="20">
        <f>IF($P331="","",IFERROR(INDEX('得意先'!$C$5:$C$104,MATCH($P331,'得意先'!$B$5:$B$104,0))&amp;"","※得意先にないコード"))</f>
        <v/>
      </c>
      <c r="E331" s="27" t="n"/>
      <c r="F331" s="18" t="n"/>
      <c r="G331" s="27" t="n"/>
      <c r="H331" s="27" t="n"/>
      <c r="I331" s="27" t="n"/>
      <c r="J331" s="28">
        <f>IF(NOT(OR($A331&lt;&gt;"",$E331&lt;&gt;"",$F331&lt;&gt;"",$G331&lt;&gt;"",$H331&lt;&gt;"",$I331&lt;&gt;"")),"",N($G331)+N($H331)+N($I331))</f>
        <v/>
      </c>
      <c r="K331" s="28">
        <f>IF(ISNUMBER($O331),INDEX('請求台帳'!$R$5:$R$1004,$O331),"")</f>
        <v/>
      </c>
      <c r="L331" s="20">
        <f>IF(NOT(OR($A331&lt;&gt;"",$E331&lt;&gt;"",$F331&lt;&gt;"",$G331&lt;&gt;"",$H331&lt;&gt;"",$I331&lt;&gt;"")),"",IF(NOT(ISNUMBER($A331)),"入金日がありません",IF(AND($F331&lt;&gt;"",$O331="なし"),"請求Noが請求台帳にありません",IF(AND(ISNUMBER($O331),$C331&lt;&gt;"",$C331&lt;&gt;$P331),"請求の得意先は "&amp;$P331&amp;" です",IF(ROUND(IF($B331&lt;&gt;"",SUMIF($B$5:$B$1004,$B331,$E$5:$E$1004)-SUMIF($B$5:$B$1004,$B331,$G$5:$G$1004),N($E331)-N($G331)),0)&lt;&gt;0,"通帳の額と当てた額の差 "&amp;TEXT(IF($B331&lt;&gt;"",SUMIF($B$5:$B$1004,$B331,$E$5:$E$1004)-SUMIF($B$5:$B$1004,$B331,$G$5:$G$1004),N($E331)-N($G331)),"#,##0"),IF(AND(ISNUMBER($O331),N($K331)&lt;0),"請求額より多く消し込んでいます",IF($F331="","消込先が未定","OK")))))))</f>
        <v/>
      </c>
      <c r="M331" s="19" t="n"/>
      <c r="N331" s="56" t="n"/>
      <c r="O331" s="32">
        <f>IF($F331="","",IFERROR(MATCH($F331,'請求台帳'!$A$5:$A$1004,0),"なし"))</f>
        <v/>
      </c>
      <c r="P331" s="37">
        <f>IF(NOT(OR($A331&lt;&gt;"",$E331&lt;&gt;"",$F331&lt;&gt;"",$G331&lt;&gt;"",$H331&lt;&gt;"",$I331&lt;&gt;"")),"",IF(ISNUMBER($O331),IF(INDEX('請求台帳'!$C$5:$C$1004,$O331)="","",INDEX('請求台帳'!$C$5:$C$1004,$O331)),IF($C331="","",$C331)))</f>
        <v/>
      </c>
      <c r="Q331" s="35">
        <f>IF(OR(NOT(OR($A331&lt;&gt;"",$E331&lt;&gt;"",$F331&lt;&gt;"",$G331&lt;&gt;"",$H331&lt;&gt;"",$I331&lt;&gt;"")),$P331="",$P331&lt;&gt;'売掛帳'!$B$3,NOT(ISNUMBER($A331)),N($G331)+N($H331)+N($I331)=0),"",IF(AND($A331&gt;='売掛帳'!$Q$3,$A331&lt;='売掛帳'!$Q$4),$A331+0.5+ROW()/10000000,""))</f>
        <v/>
      </c>
      <c r="R331" s="32">
        <f>IF(AND(OR($A331&lt;&gt;"",$E331&lt;&gt;"",$F331&lt;&gt;"",$G331&lt;&gt;"",$H331&lt;&gt;"",$I331&lt;&gt;""),NOT(ISNUMBER($O331))),1,"")</f>
        <v/>
      </c>
    </row>
    <row r="332" ht="18" customHeight="1">
      <c r="A332" s="26" t="n"/>
      <c r="B332" s="18" t="n"/>
      <c r="C332" s="18" t="n"/>
      <c r="D332" s="20">
        <f>IF($P332="","",IFERROR(INDEX('得意先'!$C$5:$C$104,MATCH($P332,'得意先'!$B$5:$B$104,0))&amp;"","※得意先にないコード"))</f>
        <v/>
      </c>
      <c r="E332" s="27" t="n"/>
      <c r="F332" s="18" t="n"/>
      <c r="G332" s="27" t="n"/>
      <c r="H332" s="27" t="n"/>
      <c r="I332" s="27" t="n"/>
      <c r="J332" s="28">
        <f>IF(NOT(OR($A332&lt;&gt;"",$E332&lt;&gt;"",$F332&lt;&gt;"",$G332&lt;&gt;"",$H332&lt;&gt;"",$I332&lt;&gt;"")),"",N($G332)+N($H332)+N($I332))</f>
        <v/>
      </c>
      <c r="K332" s="28">
        <f>IF(ISNUMBER($O332),INDEX('請求台帳'!$R$5:$R$1004,$O332),"")</f>
        <v/>
      </c>
      <c r="L332" s="20">
        <f>IF(NOT(OR($A332&lt;&gt;"",$E332&lt;&gt;"",$F332&lt;&gt;"",$G332&lt;&gt;"",$H332&lt;&gt;"",$I332&lt;&gt;"")),"",IF(NOT(ISNUMBER($A332)),"入金日がありません",IF(AND($F332&lt;&gt;"",$O332="なし"),"請求Noが請求台帳にありません",IF(AND(ISNUMBER($O332),$C332&lt;&gt;"",$C332&lt;&gt;$P332),"請求の得意先は "&amp;$P332&amp;" です",IF(ROUND(IF($B332&lt;&gt;"",SUMIF($B$5:$B$1004,$B332,$E$5:$E$1004)-SUMIF($B$5:$B$1004,$B332,$G$5:$G$1004),N($E332)-N($G332)),0)&lt;&gt;0,"通帳の額と当てた額の差 "&amp;TEXT(IF($B332&lt;&gt;"",SUMIF($B$5:$B$1004,$B332,$E$5:$E$1004)-SUMIF($B$5:$B$1004,$B332,$G$5:$G$1004),N($E332)-N($G332)),"#,##0"),IF(AND(ISNUMBER($O332),N($K332)&lt;0),"請求額より多く消し込んでいます",IF($F332="","消込先が未定","OK")))))))</f>
        <v/>
      </c>
      <c r="M332" s="19" t="n"/>
      <c r="N332" s="56" t="n"/>
      <c r="O332" s="32">
        <f>IF($F332="","",IFERROR(MATCH($F332,'請求台帳'!$A$5:$A$1004,0),"なし"))</f>
        <v/>
      </c>
      <c r="P332" s="37">
        <f>IF(NOT(OR($A332&lt;&gt;"",$E332&lt;&gt;"",$F332&lt;&gt;"",$G332&lt;&gt;"",$H332&lt;&gt;"",$I332&lt;&gt;"")),"",IF(ISNUMBER($O332),IF(INDEX('請求台帳'!$C$5:$C$1004,$O332)="","",INDEX('請求台帳'!$C$5:$C$1004,$O332)),IF($C332="","",$C332)))</f>
        <v/>
      </c>
      <c r="Q332" s="35">
        <f>IF(OR(NOT(OR($A332&lt;&gt;"",$E332&lt;&gt;"",$F332&lt;&gt;"",$G332&lt;&gt;"",$H332&lt;&gt;"",$I332&lt;&gt;"")),$P332="",$P332&lt;&gt;'売掛帳'!$B$3,NOT(ISNUMBER($A332)),N($G332)+N($H332)+N($I332)=0),"",IF(AND($A332&gt;='売掛帳'!$Q$3,$A332&lt;='売掛帳'!$Q$4),$A332+0.5+ROW()/10000000,""))</f>
        <v/>
      </c>
      <c r="R332" s="32">
        <f>IF(AND(OR($A332&lt;&gt;"",$E332&lt;&gt;"",$F332&lt;&gt;"",$G332&lt;&gt;"",$H332&lt;&gt;"",$I332&lt;&gt;""),NOT(ISNUMBER($O332))),1,"")</f>
        <v/>
      </c>
    </row>
    <row r="333" ht="18" customHeight="1">
      <c r="A333" s="26" t="n"/>
      <c r="B333" s="18" t="n"/>
      <c r="C333" s="18" t="n"/>
      <c r="D333" s="20">
        <f>IF($P333="","",IFERROR(INDEX('得意先'!$C$5:$C$104,MATCH($P333,'得意先'!$B$5:$B$104,0))&amp;"","※得意先にないコード"))</f>
        <v/>
      </c>
      <c r="E333" s="27" t="n"/>
      <c r="F333" s="18" t="n"/>
      <c r="G333" s="27" t="n"/>
      <c r="H333" s="27" t="n"/>
      <c r="I333" s="27" t="n"/>
      <c r="J333" s="28">
        <f>IF(NOT(OR($A333&lt;&gt;"",$E333&lt;&gt;"",$F333&lt;&gt;"",$G333&lt;&gt;"",$H333&lt;&gt;"",$I333&lt;&gt;"")),"",N($G333)+N($H333)+N($I333))</f>
        <v/>
      </c>
      <c r="K333" s="28">
        <f>IF(ISNUMBER($O333),INDEX('請求台帳'!$R$5:$R$1004,$O333),"")</f>
        <v/>
      </c>
      <c r="L333" s="20">
        <f>IF(NOT(OR($A333&lt;&gt;"",$E333&lt;&gt;"",$F333&lt;&gt;"",$G333&lt;&gt;"",$H333&lt;&gt;"",$I333&lt;&gt;"")),"",IF(NOT(ISNUMBER($A333)),"入金日がありません",IF(AND($F333&lt;&gt;"",$O333="なし"),"請求Noが請求台帳にありません",IF(AND(ISNUMBER($O333),$C333&lt;&gt;"",$C333&lt;&gt;$P333),"請求の得意先は "&amp;$P333&amp;" です",IF(ROUND(IF($B333&lt;&gt;"",SUMIF($B$5:$B$1004,$B333,$E$5:$E$1004)-SUMIF($B$5:$B$1004,$B333,$G$5:$G$1004),N($E333)-N($G333)),0)&lt;&gt;0,"通帳の額と当てた額の差 "&amp;TEXT(IF($B333&lt;&gt;"",SUMIF($B$5:$B$1004,$B333,$E$5:$E$1004)-SUMIF($B$5:$B$1004,$B333,$G$5:$G$1004),N($E333)-N($G333)),"#,##0"),IF(AND(ISNUMBER($O333),N($K333)&lt;0),"請求額より多く消し込んでいます",IF($F333="","消込先が未定","OK")))))))</f>
        <v/>
      </c>
      <c r="M333" s="19" t="n"/>
      <c r="N333" s="56" t="n"/>
      <c r="O333" s="32">
        <f>IF($F333="","",IFERROR(MATCH($F333,'請求台帳'!$A$5:$A$1004,0),"なし"))</f>
        <v/>
      </c>
      <c r="P333" s="37">
        <f>IF(NOT(OR($A333&lt;&gt;"",$E333&lt;&gt;"",$F333&lt;&gt;"",$G333&lt;&gt;"",$H333&lt;&gt;"",$I333&lt;&gt;"")),"",IF(ISNUMBER($O333),IF(INDEX('請求台帳'!$C$5:$C$1004,$O333)="","",INDEX('請求台帳'!$C$5:$C$1004,$O333)),IF($C333="","",$C333)))</f>
        <v/>
      </c>
      <c r="Q333" s="35">
        <f>IF(OR(NOT(OR($A333&lt;&gt;"",$E333&lt;&gt;"",$F333&lt;&gt;"",$G333&lt;&gt;"",$H333&lt;&gt;"",$I333&lt;&gt;"")),$P333="",$P333&lt;&gt;'売掛帳'!$B$3,NOT(ISNUMBER($A333)),N($G333)+N($H333)+N($I333)=0),"",IF(AND($A333&gt;='売掛帳'!$Q$3,$A333&lt;='売掛帳'!$Q$4),$A333+0.5+ROW()/10000000,""))</f>
        <v/>
      </c>
      <c r="R333" s="32">
        <f>IF(AND(OR($A333&lt;&gt;"",$E333&lt;&gt;"",$F333&lt;&gt;"",$G333&lt;&gt;"",$H333&lt;&gt;"",$I333&lt;&gt;""),NOT(ISNUMBER($O333))),1,"")</f>
        <v/>
      </c>
    </row>
    <row r="334" ht="18" customHeight="1">
      <c r="A334" s="26" t="n"/>
      <c r="B334" s="18" t="n"/>
      <c r="C334" s="18" t="n"/>
      <c r="D334" s="20">
        <f>IF($P334="","",IFERROR(INDEX('得意先'!$C$5:$C$104,MATCH($P334,'得意先'!$B$5:$B$104,0))&amp;"","※得意先にないコード"))</f>
        <v/>
      </c>
      <c r="E334" s="27" t="n"/>
      <c r="F334" s="18" t="n"/>
      <c r="G334" s="27" t="n"/>
      <c r="H334" s="27" t="n"/>
      <c r="I334" s="27" t="n"/>
      <c r="J334" s="28">
        <f>IF(NOT(OR($A334&lt;&gt;"",$E334&lt;&gt;"",$F334&lt;&gt;"",$G334&lt;&gt;"",$H334&lt;&gt;"",$I334&lt;&gt;"")),"",N($G334)+N($H334)+N($I334))</f>
        <v/>
      </c>
      <c r="K334" s="28">
        <f>IF(ISNUMBER($O334),INDEX('請求台帳'!$R$5:$R$1004,$O334),"")</f>
        <v/>
      </c>
      <c r="L334" s="20">
        <f>IF(NOT(OR($A334&lt;&gt;"",$E334&lt;&gt;"",$F334&lt;&gt;"",$G334&lt;&gt;"",$H334&lt;&gt;"",$I334&lt;&gt;"")),"",IF(NOT(ISNUMBER($A334)),"入金日がありません",IF(AND($F334&lt;&gt;"",$O334="なし"),"請求Noが請求台帳にありません",IF(AND(ISNUMBER($O334),$C334&lt;&gt;"",$C334&lt;&gt;$P334),"請求の得意先は "&amp;$P334&amp;" です",IF(ROUND(IF($B334&lt;&gt;"",SUMIF($B$5:$B$1004,$B334,$E$5:$E$1004)-SUMIF($B$5:$B$1004,$B334,$G$5:$G$1004),N($E334)-N($G334)),0)&lt;&gt;0,"通帳の額と当てた額の差 "&amp;TEXT(IF($B334&lt;&gt;"",SUMIF($B$5:$B$1004,$B334,$E$5:$E$1004)-SUMIF($B$5:$B$1004,$B334,$G$5:$G$1004),N($E334)-N($G334)),"#,##0"),IF(AND(ISNUMBER($O334),N($K334)&lt;0),"請求額より多く消し込んでいます",IF($F334="","消込先が未定","OK")))))))</f>
        <v/>
      </c>
      <c r="M334" s="19" t="n"/>
      <c r="N334" s="56" t="n"/>
      <c r="O334" s="32">
        <f>IF($F334="","",IFERROR(MATCH($F334,'請求台帳'!$A$5:$A$1004,0),"なし"))</f>
        <v/>
      </c>
      <c r="P334" s="37">
        <f>IF(NOT(OR($A334&lt;&gt;"",$E334&lt;&gt;"",$F334&lt;&gt;"",$G334&lt;&gt;"",$H334&lt;&gt;"",$I334&lt;&gt;"")),"",IF(ISNUMBER($O334),IF(INDEX('請求台帳'!$C$5:$C$1004,$O334)="","",INDEX('請求台帳'!$C$5:$C$1004,$O334)),IF($C334="","",$C334)))</f>
        <v/>
      </c>
      <c r="Q334" s="35">
        <f>IF(OR(NOT(OR($A334&lt;&gt;"",$E334&lt;&gt;"",$F334&lt;&gt;"",$G334&lt;&gt;"",$H334&lt;&gt;"",$I334&lt;&gt;"")),$P334="",$P334&lt;&gt;'売掛帳'!$B$3,NOT(ISNUMBER($A334)),N($G334)+N($H334)+N($I334)=0),"",IF(AND($A334&gt;='売掛帳'!$Q$3,$A334&lt;='売掛帳'!$Q$4),$A334+0.5+ROW()/10000000,""))</f>
        <v/>
      </c>
      <c r="R334" s="32">
        <f>IF(AND(OR($A334&lt;&gt;"",$E334&lt;&gt;"",$F334&lt;&gt;"",$G334&lt;&gt;"",$H334&lt;&gt;"",$I334&lt;&gt;""),NOT(ISNUMBER($O334))),1,"")</f>
        <v/>
      </c>
    </row>
    <row r="335" ht="18" customHeight="1">
      <c r="A335" s="26" t="n"/>
      <c r="B335" s="18" t="n"/>
      <c r="C335" s="18" t="n"/>
      <c r="D335" s="20">
        <f>IF($P335="","",IFERROR(INDEX('得意先'!$C$5:$C$104,MATCH($P335,'得意先'!$B$5:$B$104,0))&amp;"","※得意先にないコード"))</f>
        <v/>
      </c>
      <c r="E335" s="27" t="n"/>
      <c r="F335" s="18" t="n"/>
      <c r="G335" s="27" t="n"/>
      <c r="H335" s="27" t="n"/>
      <c r="I335" s="27" t="n"/>
      <c r="J335" s="28">
        <f>IF(NOT(OR($A335&lt;&gt;"",$E335&lt;&gt;"",$F335&lt;&gt;"",$G335&lt;&gt;"",$H335&lt;&gt;"",$I335&lt;&gt;"")),"",N($G335)+N($H335)+N($I335))</f>
        <v/>
      </c>
      <c r="K335" s="28">
        <f>IF(ISNUMBER($O335),INDEX('請求台帳'!$R$5:$R$1004,$O335),"")</f>
        <v/>
      </c>
      <c r="L335" s="20">
        <f>IF(NOT(OR($A335&lt;&gt;"",$E335&lt;&gt;"",$F335&lt;&gt;"",$G335&lt;&gt;"",$H335&lt;&gt;"",$I335&lt;&gt;"")),"",IF(NOT(ISNUMBER($A335)),"入金日がありません",IF(AND($F335&lt;&gt;"",$O335="なし"),"請求Noが請求台帳にありません",IF(AND(ISNUMBER($O335),$C335&lt;&gt;"",$C335&lt;&gt;$P335),"請求の得意先は "&amp;$P335&amp;" です",IF(ROUND(IF($B335&lt;&gt;"",SUMIF($B$5:$B$1004,$B335,$E$5:$E$1004)-SUMIF($B$5:$B$1004,$B335,$G$5:$G$1004),N($E335)-N($G335)),0)&lt;&gt;0,"通帳の額と当てた額の差 "&amp;TEXT(IF($B335&lt;&gt;"",SUMIF($B$5:$B$1004,$B335,$E$5:$E$1004)-SUMIF($B$5:$B$1004,$B335,$G$5:$G$1004),N($E335)-N($G335)),"#,##0"),IF(AND(ISNUMBER($O335),N($K335)&lt;0),"請求額より多く消し込んでいます",IF($F335="","消込先が未定","OK")))))))</f>
        <v/>
      </c>
      <c r="M335" s="19" t="n"/>
      <c r="N335" s="56" t="n"/>
      <c r="O335" s="32">
        <f>IF($F335="","",IFERROR(MATCH($F335,'請求台帳'!$A$5:$A$1004,0),"なし"))</f>
        <v/>
      </c>
      <c r="P335" s="37">
        <f>IF(NOT(OR($A335&lt;&gt;"",$E335&lt;&gt;"",$F335&lt;&gt;"",$G335&lt;&gt;"",$H335&lt;&gt;"",$I335&lt;&gt;"")),"",IF(ISNUMBER($O335),IF(INDEX('請求台帳'!$C$5:$C$1004,$O335)="","",INDEX('請求台帳'!$C$5:$C$1004,$O335)),IF($C335="","",$C335)))</f>
        <v/>
      </c>
      <c r="Q335" s="35">
        <f>IF(OR(NOT(OR($A335&lt;&gt;"",$E335&lt;&gt;"",$F335&lt;&gt;"",$G335&lt;&gt;"",$H335&lt;&gt;"",$I335&lt;&gt;"")),$P335="",$P335&lt;&gt;'売掛帳'!$B$3,NOT(ISNUMBER($A335)),N($G335)+N($H335)+N($I335)=0),"",IF(AND($A335&gt;='売掛帳'!$Q$3,$A335&lt;='売掛帳'!$Q$4),$A335+0.5+ROW()/10000000,""))</f>
        <v/>
      </c>
      <c r="R335" s="32">
        <f>IF(AND(OR($A335&lt;&gt;"",$E335&lt;&gt;"",$F335&lt;&gt;"",$G335&lt;&gt;"",$H335&lt;&gt;"",$I335&lt;&gt;""),NOT(ISNUMBER($O335))),1,"")</f>
        <v/>
      </c>
    </row>
    <row r="336" ht="18" customHeight="1">
      <c r="A336" s="26" t="n"/>
      <c r="B336" s="18" t="n"/>
      <c r="C336" s="18" t="n"/>
      <c r="D336" s="20">
        <f>IF($P336="","",IFERROR(INDEX('得意先'!$C$5:$C$104,MATCH($P336,'得意先'!$B$5:$B$104,0))&amp;"","※得意先にないコード"))</f>
        <v/>
      </c>
      <c r="E336" s="27" t="n"/>
      <c r="F336" s="18" t="n"/>
      <c r="G336" s="27" t="n"/>
      <c r="H336" s="27" t="n"/>
      <c r="I336" s="27" t="n"/>
      <c r="J336" s="28">
        <f>IF(NOT(OR($A336&lt;&gt;"",$E336&lt;&gt;"",$F336&lt;&gt;"",$G336&lt;&gt;"",$H336&lt;&gt;"",$I336&lt;&gt;"")),"",N($G336)+N($H336)+N($I336))</f>
        <v/>
      </c>
      <c r="K336" s="28">
        <f>IF(ISNUMBER($O336),INDEX('請求台帳'!$R$5:$R$1004,$O336),"")</f>
        <v/>
      </c>
      <c r="L336" s="20">
        <f>IF(NOT(OR($A336&lt;&gt;"",$E336&lt;&gt;"",$F336&lt;&gt;"",$G336&lt;&gt;"",$H336&lt;&gt;"",$I336&lt;&gt;"")),"",IF(NOT(ISNUMBER($A336)),"入金日がありません",IF(AND($F336&lt;&gt;"",$O336="なし"),"請求Noが請求台帳にありません",IF(AND(ISNUMBER($O336),$C336&lt;&gt;"",$C336&lt;&gt;$P336),"請求の得意先は "&amp;$P336&amp;" です",IF(ROUND(IF($B336&lt;&gt;"",SUMIF($B$5:$B$1004,$B336,$E$5:$E$1004)-SUMIF($B$5:$B$1004,$B336,$G$5:$G$1004),N($E336)-N($G336)),0)&lt;&gt;0,"通帳の額と当てた額の差 "&amp;TEXT(IF($B336&lt;&gt;"",SUMIF($B$5:$B$1004,$B336,$E$5:$E$1004)-SUMIF($B$5:$B$1004,$B336,$G$5:$G$1004),N($E336)-N($G336)),"#,##0"),IF(AND(ISNUMBER($O336),N($K336)&lt;0),"請求額より多く消し込んでいます",IF($F336="","消込先が未定","OK")))))))</f>
        <v/>
      </c>
      <c r="M336" s="19" t="n"/>
      <c r="N336" s="56" t="n"/>
      <c r="O336" s="32">
        <f>IF($F336="","",IFERROR(MATCH($F336,'請求台帳'!$A$5:$A$1004,0),"なし"))</f>
        <v/>
      </c>
      <c r="P336" s="37">
        <f>IF(NOT(OR($A336&lt;&gt;"",$E336&lt;&gt;"",$F336&lt;&gt;"",$G336&lt;&gt;"",$H336&lt;&gt;"",$I336&lt;&gt;"")),"",IF(ISNUMBER($O336),IF(INDEX('請求台帳'!$C$5:$C$1004,$O336)="","",INDEX('請求台帳'!$C$5:$C$1004,$O336)),IF($C336="","",$C336)))</f>
        <v/>
      </c>
      <c r="Q336" s="35">
        <f>IF(OR(NOT(OR($A336&lt;&gt;"",$E336&lt;&gt;"",$F336&lt;&gt;"",$G336&lt;&gt;"",$H336&lt;&gt;"",$I336&lt;&gt;"")),$P336="",$P336&lt;&gt;'売掛帳'!$B$3,NOT(ISNUMBER($A336)),N($G336)+N($H336)+N($I336)=0),"",IF(AND($A336&gt;='売掛帳'!$Q$3,$A336&lt;='売掛帳'!$Q$4),$A336+0.5+ROW()/10000000,""))</f>
        <v/>
      </c>
      <c r="R336" s="32">
        <f>IF(AND(OR($A336&lt;&gt;"",$E336&lt;&gt;"",$F336&lt;&gt;"",$G336&lt;&gt;"",$H336&lt;&gt;"",$I336&lt;&gt;""),NOT(ISNUMBER($O336))),1,"")</f>
        <v/>
      </c>
    </row>
    <row r="337" ht="18" customHeight="1">
      <c r="A337" s="26" t="n"/>
      <c r="B337" s="18" t="n"/>
      <c r="C337" s="18" t="n"/>
      <c r="D337" s="20">
        <f>IF($P337="","",IFERROR(INDEX('得意先'!$C$5:$C$104,MATCH($P337,'得意先'!$B$5:$B$104,0))&amp;"","※得意先にないコード"))</f>
        <v/>
      </c>
      <c r="E337" s="27" t="n"/>
      <c r="F337" s="18" t="n"/>
      <c r="G337" s="27" t="n"/>
      <c r="H337" s="27" t="n"/>
      <c r="I337" s="27" t="n"/>
      <c r="J337" s="28">
        <f>IF(NOT(OR($A337&lt;&gt;"",$E337&lt;&gt;"",$F337&lt;&gt;"",$G337&lt;&gt;"",$H337&lt;&gt;"",$I337&lt;&gt;"")),"",N($G337)+N($H337)+N($I337))</f>
        <v/>
      </c>
      <c r="K337" s="28">
        <f>IF(ISNUMBER($O337),INDEX('請求台帳'!$R$5:$R$1004,$O337),"")</f>
        <v/>
      </c>
      <c r="L337" s="20">
        <f>IF(NOT(OR($A337&lt;&gt;"",$E337&lt;&gt;"",$F337&lt;&gt;"",$G337&lt;&gt;"",$H337&lt;&gt;"",$I337&lt;&gt;"")),"",IF(NOT(ISNUMBER($A337)),"入金日がありません",IF(AND($F337&lt;&gt;"",$O337="なし"),"請求Noが請求台帳にありません",IF(AND(ISNUMBER($O337),$C337&lt;&gt;"",$C337&lt;&gt;$P337),"請求の得意先は "&amp;$P337&amp;" です",IF(ROUND(IF($B337&lt;&gt;"",SUMIF($B$5:$B$1004,$B337,$E$5:$E$1004)-SUMIF($B$5:$B$1004,$B337,$G$5:$G$1004),N($E337)-N($G337)),0)&lt;&gt;0,"通帳の額と当てた額の差 "&amp;TEXT(IF($B337&lt;&gt;"",SUMIF($B$5:$B$1004,$B337,$E$5:$E$1004)-SUMIF($B$5:$B$1004,$B337,$G$5:$G$1004),N($E337)-N($G337)),"#,##0"),IF(AND(ISNUMBER($O337),N($K337)&lt;0),"請求額より多く消し込んでいます",IF($F337="","消込先が未定","OK")))))))</f>
        <v/>
      </c>
      <c r="M337" s="19" t="n"/>
      <c r="N337" s="56" t="n"/>
      <c r="O337" s="32">
        <f>IF($F337="","",IFERROR(MATCH($F337,'請求台帳'!$A$5:$A$1004,0),"なし"))</f>
        <v/>
      </c>
      <c r="P337" s="37">
        <f>IF(NOT(OR($A337&lt;&gt;"",$E337&lt;&gt;"",$F337&lt;&gt;"",$G337&lt;&gt;"",$H337&lt;&gt;"",$I337&lt;&gt;"")),"",IF(ISNUMBER($O337),IF(INDEX('請求台帳'!$C$5:$C$1004,$O337)="","",INDEX('請求台帳'!$C$5:$C$1004,$O337)),IF($C337="","",$C337)))</f>
        <v/>
      </c>
      <c r="Q337" s="35">
        <f>IF(OR(NOT(OR($A337&lt;&gt;"",$E337&lt;&gt;"",$F337&lt;&gt;"",$G337&lt;&gt;"",$H337&lt;&gt;"",$I337&lt;&gt;"")),$P337="",$P337&lt;&gt;'売掛帳'!$B$3,NOT(ISNUMBER($A337)),N($G337)+N($H337)+N($I337)=0),"",IF(AND($A337&gt;='売掛帳'!$Q$3,$A337&lt;='売掛帳'!$Q$4),$A337+0.5+ROW()/10000000,""))</f>
        <v/>
      </c>
      <c r="R337" s="32">
        <f>IF(AND(OR($A337&lt;&gt;"",$E337&lt;&gt;"",$F337&lt;&gt;"",$G337&lt;&gt;"",$H337&lt;&gt;"",$I337&lt;&gt;""),NOT(ISNUMBER($O337))),1,"")</f>
        <v/>
      </c>
    </row>
    <row r="338" ht="18" customHeight="1">
      <c r="A338" s="26" t="n"/>
      <c r="B338" s="18" t="n"/>
      <c r="C338" s="18" t="n"/>
      <c r="D338" s="20">
        <f>IF($P338="","",IFERROR(INDEX('得意先'!$C$5:$C$104,MATCH($P338,'得意先'!$B$5:$B$104,0))&amp;"","※得意先にないコード"))</f>
        <v/>
      </c>
      <c r="E338" s="27" t="n"/>
      <c r="F338" s="18" t="n"/>
      <c r="G338" s="27" t="n"/>
      <c r="H338" s="27" t="n"/>
      <c r="I338" s="27" t="n"/>
      <c r="J338" s="28">
        <f>IF(NOT(OR($A338&lt;&gt;"",$E338&lt;&gt;"",$F338&lt;&gt;"",$G338&lt;&gt;"",$H338&lt;&gt;"",$I338&lt;&gt;"")),"",N($G338)+N($H338)+N($I338))</f>
        <v/>
      </c>
      <c r="K338" s="28">
        <f>IF(ISNUMBER($O338),INDEX('請求台帳'!$R$5:$R$1004,$O338),"")</f>
        <v/>
      </c>
      <c r="L338" s="20">
        <f>IF(NOT(OR($A338&lt;&gt;"",$E338&lt;&gt;"",$F338&lt;&gt;"",$G338&lt;&gt;"",$H338&lt;&gt;"",$I338&lt;&gt;"")),"",IF(NOT(ISNUMBER($A338)),"入金日がありません",IF(AND($F338&lt;&gt;"",$O338="なし"),"請求Noが請求台帳にありません",IF(AND(ISNUMBER($O338),$C338&lt;&gt;"",$C338&lt;&gt;$P338),"請求の得意先は "&amp;$P338&amp;" です",IF(ROUND(IF($B338&lt;&gt;"",SUMIF($B$5:$B$1004,$B338,$E$5:$E$1004)-SUMIF($B$5:$B$1004,$B338,$G$5:$G$1004),N($E338)-N($G338)),0)&lt;&gt;0,"通帳の額と当てた額の差 "&amp;TEXT(IF($B338&lt;&gt;"",SUMIF($B$5:$B$1004,$B338,$E$5:$E$1004)-SUMIF($B$5:$B$1004,$B338,$G$5:$G$1004),N($E338)-N($G338)),"#,##0"),IF(AND(ISNUMBER($O338),N($K338)&lt;0),"請求額より多く消し込んでいます",IF($F338="","消込先が未定","OK")))))))</f>
        <v/>
      </c>
      <c r="M338" s="19" t="n"/>
      <c r="N338" s="56" t="n"/>
      <c r="O338" s="32">
        <f>IF($F338="","",IFERROR(MATCH($F338,'請求台帳'!$A$5:$A$1004,0),"なし"))</f>
        <v/>
      </c>
      <c r="P338" s="37">
        <f>IF(NOT(OR($A338&lt;&gt;"",$E338&lt;&gt;"",$F338&lt;&gt;"",$G338&lt;&gt;"",$H338&lt;&gt;"",$I338&lt;&gt;"")),"",IF(ISNUMBER($O338),IF(INDEX('請求台帳'!$C$5:$C$1004,$O338)="","",INDEX('請求台帳'!$C$5:$C$1004,$O338)),IF($C338="","",$C338)))</f>
        <v/>
      </c>
      <c r="Q338" s="35">
        <f>IF(OR(NOT(OR($A338&lt;&gt;"",$E338&lt;&gt;"",$F338&lt;&gt;"",$G338&lt;&gt;"",$H338&lt;&gt;"",$I338&lt;&gt;"")),$P338="",$P338&lt;&gt;'売掛帳'!$B$3,NOT(ISNUMBER($A338)),N($G338)+N($H338)+N($I338)=0),"",IF(AND($A338&gt;='売掛帳'!$Q$3,$A338&lt;='売掛帳'!$Q$4),$A338+0.5+ROW()/10000000,""))</f>
        <v/>
      </c>
      <c r="R338" s="32">
        <f>IF(AND(OR($A338&lt;&gt;"",$E338&lt;&gt;"",$F338&lt;&gt;"",$G338&lt;&gt;"",$H338&lt;&gt;"",$I338&lt;&gt;""),NOT(ISNUMBER($O338))),1,"")</f>
        <v/>
      </c>
    </row>
    <row r="339" ht="18" customHeight="1">
      <c r="A339" s="26" t="n"/>
      <c r="B339" s="18" t="n"/>
      <c r="C339" s="18" t="n"/>
      <c r="D339" s="20">
        <f>IF($P339="","",IFERROR(INDEX('得意先'!$C$5:$C$104,MATCH($P339,'得意先'!$B$5:$B$104,0))&amp;"","※得意先にないコード"))</f>
        <v/>
      </c>
      <c r="E339" s="27" t="n"/>
      <c r="F339" s="18" t="n"/>
      <c r="G339" s="27" t="n"/>
      <c r="H339" s="27" t="n"/>
      <c r="I339" s="27" t="n"/>
      <c r="J339" s="28">
        <f>IF(NOT(OR($A339&lt;&gt;"",$E339&lt;&gt;"",$F339&lt;&gt;"",$G339&lt;&gt;"",$H339&lt;&gt;"",$I339&lt;&gt;"")),"",N($G339)+N($H339)+N($I339))</f>
        <v/>
      </c>
      <c r="K339" s="28">
        <f>IF(ISNUMBER($O339),INDEX('請求台帳'!$R$5:$R$1004,$O339),"")</f>
        <v/>
      </c>
      <c r="L339" s="20">
        <f>IF(NOT(OR($A339&lt;&gt;"",$E339&lt;&gt;"",$F339&lt;&gt;"",$G339&lt;&gt;"",$H339&lt;&gt;"",$I339&lt;&gt;"")),"",IF(NOT(ISNUMBER($A339)),"入金日がありません",IF(AND($F339&lt;&gt;"",$O339="なし"),"請求Noが請求台帳にありません",IF(AND(ISNUMBER($O339),$C339&lt;&gt;"",$C339&lt;&gt;$P339),"請求の得意先は "&amp;$P339&amp;" です",IF(ROUND(IF($B339&lt;&gt;"",SUMIF($B$5:$B$1004,$B339,$E$5:$E$1004)-SUMIF($B$5:$B$1004,$B339,$G$5:$G$1004),N($E339)-N($G339)),0)&lt;&gt;0,"通帳の額と当てた額の差 "&amp;TEXT(IF($B339&lt;&gt;"",SUMIF($B$5:$B$1004,$B339,$E$5:$E$1004)-SUMIF($B$5:$B$1004,$B339,$G$5:$G$1004),N($E339)-N($G339)),"#,##0"),IF(AND(ISNUMBER($O339),N($K339)&lt;0),"請求額より多く消し込んでいます",IF($F339="","消込先が未定","OK")))))))</f>
        <v/>
      </c>
      <c r="M339" s="19" t="n"/>
      <c r="N339" s="56" t="n"/>
      <c r="O339" s="32">
        <f>IF($F339="","",IFERROR(MATCH($F339,'請求台帳'!$A$5:$A$1004,0),"なし"))</f>
        <v/>
      </c>
      <c r="P339" s="37">
        <f>IF(NOT(OR($A339&lt;&gt;"",$E339&lt;&gt;"",$F339&lt;&gt;"",$G339&lt;&gt;"",$H339&lt;&gt;"",$I339&lt;&gt;"")),"",IF(ISNUMBER($O339),IF(INDEX('請求台帳'!$C$5:$C$1004,$O339)="","",INDEX('請求台帳'!$C$5:$C$1004,$O339)),IF($C339="","",$C339)))</f>
        <v/>
      </c>
      <c r="Q339" s="35">
        <f>IF(OR(NOT(OR($A339&lt;&gt;"",$E339&lt;&gt;"",$F339&lt;&gt;"",$G339&lt;&gt;"",$H339&lt;&gt;"",$I339&lt;&gt;"")),$P339="",$P339&lt;&gt;'売掛帳'!$B$3,NOT(ISNUMBER($A339)),N($G339)+N($H339)+N($I339)=0),"",IF(AND($A339&gt;='売掛帳'!$Q$3,$A339&lt;='売掛帳'!$Q$4),$A339+0.5+ROW()/10000000,""))</f>
        <v/>
      </c>
      <c r="R339" s="32">
        <f>IF(AND(OR($A339&lt;&gt;"",$E339&lt;&gt;"",$F339&lt;&gt;"",$G339&lt;&gt;"",$H339&lt;&gt;"",$I339&lt;&gt;""),NOT(ISNUMBER($O339))),1,"")</f>
        <v/>
      </c>
    </row>
    <row r="340" ht="18" customHeight="1">
      <c r="A340" s="26" t="n"/>
      <c r="B340" s="18" t="n"/>
      <c r="C340" s="18" t="n"/>
      <c r="D340" s="20">
        <f>IF($P340="","",IFERROR(INDEX('得意先'!$C$5:$C$104,MATCH($P340,'得意先'!$B$5:$B$104,0))&amp;"","※得意先にないコード"))</f>
        <v/>
      </c>
      <c r="E340" s="27" t="n"/>
      <c r="F340" s="18" t="n"/>
      <c r="G340" s="27" t="n"/>
      <c r="H340" s="27" t="n"/>
      <c r="I340" s="27" t="n"/>
      <c r="J340" s="28">
        <f>IF(NOT(OR($A340&lt;&gt;"",$E340&lt;&gt;"",$F340&lt;&gt;"",$G340&lt;&gt;"",$H340&lt;&gt;"",$I340&lt;&gt;"")),"",N($G340)+N($H340)+N($I340))</f>
        <v/>
      </c>
      <c r="K340" s="28">
        <f>IF(ISNUMBER($O340),INDEX('請求台帳'!$R$5:$R$1004,$O340),"")</f>
        <v/>
      </c>
      <c r="L340" s="20">
        <f>IF(NOT(OR($A340&lt;&gt;"",$E340&lt;&gt;"",$F340&lt;&gt;"",$G340&lt;&gt;"",$H340&lt;&gt;"",$I340&lt;&gt;"")),"",IF(NOT(ISNUMBER($A340)),"入金日がありません",IF(AND($F340&lt;&gt;"",$O340="なし"),"請求Noが請求台帳にありません",IF(AND(ISNUMBER($O340),$C340&lt;&gt;"",$C340&lt;&gt;$P340),"請求の得意先は "&amp;$P340&amp;" です",IF(ROUND(IF($B340&lt;&gt;"",SUMIF($B$5:$B$1004,$B340,$E$5:$E$1004)-SUMIF($B$5:$B$1004,$B340,$G$5:$G$1004),N($E340)-N($G340)),0)&lt;&gt;0,"通帳の額と当てた額の差 "&amp;TEXT(IF($B340&lt;&gt;"",SUMIF($B$5:$B$1004,$B340,$E$5:$E$1004)-SUMIF($B$5:$B$1004,$B340,$G$5:$G$1004),N($E340)-N($G340)),"#,##0"),IF(AND(ISNUMBER($O340),N($K340)&lt;0),"請求額より多く消し込んでいます",IF($F340="","消込先が未定","OK")))))))</f>
        <v/>
      </c>
      <c r="M340" s="19" t="n"/>
      <c r="N340" s="56" t="n"/>
      <c r="O340" s="32">
        <f>IF($F340="","",IFERROR(MATCH($F340,'請求台帳'!$A$5:$A$1004,0),"なし"))</f>
        <v/>
      </c>
      <c r="P340" s="37">
        <f>IF(NOT(OR($A340&lt;&gt;"",$E340&lt;&gt;"",$F340&lt;&gt;"",$G340&lt;&gt;"",$H340&lt;&gt;"",$I340&lt;&gt;"")),"",IF(ISNUMBER($O340),IF(INDEX('請求台帳'!$C$5:$C$1004,$O340)="","",INDEX('請求台帳'!$C$5:$C$1004,$O340)),IF($C340="","",$C340)))</f>
        <v/>
      </c>
      <c r="Q340" s="35">
        <f>IF(OR(NOT(OR($A340&lt;&gt;"",$E340&lt;&gt;"",$F340&lt;&gt;"",$G340&lt;&gt;"",$H340&lt;&gt;"",$I340&lt;&gt;"")),$P340="",$P340&lt;&gt;'売掛帳'!$B$3,NOT(ISNUMBER($A340)),N($G340)+N($H340)+N($I340)=0),"",IF(AND($A340&gt;='売掛帳'!$Q$3,$A340&lt;='売掛帳'!$Q$4),$A340+0.5+ROW()/10000000,""))</f>
        <v/>
      </c>
      <c r="R340" s="32">
        <f>IF(AND(OR($A340&lt;&gt;"",$E340&lt;&gt;"",$F340&lt;&gt;"",$G340&lt;&gt;"",$H340&lt;&gt;"",$I340&lt;&gt;""),NOT(ISNUMBER($O340))),1,"")</f>
        <v/>
      </c>
    </row>
    <row r="341" ht="18" customHeight="1">
      <c r="A341" s="26" t="n"/>
      <c r="B341" s="18" t="n"/>
      <c r="C341" s="18" t="n"/>
      <c r="D341" s="20">
        <f>IF($P341="","",IFERROR(INDEX('得意先'!$C$5:$C$104,MATCH($P341,'得意先'!$B$5:$B$104,0))&amp;"","※得意先にないコード"))</f>
        <v/>
      </c>
      <c r="E341" s="27" t="n"/>
      <c r="F341" s="18" t="n"/>
      <c r="G341" s="27" t="n"/>
      <c r="H341" s="27" t="n"/>
      <c r="I341" s="27" t="n"/>
      <c r="J341" s="28">
        <f>IF(NOT(OR($A341&lt;&gt;"",$E341&lt;&gt;"",$F341&lt;&gt;"",$G341&lt;&gt;"",$H341&lt;&gt;"",$I341&lt;&gt;"")),"",N($G341)+N($H341)+N($I341))</f>
        <v/>
      </c>
      <c r="K341" s="28">
        <f>IF(ISNUMBER($O341),INDEX('請求台帳'!$R$5:$R$1004,$O341),"")</f>
        <v/>
      </c>
      <c r="L341" s="20">
        <f>IF(NOT(OR($A341&lt;&gt;"",$E341&lt;&gt;"",$F341&lt;&gt;"",$G341&lt;&gt;"",$H341&lt;&gt;"",$I341&lt;&gt;"")),"",IF(NOT(ISNUMBER($A341)),"入金日がありません",IF(AND($F341&lt;&gt;"",$O341="なし"),"請求Noが請求台帳にありません",IF(AND(ISNUMBER($O341),$C341&lt;&gt;"",$C341&lt;&gt;$P341),"請求の得意先は "&amp;$P341&amp;" です",IF(ROUND(IF($B341&lt;&gt;"",SUMIF($B$5:$B$1004,$B341,$E$5:$E$1004)-SUMIF($B$5:$B$1004,$B341,$G$5:$G$1004),N($E341)-N($G341)),0)&lt;&gt;0,"通帳の額と当てた額の差 "&amp;TEXT(IF($B341&lt;&gt;"",SUMIF($B$5:$B$1004,$B341,$E$5:$E$1004)-SUMIF($B$5:$B$1004,$B341,$G$5:$G$1004),N($E341)-N($G341)),"#,##0"),IF(AND(ISNUMBER($O341),N($K341)&lt;0),"請求額より多く消し込んでいます",IF($F341="","消込先が未定","OK")))))))</f>
        <v/>
      </c>
      <c r="M341" s="19" t="n"/>
      <c r="N341" s="56" t="n"/>
      <c r="O341" s="32">
        <f>IF($F341="","",IFERROR(MATCH($F341,'請求台帳'!$A$5:$A$1004,0),"なし"))</f>
        <v/>
      </c>
      <c r="P341" s="37">
        <f>IF(NOT(OR($A341&lt;&gt;"",$E341&lt;&gt;"",$F341&lt;&gt;"",$G341&lt;&gt;"",$H341&lt;&gt;"",$I341&lt;&gt;"")),"",IF(ISNUMBER($O341),IF(INDEX('請求台帳'!$C$5:$C$1004,$O341)="","",INDEX('請求台帳'!$C$5:$C$1004,$O341)),IF($C341="","",$C341)))</f>
        <v/>
      </c>
      <c r="Q341" s="35">
        <f>IF(OR(NOT(OR($A341&lt;&gt;"",$E341&lt;&gt;"",$F341&lt;&gt;"",$G341&lt;&gt;"",$H341&lt;&gt;"",$I341&lt;&gt;"")),$P341="",$P341&lt;&gt;'売掛帳'!$B$3,NOT(ISNUMBER($A341)),N($G341)+N($H341)+N($I341)=0),"",IF(AND($A341&gt;='売掛帳'!$Q$3,$A341&lt;='売掛帳'!$Q$4),$A341+0.5+ROW()/10000000,""))</f>
        <v/>
      </c>
      <c r="R341" s="32">
        <f>IF(AND(OR($A341&lt;&gt;"",$E341&lt;&gt;"",$F341&lt;&gt;"",$G341&lt;&gt;"",$H341&lt;&gt;"",$I341&lt;&gt;""),NOT(ISNUMBER($O341))),1,"")</f>
        <v/>
      </c>
    </row>
    <row r="342" ht="18" customHeight="1">
      <c r="A342" s="26" t="n"/>
      <c r="B342" s="18" t="n"/>
      <c r="C342" s="18" t="n"/>
      <c r="D342" s="20">
        <f>IF($P342="","",IFERROR(INDEX('得意先'!$C$5:$C$104,MATCH($P342,'得意先'!$B$5:$B$104,0))&amp;"","※得意先にないコード"))</f>
        <v/>
      </c>
      <c r="E342" s="27" t="n"/>
      <c r="F342" s="18" t="n"/>
      <c r="G342" s="27" t="n"/>
      <c r="H342" s="27" t="n"/>
      <c r="I342" s="27" t="n"/>
      <c r="J342" s="28">
        <f>IF(NOT(OR($A342&lt;&gt;"",$E342&lt;&gt;"",$F342&lt;&gt;"",$G342&lt;&gt;"",$H342&lt;&gt;"",$I342&lt;&gt;"")),"",N($G342)+N($H342)+N($I342))</f>
        <v/>
      </c>
      <c r="K342" s="28">
        <f>IF(ISNUMBER($O342),INDEX('請求台帳'!$R$5:$R$1004,$O342),"")</f>
        <v/>
      </c>
      <c r="L342" s="20">
        <f>IF(NOT(OR($A342&lt;&gt;"",$E342&lt;&gt;"",$F342&lt;&gt;"",$G342&lt;&gt;"",$H342&lt;&gt;"",$I342&lt;&gt;"")),"",IF(NOT(ISNUMBER($A342)),"入金日がありません",IF(AND($F342&lt;&gt;"",$O342="なし"),"請求Noが請求台帳にありません",IF(AND(ISNUMBER($O342),$C342&lt;&gt;"",$C342&lt;&gt;$P342),"請求の得意先は "&amp;$P342&amp;" です",IF(ROUND(IF($B342&lt;&gt;"",SUMIF($B$5:$B$1004,$B342,$E$5:$E$1004)-SUMIF($B$5:$B$1004,$B342,$G$5:$G$1004),N($E342)-N($G342)),0)&lt;&gt;0,"通帳の額と当てた額の差 "&amp;TEXT(IF($B342&lt;&gt;"",SUMIF($B$5:$B$1004,$B342,$E$5:$E$1004)-SUMIF($B$5:$B$1004,$B342,$G$5:$G$1004),N($E342)-N($G342)),"#,##0"),IF(AND(ISNUMBER($O342),N($K342)&lt;0),"請求額より多く消し込んでいます",IF($F342="","消込先が未定","OK")))))))</f>
        <v/>
      </c>
      <c r="M342" s="19" t="n"/>
      <c r="N342" s="56" t="n"/>
      <c r="O342" s="32">
        <f>IF($F342="","",IFERROR(MATCH($F342,'請求台帳'!$A$5:$A$1004,0),"なし"))</f>
        <v/>
      </c>
      <c r="P342" s="37">
        <f>IF(NOT(OR($A342&lt;&gt;"",$E342&lt;&gt;"",$F342&lt;&gt;"",$G342&lt;&gt;"",$H342&lt;&gt;"",$I342&lt;&gt;"")),"",IF(ISNUMBER($O342),IF(INDEX('請求台帳'!$C$5:$C$1004,$O342)="","",INDEX('請求台帳'!$C$5:$C$1004,$O342)),IF($C342="","",$C342)))</f>
        <v/>
      </c>
      <c r="Q342" s="35">
        <f>IF(OR(NOT(OR($A342&lt;&gt;"",$E342&lt;&gt;"",$F342&lt;&gt;"",$G342&lt;&gt;"",$H342&lt;&gt;"",$I342&lt;&gt;"")),$P342="",$P342&lt;&gt;'売掛帳'!$B$3,NOT(ISNUMBER($A342)),N($G342)+N($H342)+N($I342)=0),"",IF(AND($A342&gt;='売掛帳'!$Q$3,$A342&lt;='売掛帳'!$Q$4),$A342+0.5+ROW()/10000000,""))</f>
        <v/>
      </c>
      <c r="R342" s="32">
        <f>IF(AND(OR($A342&lt;&gt;"",$E342&lt;&gt;"",$F342&lt;&gt;"",$G342&lt;&gt;"",$H342&lt;&gt;"",$I342&lt;&gt;""),NOT(ISNUMBER($O342))),1,"")</f>
        <v/>
      </c>
    </row>
    <row r="343" ht="18" customHeight="1">
      <c r="A343" s="26" t="n"/>
      <c r="B343" s="18" t="n"/>
      <c r="C343" s="18" t="n"/>
      <c r="D343" s="20">
        <f>IF($P343="","",IFERROR(INDEX('得意先'!$C$5:$C$104,MATCH($P343,'得意先'!$B$5:$B$104,0))&amp;"","※得意先にないコード"))</f>
        <v/>
      </c>
      <c r="E343" s="27" t="n"/>
      <c r="F343" s="18" t="n"/>
      <c r="G343" s="27" t="n"/>
      <c r="H343" s="27" t="n"/>
      <c r="I343" s="27" t="n"/>
      <c r="J343" s="28">
        <f>IF(NOT(OR($A343&lt;&gt;"",$E343&lt;&gt;"",$F343&lt;&gt;"",$G343&lt;&gt;"",$H343&lt;&gt;"",$I343&lt;&gt;"")),"",N($G343)+N($H343)+N($I343))</f>
        <v/>
      </c>
      <c r="K343" s="28">
        <f>IF(ISNUMBER($O343),INDEX('請求台帳'!$R$5:$R$1004,$O343),"")</f>
        <v/>
      </c>
      <c r="L343" s="20">
        <f>IF(NOT(OR($A343&lt;&gt;"",$E343&lt;&gt;"",$F343&lt;&gt;"",$G343&lt;&gt;"",$H343&lt;&gt;"",$I343&lt;&gt;"")),"",IF(NOT(ISNUMBER($A343)),"入金日がありません",IF(AND($F343&lt;&gt;"",$O343="なし"),"請求Noが請求台帳にありません",IF(AND(ISNUMBER($O343),$C343&lt;&gt;"",$C343&lt;&gt;$P343),"請求の得意先は "&amp;$P343&amp;" です",IF(ROUND(IF($B343&lt;&gt;"",SUMIF($B$5:$B$1004,$B343,$E$5:$E$1004)-SUMIF($B$5:$B$1004,$B343,$G$5:$G$1004),N($E343)-N($G343)),0)&lt;&gt;0,"通帳の額と当てた額の差 "&amp;TEXT(IF($B343&lt;&gt;"",SUMIF($B$5:$B$1004,$B343,$E$5:$E$1004)-SUMIF($B$5:$B$1004,$B343,$G$5:$G$1004),N($E343)-N($G343)),"#,##0"),IF(AND(ISNUMBER($O343),N($K343)&lt;0),"請求額より多く消し込んでいます",IF($F343="","消込先が未定","OK")))))))</f>
        <v/>
      </c>
      <c r="M343" s="19" t="n"/>
      <c r="N343" s="56" t="n"/>
      <c r="O343" s="32">
        <f>IF($F343="","",IFERROR(MATCH($F343,'請求台帳'!$A$5:$A$1004,0),"なし"))</f>
        <v/>
      </c>
      <c r="P343" s="37">
        <f>IF(NOT(OR($A343&lt;&gt;"",$E343&lt;&gt;"",$F343&lt;&gt;"",$G343&lt;&gt;"",$H343&lt;&gt;"",$I343&lt;&gt;"")),"",IF(ISNUMBER($O343),IF(INDEX('請求台帳'!$C$5:$C$1004,$O343)="","",INDEX('請求台帳'!$C$5:$C$1004,$O343)),IF($C343="","",$C343)))</f>
        <v/>
      </c>
      <c r="Q343" s="35">
        <f>IF(OR(NOT(OR($A343&lt;&gt;"",$E343&lt;&gt;"",$F343&lt;&gt;"",$G343&lt;&gt;"",$H343&lt;&gt;"",$I343&lt;&gt;"")),$P343="",$P343&lt;&gt;'売掛帳'!$B$3,NOT(ISNUMBER($A343)),N($G343)+N($H343)+N($I343)=0),"",IF(AND($A343&gt;='売掛帳'!$Q$3,$A343&lt;='売掛帳'!$Q$4),$A343+0.5+ROW()/10000000,""))</f>
        <v/>
      </c>
      <c r="R343" s="32">
        <f>IF(AND(OR($A343&lt;&gt;"",$E343&lt;&gt;"",$F343&lt;&gt;"",$G343&lt;&gt;"",$H343&lt;&gt;"",$I343&lt;&gt;""),NOT(ISNUMBER($O343))),1,"")</f>
        <v/>
      </c>
    </row>
    <row r="344" ht="18" customHeight="1">
      <c r="A344" s="26" t="n"/>
      <c r="B344" s="18" t="n"/>
      <c r="C344" s="18" t="n"/>
      <c r="D344" s="20">
        <f>IF($P344="","",IFERROR(INDEX('得意先'!$C$5:$C$104,MATCH($P344,'得意先'!$B$5:$B$104,0))&amp;"","※得意先にないコード"))</f>
        <v/>
      </c>
      <c r="E344" s="27" t="n"/>
      <c r="F344" s="18" t="n"/>
      <c r="G344" s="27" t="n"/>
      <c r="H344" s="27" t="n"/>
      <c r="I344" s="27" t="n"/>
      <c r="J344" s="28">
        <f>IF(NOT(OR($A344&lt;&gt;"",$E344&lt;&gt;"",$F344&lt;&gt;"",$G344&lt;&gt;"",$H344&lt;&gt;"",$I344&lt;&gt;"")),"",N($G344)+N($H344)+N($I344))</f>
        <v/>
      </c>
      <c r="K344" s="28">
        <f>IF(ISNUMBER($O344),INDEX('請求台帳'!$R$5:$R$1004,$O344),"")</f>
        <v/>
      </c>
      <c r="L344" s="20">
        <f>IF(NOT(OR($A344&lt;&gt;"",$E344&lt;&gt;"",$F344&lt;&gt;"",$G344&lt;&gt;"",$H344&lt;&gt;"",$I344&lt;&gt;"")),"",IF(NOT(ISNUMBER($A344)),"入金日がありません",IF(AND($F344&lt;&gt;"",$O344="なし"),"請求Noが請求台帳にありません",IF(AND(ISNUMBER($O344),$C344&lt;&gt;"",$C344&lt;&gt;$P344),"請求の得意先は "&amp;$P344&amp;" です",IF(ROUND(IF($B344&lt;&gt;"",SUMIF($B$5:$B$1004,$B344,$E$5:$E$1004)-SUMIF($B$5:$B$1004,$B344,$G$5:$G$1004),N($E344)-N($G344)),0)&lt;&gt;0,"通帳の額と当てた額の差 "&amp;TEXT(IF($B344&lt;&gt;"",SUMIF($B$5:$B$1004,$B344,$E$5:$E$1004)-SUMIF($B$5:$B$1004,$B344,$G$5:$G$1004),N($E344)-N($G344)),"#,##0"),IF(AND(ISNUMBER($O344),N($K344)&lt;0),"請求額より多く消し込んでいます",IF($F344="","消込先が未定","OK")))))))</f>
        <v/>
      </c>
      <c r="M344" s="19" t="n"/>
      <c r="N344" s="56" t="n"/>
      <c r="O344" s="32">
        <f>IF($F344="","",IFERROR(MATCH($F344,'請求台帳'!$A$5:$A$1004,0),"なし"))</f>
        <v/>
      </c>
      <c r="P344" s="37">
        <f>IF(NOT(OR($A344&lt;&gt;"",$E344&lt;&gt;"",$F344&lt;&gt;"",$G344&lt;&gt;"",$H344&lt;&gt;"",$I344&lt;&gt;"")),"",IF(ISNUMBER($O344),IF(INDEX('請求台帳'!$C$5:$C$1004,$O344)="","",INDEX('請求台帳'!$C$5:$C$1004,$O344)),IF($C344="","",$C344)))</f>
        <v/>
      </c>
      <c r="Q344" s="35">
        <f>IF(OR(NOT(OR($A344&lt;&gt;"",$E344&lt;&gt;"",$F344&lt;&gt;"",$G344&lt;&gt;"",$H344&lt;&gt;"",$I344&lt;&gt;"")),$P344="",$P344&lt;&gt;'売掛帳'!$B$3,NOT(ISNUMBER($A344)),N($G344)+N($H344)+N($I344)=0),"",IF(AND($A344&gt;='売掛帳'!$Q$3,$A344&lt;='売掛帳'!$Q$4),$A344+0.5+ROW()/10000000,""))</f>
        <v/>
      </c>
      <c r="R344" s="32">
        <f>IF(AND(OR($A344&lt;&gt;"",$E344&lt;&gt;"",$F344&lt;&gt;"",$G344&lt;&gt;"",$H344&lt;&gt;"",$I344&lt;&gt;""),NOT(ISNUMBER($O344))),1,"")</f>
        <v/>
      </c>
    </row>
    <row r="345" ht="18" customHeight="1">
      <c r="A345" s="26" t="n"/>
      <c r="B345" s="18" t="n"/>
      <c r="C345" s="18" t="n"/>
      <c r="D345" s="20">
        <f>IF($P345="","",IFERROR(INDEX('得意先'!$C$5:$C$104,MATCH($P345,'得意先'!$B$5:$B$104,0))&amp;"","※得意先にないコード"))</f>
        <v/>
      </c>
      <c r="E345" s="27" t="n"/>
      <c r="F345" s="18" t="n"/>
      <c r="G345" s="27" t="n"/>
      <c r="H345" s="27" t="n"/>
      <c r="I345" s="27" t="n"/>
      <c r="J345" s="28">
        <f>IF(NOT(OR($A345&lt;&gt;"",$E345&lt;&gt;"",$F345&lt;&gt;"",$G345&lt;&gt;"",$H345&lt;&gt;"",$I345&lt;&gt;"")),"",N($G345)+N($H345)+N($I345))</f>
        <v/>
      </c>
      <c r="K345" s="28">
        <f>IF(ISNUMBER($O345),INDEX('請求台帳'!$R$5:$R$1004,$O345),"")</f>
        <v/>
      </c>
      <c r="L345" s="20">
        <f>IF(NOT(OR($A345&lt;&gt;"",$E345&lt;&gt;"",$F345&lt;&gt;"",$G345&lt;&gt;"",$H345&lt;&gt;"",$I345&lt;&gt;"")),"",IF(NOT(ISNUMBER($A345)),"入金日がありません",IF(AND($F345&lt;&gt;"",$O345="なし"),"請求Noが請求台帳にありません",IF(AND(ISNUMBER($O345),$C345&lt;&gt;"",$C345&lt;&gt;$P345),"請求の得意先は "&amp;$P345&amp;" です",IF(ROUND(IF($B345&lt;&gt;"",SUMIF($B$5:$B$1004,$B345,$E$5:$E$1004)-SUMIF($B$5:$B$1004,$B345,$G$5:$G$1004),N($E345)-N($G345)),0)&lt;&gt;0,"通帳の額と当てた額の差 "&amp;TEXT(IF($B345&lt;&gt;"",SUMIF($B$5:$B$1004,$B345,$E$5:$E$1004)-SUMIF($B$5:$B$1004,$B345,$G$5:$G$1004),N($E345)-N($G345)),"#,##0"),IF(AND(ISNUMBER($O345),N($K345)&lt;0),"請求額より多く消し込んでいます",IF($F345="","消込先が未定","OK")))))))</f>
        <v/>
      </c>
      <c r="M345" s="19" t="n"/>
      <c r="N345" s="56" t="n"/>
      <c r="O345" s="32">
        <f>IF($F345="","",IFERROR(MATCH($F345,'請求台帳'!$A$5:$A$1004,0),"なし"))</f>
        <v/>
      </c>
      <c r="P345" s="37">
        <f>IF(NOT(OR($A345&lt;&gt;"",$E345&lt;&gt;"",$F345&lt;&gt;"",$G345&lt;&gt;"",$H345&lt;&gt;"",$I345&lt;&gt;"")),"",IF(ISNUMBER($O345),IF(INDEX('請求台帳'!$C$5:$C$1004,$O345)="","",INDEX('請求台帳'!$C$5:$C$1004,$O345)),IF($C345="","",$C345)))</f>
        <v/>
      </c>
      <c r="Q345" s="35">
        <f>IF(OR(NOT(OR($A345&lt;&gt;"",$E345&lt;&gt;"",$F345&lt;&gt;"",$G345&lt;&gt;"",$H345&lt;&gt;"",$I345&lt;&gt;"")),$P345="",$P345&lt;&gt;'売掛帳'!$B$3,NOT(ISNUMBER($A345)),N($G345)+N($H345)+N($I345)=0),"",IF(AND($A345&gt;='売掛帳'!$Q$3,$A345&lt;='売掛帳'!$Q$4),$A345+0.5+ROW()/10000000,""))</f>
        <v/>
      </c>
      <c r="R345" s="32">
        <f>IF(AND(OR($A345&lt;&gt;"",$E345&lt;&gt;"",$F345&lt;&gt;"",$G345&lt;&gt;"",$H345&lt;&gt;"",$I345&lt;&gt;""),NOT(ISNUMBER($O345))),1,"")</f>
        <v/>
      </c>
    </row>
    <row r="346" ht="18" customHeight="1">
      <c r="A346" s="26" t="n"/>
      <c r="B346" s="18" t="n"/>
      <c r="C346" s="18" t="n"/>
      <c r="D346" s="20">
        <f>IF($P346="","",IFERROR(INDEX('得意先'!$C$5:$C$104,MATCH($P346,'得意先'!$B$5:$B$104,0))&amp;"","※得意先にないコード"))</f>
        <v/>
      </c>
      <c r="E346" s="27" t="n"/>
      <c r="F346" s="18" t="n"/>
      <c r="G346" s="27" t="n"/>
      <c r="H346" s="27" t="n"/>
      <c r="I346" s="27" t="n"/>
      <c r="J346" s="28">
        <f>IF(NOT(OR($A346&lt;&gt;"",$E346&lt;&gt;"",$F346&lt;&gt;"",$G346&lt;&gt;"",$H346&lt;&gt;"",$I346&lt;&gt;"")),"",N($G346)+N($H346)+N($I346))</f>
        <v/>
      </c>
      <c r="K346" s="28">
        <f>IF(ISNUMBER($O346),INDEX('請求台帳'!$R$5:$R$1004,$O346),"")</f>
        <v/>
      </c>
      <c r="L346" s="20">
        <f>IF(NOT(OR($A346&lt;&gt;"",$E346&lt;&gt;"",$F346&lt;&gt;"",$G346&lt;&gt;"",$H346&lt;&gt;"",$I346&lt;&gt;"")),"",IF(NOT(ISNUMBER($A346)),"入金日がありません",IF(AND($F346&lt;&gt;"",$O346="なし"),"請求Noが請求台帳にありません",IF(AND(ISNUMBER($O346),$C346&lt;&gt;"",$C346&lt;&gt;$P346),"請求の得意先は "&amp;$P346&amp;" です",IF(ROUND(IF($B346&lt;&gt;"",SUMIF($B$5:$B$1004,$B346,$E$5:$E$1004)-SUMIF($B$5:$B$1004,$B346,$G$5:$G$1004),N($E346)-N($G346)),0)&lt;&gt;0,"通帳の額と当てた額の差 "&amp;TEXT(IF($B346&lt;&gt;"",SUMIF($B$5:$B$1004,$B346,$E$5:$E$1004)-SUMIF($B$5:$B$1004,$B346,$G$5:$G$1004),N($E346)-N($G346)),"#,##0"),IF(AND(ISNUMBER($O346),N($K346)&lt;0),"請求額より多く消し込んでいます",IF($F346="","消込先が未定","OK")))))))</f>
        <v/>
      </c>
      <c r="M346" s="19" t="n"/>
      <c r="N346" s="56" t="n"/>
      <c r="O346" s="32">
        <f>IF($F346="","",IFERROR(MATCH($F346,'請求台帳'!$A$5:$A$1004,0),"なし"))</f>
        <v/>
      </c>
      <c r="P346" s="37">
        <f>IF(NOT(OR($A346&lt;&gt;"",$E346&lt;&gt;"",$F346&lt;&gt;"",$G346&lt;&gt;"",$H346&lt;&gt;"",$I346&lt;&gt;"")),"",IF(ISNUMBER($O346),IF(INDEX('請求台帳'!$C$5:$C$1004,$O346)="","",INDEX('請求台帳'!$C$5:$C$1004,$O346)),IF($C346="","",$C346)))</f>
        <v/>
      </c>
      <c r="Q346" s="35">
        <f>IF(OR(NOT(OR($A346&lt;&gt;"",$E346&lt;&gt;"",$F346&lt;&gt;"",$G346&lt;&gt;"",$H346&lt;&gt;"",$I346&lt;&gt;"")),$P346="",$P346&lt;&gt;'売掛帳'!$B$3,NOT(ISNUMBER($A346)),N($G346)+N($H346)+N($I346)=0),"",IF(AND($A346&gt;='売掛帳'!$Q$3,$A346&lt;='売掛帳'!$Q$4),$A346+0.5+ROW()/10000000,""))</f>
        <v/>
      </c>
      <c r="R346" s="32">
        <f>IF(AND(OR($A346&lt;&gt;"",$E346&lt;&gt;"",$F346&lt;&gt;"",$G346&lt;&gt;"",$H346&lt;&gt;"",$I346&lt;&gt;""),NOT(ISNUMBER($O346))),1,"")</f>
        <v/>
      </c>
    </row>
    <row r="347" ht="18" customHeight="1">
      <c r="A347" s="26" t="n"/>
      <c r="B347" s="18" t="n"/>
      <c r="C347" s="18" t="n"/>
      <c r="D347" s="20">
        <f>IF($P347="","",IFERROR(INDEX('得意先'!$C$5:$C$104,MATCH($P347,'得意先'!$B$5:$B$104,0))&amp;"","※得意先にないコード"))</f>
        <v/>
      </c>
      <c r="E347" s="27" t="n"/>
      <c r="F347" s="18" t="n"/>
      <c r="G347" s="27" t="n"/>
      <c r="H347" s="27" t="n"/>
      <c r="I347" s="27" t="n"/>
      <c r="J347" s="28">
        <f>IF(NOT(OR($A347&lt;&gt;"",$E347&lt;&gt;"",$F347&lt;&gt;"",$G347&lt;&gt;"",$H347&lt;&gt;"",$I347&lt;&gt;"")),"",N($G347)+N($H347)+N($I347))</f>
        <v/>
      </c>
      <c r="K347" s="28">
        <f>IF(ISNUMBER($O347),INDEX('請求台帳'!$R$5:$R$1004,$O347),"")</f>
        <v/>
      </c>
      <c r="L347" s="20">
        <f>IF(NOT(OR($A347&lt;&gt;"",$E347&lt;&gt;"",$F347&lt;&gt;"",$G347&lt;&gt;"",$H347&lt;&gt;"",$I347&lt;&gt;"")),"",IF(NOT(ISNUMBER($A347)),"入金日がありません",IF(AND($F347&lt;&gt;"",$O347="なし"),"請求Noが請求台帳にありません",IF(AND(ISNUMBER($O347),$C347&lt;&gt;"",$C347&lt;&gt;$P347),"請求の得意先は "&amp;$P347&amp;" です",IF(ROUND(IF($B347&lt;&gt;"",SUMIF($B$5:$B$1004,$B347,$E$5:$E$1004)-SUMIF($B$5:$B$1004,$B347,$G$5:$G$1004),N($E347)-N($G347)),0)&lt;&gt;0,"通帳の額と当てた額の差 "&amp;TEXT(IF($B347&lt;&gt;"",SUMIF($B$5:$B$1004,$B347,$E$5:$E$1004)-SUMIF($B$5:$B$1004,$B347,$G$5:$G$1004),N($E347)-N($G347)),"#,##0"),IF(AND(ISNUMBER($O347),N($K347)&lt;0),"請求額より多く消し込んでいます",IF($F347="","消込先が未定","OK")))))))</f>
        <v/>
      </c>
      <c r="M347" s="19" t="n"/>
      <c r="N347" s="56" t="n"/>
      <c r="O347" s="32">
        <f>IF($F347="","",IFERROR(MATCH($F347,'請求台帳'!$A$5:$A$1004,0),"なし"))</f>
        <v/>
      </c>
      <c r="P347" s="37">
        <f>IF(NOT(OR($A347&lt;&gt;"",$E347&lt;&gt;"",$F347&lt;&gt;"",$G347&lt;&gt;"",$H347&lt;&gt;"",$I347&lt;&gt;"")),"",IF(ISNUMBER($O347),IF(INDEX('請求台帳'!$C$5:$C$1004,$O347)="","",INDEX('請求台帳'!$C$5:$C$1004,$O347)),IF($C347="","",$C347)))</f>
        <v/>
      </c>
      <c r="Q347" s="35">
        <f>IF(OR(NOT(OR($A347&lt;&gt;"",$E347&lt;&gt;"",$F347&lt;&gt;"",$G347&lt;&gt;"",$H347&lt;&gt;"",$I347&lt;&gt;"")),$P347="",$P347&lt;&gt;'売掛帳'!$B$3,NOT(ISNUMBER($A347)),N($G347)+N($H347)+N($I347)=0),"",IF(AND($A347&gt;='売掛帳'!$Q$3,$A347&lt;='売掛帳'!$Q$4),$A347+0.5+ROW()/10000000,""))</f>
        <v/>
      </c>
      <c r="R347" s="32">
        <f>IF(AND(OR($A347&lt;&gt;"",$E347&lt;&gt;"",$F347&lt;&gt;"",$G347&lt;&gt;"",$H347&lt;&gt;"",$I347&lt;&gt;""),NOT(ISNUMBER($O347))),1,"")</f>
        <v/>
      </c>
    </row>
    <row r="348" ht="18" customHeight="1">
      <c r="A348" s="26" t="n"/>
      <c r="B348" s="18" t="n"/>
      <c r="C348" s="18" t="n"/>
      <c r="D348" s="20">
        <f>IF($P348="","",IFERROR(INDEX('得意先'!$C$5:$C$104,MATCH($P348,'得意先'!$B$5:$B$104,0))&amp;"","※得意先にないコード"))</f>
        <v/>
      </c>
      <c r="E348" s="27" t="n"/>
      <c r="F348" s="18" t="n"/>
      <c r="G348" s="27" t="n"/>
      <c r="H348" s="27" t="n"/>
      <c r="I348" s="27" t="n"/>
      <c r="J348" s="28">
        <f>IF(NOT(OR($A348&lt;&gt;"",$E348&lt;&gt;"",$F348&lt;&gt;"",$G348&lt;&gt;"",$H348&lt;&gt;"",$I348&lt;&gt;"")),"",N($G348)+N($H348)+N($I348))</f>
        <v/>
      </c>
      <c r="K348" s="28">
        <f>IF(ISNUMBER($O348),INDEX('請求台帳'!$R$5:$R$1004,$O348),"")</f>
        <v/>
      </c>
      <c r="L348" s="20">
        <f>IF(NOT(OR($A348&lt;&gt;"",$E348&lt;&gt;"",$F348&lt;&gt;"",$G348&lt;&gt;"",$H348&lt;&gt;"",$I348&lt;&gt;"")),"",IF(NOT(ISNUMBER($A348)),"入金日がありません",IF(AND($F348&lt;&gt;"",$O348="なし"),"請求Noが請求台帳にありません",IF(AND(ISNUMBER($O348),$C348&lt;&gt;"",$C348&lt;&gt;$P348),"請求の得意先は "&amp;$P348&amp;" です",IF(ROUND(IF($B348&lt;&gt;"",SUMIF($B$5:$B$1004,$B348,$E$5:$E$1004)-SUMIF($B$5:$B$1004,$B348,$G$5:$G$1004),N($E348)-N($G348)),0)&lt;&gt;0,"通帳の額と当てた額の差 "&amp;TEXT(IF($B348&lt;&gt;"",SUMIF($B$5:$B$1004,$B348,$E$5:$E$1004)-SUMIF($B$5:$B$1004,$B348,$G$5:$G$1004),N($E348)-N($G348)),"#,##0"),IF(AND(ISNUMBER($O348),N($K348)&lt;0),"請求額より多く消し込んでいます",IF($F348="","消込先が未定","OK")))))))</f>
        <v/>
      </c>
      <c r="M348" s="19" t="n"/>
      <c r="N348" s="56" t="n"/>
      <c r="O348" s="32">
        <f>IF($F348="","",IFERROR(MATCH($F348,'請求台帳'!$A$5:$A$1004,0),"なし"))</f>
        <v/>
      </c>
      <c r="P348" s="37">
        <f>IF(NOT(OR($A348&lt;&gt;"",$E348&lt;&gt;"",$F348&lt;&gt;"",$G348&lt;&gt;"",$H348&lt;&gt;"",$I348&lt;&gt;"")),"",IF(ISNUMBER($O348),IF(INDEX('請求台帳'!$C$5:$C$1004,$O348)="","",INDEX('請求台帳'!$C$5:$C$1004,$O348)),IF($C348="","",$C348)))</f>
        <v/>
      </c>
      <c r="Q348" s="35">
        <f>IF(OR(NOT(OR($A348&lt;&gt;"",$E348&lt;&gt;"",$F348&lt;&gt;"",$G348&lt;&gt;"",$H348&lt;&gt;"",$I348&lt;&gt;"")),$P348="",$P348&lt;&gt;'売掛帳'!$B$3,NOT(ISNUMBER($A348)),N($G348)+N($H348)+N($I348)=0),"",IF(AND($A348&gt;='売掛帳'!$Q$3,$A348&lt;='売掛帳'!$Q$4),$A348+0.5+ROW()/10000000,""))</f>
        <v/>
      </c>
      <c r="R348" s="32">
        <f>IF(AND(OR($A348&lt;&gt;"",$E348&lt;&gt;"",$F348&lt;&gt;"",$G348&lt;&gt;"",$H348&lt;&gt;"",$I348&lt;&gt;""),NOT(ISNUMBER($O348))),1,"")</f>
        <v/>
      </c>
    </row>
    <row r="349" ht="18" customHeight="1">
      <c r="A349" s="26" t="n"/>
      <c r="B349" s="18" t="n"/>
      <c r="C349" s="18" t="n"/>
      <c r="D349" s="20">
        <f>IF($P349="","",IFERROR(INDEX('得意先'!$C$5:$C$104,MATCH($P349,'得意先'!$B$5:$B$104,0))&amp;"","※得意先にないコード"))</f>
        <v/>
      </c>
      <c r="E349" s="27" t="n"/>
      <c r="F349" s="18" t="n"/>
      <c r="G349" s="27" t="n"/>
      <c r="H349" s="27" t="n"/>
      <c r="I349" s="27" t="n"/>
      <c r="J349" s="28">
        <f>IF(NOT(OR($A349&lt;&gt;"",$E349&lt;&gt;"",$F349&lt;&gt;"",$G349&lt;&gt;"",$H349&lt;&gt;"",$I349&lt;&gt;"")),"",N($G349)+N($H349)+N($I349))</f>
        <v/>
      </c>
      <c r="K349" s="28">
        <f>IF(ISNUMBER($O349),INDEX('請求台帳'!$R$5:$R$1004,$O349),"")</f>
        <v/>
      </c>
      <c r="L349" s="20">
        <f>IF(NOT(OR($A349&lt;&gt;"",$E349&lt;&gt;"",$F349&lt;&gt;"",$G349&lt;&gt;"",$H349&lt;&gt;"",$I349&lt;&gt;"")),"",IF(NOT(ISNUMBER($A349)),"入金日がありません",IF(AND($F349&lt;&gt;"",$O349="なし"),"請求Noが請求台帳にありません",IF(AND(ISNUMBER($O349),$C349&lt;&gt;"",$C349&lt;&gt;$P349),"請求の得意先は "&amp;$P349&amp;" です",IF(ROUND(IF($B349&lt;&gt;"",SUMIF($B$5:$B$1004,$B349,$E$5:$E$1004)-SUMIF($B$5:$B$1004,$B349,$G$5:$G$1004),N($E349)-N($G349)),0)&lt;&gt;0,"通帳の額と当てた額の差 "&amp;TEXT(IF($B349&lt;&gt;"",SUMIF($B$5:$B$1004,$B349,$E$5:$E$1004)-SUMIF($B$5:$B$1004,$B349,$G$5:$G$1004),N($E349)-N($G349)),"#,##0"),IF(AND(ISNUMBER($O349),N($K349)&lt;0),"請求額より多く消し込んでいます",IF($F349="","消込先が未定","OK")))))))</f>
        <v/>
      </c>
      <c r="M349" s="19" t="n"/>
      <c r="N349" s="56" t="n"/>
      <c r="O349" s="32">
        <f>IF($F349="","",IFERROR(MATCH($F349,'請求台帳'!$A$5:$A$1004,0),"なし"))</f>
        <v/>
      </c>
      <c r="P349" s="37">
        <f>IF(NOT(OR($A349&lt;&gt;"",$E349&lt;&gt;"",$F349&lt;&gt;"",$G349&lt;&gt;"",$H349&lt;&gt;"",$I349&lt;&gt;"")),"",IF(ISNUMBER($O349),IF(INDEX('請求台帳'!$C$5:$C$1004,$O349)="","",INDEX('請求台帳'!$C$5:$C$1004,$O349)),IF($C349="","",$C349)))</f>
        <v/>
      </c>
      <c r="Q349" s="35">
        <f>IF(OR(NOT(OR($A349&lt;&gt;"",$E349&lt;&gt;"",$F349&lt;&gt;"",$G349&lt;&gt;"",$H349&lt;&gt;"",$I349&lt;&gt;"")),$P349="",$P349&lt;&gt;'売掛帳'!$B$3,NOT(ISNUMBER($A349)),N($G349)+N($H349)+N($I349)=0),"",IF(AND($A349&gt;='売掛帳'!$Q$3,$A349&lt;='売掛帳'!$Q$4),$A349+0.5+ROW()/10000000,""))</f>
        <v/>
      </c>
      <c r="R349" s="32">
        <f>IF(AND(OR($A349&lt;&gt;"",$E349&lt;&gt;"",$F349&lt;&gt;"",$G349&lt;&gt;"",$H349&lt;&gt;"",$I349&lt;&gt;""),NOT(ISNUMBER($O349))),1,"")</f>
        <v/>
      </c>
    </row>
    <row r="350" ht="18" customHeight="1">
      <c r="A350" s="26" t="n"/>
      <c r="B350" s="18" t="n"/>
      <c r="C350" s="18" t="n"/>
      <c r="D350" s="20">
        <f>IF($P350="","",IFERROR(INDEX('得意先'!$C$5:$C$104,MATCH($P350,'得意先'!$B$5:$B$104,0))&amp;"","※得意先にないコード"))</f>
        <v/>
      </c>
      <c r="E350" s="27" t="n"/>
      <c r="F350" s="18" t="n"/>
      <c r="G350" s="27" t="n"/>
      <c r="H350" s="27" t="n"/>
      <c r="I350" s="27" t="n"/>
      <c r="J350" s="28">
        <f>IF(NOT(OR($A350&lt;&gt;"",$E350&lt;&gt;"",$F350&lt;&gt;"",$G350&lt;&gt;"",$H350&lt;&gt;"",$I350&lt;&gt;"")),"",N($G350)+N($H350)+N($I350))</f>
        <v/>
      </c>
      <c r="K350" s="28">
        <f>IF(ISNUMBER($O350),INDEX('請求台帳'!$R$5:$R$1004,$O350),"")</f>
        <v/>
      </c>
      <c r="L350" s="20">
        <f>IF(NOT(OR($A350&lt;&gt;"",$E350&lt;&gt;"",$F350&lt;&gt;"",$G350&lt;&gt;"",$H350&lt;&gt;"",$I350&lt;&gt;"")),"",IF(NOT(ISNUMBER($A350)),"入金日がありません",IF(AND($F350&lt;&gt;"",$O350="なし"),"請求Noが請求台帳にありません",IF(AND(ISNUMBER($O350),$C350&lt;&gt;"",$C350&lt;&gt;$P350),"請求の得意先は "&amp;$P350&amp;" です",IF(ROUND(IF($B350&lt;&gt;"",SUMIF($B$5:$B$1004,$B350,$E$5:$E$1004)-SUMIF($B$5:$B$1004,$B350,$G$5:$G$1004),N($E350)-N($G350)),0)&lt;&gt;0,"通帳の額と当てた額の差 "&amp;TEXT(IF($B350&lt;&gt;"",SUMIF($B$5:$B$1004,$B350,$E$5:$E$1004)-SUMIF($B$5:$B$1004,$B350,$G$5:$G$1004),N($E350)-N($G350)),"#,##0"),IF(AND(ISNUMBER($O350),N($K350)&lt;0),"請求額より多く消し込んでいます",IF($F350="","消込先が未定","OK")))))))</f>
        <v/>
      </c>
      <c r="M350" s="19" t="n"/>
      <c r="N350" s="56" t="n"/>
      <c r="O350" s="32">
        <f>IF($F350="","",IFERROR(MATCH($F350,'請求台帳'!$A$5:$A$1004,0),"なし"))</f>
        <v/>
      </c>
      <c r="P350" s="37">
        <f>IF(NOT(OR($A350&lt;&gt;"",$E350&lt;&gt;"",$F350&lt;&gt;"",$G350&lt;&gt;"",$H350&lt;&gt;"",$I350&lt;&gt;"")),"",IF(ISNUMBER($O350),IF(INDEX('請求台帳'!$C$5:$C$1004,$O350)="","",INDEX('請求台帳'!$C$5:$C$1004,$O350)),IF($C350="","",$C350)))</f>
        <v/>
      </c>
      <c r="Q350" s="35">
        <f>IF(OR(NOT(OR($A350&lt;&gt;"",$E350&lt;&gt;"",$F350&lt;&gt;"",$G350&lt;&gt;"",$H350&lt;&gt;"",$I350&lt;&gt;"")),$P350="",$P350&lt;&gt;'売掛帳'!$B$3,NOT(ISNUMBER($A350)),N($G350)+N($H350)+N($I350)=0),"",IF(AND($A350&gt;='売掛帳'!$Q$3,$A350&lt;='売掛帳'!$Q$4),$A350+0.5+ROW()/10000000,""))</f>
        <v/>
      </c>
      <c r="R350" s="32">
        <f>IF(AND(OR($A350&lt;&gt;"",$E350&lt;&gt;"",$F350&lt;&gt;"",$G350&lt;&gt;"",$H350&lt;&gt;"",$I350&lt;&gt;""),NOT(ISNUMBER($O350))),1,"")</f>
        <v/>
      </c>
    </row>
    <row r="351" ht="18" customHeight="1">
      <c r="A351" s="26" t="n"/>
      <c r="B351" s="18" t="n"/>
      <c r="C351" s="18" t="n"/>
      <c r="D351" s="20">
        <f>IF($P351="","",IFERROR(INDEX('得意先'!$C$5:$C$104,MATCH($P351,'得意先'!$B$5:$B$104,0))&amp;"","※得意先にないコード"))</f>
        <v/>
      </c>
      <c r="E351" s="27" t="n"/>
      <c r="F351" s="18" t="n"/>
      <c r="G351" s="27" t="n"/>
      <c r="H351" s="27" t="n"/>
      <c r="I351" s="27" t="n"/>
      <c r="J351" s="28">
        <f>IF(NOT(OR($A351&lt;&gt;"",$E351&lt;&gt;"",$F351&lt;&gt;"",$G351&lt;&gt;"",$H351&lt;&gt;"",$I351&lt;&gt;"")),"",N($G351)+N($H351)+N($I351))</f>
        <v/>
      </c>
      <c r="K351" s="28">
        <f>IF(ISNUMBER($O351),INDEX('請求台帳'!$R$5:$R$1004,$O351),"")</f>
        <v/>
      </c>
      <c r="L351" s="20">
        <f>IF(NOT(OR($A351&lt;&gt;"",$E351&lt;&gt;"",$F351&lt;&gt;"",$G351&lt;&gt;"",$H351&lt;&gt;"",$I351&lt;&gt;"")),"",IF(NOT(ISNUMBER($A351)),"入金日がありません",IF(AND($F351&lt;&gt;"",$O351="なし"),"請求Noが請求台帳にありません",IF(AND(ISNUMBER($O351),$C351&lt;&gt;"",$C351&lt;&gt;$P351),"請求の得意先は "&amp;$P351&amp;" です",IF(ROUND(IF($B351&lt;&gt;"",SUMIF($B$5:$B$1004,$B351,$E$5:$E$1004)-SUMIF($B$5:$B$1004,$B351,$G$5:$G$1004),N($E351)-N($G351)),0)&lt;&gt;0,"通帳の額と当てた額の差 "&amp;TEXT(IF($B351&lt;&gt;"",SUMIF($B$5:$B$1004,$B351,$E$5:$E$1004)-SUMIF($B$5:$B$1004,$B351,$G$5:$G$1004),N($E351)-N($G351)),"#,##0"),IF(AND(ISNUMBER($O351),N($K351)&lt;0),"請求額より多く消し込んでいます",IF($F351="","消込先が未定","OK")))))))</f>
        <v/>
      </c>
      <c r="M351" s="19" t="n"/>
      <c r="N351" s="56" t="n"/>
      <c r="O351" s="32">
        <f>IF($F351="","",IFERROR(MATCH($F351,'請求台帳'!$A$5:$A$1004,0),"なし"))</f>
        <v/>
      </c>
      <c r="P351" s="37">
        <f>IF(NOT(OR($A351&lt;&gt;"",$E351&lt;&gt;"",$F351&lt;&gt;"",$G351&lt;&gt;"",$H351&lt;&gt;"",$I351&lt;&gt;"")),"",IF(ISNUMBER($O351),IF(INDEX('請求台帳'!$C$5:$C$1004,$O351)="","",INDEX('請求台帳'!$C$5:$C$1004,$O351)),IF($C351="","",$C351)))</f>
        <v/>
      </c>
      <c r="Q351" s="35">
        <f>IF(OR(NOT(OR($A351&lt;&gt;"",$E351&lt;&gt;"",$F351&lt;&gt;"",$G351&lt;&gt;"",$H351&lt;&gt;"",$I351&lt;&gt;"")),$P351="",$P351&lt;&gt;'売掛帳'!$B$3,NOT(ISNUMBER($A351)),N($G351)+N($H351)+N($I351)=0),"",IF(AND($A351&gt;='売掛帳'!$Q$3,$A351&lt;='売掛帳'!$Q$4),$A351+0.5+ROW()/10000000,""))</f>
        <v/>
      </c>
      <c r="R351" s="32">
        <f>IF(AND(OR($A351&lt;&gt;"",$E351&lt;&gt;"",$F351&lt;&gt;"",$G351&lt;&gt;"",$H351&lt;&gt;"",$I351&lt;&gt;""),NOT(ISNUMBER($O351))),1,"")</f>
        <v/>
      </c>
    </row>
    <row r="352" ht="18" customHeight="1">
      <c r="A352" s="26" t="n"/>
      <c r="B352" s="18" t="n"/>
      <c r="C352" s="18" t="n"/>
      <c r="D352" s="20">
        <f>IF($P352="","",IFERROR(INDEX('得意先'!$C$5:$C$104,MATCH($P352,'得意先'!$B$5:$B$104,0))&amp;"","※得意先にないコード"))</f>
        <v/>
      </c>
      <c r="E352" s="27" t="n"/>
      <c r="F352" s="18" t="n"/>
      <c r="G352" s="27" t="n"/>
      <c r="H352" s="27" t="n"/>
      <c r="I352" s="27" t="n"/>
      <c r="J352" s="28">
        <f>IF(NOT(OR($A352&lt;&gt;"",$E352&lt;&gt;"",$F352&lt;&gt;"",$G352&lt;&gt;"",$H352&lt;&gt;"",$I352&lt;&gt;"")),"",N($G352)+N($H352)+N($I352))</f>
        <v/>
      </c>
      <c r="K352" s="28">
        <f>IF(ISNUMBER($O352),INDEX('請求台帳'!$R$5:$R$1004,$O352),"")</f>
        <v/>
      </c>
      <c r="L352" s="20">
        <f>IF(NOT(OR($A352&lt;&gt;"",$E352&lt;&gt;"",$F352&lt;&gt;"",$G352&lt;&gt;"",$H352&lt;&gt;"",$I352&lt;&gt;"")),"",IF(NOT(ISNUMBER($A352)),"入金日がありません",IF(AND($F352&lt;&gt;"",$O352="なし"),"請求Noが請求台帳にありません",IF(AND(ISNUMBER($O352),$C352&lt;&gt;"",$C352&lt;&gt;$P352),"請求の得意先は "&amp;$P352&amp;" です",IF(ROUND(IF($B352&lt;&gt;"",SUMIF($B$5:$B$1004,$B352,$E$5:$E$1004)-SUMIF($B$5:$B$1004,$B352,$G$5:$G$1004),N($E352)-N($G352)),0)&lt;&gt;0,"通帳の額と当てた額の差 "&amp;TEXT(IF($B352&lt;&gt;"",SUMIF($B$5:$B$1004,$B352,$E$5:$E$1004)-SUMIF($B$5:$B$1004,$B352,$G$5:$G$1004),N($E352)-N($G352)),"#,##0"),IF(AND(ISNUMBER($O352),N($K352)&lt;0),"請求額より多く消し込んでいます",IF($F352="","消込先が未定","OK")))))))</f>
        <v/>
      </c>
      <c r="M352" s="19" t="n"/>
      <c r="N352" s="56" t="n"/>
      <c r="O352" s="32">
        <f>IF($F352="","",IFERROR(MATCH($F352,'請求台帳'!$A$5:$A$1004,0),"なし"))</f>
        <v/>
      </c>
      <c r="P352" s="37">
        <f>IF(NOT(OR($A352&lt;&gt;"",$E352&lt;&gt;"",$F352&lt;&gt;"",$G352&lt;&gt;"",$H352&lt;&gt;"",$I352&lt;&gt;"")),"",IF(ISNUMBER($O352),IF(INDEX('請求台帳'!$C$5:$C$1004,$O352)="","",INDEX('請求台帳'!$C$5:$C$1004,$O352)),IF($C352="","",$C352)))</f>
        <v/>
      </c>
      <c r="Q352" s="35">
        <f>IF(OR(NOT(OR($A352&lt;&gt;"",$E352&lt;&gt;"",$F352&lt;&gt;"",$G352&lt;&gt;"",$H352&lt;&gt;"",$I352&lt;&gt;"")),$P352="",$P352&lt;&gt;'売掛帳'!$B$3,NOT(ISNUMBER($A352)),N($G352)+N($H352)+N($I352)=0),"",IF(AND($A352&gt;='売掛帳'!$Q$3,$A352&lt;='売掛帳'!$Q$4),$A352+0.5+ROW()/10000000,""))</f>
        <v/>
      </c>
      <c r="R352" s="32">
        <f>IF(AND(OR($A352&lt;&gt;"",$E352&lt;&gt;"",$F352&lt;&gt;"",$G352&lt;&gt;"",$H352&lt;&gt;"",$I352&lt;&gt;""),NOT(ISNUMBER($O352))),1,"")</f>
        <v/>
      </c>
    </row>
    <row r="353" ht="18" customHeight="1">
      <c r="A353" s="26" t="n"/>
      <c r="B353" s="18" t="n"/>
      <c r="C353" s="18" t="n"/>
      <c r="D353" s="20">
        <f>IF($P353="","",IFERROR(INDEX('得意先'!$C$5:$C$104,MATCH($P353,'得意先'!$B$5:$B$104,0))&amp;"","※得意先にないコード"))</f>
        <v/>
      </c>
      <c r="E353" s="27" t="n"/>
      <c r="F353" s="18" t="n"/>
      <c r="G353" s="27" t="n"/>
      <c r="H353" s="27" t="n"/>
      <c r="I353" s="27" t="n"/>
      <c r="J353" s="28">
        <f>IF(NOT(OR($A353&lt;&gt;"",$E353&lt;&gt;"",$F353&lt;&gt;"",$G353&lt;&gt;"",$H353&lt;&gt;"",$I353&lt;&gt;"")),"",N($G353)+N($H353)+N($I353))</f>
        <v/>
      </c>
      <c r="K353" s="28">
        <f>IF(ISNUMBER($O353),INDEX('請求台帳'!$R$5:$R$1004,$O353),"")</f>
        <v/>
      </c>
      <c r="L353" s="20">
        <f>IF(NOT(OR($A353&lt;&gt;"",$E353&lt;&gt;"",$F353&lt;&gt;"",$G353&lt;&gt;"",$H353&lt;&gt;"",$I353&lt;&gt;"")),"",IF(NOT(ISNUMBER($A353)),"入金日がありません",IF(AND($F353&lt;&gt;"",$O353="なし"),"請求Noが請求台帳にありません",IF(AND(ISNUMBER($O353),$C353&lt;&gt;"",$C353&lt;&gt;$P353),"請求の得意先は "&amp;$P353&amp;" です",IF(ROUND(IF($B353&lt;&gt;"",SUMIF($B$5:$B$1004,$B353,$E$5:$E$1004)-SUMIF($B$5:$B$1004,$B353,$G$5:$G$1004),N($E353)-N($G353)),0)&lt;&gt;0,"通帳の額と当てた額の差 "&amp;TEXT(IF($B353&lt;&gt;"",SUMIF($B$5:$B$1004,$B353,$E$5:$E$1004)-SUMIF($B$5:$B$1004,$B353,$G$5:$G$1004),N($E353)-N($G353)),"#,##0"),IF(AND(ISNUMBER($O353),N($K353)&lt;0),"請求額より多く消し込んでいます",IF($F353="","消込先が未定","OK")))))))</f>
        <v/>
      </c>
      <c r="M353" s="19" t="n"/>
      <c r="N353" s="56" t="n"/>
      <c r="O353" s="32">
        <f>IF($F353="","",IFERROR(MATCH($F353,'請求台帳'!$A$5:$A$1004,0),"なし"))</f>
        <v/>
      </c>
      <c r="P353" s="37">
        <f>IF(NOT(OR($A353&lt;&gt;"",$E353&lt;&gt;"",$F353&lt;&gt;"",$G353&lt;&gt;"",$H353&lt;&gt;"",$I353&lt;&gt;"")),"",IF(ISNUMBER($O353),IF(INDEX('請求台帳'!$C$5:$C$1004,$O353)="","",INDEX('請求台帳'!$C$5:$C$1004,$O353)),IF($C353="","",$C353)))</f>
        <v/>
      </c>
      <c r="Q353" s="35">
        <f>IF(OR(NOT(OR($A353&lt;&gt;"",$E353&lt;&gt;"",$F353&lt;&gt;"",$G353&lt;&gt;"",$H353&lt;&gt;"",$I353&lt;&gt;"")),$P353="",$P353&lt;&gt;'売掛帳'!$B$3,NOT(ISNUMBER($A353)),N($G353)+N($H353)+N($I353)=0),"",IF(AND($A353&gt;='売掛帳'!$Q$3,$A353&lt;='売掛帳'!$Q$4),$A353+0.5+ROW()/10000000,""))</f>
        <v/>
      </c>
      <c r="R353" s="32">
        <f>IF(AND(OR($A353&lt;&gt;"",$E353&lt;&gt;"",$F353&lt;&gt;"",$G353&lt;&gt;"",$H353&lt;&gt;"",$I353&lt;&gt;""),NOT(ISNUMBER($O353))),1,"")</f>
        <v/>
      </c>
    </row>
    <row r="354" ht="18" customHeight="1">
      <c r="A354" s="26" t="n"/>
      <c r="B354" s="18" t="n"/>
      <c r="C354" s="18" t="n"/>
      <c r="D354" s="20">
        <f>IF($P354="","",IFERROR(INDEX('得意先'!$C$5:$C$104,MATCH($P354,'得意先'!$B$5:$B$104,0))&amp;"","※得意先にないコード"))</f>
        <v/>
      </c>
      <c r="E354" s="27" t="n"/>
      <c r="F354" s="18" t="n"/>
      <c r="G354" s="27" t="n"/>
      <c r="H354" s="27" t="n"/>
      <c r="I354" s="27" t="n"/>
      <c r="J354" s="28">
        <f>IF(NOT(OR($A354&lt;&gt;"",$E354&lt;&gt;"",$F354&lt;&gt;"",$G354&lt;&gt;"",$H354&lt;&gt;"",$I354&lt;&gt;"")),"",N($G354)+N($H354)+N($I354))</f>
        <v/>
      </c>
      <c r="K354" s="28">
        <f>IF(ISNUMBER($O354),INDEX('請求台帳'!$R$5:$R$1004,$O354),"")</f>
        <v/>
      </c>
      <c r="L354" s="20">
        <f>IF(NOT(OR($A354&lt;&gt;"",$E354&lt;&gt;"",$F354&lt;&gt;"",$G354&lt;&gt;"",$H354&lt;&gt;"",$I354&lt;&gt;"")),"",IF(NOT(ISNUMBER($A354)),"入金日がありません",IF(AND($F354&lt;&gt;"",$O354="なし"),"請求Noが請求台帳にありません",IF(AND(ISNUMBER($O354),$C354&lt;&gt;"",$C354&lt;&gt;$P354),"請求の得意先は "&amp;$P354&amp;" です",IF(ROUND(IF($B354&lt;&gt;"",SUMIF($B$5:$B$1004,$B354,$E$5:$E$1004)-SUMIF($B$5:$B$1004,$B354,$G$5:$G$1004),N($E354)-N($G354)),0)&lt;&gt;0,"通帳の額と当てた額の差 "&amp;TEXT(IF($B354&lt;&gt;"",SUMIF($B$5:$B$1004,$B354,$E$5:$E$1004)-SUMIF($B$5:$B$1004,$B354,$G$5:$G$1004),N($E354)-N($G354)),"#,##0"),IF(AND(ISNUMBER($O354),N($K354)&lt;0),"請求額より多く消し込んでいます",IF($F354="","消込先が未定","OK")))))))</f>
        <v/>
      </c>
      <c r="M354" s="19" t="n"/>
      <c r="N354" s="56" t="n"/>
      <c r="O354" s="32">
        <f>IF($F354="","",IFERROR(MATCH($F354,'請求台帳'!$A$5:$A$1004,0),"なし"))</f>
        <v/>
      </c>
      <c r="P354" s="37">
        <f>IF(NOT(OR($A354&lt;&gt;"",$E354&lt;&gt;"",$F354&lt;&gt;"",$G354&lt;&gt;"",$H354&lt;&gt;"",$I354&lt;&gt;"")),"",IF(ISNUMBER($O354),IF(INDEX('請求台帳'!$C$5:$C$1004,$O354)="","",INDEX('請求台帳'!$C$5:$C$1004,$O354)),IF($C354="","",$C354)))</f>
        <v/>
      </c>
      <c r="Q354" s="35">
        <f>IF(OR(NOT(OR($A354&lt;&gt;"",$E354&lt;&gt;"",$F354&lt;&gt;"",$G354&lt;&gt;"",$H354&lt;&gt;"",$I354&lt;&gt;"")),$P354="",$P354&lt;&gt;'売掛帳'!$B$3,NOT(ISNUMBER($A354)),N($G354)+N($H354)+N($I354)=0),"",IF(AND($A354&gt;='売掛帳'!$Q$3,$A354&lt;='売掛帳'!$Q$4),$A354+0.5+ROW()/10000000,""))</f>
        <v/>
      </c>
      <c r="R354" s="32">
        <f>IF(AND(OR($A354&lt;&gt;"",$E354&lt;&gt;"",$F354&lt;&gt;"",$G354&lt;&gt;"",$H354&lt;&gt;"",$I354&lt;&gt;""),NOT(ISNUMBER($O354))),1,"")</f>
        <v/>
      </c>
    </row>
    <row r="355" ht="18" customHeight="1">
      <c r="A355" s="26" t="n"/>
      <c r="B355" s="18" t="n"/>
      <c r="C355" s="18" t="n"/>
      <c r="D355" s="20">
        <f>IF($P355="","",IFERROR(INDEX('得意先'!$C$5:$C$104,MATCH($P355,'得意先'!$B$5:$B$104,0))&amp;"","※得意先にないコード"))</f>
        <v/>
      </c>
      <c r="E355" s="27" t="n"/>
      <c r="F355" s="18" t="n"/>
      <c r="G355" s="27" t="n"/>
      <c r="H355" s="27" t="n"/>
      <c r="I355" s="27" t="n"/>
      <c r="J355" s="28">
        <f>IF(NOT(OR($A355&lt;&gt;"",$E355&lt;&gt;"",$F355&lt;&gt;"",$G355&lt;&gt;"",$H355&lt;&gt;"",$I355&lt;&gt;"")),"",N($G355)+N($H355)+N($I355))</f>
        <v/>
      </c>
      <c r="K355" s="28">
        <f>IF(ISNUMBER($O355),INDEX('請求台帳'!$R$5:$R$1004,$O355),"")</f>
        <v/>
      </c>
      <c r="L355" s="20">
        <f>IF(NOT(OR($A355&lt;&gt;"",$E355&lt;&gt;"",$F355&lt;&gt;"",$G355&lt;&gt;"",$H355&lt;&gt;"",$I355&lt;&gt;"")),"",IF(NOT(ISNUMBER($A355)),"入金日がありません",IF(AND($F355&lt;&gt;"",$O355="なし"),"請求Noが請求台帳にありません",IF(AND(ISNUMBER($O355),$C355&lt;&gt;"",$C355&lt;&gt;$P355),"請求の得意先は "&amp;$P355&amp;" です",IF(ROUND(IF($B355&lt;&gt;"",SUMIF($B$5:$B$1004,$B355,$E$5:$E$1004)-SUMIF($B$5:$B$1004,$B355,$G$5:$G$1004),N($E355)-N($G355)),0)&lt;&gt;0,"通帳の額と当てた額の差 "&amp;TEXT(IF($B355&lt;&gt;"",SUMIF($B$5:$B$1004,$B355,$E$5:$E$1004)-SUMIF($B$5:$B$1004,$B355,$G$5:$G$1004),N($E355)-N($G355)),"#,##0"),IF(AND(ISNUMBER($O355),N($K355)&lt;0),"請求額より多く消し込んでいます",IF($F355="","消込先が未定","OK")))))))</f>
        <v/>
      </c>
      <c r="M355" s="19" t="n"/>
      <c r="N355" s="56" t="n"/>
      <c r="O355" s="32">
        <f>IF($F355="","",IFERROR(MATCH($F355,'請求台帳'!$A$5:$A$1004,0),"なし"))</f>
        <v/>
      </c>
      <c r="P355" s="37">
        <f>IF(NOT(OR($A355&lt;&gt;"",$E355&lt;&gt;"",$F355&lt;&gt;"",$G355&lt;&gt;"",$H355&lt;&gt;"",$I355&lt;&gt;"")),"",IF(ISNUMBER($O355),IF(INDEX('請求台帳'!$C$5:$C$1004,$O355)="","",INDEX('請求台帳'!$C$5:$C$1004,$O355)),IF($C355="","",$C355)))</f>
        <v/>
      </c>
      <c r="Q355" s="35">
        <f>IF(OR(NOT(OR($A355&lt;&gt;"",$E355&lt;&gt;"",$F355&lt;&gt;"",$G355&lt;&gt;"",$H355&lt;&gt;"",$I355&lt;&gt;"")),$P355="",$P355&lt;&gt;'売掛帳'!$B$3,NOT(ISNUMBER($A355)),N($G355)+N($H355)+N($I355)=0),"",IF(AND($A355&gt;='売掛帳'!$Q$3,$A355&lt;='売掛帳'!$Q$4),$A355+0.5+ROW()/10000000,""))</f>
        <v/>
      </c>
      <c r="R355" s="32">
        <f>IF(AND(OR($A355&lt;&gt;"",$E355&lt;&gt;"",$F355&lt;&gt;"",$G355&lt;&gt;"",$H355&lt;&gt;"",$I355&lt;&gt;""),NOT(ISNUMBER($O355))),1,"")</f>
        <v/>
      </c>
    </row>
    <row r="356" ht="18" customHeight="1">
      <c r="A356" s="26" t="n"/>
      <c r="B356" s="18" t="n"/>
      <c r="C356" s="18" t="n"/>
      <c r="D356" s="20">
        <f>IF($P356="","",IFERROR(INDEX('得意先'!$C$5:$C$104,MATCH($P356,'得意先'!$B$5:$B$104,0))&amp;"","※得意先にないコード"))</f>
        <v/>
      </c>
      <c r="E356" s="27" t="n"/>
      <c r="F356" s="18" t="n"/>
      <c r="G356" s="27" t="n"/>
      <c r="H356" s="27" t="n"/>
      <c r="I356" s="27" t="n"/>
      <c r="J356" s="28">
        <f>IF(NOT(OR($A356&lt;&gt;"",$E356&lt;&gt;"",$F356&lt;&gt;"",$G356&lt;&gt;"",$H356&lt;&gt;"",$I356&lt;&gt;"")),"",N($G356)+N($H356)+N($I356))</f>
        <v/>
      </c>
      <c r="K356" s="28">
        <f>IF(ISNUMBER($O356),INDEX('請求台帳'!$R$5:$R$1004,$O356),"")</f>
        <v/>
      </c>
      <c r="L356" s="20">
        <f>IF(NOT(OR($A356&lt;&gt;"",$E356&lt;&gt;"",$F356&lt;&gt;"",$G356&lt;&gt;"",$H356&lt;&gt;"",$I356&lt;&gt;"")),"",IF(NOT(ISNUMBER($A356)),"入金日がありません",IF(AND($F356&lt;&gt;"",$O356="なし"),"請求Noが請求台帳にありません",IF(AND(ISNUMBER($O356),$C356&lt;&gt;"",$C356&lt;&gt;$P356),"請求の得意先は "&amp;$P356&amp;" です",IF(ROUND(IF($B356&lt;&gt;"",SUMIF($B$5:$B$1004,$B356,$E$5:$E$1004)-SUMIF($B$5:$B$1004,$B356,$G$5:$G$1004),N($E356)-N($G356)),0)&lt;&gt;0,"通帳の額と当てた額の差 "&amp;TEXT(IF($B356&lt;&gt;"",SUMIF($B$5:$B$1004,$B356,$E$5:$E$1004)-SUMIF($B$5:$B$1004,$B356,$G$5:$G$1004),N($E356)-N($G356)),"#,##0"),IF(AND(ISNUMBER($O356),N($K356)&lt;0),"請求額より多く消し込んでいます",IF($F356="","消込先が未定","OK")))))))</f>
        <v/>
      </c>
      <c r="M356" s="19" t="n"/>
      <c r="N356" s="56" t="n"/>
      <c r="O356" s="32">
        <f>IF($F356="","",IFERROR(MATCH($F356,'請求台帳'!$A$5:$A$1004,0),"なし"))</f>
        <v/>
      </c>
      <c r="P356" s="37">
        <f>IF(NOT(OR($A356&lt;&gt;"",$E356&lt;&gt;"",$F356&lt;&gt;"",$G356&lt;&gt;"",$H356&lt;&gt;"",$I356&lt;&gt;"")),"",IF(ISNUMBER($O356),IF(INDEX('請求台帳'!$C$5:$C$1004,$O356)="","",INDEX('請求台帳'!$C$5:$C$1004,$O356)),IF($C356="","",$C356)))</f>
        <v/>
      </c>
      <c r="Q356" s="35">
        <f>IF(OR(NOT(OR($A356&lt;&gt;"",$E356&lt;&gt;"",$F356&lt;&gt;"",$G356&lt;&gt;"",$H356&lt;&gt;"",$I356&lt;&gt;"")),$P356="",$P356&lt;&gt;'売掛帳'!$B$3,NOT(ISNUMBER($A356)),N($G356)+N($H356)+N($I356)=0),"",IF(AND($A356&gt;='売掛帳'!$Q$3,$A356&lt;='売掛帳'!$Q$4),$A356+0.5+ROW()/10000000,""))</f>
        <v/>
      </c>
      <c r="R356" s="32">
        <f>IF(AND(OR($A356&lt;&gt;"",$E356&lt;&gt;"",$F356&lt;&gt;"",$G356&lt;&gt;"",$H356&lt;&gt;"",$I356&lt;&gt;""),NOT(ISNUMBER($O356))),1,"")</f>
        <v/>
      </c>
    </row>
    <row r="357" ht="18" customHeight="1">
      <c r="A357" s="26" t="n"/>
      <c r="B357" s="18" t="n"/>
      <c r="C357" s="18" t="n"/>
      <c r="D357" s="20">
        <f>IF($P357="","",IFERROR(INDEX('得意先'!$C$5:$C$104,MATCH($P357,'得意先'!$B$5:$B$104,0))&amp;"","※得意先にないコード"))</f>
        <v/>
      </c>
      <c r="E357" s="27" t="n"/>
      <c r="F357" s="18" t="n"/>
      <c r="G357" s="27" t="n"/>
      <c r="H357" s="27" t="n"/>
      <c r="I357" s="27" t="n"/>
      <c r="J357" s="28">
        <f>IF(NOT(OR($A357&lt;&gt;"",$E357&lt;&gt;"",$F357&lt;&gt;"",$G357&lt;&gt;"",$H357&lt;&gt;"",$I357&lt;&gt;"")),"",N($G357)+N($H357)+N($I357))</f>
        <v/>
      </c>
      <c r="K357" s="28">
        <f>IF(ISNUMBER($O357),INDEX('請求台帳'!$R$5:$R$1004,$O357),"")</f>
        <v/>
      </c>
      <c r="L357" s="20">
        <f>IF(NOT(OR($A357&lt;&gt;"",$E357&lt;&gt;"",$F357&lt;&gt;"",$G357&lt;&gt;"",$H357&lt;&gt;"",$I357&lt;&gt;"")),"",IF(NOT(ISNUMBER($A357)),"入金日がありません",IF(AND($F357&lt;&gt;"",$O357="なし"),"請求Noが請求台帳にありません",IF(AND(ISNUMBER($O357),$C357&lt;&gt;"",$C357&lt;&gt;$P357),"請求の得意先は "&amp;$P357&amp;" です",IF(ROUND(IF($B357&lt;&gt;"",SUMIF($B$5:$B$1004,$B357,$E$5:$E$1004)-SUMIF($B$5:$B$1004,$B357,$G$5:$G$1004),N($E357)-N($G357)),0)&lt;&gt;0,"通帳の額と当てた額の差 "&amp;TEXT(IF($B357&lt;&gt;"",SUMIF($B$5:$B$1004,$B357,$E$5:$E$1004)-SUMIF($B$5:$B$1004,$B357,$G$5:$G$1004),N($E357)-N($G357)),"#,##0"),IF(AND(ISNUMBER($O357),N($K357)&lt;0),"請求額より多く消し込んでいます",IF($F357="","消込先が未定","OK")))))))</f>
        <v/>
      </c>
      <c r="M357" s="19" t="n"/>
      <c r="N357" s="56" t="n"/>
      <c r="O357" s="32">
        <f>IF($F357="","",IFERROR(MATCH($F357,'請求台帳'!$A$5:$A$1004,0),"なし"))</f>
        <v/>
      </c>
      <c r="P357" s="37">
        <f>IF(NOT(OR($A357&lt;&gt;"",$E357&lt;&gt;"",$F357&lt;&gt;"",$G357&lt;&gt;"",$H357&lt;&gt;"",$I357&lt;&gt;"")),"",IF(ISNUMBER($O357),IF(INDEX('請求台帳'!$C$5:$C$1004,$O357)="","",INDEX('請求台帳'!$C$5:$C$1004,$O357)),IF($C357="","",$C357)))</f>
        <v/>
      </c>
      <c r="Q357" s="35">
        <f>IF(OR(NOT(OR($A357&lt;&gt;"",$E357&lt;&gt;"",$F357&lt;&gt;"",$G357&lt;&gt;"",$H357&lt;&gt;"",$I357&lt;&gt;"")),$P357="",$P357&lt;&gt;'売掛帳'!$B$3,NOT(ISNUMBER($A357)),N($G357)+N($H357)+N($I357)=0),"",IF(AND($A357&gt;='売掛帳'!$Q$3,$A357&lt;='売掛帳'!$Q$4),$A357+0.5+ROW()/10000000,""))</f>
        <v/>
      </c>
      <c r="R357" s="32">
        <f>IF(AND(OR($A357&lt;&gt;"",$E357&lt;&gt;"",$F357&lt;&gt;"",$G357&lt;&gt;"",$H357&lt;&gt;"",$I357&lt;&gt;""),NOT(ISNUMBER($O357))),1,"")</f>
        <v/>
      </c>
    </row>
    <row r="358" ht="18" customHeight="1">
      <c r="A358" s="26" t="n"/>
      <c r="B358" s="18" t="n"/>
      <c r="C358" s="18" t="n"/>
      <c r="D358" s="20">
        <f>IF($P358="","",IFERROR(INDEX('得意先'!$C$5:$C$104,MATCH($P358,'得意先'!$B$5:$B$104,0))&amp;"","※得意先にないコード"))</f>
        <v/>
      </c>
      <c r="E358" s="27" t="n"/>
      <c r="F358" s="18" t="n"/>
      <c r="G358" s="27" t="n"/>
      <c r="H358" s="27" t="n"/>
      <c r="I358" s="27" t="n"/>
      <c r="J358" s="28">
        <f>IF(NOT(OR($A358&lt;&gt;"",$E358&lt;&gt;"",$F358&lt;&gt;"",$G358&lt;&gt;"",$H358&lt;&gt;"",$I358&lt;&gt;"")),"",N($G358)+N($H358)+N($I358))</f>
        <v/>
      </c>
      <c r="K358" s="28">
        <f>IF(ISNUMBER($O358),INDEX('請求台帳'!$R$5:$R$1004,$O358),"")</f>
        <v/>
      </c>
      <c r="L358" s="20">
        <f>IF(NOT(OR($A358&lt;&gt;"",$E358&lt;&gt;"",$F358&lt;&gt;"",$G358&lt;&gt;"",$H358&lt;&gt;"",$I358&lt;&gt;"")),"",IF(NOT(ISNUMBER($A358)),"入金日がありません",IF(AND($F358&lt;&gt;"",$O358="なし"),"請求Noが請求台帳にありません",IF(AND(ISNUMBER($O358),$C358&lt;&gt;"",$C358&lt;&gt;$P358),"請求の得意先は "&amp;$P358&amp;" です",IF(ROUND(IF($B358&lt;&gt;"",SUMIF($B$5:$B$1004,$B358,$E$5:$E$1004)-SUMIF($B$5:$B$1004,$B358,$G$5:$G$1004),N($E358)-N($G358)),0)&lt;&gt;0,"通帳の額と当てた額の差 "&amp;TEXT(IF($B358&lt;&gt;"",SUMIF($B$5:$B$1004,$B358,$E$5:$E$1004)-SUMIF($B$5:$B$1004,$B358,$G$5:$G$1004),N($E358)-N($G358)),"#,##0"),IF(AND(ISNUMBER($O358),N($K358)&lt;0),"請求額より多く消し込んでいます",IF($F358="","消込先が未定","OK")))))))</f>
        <v/>
      </c>
      <c r="M358" s="19" t="n"/>
      <c r="N358" s="56" t="n"/>
      <c r="O358" s="32">
        <f>IF($F358="","",IFERROR(MATCH($F358,'請求台帳'!$A$5:$A$1004,0),"なし"))</f>
        <v/>
      </c>
      <c r="P358" s="37">
        <f>IF(NOT(OR($A358&lt;&gt;"",$E358&lt;&gt;"",$F358&lt;&gt;"",$G358&lt;&gt;"",$H358&lt;&gt;"",$I358&lt;&gt;"")),"",IF(ISNUMBER($O358),IF(INDEX('請求台帳'!$C$5:$C$1004,$O358)="","",INDEX('請求台帳'!$C$5:$C$1004,$O358)),IF($C358="","",$C358)))</f>
        <v/>
      </c>
      <c r="Q358" s="35">
        <f>IF(OR(NOT(OR($A358&lt;&gt;"",$E358&lt;&gt;"",$F358&lt;&gt;"",$G358&lt;&gt;"",$H358&lt;&gt;"",$I358&lt;&gt;"")),$P358="",$P358&lt;&gt;'売掛帳'!$B$3,NOT(ISNUMBER($A358)),N($G358)+N($H358)+N($I358)=0),"",IF(AND($A358&gt;='売掛帳'!$Q$3,$A358&lt;='売掛帳'!$Q$4),$A358+0.5+ROW()/10000000,""))</f>
        <v/>
      </c>
      <c r="R358" s="32">
        <f>IF(AND(OR($A358&lt;&gt;"",$E358&lt;&gt;"",$F358&lt;&gt;"",$G358&lt;&gt;"",$H358&lt;&gt;"",$I358&lt;&gt;""),NOT(ISNUMBER($O358))),1,"")</f>
        <v/>
      </c>
    </row>
    <row r="359" ht="18" customHeight="1">
      <c r="A359" s="26" t="n"/>
      <c r="B359" s="18" t="n"/>
      <c r="C359" s="18" t="n"/>
      <c r="D359" s="20">
        <f>IF($P359="","",IFERROR(INDEX('得意先'!$C$5:$C$104,MATCH($P359,'得意先'!$B$5:$B$104,0))&amp;"","※得意先にないコード"))</f>
        <v/>
      </c>
      <c r="E359" s="27" t="n"/>
      <c r="F359" s="18" t="n"/>
      <c r="G359" s="27" t="n"/>
      <c r="H359" s="27" t="n"/>
      <c r="I359" s="27" t="n"/>
      <c r="J359" s="28">
        <f>IF(NOT(OR($A359&lt;&gt;"",$E359&lt;&gt;"",$F359&lt;&gt;"",$G359&lt;&gt;"",$H359&lt;&gt;"",$I359&lt;&gt;"")),"",N($G359)+N($H359)+N($I359))</f>
        <v/>
      </c>
      <c r="K359" s="28">
        <f>IF(ISNUMBER($O359),INDEX('請求台帳'!$R$5:$R$1004,$O359),"")</f>
        <v/>
      </c>
      <c r="L359" s="20">
        <f>IF(NOT(OR($A359&lt;&gt;"",$E359&lt;&gt;"",$F359&lt;&gt;"",$G359&lt;&gt;"",$H359&lt;&gt;"",$I359&lt;&gt;"")),"",IF(NOT(ISNUMBER($A359)),"入金日がありません",IF(AND($F359&lt;&gt;"",$O359="なし"),"請求Noが請求台帳にありません",IF(AND(ISNUMBER($O359),$C359&lt;&gt;"",$C359&lt;&gt;$P359),"請求の得意先は "&amp;$P359&amp;" です",IF(ROUND(IF($B359&lt;&gt;"",SUMIF($B$5:$B$1004,$B359,$E$5:$E$1004)-SUMIF($B$5:$B$1004,$B359,$G$5:$G$1004),N($E359)-N($G359)),0)&lt;&gt;0,"通帳の額と当てた額の差 "&amp;TEXT(IF($B359&lt;&gt;"",SUMIF($B$5:$B$1004,$B359,$E$5:$E$1004)-SUMIF($B$5:$B$1004,$B359,$G$5:$G$1004),N($E359)-N($G359)),"#,##0"),IF(AND(ISNUMBER($O359),N($K359)&lt;0),"請求額より多く消し込んでいます",IF($F359="","消込先が未定","OK")))))))</f>
        <v/>
      </c>
      <c r="M359" s="19" t="n"/>
      <c r="N359" s="56" t="n"/>
      <c r="O359" s="32">
        <f>IF($F359="","",IFERROR(MATCH($F359,'請求台帳'!$A$5:$A$1004,0),"なし"))</f>
        <v/>
      </c>
      <c r="P359" s="37">
        <f>IF(NOT(OR($A359&lt;&gt;"",$E359&lt;&gt;"",$F359&lt;&gt;"",$G359&lt;&gt;"",$H359&lt;&gt;"",$I359&lt;&gt;"")),"",IF(ISNUMBER($O359),IF(INDEX('請求台帳'!$C$5:$C$1004,$O359)="","",INDEX('請求台帳'!$C$5:$C$1004,$O359)),IF($C359="","",$C359)))</f>
        <v/>
      </c>
      <c r="Q359" s="35">
        <f>IF(OR(NOT(OR($A359&lt;&gt;"",$E359&lt;&gt;"",$F359&lt;&gt;"",$G359&lt;&gt;"",$H359&lt;&gt;"",$I359&lt;&gt;"")),$P359="",$P359&lt;&gt;'売掛帳'!$B$3,NOT(ISNUMBER($A359)),N($G359)+N($H359)+N($I359)=0),"",IF(AND($A359&gt;='売掛帳'!$Q$3,$A359&lt;='売掛帳'!$Q$4),$A359+0.5+ROW()/10000000,""))</f>
        <v/>
      </c>
      <c r="R359" s="32">
        <f>IF(AND(OR($A359&lt;&gt;"",$E359&lt;&gt;"",$F359&lt;&gt;"",$G359&lt;&gt;"",$H359&lt;&gt;"",$I359&lt;&gt;""),NOT(ISNUMBER($O359))),1,"")</f>
        <v/>
      </c>
    </row>
    <row r="360" ht="18" customHeight="1">
      <c r="A360" s="26" t="n"/>
      <c r="B360" s="18" t="n"/>
      <c r="C360" s="18" t="n"/>
      <c r="D360" s="20">
        <f>IF($P360="","",IFERROR(INDEX('得意先'!$C$5:$C$104,MATCH($P360,'得意先'!$B$5:$B$104,0))&amp;"","※得意先にないコード"))</f>
        <v/>
      </c>
      <c r="E360" s="27" t="n"/>
      <c r="F360" s="18" t="n"/>
      <c r="G360" s="27" t="n"/>
      <c r="H360" s="27" t="n"/>
      <c r="I360" s="27" t="n"/>
      <c r="J360" s="28">
        <f>IF(NOT(OR($A360&lt;&gt;"",$E360&lt;&gt;"",$F360&lt;&gt;"",$G360&lt;&gt;"",$H360&lt;&gt;"",$I360&lt;&gt;"")),"",N($G360)+N($H360)+N($I360))</f>
        <v/>
      </c>
      <c r="K360" s="28">
        <f>IF(ISNUMBER($O360),INDEX('請求台帳'!$R$5:$R$1004,$O360),"")</f>
        <v/>
      </c>
      <c r="L360" s="20">
        <f>IF(NOT(OR($A360&lt;&gt;"",$E360&lt;&gt;"",$F360&lt;&gt;"",$G360&lt;&gt;"",$H360&lt;&gt;"",$I360&lt;&gt;"")),"",IF(NOT(ISNUMBER($A360)),"入金日がありません",IF(AND($F360&lt;&gt;"",$O360="なし"),"請求Noが請求台帳にありません",IF(AND(ISNUMBER($O360),$C360&lt;&gt;"",$C360&lt;&gt;$P360),"請求の得意先は "&amp;$P360&amp;" です",IF(ROUND(IF($B360&lt;&gt;"",SUMIF($B$5:$B$1004,$B360,$E$5:$E$1004)-SUMIF($B$5:$B$1004,$B360,$G$5:$G$1004),N($E360)-N($G360)),0)&lt;&gt;0,"通帳の額と当てた額の差 "&amp;TEXT(IF($B360&lt;&gt;"",SUMIF($B$5:$B$1004,$B360,$E$5:$E$1004)-SUMIF($B$5:$B$1004,$B360,$G$5:$G$1004),N($E360)-N($G360)),"#,##0"),IF(AND(ISNUMBER($O360),N($K360)&lt;0),"請求額より多く消し込んでいます",IF($F360="","消込先が未定","OK")))))))</f>
        <v/>
      </c>
      <c r="M360" s="19" t="n"/>
      <c r="N360" s="56" t="n"/>
      <c r="O360" s="32">
        <f>IF($F360="","",IFERROR(MATCH($F360,'請求台帳'!$A$5:$A$1004,0),"なし"))</f>
        <v/>
      </c>
      <c r="P360" s="37">
        <f>IF(NOT(OR($A360&lt;&gt;"",$E360&lt;&gt;"",$F360&lt;&gt;"",$G360&lt;&gt;"",$H360&lt;&gt;"",$I360&lt;&gt;"")),"",IF(ISNUMBER($O360),IF(INDEX('請求台帳'!$C$5:$C$1004,$O360)="","",INDEX('請求台帳'!$C$5:$C$1004,$O360)),IF($C360="","",$C360)))</f>
        <v/>
      </c>
      <c r="Q360" s="35">
        <f>IF(OR(NOT(OR($A360&lt;&gt;"",$E360&lt;&gt;"",$F360&lt;&gt;"",$G360&lt;&gt;"",$H360&lt;&gt;"",$I360&lt;&gt;"")),$P360="",$P360&lt;&gt;'売掛帳'!$B$3,NOT(ISNUMBER($A360)),N($G360)+N($H360)+N($I360)=0),"",IF(AND($A360&gt;='売掛帳'!$Q$3,$A360&lt;='売掛帳'!$Q$4),$A360+0.5+ROW()/10000000,""))</f>
        <v/>
      </c>
      <c r="R360" s="32">
        <f>IF(AND(OR($A360&lt;&gt;"",$E360&lt;&gt;"",$F360&lt;&gt;"",$G360&lt;&gt;"",$H360&lt;&gt;"",$I360&lt;&gt;""),NOT(ISNUMBER($O360))),1,"")</f>
        <v/>
      </c>
    </row>
    <row r="361" ht="18" customHeight="1">
      <c r="A361" s="26" t="n"/>
      <c r="B361" s="18" t="n"/>
      <c r="C361" s="18" t="n"/>
      <c r="D361" s="20">
        <f>IF($P361="","",IFERROR(INDEX('得意先'!$C$5:$C$104,MATCH($P361,'得意先'!$B$5:$B$104,0))&amp;"","※得意先にないコード"))</f>
        <v/>
      </c>
      <c r="E361" s="27" t="n"/>
      <c r="F361" s="18" t="n"/>
      <c r="G361" s="27" t="n"/>
      <c r="H361" s="27" t="n"/>
      <c r="I361" s="27" t="n"/>
      <c r="J361" s="28">
        <f>IF(NOT(OR($A361&lt;&gt;"",$E361&lt;&gt;"",$F361&lt;&gt;"",$G361&lt;&gt;"",$H361&lt;&gt;"",$I361&lt;&gt;"")),"",N($G361)+N($H361)+N($I361))</f>
        <v/>
      </c>
      <c r="K361" s="28">
        <f>IF(ISNUMBER($O361),INDEX('請求台帳'!$R$5:$R$1004,$O361),"")</f>
        <v/>
      </c>
      <c r="L361" s="20">
        <f>IF(NOT(OR($A361&lt;&gt;"",$E361&lt;&gt;"",$F361&lt;&gt;"",$G361&lt;&gt;"",$H361&lt;&gt;"",$I361&lt;&gt;"")),"",IF(NOT(ISNUMBER($A361)),"入金日がありません",IF(AND($F361&lt;&gt;"",$O361="なし"),"請求Noが請求台帳にありません",IF(AND(ISNUMBER($O361),$C361&lt;&gt;"",$C361&lt;&gt;$P361),"請求の得意先は "&amp;$P361&amp;" です",IF(ROUND(IF($B361&lt;&gt;"",SUMIF($B$5:$B$1004,$B361,$E$5:$E$1004)-SUMIF($B$5:$B$1004,$B361,$G$5:$G$1004),N($E361)-N($G361)),0)&lt;&gt;0,"通帳の額と当てた額の差 "&amp;TEXT(IF($B361&lt;&gt;"",SUMIF($B$5:$B$1004,$B361,$E$5:$E$1004)-SUMIF($B$5:$B$1004,$B361,$G$5:$G$1004),N($E361)-N($G361)),"#,##0"),IF(AND(ISNUMBER($O361),N($K361)&lt;0),"請求額より多く消し込んでいます",IF($F361="","消込先が未定","OK")))))))</f>
        <v/>
      </c>
      <c r="M361" s="19" t="n"/>
      <c r="N361" s="56" t="n"/>
      <c r="O361" s="32">
        <f>IF($F361="","",IFERROR(MATCH($F361,'請求台帳'!$A$5:$A$1004,0),"なし"))</f>
        <v/>
      </c>
      <c r="P361" s="37">
        <f>IF(NOT(OR($A361&lt;&gt;"",$E361&lt;&gt;"",$F361&lt;&gt;"",$G361&lt;&gt;"",$H361&lt;&gt;"",$I361&lt;&gt;"")),"",IF(ISNUMBER($O361),IF(INDEX('請求台帳'!$C$5:$C$1004,$O361)="","",INDEX('請求台帳'!$C$5:$C$1004,$O361)),IF($C361="","",$C361)))</f>
        <v/>
      </c>
      <c r="Q361" s="35">
        <f>IF(OR(NOT(OR($A361&lt;&gt;"",$E361&lt;&gt;"",$F361&lt;&gt;"",$G361&lt;&gt;"",$H361&lt;&gt;"",$I361&lt;&gt;"")),$P361="",$P361&lt;&gt;'売掛帳'!$B$3,NOT(ISNUMBER($A361)),N($G361)+N($H361)+N($I361)=0),"",IF(AND($A361&gt;='売掛帳'!$Q$3,$A361&lt;='売掛帳'!$Q$4),$A361+0.5+ROW()/10000000,""))</f>
        <v/>
      </c>
      <c r="R361" s="32">
        <f>IF(AND(OR($A361&lt;&gt;"",$E361&lt;&gt;"",$F361&lt;&gt;"",$G361&lt;&gt;"",$H361&lt;&gt;"",$I361&lt;&gt;""),NOT(ISNUMBER($O361))),1,"")</f>
        <v/>
      </c>
    </row>
    <row r="362" ht="18" customHeight="1">
      <c r="A362" s="26" t="n"/>
      <c r="B362" s="18" t="n"/>
      <c r="C362" s="18" t="n"/>
      <c r="D362" s="20">
        <f>IF($P362="","",IFERROR(INDEX('得意先'!$C$5:$C$104,MATCH($P362,'得意先'!$B$5:$B$104,0))&amp;"","※得意先にないコード"))</f>
        <v/>
      </c>
      <c r="E362" s="27" t="n"/>
      <c r="F362" s="18" t="n"/>
      <c r="G362" s="27" t="n"/>
      <c r="H362" s="27" t="n"/>
      <c r="I362" s="27" t="n"/>
      <c r="J362" s="28">
        <f>IF(NOT(OR($A362&lt;&gt;"",$E362&lt;&gt;"",$F362&lt;&gt;"",$G362&lt;&gt;"",$H362&lt;&gt;"",$I362&lt;&gt;"")),"",N($G362)+N($H362)+N($I362))</f>
        <v/>
      </c>
      <c r="K362" s="28">
        <f>IF(ISNUMBER($O362),INDEX('請求台帳'!$R$5:$R$1004,$O362),"")</f>
        <v/>
      </c>
      <c r="L362" s="20">
        <f>IF(NOT(OR($A362&lt;&gt;"",$E362&lt;&gt;"",$F362&lt;&gt;"",$G362&lt;&gt;"",$H362&lt;&gt;"",$I362&lt;&gt;"")),"",IF(NOT(ISNUMBER($A362)),"入金日がありません",IF(AND($F362&lt;&gt;"",$O362="なし"),"請求Noが請求台帳にありません",IF(AND(ISNUMBER($O362),$C362&lt;&gt;"",$C362&lt;&gt;$P362),"請求の得意先は "&amp;$P362&amp;" です",IF(ROUND(IF($B362&lt;&gt;"",SUMIF($B$5:$B$1004,$B362,$E$5:$E$1004)-SUMIF($B$5:$B$1004,$B362,$G$5:$G$1004),N($E362)-N($G362)),0)&lt;&gt;0,"通帳の額と当てた額の差 "&amp;TEXT(IF($B362&lt;&gt;"",SUMIF($B$5:$B$1004,$B362,$E$5:$E$1004)-SUMIF($B$5:$B$1004,$B362,$G$5:$G$1004),N($E362)-N($G362)),"#,##0"),IF(AND(ISNUMBER($O362),N($K362)&lt;0),"請求額より多く消し込んでいます",IF($F362="","消込先が未定","OK")))))))</f>
        <v/>
      </c>
      <c r="M362" s="19" t="n"/>
      <c r="N362" s="56" t="n"/>
      <c r="O362" s="32">
        <f>IF($F362="","",IFERROR(MATCH($F362,'請求台帳'!$A$5:$A$1004,0),"なし"))</f>
        <v/>
      </c>
      <c r="P362" s="37">
        <f>IF(NOT(OR($A362&lt;&gt;"",$E362&lt;&gt;"",$F362&lt;&gt;"",$G362&lt;&gt;"",$H362&lt;&gt;"",$I362&lt;&gt;"")),"",IF(ISNUMBER($O362),IF(INDEX('請求台帳'!$C$5:$C$1004,$O362)="","",INDEX('請求台帳'!$C$5:$C$1004,$O362)),IF($C362="","",$C362)))</f>
        <v/>
      </c>
      <c r="Q362" s="35">
        <f>IF(OR(NOT(OR($A362&lt;&gt;"",$E362&lt;&gt;"",$F362&lt;&gt;"",$G362&lt;&gt;"",$H362&lt;&gt;"",$I362&lt;&gt;"")),$P362="",$P362&lt;&gt;'売掛帳'!$B$3,NOT(ISNUMBER($A362)),N($G362)+N($H362)+N($I362)=0),"",IF(AND($A362&gt;='売掛帳'!$Q$3,$A362&lt;='売掛帳'!$Q$4),$A362+0.5+ROW()/10000000,""))</f>
        <v/>
      </c>
      <c r="R362" s="32">
        <f>IF(AND(OR($A362&lt;&gt;"",$E362&lt;&gt;"",$F362&lt;&gt;"",$G362&lt;&gt;"",$H362&lt;&gt;"",$I362&lt;&gt;""),NOT(ISNUMBER($O362))),1,"")</f>
        <v/>
      </c>
    </row>
    <row r="363" ht="18" customHeight="1">
      <c r="A363" s="26" t="n"/>
      <c r="B363" s="18" t="n"/>
      <c r="C363" s="18" t="n"/>
      <c r="D363" s="20">
        <f>IF($P363="","",IFERROR(INDEX('得意先'!$C$5:$C$104,MATCH($P363,'得意先'!$B$5:$B$104,0))&amp;"","※得意先にないコード"))</f>
        <v/>
      </c>
      <c r="E363" s="27" t="n"/>
      <c r="F363" s="18" t="n"/>
      <c r="G363" s="27" t="n"/>
      <c r="H363" s="27" t="n"/>
      <c r="I363" s="27" t="n"/>
      <c r="J363" s="28">
        <f>IF(NOT(OR($A363&lt;&gt;"",$E363&lt;&gt;"",$F363&lt;&gt;"",$G363&lt;&gt;"",$H363&lt;&gt;"",$I363&lt;&gt;"")),"",N($G363)+N($H363)+N($I363))</f>
        <v/>
      </c>
      <c r="K363" s="28">
        <f>IF(ISNUMBER($O363),INDEX('請求台帳'!$R$5:$R$1004,$O363),"")</f>
        <v/>
      </c>
      <c r="L363" s="20">
        <f>IF(NOT(OR($A363&lt;&gt;"",$E363&lt;&gt;"",$F363&lt;&gt;"",$G363&lt;&gt;"",$H363&lt;&gt;"",$I363&lt;&gt;"")),"",IF(NOT(ISNUMBER($A363)),"入金日がありません",IF(AND($F363&lt;&gt;"",$O363="なし"),"請求Noが請求台帳にありません",IF(AND(ISNUMBER($O363),$C363&lt;&gt;"",$C363&lt;&gt;$P363),"請求の得意先は "&amp;$P363&amp;" です",IF(ROUND(IF($B363&lt;&gt;"",SUMIF($B$5:$B$1004,$B363,$E$5:$E$1004)-SUMIF($B$5:$B$1004,$B363,$G$5:$G$1004),N($E363)-N($G363)),0)&lt;&gt;0,"通帳の額と当てた額の差 "&amp;TEXT(IF($B363&lt;&gt;"",SUMIF($B$5:$B$1004,$B363,$E$5:$E$1004)-SUMIF($B$5:$B$1004,$B363,$G$5:$G$1004),N($E363)-N($G363)),"#,##0"),IF(AND(ISNUMBER($O363),N($K363)&lt;0),"請求額より多く消し込んでいます",IF($F363="","消込先が未定","OK")))))))</f>
        <v/>
      </c>
      <c r="M363" s="19" t="n"/>
      <c r="N363" s="56" t="n"/>
      <c r="O363" s="32">
        <f>IF($F363="","",IFERROR(MATCH($F363,'請求台帳'!$A$5:$A$1004,0),"なし"))</f>
        <v/>
      </c>
      <c r="P363" s="37">
        <f>IF(NOT(OR($A363&lt;&gt;"",$E363&lt;&gt;"",$F363&lt;&gt;"",$G363&lt;&gt;"",$H363&lt;&gt;"",$I363&lt;&gt;"")),"",IF(ISNUMBER($O363),IF(INDEX('請求台帳'!$C$5:$C$1004,$O363)="","",INDEX('請求台帳'!$C$5:$C$1004,$O363)),IF($C363="","",$C363)))</f>
        <v/>
      </c>
      <c r="Q363" s="35">
        <f>IF(OR(NOT(OR($A363&lt;&gt;"",$E363&lt;&gt;"",$F363&lt;&gt;"",$G363&lt;&gt;"",$H363&lt;&gt;"",$I363&lt;&gt;"")),$P363="",$P363&lt;&gt;'売掛帳'!$B$3,NOT(ISNUMBER($A363)),N($G363)+N($H363)+N($I363)=0),"",IF(AND($A363&gt;='売掛帳'!$Q$3,$A363&lt;='売掛帳'!$Q$4),$A363+0.5+ROW()/10000000,""))</f>
        <v/>
      </c>
      <c r="R363" s="32">
        <f>IF(AND(OR($A363&lt;&gt;"",$E363&lt;&gt;"",$F363&lt;&gt;"",$G363&lt;&gt;"",$H363&lt;&gt;"",$I363&lt;&gt;""),NOT(ISNUMBER($O363))),1,"")</f>
        <v/>
      </c>
    </row>
    <row r="364" ht="18" customHeight="1">
      <c r="A364" s="26" t="n"/>
      <c r="B364" s="18" t="n"/>
      <c r="C364" s="18" t="n"/>
      <c r="D364" s="20">
        <f>IF($P364="","",IFERROR(INDEX('得意先'!$C$5:$C$104,MATCH($P364,'得意先'!$B$5:$B$104,0))&amp;"","※得意先にないコード"))</f>
        <v/>
      </c>
      <c r="E364" s="27" t="n"/>
      <c r="F364" s="18" t="n"/>
      <c r="G364" s="27" t="n"/>
      <c r="H364" s="27" t="n"/>
      <c r="I364" s="27" t="n"/>
      <c r="J364" s="28">
        <f>IF(NOT(OR($A364&lt;&gt;"",$E364&lt;&gt;"",$F364&lt;&gt;"",$G364&lt;&gt;"",$H364&lt;&gt;"",$I364&lt;&gt;"")),"",N($G364)+N($H364)+N($I364))</f>
        <v/>
      </c>
      <c r="K364" s="28">
        <f>IF(ISNUMBER($O364),INDEX('請求台帳'!$R$5:$R$1004,$O364),"")</f>
        <v/>
      </c>
      <c r="L364" s="20">
        <f>IF(NOT(OR($A364&lt;&gt;"",$E364&lt;&gt;"",$F364&lt;&gt;"",$G364&lt;&gt;"",$H364&lt;&gt;"",$I364&lt;&gt;"")),"",IF(NOT(ISNUMBER($A364)),"入金日がありません",IF(AND($F364&lt;&gt;"",$O364="なし"),"請求Noが請求台帳にありません",IF(AND(ISNUMBER($O364),$C364&lt;&gt;"",$C364&lt;&gt;$P364),"請求の得意先は "&amp;$P364&amp;" です",IF(ROUND(IF($B364&lt;&gt;"",SUMIF($B$5:$B$1004,$B364,$E$5:$E$1004)-SUMIF($B$5:$B$1004,$B364,$G$5:$G$1004),N($E364)-N($G364)),0)&lt;&gt;0,"通帳の額と当てた額の差 "&amp;TEXT(IF($B364&lt;&gt;"",SUMIF($B$5:$B$1004,$B364,$E$5:$E$1004)-SUMIF($B$5:$B$1004,$B364,$G$5:$G$1004),N($E364)-N($G364)),"#,##0"),IF(AND(ISNUMBER($O364),N($K364)&lt;0),"請求額より多く消し込んでいます",IF($F364="","消込先が未定","OK")))))))</f>
        <v/>
      </c>
      <c r="M364" s="19" t="n"/>
      <c r="N364" s="56" t="n"/>
      <c r="O364" s="32">
        <f>IF($F364="","",IFERROR(MATCH($F364,'請求台帳'!$A$5:$A$1004,0),"なし"))</f>
        <v/>
      </c>
      <c r="P364" s="37">
        <f>IF(NOT(OR($A364&lt;&gt;"",$E364&lt;&gt;"",$F364&lt;&gt;"",$G364&lt;&gt;"",$H364&lt;&gt;"",$I364&lt;&gt;"")),"",IF(ISNUMBER($O364),IF(INDEX('請求台帳'!$C$5:$C$1004,$O364)="","",INDEX('請求台帳'!$C$5:$C$1004,$O364)),IF($C364="","",$C364)))</f>
        <v/>
      </c>
      <c r="Q364" s="35">
        <f>IF(OR(NOT(OR($A364&lt;&gt;"",$E364&lt;&gt;"",$F364&lt;&gt;"",$G364&lt;&gt;"",$H364&lt;&gt;"",$I364&lt;&gt;"")),$P364="",$P364&lt;&gt;'売掛帳'!$B$3,NOT(ISNUMBER($A364)),N($G364)+N($H364)+N($I364)=0),"",IF(AND($A364&gt;='売掛帳'!$Q$3,$A364&lt;='売掛帳'!$Q$4),$A364+0.5+ROW()/10000000,""))</f>
        <v/>
      </c>
      <c r="R364" s="32">
        <f>IF(AND(OR($A364&lt;&gt;"",$E364&lt;&gt;"",$F364&lt;&gt;"",$G364&lt;&gt;"",$H364&lt;&gt;"",$I364&lt;&gt;""),NOT(ISNUMBER($O364))),1,"")</f>
        <v/>
      </c>
    </row>
    <row r="365" ht="18" customHeight="1">
      <c r="A365" s="26" t="n"/>
      <c r="B365" s="18" t="n"/>
      <c r="C365" s="18" t="n"/>
      <c r="D365" s="20">
        <f>IF($P365="","",IFERROR(INDEX('得意先'!$C$5:$C$104,MATCH($P365,'得意先'!$B$5:$B$104,0))&amp;"","※得意先にないコード"))</f>
        <v/>
      </c>
      <c r="E365" s="27" t="n"/>
      <c r="F365" s="18" t="n"/>
      <c r="G365" s="27" t="n"/>
      <c r="H365" s="27" t="n"/>
      <c r="I365" s="27" t="n"/>
      <c r="J365" s="28">
        <f>IF(NOT(OR($A365&lt;&gt;"",$E365&lt;&gt;"",$F365&lt;&gt;"",$G365&lt;&gt;"",$H365&lt;&gt;"",$I365&lt;&gt;"")),"",N($G365)+N($H365)+N($I365))</f>
        <v/>
      </c>
      <c r="K365" s="28">
        <f>IF(ISNUMBER($O365),INDEX('請求台帳'!$R$5:$R$1004,$O365),"")</f>
        <v/>
      </c>
      <c r="L365" s="20">
        <f>IF(NOT(OR($A365&lt;&gt;"",$E365&lt;&gt;"",$F365&lt;&gt;"",$G365&lt;&gt;"",$H365&lt;&gt;"",$I365&lt;&gt;"")),"",IF(NOT(ISNUMBER($A365)),"入金日がありません",IF(AND($F365&lt;&gt;"",$O365="なし"),"請求Noが請求台帳にありません",IF(AND(ISNUMBER($O365),$C365&lt;&gt;"",$C365&lt;&gt;$P365),"請求の得意先は "&amp;$P365&amp;" です",IF(ROUND(IF($B365&lt;&gt;"",SUMIF($B$5:$B$1004,$B365,$E$5:$E$1004)-SUMIF($B$5:$B$1004,$B365,$G$5:$G$1004),N($E365)-N($G365)),0)&lt;&gt;0,"通帳の額と当てた額の差 "&amp;TEXT(IF($B365&lt;&gt;"",SUMIF($B$5:$B$1004,$B365,$E$5:$E$1004)-SUMIF($B$5:$B$1004,$B365,$G$5:$G$1004),N($E365)-N($G365)),"#,##0"),IF(AND(ISNUMBER($O365),N($K365)&lt;0),"請求額より多く消し込んでいます",IF($F365="","消込先が未定","OK")))))))</f>
        <v/>
      </c>
      <c r="M365" s="19" t="n"/>
      <c r="N365" s="56" t="n"/>
      <c r="O365" s="32">
        <f>IF($F365="","",IFERROR(MATCH($F365,'請求台帳'!$A$5:$A$1004,0),"なし"))</f>
        <v/>
      </c>
      <c r="P365" s="37">
        <f>IF(NOT(OR($A365&lt;&gt;"",$E365&lt;&gt;"",$F365&lt;&gt;"",$G365&lt;&gt;"",$H365&lt;&gt;"",$I365&lt;&gt;"")),"",IF(ISNUMBER($O365),IF(INDEX('請求台帳'!$C$5:$C$1004,$O365)="","",INDEX('請求台帳'!$C$5:$C$1004,$O365)),IF($C365="","",$C365)))</f>
        <v/>
      </c>
      <c r="Q365" s="35">
        <f>IF(OR(NOT(OR($A365&lt;&gt;"",$E365&lt;&gt;"",$F365&lt;&gt;"",$G365&lt;&gt;"",$H365&lt;&gt;"",$I365&lt;&gt;"")),$P365="",$P365&lt;&gt;'売掛帳'!$B$3,NOT(ISNUMBER($A365)),N($G365)+N($H365)+N($I365)=0),"",IF(AND($A365&gt;='売掛帳'!$Q$3,$A365&lt;='売掛帳'!$Q$4),$A365+0.5+ROW()/10000000,""))</f>
        <v/>
      </c>
      <c r="R365" s="32">
        <f>IF(AND(OR($A365&lt;&gt;"",$E365&lt;&gt;"",$F365&lt;&gt;"",$G365&lt;&gt;"",$H365&lt;&gt;"",$I365&lt;&gt;""),NOT(ISNUMBER($O365))),1,"")</f>
        <v/>
      </c>
    </row>
    <row r="366" ht="18" customHeight="1">
      <c r="A366" s="26" t="n"/>
      <c r="B366" s="18" t="n"/>
      <c r="C366" s="18" t="n"/>
      <c r="D366" s="20">
        <f>IF($P366="","",IFERROR(INDEX('得意先'!$C$5:$C$104,MATCH($P366,'得意先'!$B$5:$B$104,0))&amp;"","※得意先にないコード"))</f>
        <v/>
      </c>
      <c r="E366" s="27" t="n"/>
      <c r="F366" s="18" t="n"/>
      <c r="G366" s="27" t="n"/>
      <c r="H366" s="27" t="n"/>
      <c r="I366" s="27" t="n"/>
      <c r="J366" s="28">
        <f>IF(NOT(OR($A366&lt;&gt;"",$E366&lt;&gt;"",$F366&lt;&gt;"",$G366&lt;&gt;"",$H366&lt;&gt;"",$I366&lt;&gt;"")),"",N($G366)+N($H366)+N($I366))</f>
        <v/>
      </c>
      <c r="K366" s="28">
        <f>IF(ISNUMBER($O366),INDEX('請求台帳'!$R$5:$R$1004,$O366),"")</f>
        <v/>
      </c>
      <c r="L366" s="20">
        <f>IF(NOT(OR($A366&lt;&gt;"",$E366&lt;&gt;"",$F366&lt;&gt;"",$G366&lt;&gt;"",$H366&lt;&gt;"",$I366&lt;&gt;"")),"",IF(NOT(ISNUMBER($A366)),"入金日がありません",IF(AND($F366&lt;&gt;"",$O366="なし"),"請求Noが請求台帳にありません",IF(AND(ISNUMBER($O366),$C366&lt;&gt;"",$C366&lt;&gt;$P366),"請求の得意先は "&amp;$P366&amp;" です",IF(ROUND(IF($B366&lt;&gt;"",SUMIF($B$5:$B$1004,$B366,$E$5:$E$1004)-SUMIF($B$5:$B$1004,$B366,$G$5:$G$1004),N($E366)-N($G366)),0)&lt;&gt;0,"通帳の額と当てた額の差 "&amp;TEXT(IF($B366&lt;&gt;"",SUMIF($B$5:$B$1004,$B366,$E$5:$E$1004)-SUMIF($B$5:$B$1004,$B366,$G$5:$G$1004),N($E366)-N($G366)),"#,##0"),IF(AND(ISNUMBER($O366),N($K366)&lt;0),"請求額より多く消し込んでいます",IF($F366="","消込先が未定","OK")))))))</f>
        <v/>
      </c>
      <c r="M366" s="19" t="n"/>
      <c r="N366" s="56" t="n"/>
      <c r="O366" s="32">
        <f>IF($F366="","",IFERROR(MATCH($F366,'請求台帳'!$A$5:$A$1004,0),"なし"))</f>
        <v/>
      </c>
      <c r="P366" s="37">
        <f>IF(NOT(OR($A366&lt;&gt;"",$E366&lt;&gt;"",$F366&lt;&gt;"",$G366&lt;&gt;"",$H366&lt;&gt;"",$I366&lt;&gt;"")),"",IF(ISNUMBER($O366),IF(INDEX('請求台帳'!$C$5:$C$1004,$O366)="","",INDEX('請求台帳'!$C$5:$C$1004,$O366)),IF($C366="","",$C366)))</f>
        <v/>
      </c>
      <c r="Q366" s="35">
        <f>IF(OR(NOT(OR($A366&lt;&gt;"",$E366&lt;&gt;"",$F366&lt;&gt;"",$G366&lt;&gt;"",$H366&lt;&gt;"",$I366&lt;&gt;"")),$P366="",$P366&lt;&gt;'売掛帳'!$B$3,NOT(ISNUMBER($A366)),N($G366)+N($H366)+N($I366)=0),"",IF(AND($A366&gt;='売掛帳'!$Q$3,$A366&lt;='売掛帳'!$Q$4),$A366+0.5+ROW()/10000000,""))</f>
        <v/>
      </c>
      <c r="R366" s="32">
        <f>IF(AND(OR($A366&lt;&gt;"",$E366&lt;&gt;"",$F366&lt;&gt;"",$G366&lt;&gt;"",$H366&lt;&gt;"",$I366&lt;&gt;""),NOT(ISNUMBER($O366))),1,"")</f>
        <v/>
      </c>
    </row>
    <row r="367" ht="18" customHeight="1">
      <c r="A367" s="26" t="n"/>
      <c r="B367" s="18" t="n"/>
      <c r="C367" s="18" t="n"/>
      <c r="D367" s="20">
        <f>IF($P367="","",IFERROR(INDEX('得意先'!$C$5:$C$104,MATCH($P367,'得意先'!$B$5:$B$104,0))&amp;"","※得意先にないコード"))</f>
        <v/>
      </c>
      <c r="E367" s="27" t="n"/>
      <c r="F367" s="18" t="n"/>
      <c r="G367" s="27" t="n"/>
      <c r="H367" s="27" t="n"/>
      <c r="I367" s="27" t="n"/>
      <c r="J367" s="28">
        <f>IF(NOT(OR($A367&lt;&gt;"",$E367&lt;&gt;"",$F367&lt;&gt;"",$G367&lt;&gt;"",$H367&lt;&gt;"",$I367&lt;&gt;"")),"",N($G367)+N($H367)+N($I367))</f>
        <v/>
      </c>
      <c r="K367" s="28">
        <f>IF(ISNUMBER($O367),INDEX('請求台帳'!$R$5:$R$1004,$O367),"")</f>
        <v/>
      </c>
      <c r="L367" s="20">
        <f>IF(NOT(OR($A367&lt;&gt;"",$E367&lt;&gt;"",$F367&lt;&gt;"",$G367&lt;&gt;"",$H367&lt;&gt;"",$I367&lt;&gt;"")),"",IF(NOT(ISNUMBER($A367)),"入金日がありません",IF(AND($F367&lt;&gt;"",$O367="なし"),"請求Noが請求台帳にありません",IF(AND(ISNUMBER($O367),$C367&lt;&gt;"",$C367&lt;&gt;$P367),"請求の得意先は "&amp;$P367&amp;" です",IF(ROUND(IF($B367&lt;&gt;"",SUMIF($B$5:$B$1004,$B367,$E$5:$E$1004)-SUMIF($B$5:$B$1004,$B367,$G$5:$G$1004),N($E367)-N($G367)),0)&lt;&gt;0,"通帳の額と当てた額の差 "&amp;TEXT(IF($B367&lt;&gt;"",SUMIF($B$5:$B$1004,$B367,$E$5:$E$1004)-SUMIF($B$5:$B$1004,$B367,$G$5:$G$1004),N($E367)-N($G367)),"#,##0"),IF(AND(ISNUMBER($O367),N($K367)&lt;0),"請求額より多く消し込んでいます",IF($F367="","消込先が未定","OK")))))))</f>
        <v/>
      </c>
      <c r="M367" s="19" t="n"/>
      <c r="N367" s="56" t="n"/>
      <c r="O367" s="32">
        <f>IF($F367="","",IFERROR(MATCH($F367,'請求台帳'!$A$5:$A$1004,0),"なし"))</f>
        <v/>
      </c>
      <c r="P367" s="37">
        <f>IF(NOT(OR($A367&lt;&gt;"",$E367&lt;&gt;"",$F367&lt;&gt;"",$G367&lt;&gt;"",$H367&lt;&gt;"",$I367&lt;&gt;"")),"",IF(ISNUMBER($O367),IF(INDEX('請求台帳'!$C$5:$C$1004,$O367)="","",INDEX('請求台帳'!$C$5:$C$1004,$O367)),IF($C367="","",$C367)))</f>
        <v/>
      </c>
      <c r="Q367" s="35">
        <f>IF(OR(NOT(OR($A367&lt;&gt;"",$E367&lt;&gt;"",$F367&lt;&gt;"",$G367&lt;&gt;"",$H367&lt;&gt;"",$I367&lt;&gt;"")),$P367="",$P367&lt;&gt;'売掛帳'!$B$3,NOT(ISNUMBER($A367)),N($G367)+N($H367)+N($I367)=0),"",IF(AND($A367&gt;='売掛帳'!$Q$3,$A367&lt;='売掛帳'!$Q$4),$A367+0.5+ROW()/10000000,""))</f>
        <v/>
      </c>
      <c r="R367" s="32">
        <f>IF(AND(OR($A367&lt;&gt;"",$E367&lt;&gt;"",$F367&lt;&gt;"",$G367&lt;&gt;"",$H367&lt;&gt;"",$I367&lt;&gt;""),NOT(ISNUMBER($O367))),1,"")</f>
        <v/>
      </c>
    </row>
    <row r="368" ht="18" customHeight="1">
      <c r="A368" s="26" t="n"/>
      <c r="B368" s="18" t="n"/>
      <c r="C368" s="18" t="n"/>
      <c r="D368" s="20">
        <f>IF($P368="","",IFERROR(INDEX('得意先'!$C$5:$C$104,MATCH($P368,'得意先'!$B$5:$B$104,0))&amp;"","※得意先にないコード"))</f>
        <v/>
      </c>
      <c r="E368" s="27" t="n"/>
      <c r="F368" s="18" t="n"/>
      <c r="G368" s="27" t="n"/>
      <c r="H368" s="27" t="n"/>
      <c r="I368" s="27" t="n"/>
      <c r="J368" s="28">
        <f>IF(NOT(OR($A368&lt;&gt;"",$E368&lt;&gt;"",$F368&lt;&gt;"",$G368&lt;&gt;"",$H368&lt;&gt;"",$I368&lt;&gt;"")),"",N($G368)+N($H368)+N($I368))</f>
        <v/>
      </c>
      <c r="K368" s="28">
        <f>IF(ISNUMBER($O368),INDEX('請求台帳'!$R$5:$R$1004,$O368),"")</f>
        <v/>
      </c>
      <c r="L368" s="20">
        <f>IF(NOT(OR($A368&lt;&gt;"",$E368&lt;&gt;"",$F368&lt;&gt;"",$G368&lt;&gt;"",$H368&lt;&gt;"",$I368&lt;&gt;"")),"",IF(NOT(ISNUMBER($A368)),"入金日がありません",IF(AND($F368&lt;&gt;"",$O368="なし"),"請求Noが請求台帳にありません",IF(AND(ISNUMBER($O368),$C368&lt;&gt;"",$C368&lt;&gt;$P368),"請求の得意先は "&amp;$P368&amp;" です",IF(ROUND(IF($B368&lt;&gt;"",SUMIF($B$5:$B$1004,$B368,$E$5:$E$1004)-SUMIF($B$5:$B$1004,$B368,$G$5:$G$1004),N($E368)-N($G368)),0)&lt;&gt;0,"通帳の額と当てた額の差 "&amp;TEXT(IF($B368&lt;&gt;"",SUMIF($B$5:$B$1004,$B368,$E$5:$E$1004)-SUMIF($B$5:$B$1004,$B368,$G$5:$G$1004),N($E368)-N($G368)),"#,##0"),IF(AND(ISNUMBER($O368),N($K368)&lt;0),"請求額より多く消し込んでいます",IF($F368="","消込先が未定","OK")))))))</f>
        <v/>
      </c>
      <c r="M368" s="19" t="n"/>
      <c r="N368" s="56" t="n"/>
      <c r="O368" s="32">
        <f>IF($F368="","",IFERROR(MATCH($F368,'請求台帳'!$A$5:$A$1004,0),"なし"))</f>
        <v/>
      </c>
      <c r="P368" s="37">
        <f>IF(NOT(OR($A368&lt;&gt;"",$E368&lt;&gt;"",$F368&lt;&gt;"",$G368&lt;&gt;"",$H368&lt;&gt;"",$I368&lt;&gt;"")),"",IF(ISNUMBER($O368),IF(INDEX('請求台帳'!$C$5:$C$1004,$O368)="","",INDEX('請求台帳'!$C$5:$C$1004,$O368)),IF($C368="","",$C368)))</f>
        <v/>
      </c>
      <c r="Q368" s="35">
        <f>IF(OR(NOT(OR($A368&lt;&gt;"",$E368&lt;&gt;"",$F368&lt;&gt;"",$G368&lt;&gt;"",$H368&lt;&gt;"",$I368&lt;&gt;"")),$P368="",$P368&lt;&gt;'売掛帳'!$B$3,NOT(ISNUMBER($A368)),N($G368)+N($H368)+N($I368)=0),"",IF(AND($A368&gt;='売掛帳'!$Q$3,$A368&lt;='売掛帳'!$Q$4),$A368+0.5+ROW()/10000000,""))</f>
        <v/>
      </c>
      <c r="R368" s="32">
        <f>IF(AND(OR($A368&lt;&gt;"",$E368&lt;&gt;"",$F368&lt;&gt;"",$G368&lt;&gt;"",$H368&lt;&gt;"",$I368&lt;&gt;""),NOT(ISNUMBER($O368))),1,"")</f>
        <v/>
      </c>
    </row>
    <row r="369" ht="18" customHeight="1">
      <c r="A369" s="26" t="n"/>
      <c r="B369" s="18" t="n"/>
      <c r="C369" s="18" t="n"/>
      <c r="D369" s="20">
        <f>IF($P369="","",IFERROR(INDEX('得意先'!$C$5:$C$104,MATCH($P369,'得意先'!$B$5:$B$104,0))&amp;"","※得意先にないコード"))</f>
        <v/>
      </c>
      <c r="E369" s="27" t="n"/>
      <c r="F369" s="18" t="n"/>
      <c r="G369" s="27" t="n"/>
      <c r="H369" s="27" t="n"/>
      <c r="I369" s="27" t="n"/>
      <c r="J369" s="28">
        <f>IF(NOT(OR($A369&lt;&gt;"",$E369&lt;&gt;"",$F369&lt;&gt;"",$G369&lt;&gt;"",$H369&lt;&gt;"",$I369&lt;&gt;"")),"",N($G369)+N($H369)+N($I369))</f>
        <v/>
      </c>
      <c r="K369" s="28">
        <f>IF(ISNUMBER($O369),INDEX('請求台帳'!$R$5:$R$1004,$O369),"")</f>
        <v/>
      </c>
      <c r="L369" s="20">
        <f>IF(NOT(OR($A369&lt;&gt;"",$E369&lt;&gt;"",$F369&lt;&gt;"",$G369&lt;&gt;"",$H369&lt;&gt;"",$I369&lt;&gt;"")),"",IF(NOT(ISNUMBER($A369)),"入金日がありません",IF(AND($F369&lt;&gt;"",$O369="なし"),"請求Noが請求台帳にありません",IF(AND(ISNUMBER($O369),$C369&lt;&gt;"",$C369&lt;&gt;$P369),"請求の得意先は "&amp;$P369&amp;" です",IF(ROUND(IF($B369&lt;&gt;"",SUMIF($B$5:$B$1004,$B369,$E$5:$E$1004)-SUMIF($B$5:$B$1004,$B369,$G$5:$G$1004),N($E369)-N($G369)),0)&lt;&gt;0,"通帳の額と当てた額の差 "&amp;TEXT(IF($B369&lt;&gt;"",SUMIF($B$5:$B$1004,$B369,$E$5:$E$1004)-SUMIF($B$5:$B$1004,$B369,$G$5:$G$1004),N($E369)-N($G369)),"#,##0"),IF(AND(ISNUMBER($O369),N($K369)&lt;0),"請求額より多く消し込んでいます",IF($F369="","消込先が未定","OK")))))))</f>
        <v/>
      </c>
      <c r="M369" s="19" t="n"/>
      <c r="N369" s="56" t="n"/>
      <c r="O369" s="32">
        <f>IF($F369="","",IFERROR(MATCH($F369,'請求台帳'!$A$5:$A$1004,0),"なし"))</f>
        <v/>
      </c>
      <c r="P369" s="37">
        <f>IF(NOT(OR($A369&lt;&gt;"",$E369&lt;&gt;"",$F369&lt;&gt;"",$G369&lt;&gt;"",$H369&lt;&gt;"",$I369&lt;&gt;"")),"",IF(ISNUMBER($O369),IF(INDEX('請求台帳'!$C$5:$C$1004,$O369)="","",INDEX('請求台帳'!$C$5:$C$1004,$O369)),IF($C369="","",$C369)))</f>
        <v/>
      </c>
      <c r="Q369" s="35">
        <f>IF(OR(NOT(OR($A369&lt;&gt;"",$E369&lt;&gt;"",$F369&lt;&gt;"",$G369&lt;&gt;"",$H369&lt;&gt;"",$I369&lt;&gt;"")),$P369="",$P369&lt;&gt;'売掛帳'!$B$3,NOT(ISNUMBER($A369)),N($G369)+N($H369)+N($I369)=0),"",IF(AND($A369&gt;='売掛帳'!$Q$3,$A369&lt;='売掛帳'!$Q$4),$A369+0.5+ROW()/10000000,""))</f>
        <v/>
      </c>
      <c r="R369" s="32">
        <f>IF(AND(OR($A369&lt;&gt;"",$E369&lt;&gt;"",$F369&lt;&gt;"",$G369&lt;&gt;"",$H369&lt;&gt;"",$I369&lt;&gt;""),NOT(ISNUMBER($O369))),1,"")</f>
        <v/>
      </c>
    </row>
    <row r="370" ht="18" customHeight="1">
      <c r="A370" s="26" t="n"/>
      <c r="B370" s="18" t="n"/>
      <c r="C370" s="18" t="n"/>
      <c r="D370" s="20">
        <f>IF($P370="","",IFERROR(INDEX('得意先'!$C$5:$C$104,MATCH($P370,'得意先'!$B$5:$B$104,0))&amp;"","※得意先にないコード"))</f>
        <v/>
      </c>
      <c r="E370" s="27" t="n"/>
      <c r="F370" s="18" t="n"/>
      <c r="G370" s="27" t="n"/>
      <c r="H370" s="27" t="n"/>
      <c r="I370" s="27" t="n"/>
      <c r="J370" s="28">
        <f>IF(NOT(OR($A370&lt;&gt;"",$E370&lt;&gt;"",$F370&lt;&gt;"",$G370&lt;&gt;"",$H370&lt;&gt;"",$I370&lt;&gt;"")),"",N($G370)+N($H370)+N($I370))</f>
        <v/>
      </c>
      <c r="K370" s="28">
        <f>IF(ISNUMBER($O370),INDEX('請求台帳'!$R$5:$R$1004,$O370),"")</f>
        <v/>
      </c>
      <c r="L370" s="20">
        <f>IF(NOT(OR($A370&lt;&gt;"",$E370&lt;&gt;"",$F370&lt;&gt;"",$G370&lt;&gt;"",$H370&lt;&gt;"",$I370&lt;&gt;"")),"",IF(NOT(ISNUMBER($A370)),"入金日がありません",IF(AND($F370&lt;&gt;"",$O370="なし"),"請求Noが請求台帳にありません",IF(AND(ISNUMBER($O370),$C370&lt;&gt;"",$C370&lt;&gt;$P370),"請求の得意先は "&amp;$P370&amp;" です",IF(ROUND(IF($B370&lt;&gt;"",SUMIF($B$5:$B$1004,$B370,$E$5:$E$1004)-SUMIF($B$5:$B$1004,$B370,$G$5:$G$1004),N($E370)-N($G370)),0)&lt;&gt;0,"通帳の額と当てた額の差 "&amp;TEXT(IF($B370&lt;&gt;"",SUMIF($B$5:$B$1004,$B370,$E$5:$E$1004)-SUMIF($B$5:$B$1004,$B370,$G$5:$G$1004),N($E370)-N($G370)),"#,##0"),IF(AND(ISNUMBER($O370),N($K370)&lt;0),"請求額より多く消し込んでいます",IF($F370="","消込先が未定","OK")))))))</f>
        <v/>
      </c>
      <c r="M370" s="19" t="n"/>
      <c r="N370" s="56" t="n"/>
      <c r="O370" s="32">
        <f>IF($F370="","",IFERROR(MATCH($F370,'請求台帳'!$A$5:$A$1004,0),"なし"))</f>
        <v/>
      </c>
      <c r="P370" s="37">
        <f>IF(NOT(OR($A370&lt;&gt;"",$E370&lt;&gt;"",$F370&lt;&gt;"",$G370&lt;&gt;"",$H370&lt;&gt;"",$I370&lt;&gt;"")),"",IF(ISNUMBER($O370),IF(INDEX('請求台帳'!$C$5:$C$1004,$O370)="","",INDEX('請求台帳'!$C$5:$C$1004,$O370)),IF($C370="","",$C370)))</f>
        <v/>
      </c>
      <c r="Q370" s="35">
        <f>IF(OR(NOT(OR($A370&lt;&gt;"",$E370&lt;&gt;"",$F370&lt;&gt;"",$G370&lt;&gt;"",$H370&lt;&gt;"",$I370&lt;&gt;"")),$P370="",$P370&lt;&gt;'売掛帳'!$B$3,NOT(ISNUMBER($A370)),N($G370)+N($H370)+N($I370)=0),"",IF(AND($A370&gt;='売掛帳'!$Q$3,$A370&lt;='売掛帳'!$Q$4),$A370+0.5+ROW()/10000000,""))</f>
        <v/>
      </c>
      <c r="R370" s="32">
        <f>IF(AND(OR($A370&lt;&gt;"",$E370&lt;&gt;"",$F370&lt;&gt;"",$G370&lt;&gt;"",$H370&lt;&gt;"",$I370&lt;&gt;""),NOT(ISNUMBER($O370))),1,"")</f>
        <v/>
      </c>
    </row>
    <row r="371" ht="18" customHeight="1">
      <c r="A371" s="26" t="n"/>
      <c r="B371" s="18" t="n"/>
      <c r="C371" s="18" t="n"/>
      <c r="D371" s="20">
        <f>IF($P371="","",IFERROR(INDEX('得意先'!$C$5:$C$104,MATCH($P371,'得意先'!$B$5:$B$104,0))&amp;"","※得意先にないコード"))</f>
        <v/>
      </c>
      <c r="E371" s="27" t="n"/>
      <c r="F371" s="18" t="n"/>
      <c r="G371" s="27" t="n"/>
      <c r="H371" s="27" t="n"/>
      <c r="I371" s="27" t="n"/>
      <c r="J371" s="28">
        <f>IF(NOT(OR($A371&lt;&gt;"",$E371&lt;&gt;"",$F371&lt;&gt;"",$G371&lt;&gt;"",$H371&lt;&gt;"",$I371&lt;&gt;"")),"",N($G371)+N($H371)+N($I371))</f>
        <v/>
      </c>
      <c r="K371" s="28">
        <f>IF(ISNUMBER($O371),INDEX('請求台帳'!$R$5:$R$1004,$O371),"")</f>
        <v/>
      </c>
      <c r="L371" s="20">
        <f>IF(NOT(OR($A371&lt;&gt;"",$E371&lt;&gt;"",$F371&lt;&gt;"",$G371&lt;&gt;"",$H371&lt;&gt;"",$I371&lt;&gt;"")),"",IF(NOT(ISNUMBER($A371)),"入金日がありません",IF(AND($F371&lt;&gt;"",$O371="なし"),"請求Noが請求台帳にありません",IF(AND(ISNUMBER($O371),$C371&lt;&gt;"",$C371&lt;&gt;$P371),"請求の得意先は "&amp;$P371&amp;" です",IF(ROUND(IF($B371&lt;&gt;"",SUMIF($B$5:$B$1004,$B371,$E$5:$E$1004)-SUMIF($B$5:$B$1004,$B371,$G$5:$G$1004),N($E371)-N($G371)),0)&lt;&gt;0,"通帳の額と当てた額の差 "&amp;TEXT(IF($B371&lt;&gt;"",SUMIF($B$5:$B$1004,$B371,$E$5:$E$1004)-SUMIF($B$5:$B$1004,$B371,$G$5:$G$1004),N($E371)-N($G371)),"#,##0"),IF(AND(ISNUMBER($O371),N($K371)&lt;0),"請求額より多く消し込んでいます",IF($F371="","消込先が未定","OK")))))))</f>
        <v/>
      </c>
      <c r="M371" s="19" t="n"/>
      <c r="N371" s="56" t="n"/>
      <c r="O371" s="32">
        <f>IF($F371="","",IFERROR(MATCH($F371,'請求台帳'!$A$5:$A$1004,0),"なし"))</f>
        <v/>
      </c>
      <c r="P371" s="37">
        <f>IF(NOT(OR($A371&lt;&gt;"",$E371&lt;&gt;"",$F371&lt;&gt;"",$G371&lt;&gt;"",$H371&lt;&gt;"",$I371&lt;&gt;"")),"",IF(ISNUMBER($O371),IF(INDEX('請求台帳'!$C$5:$C$1004,$O371)="","",INDEX('請求台帳'!$C$5:$C$1004,$O371)),IF($C371="","",$C371)))</f>
        <v/>
      </c>
      <c r="Q371" s="35">
        <f>IF(OR(NOT(OR($A371&lt;&gt;"",$E371&lt;&gt;"",$F371&lt;&gt;"",$G371&lt;&gt;"",$H371&lt;&gt;"",$I371&lt;&gt;"")),$P371="",$P371&lt;&gt;'売掛帳'!$B$3,NOT(ISNUMBER($A371)),N($G371)+N($H371)+N($I371)=0),"",IF(AND($A371&gt;='売掛帳'!$Q$3,$A371&lt;='売掛帳'!$Q$4),$A371+0.5+ROW()/10000000,""))</f>
        <v/>
      </c>
      <c r="R371" s="32">
        <f>IF(AND(OR($A371&lt;&gt;"",$E371&lt;&gt;"",$F371&lt;&gt;"",$G371&lt;&gt;"",$H371&lt;&gt;"",$I371&lt;&gt;""),NOT(ISNUMBER($O371))),1,"")</f>
        <v/>
      </c>
    </row>
    <row r="372" ht="18" customHeight="1">
      <c r="A372" s="26" t="n"/>
      <c r="B372" s="18" t="n"/>
      <c r="C372" s="18" t="n"/>
      <c r="D372" s="20">
        <f>IF($P372="","",IFERROR(INDEX('得意先'!$C$5:$C$104,MATCH($P372,'得意先'!$B$5:$B$104,0))&amp;"","※得意先にないコード"))</f>
        <v/>
      </c>
      <c r="E372" s="27" t="n"/>
      <c r="F372" s="18" t="n"/>
      <c r="G372" s="27" t="n"/>
      <c r="H372" s="27" t="n"/>
      <c r="I372" s="27" t="n"/>
      <c r="J372" s="28">
        <f>IF(NOT(OR($A372&lt;&gt;"",$E372&lt;&gt;"",$F372&lt;&gt;"",$G372&lt;&gt;"",$H372&lt;&gt;"",$I372&lt;&gt;"")),"",N($G372)+N($H372)+N($I372))</f>
        <v/>
      </c>
      <c r="K372" s="28">
        <f>IF(ISNUMBER($O372),INDEX('請求台帳'!$R$5:$R$1004,$O372),"")</f>
        <v/>
      </c>
      <c r="L372" s="20">
        <f>IF(NOT(OR($A372&lt;&gt;"",$E372&lt;&gt;"",$F372&lt;&gt;"",$G372&lt;&gt;"",$H372&lt;&gt;"",$I372&lt;&gt;"")),"",IF(NOT(ISNUMBER($A372)),"入金日がありません",IF(AND($F372&lt;&gt;"",$O372="なし"),"請求Noが請求台帳にありません",IF(AND(ISNUMBER($O372),$C372&lt;&gt;"",$C372&lt;&gt;$P372),"請求の得意先は "&amp;$P372&amp;" です",IF(ROUND(IF($B372&lt;&gt;"",SUMIF($B$5:$B$1004,$B372,$E$5:$E$1004)-SUMIF($B$5:$B$1004,$B372,$G$5:$G$1004),N($E372)-N($G372)),0)&lt;&gt;0,"通帳の額と当てた額の差 "&amp;TEXT(IF($B372&lt;&gt;"",SUMIF($B$5:$B$1004,$B372,$E$5:$E$1004)-SUMIF($B$5:$B$1004,$B372,$G$5:$G$1004),N($E372)-N($G372)),"#,##0"),IF(AND(ISNUMBER($O372),N($K372)&lt;0),"請求額より多く消し込んでいます",IF($F372="","消込先が未定","OK")))))))</f>
        <v/>
      </c>
      <c r="M372" s="19" t="n"/>
      <c r="N372" s="56" t="n"/>
      <c r="O372" s="32">
        <f>IF($F372="","",IFERROR(MATCH($F372,'請求台帳'!$A$5:$A$1004,0),"なし"))</f>
        <v/>
      </c>
      <c r="P372" s="37">
        <f>IF(NOT(OR($A372&lt;&gt;"",$E372&lt;&gt;"",$F372&lt;&gt;"",$G372&lt;&gt;"",$H372&lt;&gt;"",$I372&lt;&gt;"")),"",IF(ISNUMBER($O372),IF(INDEX('請求台帳'!$C$5:$C$1004,$O372)="","",INDEX('請求台帳'!$C$5:$C$1004,$O372)),IF($C372="","",$C372)))</f>
        <v/>
      </c>
      <c r="Q372" s="35">
        <f>IF(OR(NOT(OR($A372&lt;&gt;"",$E372&lt;&gt;"",$F372&lt;&gt;"",$G372&lt;&gt;"",$H372&lt;&gt;"",$I372&lt;&gt;"")),$P372="",$P372&lt;&gt;'売掛帳'!$B$3,NOT(ISNUMBER($A372)),N($G372)+N($H372)+N($I372)=0),"",IF(AND($A372&gt;='売掛帳'!$Q$3,$A372&lt;='売掛帳'!$Q$4),$A372+0.5+ROW()/10000000,""))</f>
        <v/>
      </c>
      <c r="R372" s="32">
        <f>IF(AND(OR($A372&lt;&gt;"",$E372&lt;&gt;"",$F372&lt;&gt;"",$G372&lt;&gt;"",$H372&lt;&gt;"",$I372&lt;&gt;""),NOT(ISNUMBER($O372))),1,"")</f>
        <v/>
      </c>
    </row>
    <row r="373" ht="18" customHeight="1">
      <c r="A373" s="26" t="n"/>
      <c r="B373" s="18" t="n"/>
      <c r="C373" s="18" t="n"/>
      <c r="D373" s="20">
        <f>IF($P373="","",IFERROR(INDEX('得意先'!$C$5:$C$104,MATCH($P373,'得意先'!$B$5:$B$104,0))&amp;"","※得意先にないコード"))</f>
        <v/>
      </c>
      <c r="E373" s="27" t="n"/>
      <c r="F373" s="18" t="n"/>
      <c r="G373" s="27" t="n"/>
      <c r="H373" s="27" t="n"/>
      <c r="I373" s="27" t="n"/>
      <c r="J373" s="28">
        <f>IF(NOT(OR($A373&lt;&gt;"",$E373&lt;&gt;"",$F373&lt;&gt;"",$G373&lt;&gt;"",$H373&lt;&gt;"",$I373&lt;&gt;"")),"",N($G373)+N($H373)+N($I373))</f>
        <v/>
      </c>
      <c r="K373" s="28">
        <f>IF(ISNUMBER($O373),INDEX('請求台帳'!$R$5:$R$1004,$O373),"")</f>
        <v/>
      </c>
      <c r="L373" s="20">
        <f>IF(NOT(OR($A373&lt;&gt;"",$E373&lt;&gt;"",$F373&lt;&gt;"",$G373&lt;&gt;"",$H373&lt;&gt;"",$I373&lt;&gt;"")),"",IF(NOT(ISNUMBER($A373)),"入金日がありません",IF(AND($F373&lt;&gt;"",$O373="なし"),"請求Noが請求台帳にありません",IF(AND(ISNUMBER($O373),$C373&lt;&gt;"",$C373&lt;&gt;$P373),"請求の得意先は "&amp;$P373&amp;" です",IF(ROUND(IF($B373&lt;&gt;"",SUMIF($B$5:$B$1004,$B373,$E$5:$E$1004)-SUMIF($B$5:$B$1004,$B373,$G$5:$G$1004),N($E373)-N($G373)),0)&lt;&gt;0,"通帳の額と当てた額の差 "&amp;TEXT(IF($B373&lt;&gt;"",SUMIF($B$5:$B$1004,$B373,$E$5:$E$1004)-SUMIF($B$5:$B$1004,$B373,$G$5:$G$1004),N($E373)-N($G373)),"#,##0"),IF(AND(ISNUMBER($O373),N($K373)&lt;0),"請求額より多く消し込んでいます",IF($F373="","消込先が未定","OK")))))))</f>
        <v/>
      </c>
      <c r="M373" s="19" t="n"/>
      <c r="N373" s="56" t="n"/>
      <c r="O373" s="32">
        <f>IF($F373="","",IFERROR(MATCH($F373,'請求台帳'!$A$5:$A$1004,0),"なし"))</f>
        <v/>
      </c>
      <c r="P373" s="37">
        <f>IF(NOT(OR($A373&lt;&gt;"",$E373&lt;&gt;"",$F373&lt;&gt;"",$G373&lt;&gt;"",$H373&lt;&gt;"",$I373&lt;&gt;"")),"",IF(ISNUMBER($O373),IF(INDEX('請求台帳'!$C$5:$C$1004,$O373)="","",INDEX('請求台帳'!$C$5:$C$1004,$O373)),IF($C373="","",$C373)))</f>
        <v/>
      </c>
      <c r="Q373" s="35">
        <f>IF(OR(NOT(OR($A373&lt;&gt;"",$E373&lt;&gt;"",$F373&lt;&gt;"",$G373&lt;&gt;"",$H373&lt;&gt;"",$I373&lt;&gt;"")),$P373="",$P373&lt;&gt;'売掛帳'!$B$3,NOT(ISNUMBER($A373)),N($G373)+N($H373)+N($I373)=0),"",IF(AND($A373&gt;='売掛帳'!$Q$3,$A373&lt;='売掛帳'!$Q$4),$A373+0.5+ROW()/10000000,""))</f>
        <v/>
      </c>
      <c r="R373" s="32">
        <f>IF(AND(OR($A373&lt;&gt;"",$E373&lt;&gt;"",$F373&lt;&gt;"",$G373&lt;&gt;"",$H373&lt;&gt;"",$I373&lt;&gt;""),NOT(ISNUMBER($O373))),1,"")</f>
        <v/>
      </c>
    </row>
    <row r="374" ht="18" customHeight="1">
      <c r="A374" s="26" t="n"/>
      <c r="B374" s="18" t="n"/>
      <c r="C374" s="18" t="n"/>
      <c r="D374" s="20">
        <f>IF($P374="","",IFERROR(INDEX('得意先'!$C$5:$C$104,MATCH($P374,'得意先'!$B$5:$B$104,0))&amp;"","※得意先にないコード"))</f>
        <v/>
      </c>
      <c r="E374" s="27" t="n"/>
      <c r="F374" s="18" t="n"/>
      <c r="G374" s="27" t="n"/>
      <c r="H374" s="27" t="n"/>
      <c r="I374" s="27" t="n"/>
      <c r="J374" s="28">
        <f>IF(NOT(OR($A374&lt;&gt;"",$E374&lt;&gt;"",$F374&lt;&gt;"",$G374&lt;&gt;"",$H374&lt;&gt;"",$I374&lt;&gt;"")),"",N($G374)+N($H374)+N($I374))</f>
        <v/>
      </c>
      <c r="K374" s="28">
        <f>IF(ISNUMBER($O374),INDEX('請求台帳'!$R$5:$R$1004,$O374),"")</f>
        <v/>
      </c>
      <c r="L374" s="20">
        <f>IF(NOT(OR($A374&lt;&gt;"",$E374&lt;&gt;"",$F374&lt;&gt;"",$G374&lt;&gt;"",$H374&lt;&gt;"",$I374&lt;&gt;"")),"",IF(NOT(ISNUMBER($A374)),"入金日がありません",IF(AND($F374&lt;&gt;"",$O374="なし"),"請求Noが請求台帳にありません",IF(AND(ISNUMBER($O374),$C374&lt;&gt;"",$C374&lt;&gt;$P374),"請求の得意先は "&amp;$P374&amp;" です",IF(ROUND(IF($B374&lt;&gt;"",SUMIF($B$5:$B$1004,$B374,$E$5:$E$1004)-SUMIF($B$5:$B$1004,$B374,$G$5:$G$1004),N($E374)-N($G374)),0)&lt;&gt;0,"通帳の額と当てた額の差 "&amp;TEXT(IF($B374&lt;&gt;"",SUMIF($B$5:$B$1004,$B374,$E$5:$E$1004)-SUMIF($B$5:$B$1004,$B374,$G$5:$G$1004),N($E374)-N($G374)),"#,##0"),IF(AND(ISNUMBER($O374),N($K374)&lt;0),"請求額より多く消し込んでいます",IF($F374="","消込先が未定","OK")))))))</f>
        <v/>
      </c>
      <c r="M374" s="19" t="n"/>
      <c r="N374" s="56" t="n"/>
      <c r="O374" s="32">
        <f>IF($F374="","",IFERROR(MATCH($F374,'請求台帳'!$A$5:$A$1004,0),"なし"))</f>
        <v/>
      </c>
      <c r="P374" s="37">
        <f>IF(NOT(OR($A374&lt;&gt;"",$E374&lt;&gt;"",$F374&lt;&gt;"",$G374&lt;&gt;"",$H374&lt;&gt;"",$I374&lt;&gt;"")),"",IF(ISNUMBER($O374),IF(INDEX('請求台帳'!$C$5:$C$1004,$O374)="","",INDEX('請求台帳'!$C$5:$C$1004,$O374)),IF($C374="","",$C374)))</f>
        <v/>
      </c>
      <c r="Q374" s="35">
        <f>IF(OR(NOT(OR($A374&lt;&gt;"",$E374&lt;&gt;"",$F374&lt;&gt;"",$G374&lt;&gt;"",$H374&lt;&gt;"",$I374&lt;&gt;"")),$P374="",$P374&lt;&gt;'売掛帳'!$B$3,NOT(ISNUMBER($A374)),N($G374)+N($H374)+N($I374)=0),"",IF(AND($A374&gt;='売掛帳'!$Q$3,$A374&lt;='売掛帳'!$Q$4),$A374+0.5+ROW()/10000000,""))</f>
        <v/>
      </c>
      <c r="R374" s="32">
        <f>IF(AND(OR($A374&lt;&gt;"",$E374&lt;&gt;"",$F374&lt;&gt;"",$G374&lt;&gt;"",$H374&lt;&gt;"",$I374&lt;&gt;""),NOT(ISNUMBER($O374))),1,"")</f>
        <v/>
      </c>
    </row>
    <row r="375" ht="18" customHeight="1">
      <c r="A375" s="26" t="n"/>
      <c r="B375" s="18" t="n"/>
      <c r="C375" s="18" t="n"/>
      <c r="D375" s="20">
        <f>IF($P375="","",IFERROR(INDEX('得意先'!$C$5:$C$104,MATCH($P375,'得意先'!$B$5:$B$104,0))&amp;"","※得意先にないコード"))</f>
        <v/>
      </c>
      <c r="E375" s="27" t="n"/>
      <c r="F375" s="18" t="n"/>
      <c r="G375" s="27" t="n"/>
      <c r="H375" s="27" t="n"/>
      <c r="I375" s="27" t="n"/>
      <c r="J375" s="28">
        <f>IF(NOT(OR($A375&lt;&gt;"",$E375&lt;&gt;"",$F375&lt;&gt;"",$G375&lt;&gt;"",$H375&lt;&gt;"",$I375&lt;&gt;"")),"",N($G375)+N($H375)+N($I375))</f>
        <v/>
      </c>
      <c r="K375" s="28">
        <f>IF(ISNUMBER($O375),INDEX('請求台帳'!$R$5:$R$1004,$O375),"")</f>
        <v/>
      </c>
      <c r="L375" s="20">
        <f>IF(NOT(OR($A375&lt;&gt;"",$E375&lt;&gt;"",$F375&lt;&gt;"",$G375&lt;&gt;"",$H375&lt;&gt;"",$I375&lt;&gt;"")),"",IF(NOT(ISNUMBER($A375)),"入金日がありません",IF(AND($F375&lt;&gt;"",$O375="なし"),"請求Noが請求台帳にありません",IF(AND(ISNUMBER($O375),$C375&lt;&gt;"",$C375&lt;&gt;$P375),"請求の得意先は "&amp;$P375&amp;" です",IF(ROUND(IF($B375&lt;&gt;"",SUMIF($B$5:$B$1004,$B375,$E$5:$E$1004)-SUMIF($B$5:$B$1004,$B375,$G$5:$G$1004),N($E375)-N($G375)),0)&lt;&gt;0,"通帳の額と当てた額の差 "&amp;TEXT(IF($B375&lt;&gt;"",SUMIF($B$5:$B$1004,$B375,$E$5:$E$1004)-SUMIF($B$5:$B$1004,$B375,$G$5:$G$1004),N($E375)-N($G375)),"#,##0"),IF(AND(ISNUMBER($O375),N($K375)&lt;0),"請求額より多く消し込んでいます",IF($F375="","消込先が未定","OK")))))))</f>
        <v/>
      </c>
      <c r="M375" s="19" t="n"/>
      <c r="N375" s="56" t="n"/>
      <c r="O375" s="32">
        <f>IF($F375="","",IFERROR(MATCH($F375,'請求台帳'!$A$5:$A$1004,0),"なし"))</f>
        <v/>
      </c>
      <c r="P375" s="37">
        <f>IF(NOT(OR($A375&lt;&gt;"",$E375&lt;&gt;"",$F375&lt;&gt;"",$G375&lt;&gt;"",$H375&lt;&gt;"",$I375&lt;&gt;"")),"",IF(ISNUMBER($O375),IF(INDEX('請求台帳'!$C$5:$C$1004,$O375)="","",INDEX('請求台帳'!$C$5:$C$1004,$O375)),IF($C375="","",$C375)))</f>
        <v/>
      </c>
      <c r="Q375" s="35">
        <f>IF(OR(NOT(OR($A375&lt;&gt;"",$E375&lt;&gt;"",$F375&lt;&gt;"",$G375&lt;&gt;"",$H375&lt;&gt;"",$I375&lt;&gt;"")),$P375="",$P375&lt;&gt;'売掛帳'!$B$3,NOT(ISNUMBER($A375)),N($G375)+N($H375)+N($I375)=0),"",IF(AND($A375&gt;='売掛帳'!$Q$3,$A375&lt;='売掛帳'!$Q$4),$A375+0.5+ROW()/10000000,""))</f>
        <v/>
      </c>
      <c r="R375" s="32">
        <f>IF(AND(OR($A375&lt;&gt;"",$E375&lt;&gt;"",$F375&lt;&gt;"",$G375&lt;&gt;"",$H375&lt;&gt;"",$I375&lt;&gt;""),NOT(ISNUMBER($O375))),1,"")</f>
        <v/>
      </c>
    </row>
    <row r="376" ht="18" customHeight="1">
      <c r="A376" s="26" t="n"/>
      <c r="B376" s="18" t="n"/>
      <c r="C376" s="18" t="n"/>
      <c r="D376" s="20">
        <f>IF($P376="","",IFERROR(INDEX('得意先'!$C$5:$C$104,MATCH($P376,'得意先'!$B$5:$B$104,0))&amp;"","※得意先にないコード"))</f>
        <v/>
      </c>
      <c r="E376" s="27" t="n"/>
      <c r="F376" s="18" t="n"/>
      <c r="G376" s="27" t="n"/>
      <c r="H376" s="27" t="n"/>
      <c r="I376" s="27" t="n"/>
      <c r="J376" s="28">
        <f>IF(NOT(OR($A376&lt;&gt;"",$E376&lt;&gt;"",$F376&lt;&gt;"",$G376&lt;&gt;"",$H376&lt;&gt;"",$I376&lt;&gt;"")),"",N($G376)+N($H376)+N($I376))</f>
        <v/>
      </c>
      <c r="K376" s="28">
        <f>IF(ISNUMBER($O376),INDEX('請求台帳'!$R$5:$R$1004,$O376),"")</f>
        <v/>
      </c>
      <c r="L376" s="20">
        <f>IF(NOT(OR($A376&lt;&gt;"",$E376&lt;&gt;"",$F376&lt;&gt;"",$G376&lt;&gt;"",$H376&lt;&gt;"",$I376&lt;&gt;"")),"",IF(NOT(ISNUMBER($A376)),"入金日がありません",IF(AND($F376&lt;&gt;"",$O376="なし"),"請求Noが請求台帳にありません",IF(AND(ISNUMBER($O376),$C376&lt;&gt;"",$C376&lt;&gt;$P376),"請求の得意先は "&amp;$P376&amp;" です",IF(ROUND(IF($B376&lt;&gt;"",SUMIF($B$5:$B$1004,$B376,$E$5:$E$1004)-SUMIF($B$5:$B$1004,$B376,$G$5:$G$1004),N($E376)-N($G376)),0)&lt;&gt;0,"通帳の額と当てた額の差 "&amp;TEXT(IF($B376&lt;&gt;"",SUMIF($B$5:$B$1004,$B376,$E$5:$E$1004)-SUMIF($B$5:$B$1004,$B376,$G$5:$G$1004),N($E376)-N($G376)),"#,##0"),IF(AND(ISNUMBER($O376),N($K376)&lt;0),"請求額より多く消し込んでいます",IF($F376="","消込先が未定","OK")))))))</f>
        <v/>
      </c>
      <c r="M376" s="19" t="n"/>
      <c r="N376" s="56" t="n"/>
      <c r="O376" s="32">
        <f>IF($F376="","",IFERROR(MATCH($F376,'請求台帳'!$A$5:$A$1004,0),"なし"))</f>
        <v/>
      </c>
      <c r="P376" s="37">
        <f>IF(NOT(OR($A376&lt;&gt;"",$E376&lt;&gt;"",$F376&lt;&gt;"",$G376&lt;&gt;"",$H376&lt;&gt;"",$I376&lt;&gt;"")),"",IF(ISNUMBER($O376),IF(INDEX('請求台帳'!$C$5:$C$1004,$O376)="","",INDEX('請求台帳'!$C$5:$C$1004,$O376)),IF($C376="","",$C376)))</f>
        <v/>
      </c>
      <c r="Q376" s="35">
        <f>IF(OR(NOT(OR($A376&lt;&gt;"",$E376&lt;&gt;"",$F376&lt;&gt;"",$G376&lt;&gt;"",$H376&lt;&gt;"",$I376&lt;&gt;"")),$P376="",$P376&lt;&gt;'売掛帳'!$B$3,NOT(ISNUMBER($A376)),N($G376)+N($H376)+N($I376)=0),"",IF(AND($A376&gt;='売掛帳'!$Q$3,$A376&lt;='売掛帳'!$Q$4),$A376+0.5+ROW()/10000000,""))</f>
        <v/>
      </c>
      <c r="R376" s="32">
        <f>IF(AND(OR($A376&lt;&gt;"",$E376&lt;&gt;"",$F376&lt;&gt;"",$G376&lt;&gt;"",$H376&lt;&gt;"",$I376&lt;&gt;""),NOT(ISNUMBER($O376))),1,"")</f>
        <v/>
      </c>
    </row>
    <row r="377" ht="18" customHeight="1">
      <c r="A377" s="26" t="n"/>
      <c r="B377" s="18" t="n"/>
      <c r="C377" s="18" t="n"/>
      <c r="D377" s="20">
        <f>IF($P377="","",IFERROR(INDEX('得意先'!$C$5:$C$104,MATCH($P377,'得意先'!$B$5:$B$104,0))&amp;"","※得意先にないコード"))</f>
        <v/>
      </c>
      <c r="E377" s="27" t="n"/>
      <c r="F377" s="18" t="n"/>
      <c r="G377" s="27" t="n"/>
      <c r="H377" s="27" t="n"/>
      <c r="I377" s="27" t="n"/>
      <c r="J377" s="28">
        <f>IF(NOT(OR($A377&lt;&gt;"",$E377&lt;&gt;"",$F377&lt;&gt;"",$G377&lt;&gt;"",$H377&lt;&gt;"",$I377&lt;&gt;"")),"",N($G377)+N($H377)+N($I377))</f>
        <v/>
      </c>
      <c r="K377" s="28">
        <f>IF(ISNUMBER($O377),INDEX('請求台帳'!$R$5:$R$1004,$O377),"")</f>
        <v/>
      </c>
      <c r="L377" s="20">
        <f>IF(NOT(OR($A377&lt;&gt;"",$E377&lt;&gt;"",$F377&lt;&gt;"",$G377&lt;&gt;"",$H377&lt;&gt;"",$I377&lt;&gt;"")),"",IF(NOT(ISNUMBER($A377)),"入金日がありません",IF(AND($F377&lt;&gt;"",$O377="なし"),"請求Noが請求台帳にありません",IF(AND(ISNUMBER($O377),$C377&lt;&gt;"",$C377&lt;&gt;$P377),"請求の得意先は "&amp;$P377&amp;" です",IF(ROUND(IF($B377&lt;&gt;"",SUMIF($B$5:$B$1004,$B377,$E$5:$E$1004)-SUMIF($B$5:$B$1004,$B377,$G$5:$G$1004),N($E377)-N($G377)),0)&lt;&gt;0,"通帳の額と当てた額の差 "&amp;TEXT(IF($B377&lt;&gt;"",SUMIF($B$5:$B$1004,$B377,$E$5:$E$1004)-SUMIF($B$5:$B$1004,$B377,$G$5:$G$1004),N($E377)-N($G377)),"#,##0"),IF(AND(ISNUMBER($O377),N($K377)&lt;0),"請求額より多く消し込んでいます",IF($F377="","消込先が未定","OK")))))))</f>
        <v/>
      </c>
      <c r="M377" s="19" t="n"/>
      <c r="N377" s="56" t="n"/>
      <c r="O377" s="32">
        <f>IF($F377="","",IFERROR(MATCH($F377,'請求台帳'!$A$5:$A$1004,0),"なし"))</f>
        <v/>
      </c>
      <c r="P377" s="37">
        <f>IF(NOT(OR($A377&lt;&gt;"",$E377&lt;&gt;"",$F377&lt;&gt;"",$G377&lt;&gt;"",$H377&lt;&gt;"",$I377&lt;&gt;"")),"",IF(ISNUMBER($O377),IF(INDEX('請求台帳'!$C$5:$C$1004,$O377)="","",INDEX('請求台帳'!$C$5:$C$1004,$O377)),IF($C377="","",$C377)))</f>
        <v/>
      </c>
      <c r="Q377" s="35">
        <f>IF(OR(NOT(OR($A377&lt;&gt;"",$E377&lt;&gt;"",$F377&lt;&gt;"",$G377&lt;&gt;"",$H377&lt;&gt;"",$I377&lt;&gt;"")),$P377="",$P377&lt;&gt;'売掛帳'!$B$3,NOT(ISNUMBER($A377)),N($G377)+N($H377)+N($I377)=0),"",IF(AND($A377&gt;='売掛帳'!$Q$3,$A377&lt;='売掛帳'!$Q$4),$A377+0.5+ROW()/10000000,""))</f>
        <v/>
      </c>
      <c r="R377" s="32">
        <f>IF(AND(OR($A377&lt;&gt;"",$E377&lt;&gt;"",$F377&lt;&gt;"",$G377&lt;&gt;"",$H377&lt;&gt;"",$I377&lt;&gt;""),NOT(ISNUMBER($O377))),1,"")</f>
        <v/>
      </c>
    </row>
    <row r="378" ht="18" customHeight="1">
      <c r="A378" s="26" t="n"/>
      <c r="B378" s="18" t="n"/>
      <c r="C378" s="18" t="n"/>
      <c r="D378" s="20">
        <f>IF($P378="","",IFERROR(INDEX('得意先'!$C$5:$C$104,MATCH($P378,'得意先'!$B$5:$B$104,0))&amp;"","※得意先にないコード"))</f>
        <v/>
      </c>
      <c r="E378" s="27" t="n"/>
      <c r="F378" s="18" t="n"/>
      <c r="G378" s="27" t="n"/>
      <c r="H378" s="27" t="n"/>
      <c r="I378" s="27" t="n"/>
      <c r="J378" s="28">
        <f>IF(NOT(OR($A378&lt;&gt;"",$E378&lt;&gt;"",$F378&lt;&gt;"",$G378&lt;&gt;"",$H378&lt;&gt;"",$I378&lt;&gt;"")),"",N($G378)+N($H378)+N($I378))</f>
        <v/>
      </c>
      <c r="K378" s="28">
        <f>IF(ISNUMBER($O378),INDEX('請求台帳'!$R$5:$R$1004,$O378),"")</f>
        <v/>
      </c>
      <c r="L378" s="20">
        <f>IF(NOT(OR($A378&lt;&gt;"",$E378&lt;&gt;"",$F378&lt;&gt;"",$G378&lt;&gt;"",$H378&lt;&gt;"",$I378&lt;&gt;"")),"",IF(NOT(ISNUMBER($A378)),"入金日がありません",IF(AND($F378&lt;&gt;"",$O378="なし"),"請求Noが請求台帳にありません",IF(AND(ISNUMBER($O378),$C378&lt;&gt;"",$C378&lt;&gt;$P378),"請求の得意先は "&amp;$P378&amp;" です",IF(ROUND(IF($B378&lt;&gt;"",SUMIF($B$5:$B$1004,$B378,$E$5:$E$1004)-SUMIF($B$5:$B$1004,$B378,$G$5:$G$1004),N($E378)-N($G378)),0)&lt;&gt;0,"通帳の額と当てた額の差 "&amp;TEXT(IF($B378&lt;&gt;"",SUMIF($B$5:$B$1004,$B378,$E$5:$E$1004)-SUMIF($B$5:$B$1004,$B378,$G$5:$G$1004),N($E378)-N($G378)),"#,##0"),IF(AND(ISNUMBER($O378),N($K378)&lt;0),"請求額より多く消し込んでいます",IF($F378="","消込先が未定","OK")))))))</f>
        <v/>
      </c>
      <c r="M378" s="19" t="n"/>
      <c r="N378" s="56" t="n"/>
      <c r="O378" s="32">
        <f>IF($F378="","",IFERROR(MATCH($F378,'請求台帳'!$A$5:$A$1004,0),"なし"))</f>
        <v/>
      </c>
      <c r="P378" s="37">
        <f>IF(NOT(OR($A378&lt;&gt;"",$E378&lt;&gt;"",$F378&lt;&gt;"",$G378&lt;&gt;"",$H378&lt;&gt;"",$I378&lt;&gt;"")),"",IF(ISNUMBER($O378),IF(INDEX('請求台帳'!$C$5:$C$1004,$O378)="","",INDEX('請求台帳'!$C$5:$C$1004,$O378)),IF($C378="","",$C378)))</f>
        <v/>
      </c>
      <c r="Q378" s="35">
        <f>IF(OR(NOT(OR($A378&lt;&gt;"",$E378&lt;&gt;"",$F378&lt;&gt;"",$G378&lt;&gt;"",$H378&lt;&gt;"",$I378&lt;&gt;"")),$P378="",$P378&lt;&gt;'売掛帳'!$B$3,NOT(ISNUMBER($A378)),N($G378)+N($H378)+N($I378)=0),"",IF(AND($A378&gt;='売掛帳'!$Q$3,$A378&lt;='売掛帳'!$Q$4),$A378+0.5+ROW()/10000000,""))</f>
        <v/>
      </c>
      <c r="R378" s="32">
        <f>IF(AND(OR($A378&lt;&gt;"",$E378&lt;&gt;"",$F378&lt;&gt;"",$G378&lt;&gt;"",$H378&lt;&gt;"",$I378&lt;&gt;""),NOT(ISNUMBER($O378))),1,"")</f>
        <v/>
      </c>
    </row>
    <row r="379" ht="18" customHeight="1">
      <c r="A379" s="26" t="n"/>
      <c r="B379" s="18" t="n"/>
      <c r="C379" s="18" t="n"/>
      <c r="D379" s="20">
        <f>IF($P379="","",IFERROR(INDEX('得意先'!$C$5:$C$104,MATCH($P379,'得意先'!$B$5:$B$104,0))&amp;"","※得意先にないコード"))</f>
        <v/>
      </c>
      <c r="E379" s="27" t="n"/>
      <c r="F379" s="18" t="n"/>
      <c r="G379" s="27" t="n"/>
      <c r="H379" s="27" t="n"/>
      <c r="I379" s="27" t="n"/>
      <c r="J379" s="28">
        <f>IF(NOT(OR($A379&lt;&gt;"",$E379&lt;&gt;"",$F379&lt;&gt;"",$G379&lt;&gt;"",$H379&lt;&gt;"",$I379&lt;&gt;"")),"",N($G379)+N($H379)+N($I379))</f>
        <v/>
      </c>
      <c r="K379" s="28">
        <f>IF(ISNUMBER($O379),INDEX('請求台帳'!$R$5:$R$1004,$O379),"")</f>
        <v/>
      </c>
      <c r="L379" s="20">
        <f>IF(NOT(OR($A379&lt;&gt;"",$E379&lt;&gt;"",$F379&lt;&gt;"",$G379&lt;&gt;"",$H379&lt;&gt;"",$I379&lt;&gt;"")),"",IF(NOT(ISNUMBER($A379)),"入金日がありません",IF(AND($F379&lt;&gt;"",$O379="なし"),"請求Noが請求台帳にありません",IF(AND(ISNUMBER($O379),$C379&lt;&gt;"",$C379&lt;&gt;$P379),"請求の得意先は "&amp;$P379&amp;" です",IF(ROUND(IF($B379&lt;&gt;"",SUMIF($B$5:$B$1004,$B379,$E$5:$E$1004)-SUMIF($B$5:$B$1004,$B379,$G$5:$G$1004),N($E379)-N($G379)),0)&lt;&gt;0,"通帳の額と当てた額の差 "&amp;TEXT(IF($B379&lt;&gt;"",SUMIF($B$5:$B$1004,$B379,$E$5:$E$1004)-SUMIF($B$5:$B$1004,$B379,$G$5:$G$1004),N($E379)-N($G379)),"#,##0"),IF(AND(ISNUMBER($O379),N($K379)&lt;0),"請求額より多く消し込んでいます",IF($F379="","消込先が未定","OK")))))))</f>
        <v/>
      </c>
      <c r="M379" s="19" t="n"/>
      <c r="N379" s="56" t="n"/>
      <c r="O379" s="32">
        <f>IF($F379="","",IFERROR(MATCH($F379,'請求台帳'!$A$5:$A$1004,0),"なし"))</f>
        <v/>
      </c>
      <c r="P379" s="37">
        <f>IF(NOT(OR($A379&lt;&gt;"",$E379&lt;&gt;"",$F379&lt;&gt;"",$G379&lt;&gt;"",$H379&lt;&gt;"",$I379&lt;&gt;"")),"",IF(ISNUMBER($O379),IF(INDEX('請求台帳'!$C$5:$C$1004,$O379)="","",INDEX('請求台帳'!$C$5:$C$1004,$O379)),IF($C379="","",$C379)))</f>
        <v/>
      </c>
      <c r="Q379" s="35">
        <f>IF(OR(NOT(OR($A379&lt;&gt;"",$E379&lt;&gt;"",$F379&lt;&gt;"",$G379&lt;&gt;"",$H379&lt;&gt;"",$I379&lt;&gt;"")),$P379="",$P379&lt;&gt;'売掛帳'!$B$3,NOT(ISNUMBER($A379)),N($G379)+N($H379)+N($I379)=0),"",IF(AND($A379&gt;='売掛帳'!$Q$3,$A379&lt;='売掛帳'!$Q$4),$A379+0.5+ROW()/10000000,""))</f>
        <v/>
      </c>
      <c r="R379" s="32">
        <f>IF(AND(OR($A379&lt;&gt;"",$E379&lt;&gt;"",$F379&lt;&gt;"",$G379&lt;&gt;"",$H379&lt;&gt;"",$I379&lt;&gt;""),NOT(ISNUMBER($O379))),1,"")</f>
        <v/>
      </c>
    </row>
    <row r="380" ht="18" customHeight="1">
      <c r="A380" s="26" t="n"/>
      <c r="B380" s="18" t="n"/>
      <c r="C380" s="18" t="n"/>
      <c r="D380" s="20">
        <f>IF($P380="","",IFERROR(INDEX('得意先'!$C$5:$C$104,MATCH($P380,'得意先'!$B$5:$B$104,0))&amp;"","※得意先にないコード"))</f>
        <v/>
      </c>
      <c r="E380" s="27" t="n"/>
      <c r="F380" s="18" t="n"/>
      <c r="G380" s="27" t="n"/>
      <c r="H380" s="27" t="n"/>
      <c r="I380" s="27" t="n"/>
      <c r="J380" s="28">
        <f>IF(NOT(OR($A380&lt;&gt;"",$E380&lt;&gt;"",$F380&lt;&gt;"",$G380&lt;&gt;"",$H380&lt;&gt;"",$I380&lt;&gt;"")),"",N($G380)+N($H380)+N($I380))</f>
        <v/>
      </c>
      <c r="K380" s="28">
        <f>IF(ISNUMBER($O380),INDEX('請求台帳'!$R$5:$R$1004,$O380),"")</f>
        <v/>
      </c>
      <c r="L380" s="20">
        <f>IF(NOT(OR($A380&lt;&gt;"",$E380&lt;&gt;"",$F380&lt;&gt;"",$G380&lt;&gt;"",$H380&lt;&gt;"",$I380&lt;&gt;"")),"",IF(NOT(ISNUMBER($A380)),"入金日がありません",IF(AND($F380&lt;&gt;"",$O380="なし"),"請求Noが請求台帳にありません",IF(AND(ISNUMBER($O380),$C380&lt;&gt;"",$C380&lt;&gt;$P380),"請求の得意先は "&amp;$P380&amp;" です",IF(ROUND(IF($B380&lt;&gt;"",SUMIF($B$5:$B$1004,$B380,$E$5:$E$1004)-SUMIF($B$5:$B$1004,$B380,$G$5:$G$1004),N($E380)-N($G380)),0)&lt;&gt;0,"通帳の額と当てた額の差 "&amp;TEXT(IF($B380&lt;&gt;"",SUMIF($B$5:$B$1004,$B380,$E$5:$E$1004)-SUMIF($B$5:$B$1004,$B380,$G$5:$G$1004),N($E380)-N($G380)),"#,##0"),IF(AND(ISNUMBER($O380),N($K380)&lt;0),"請求額より多く消し込んでいます",IF($F380="","消込先が未定","OK")))))))</f>
        <v/>
      </c>
      <c r="M380" s="19" t="n"/>
      <c r="N380" s="56" t="n"/>
      <c r="O380" s="32">
        <f>IF($F380="","",IFERROR(MATCH($F380,'請求台帳'!$A$5:$A$1004,0),"なし"))</f>
        <v/>
      </c>
      <c r="P380" s="37">
        <f>IF(NOT(OR($A380&lt;&gt;"",$E380&lt;&gt;"",$F380&lt;&gt;"",$G380&lt;&gt;"",$H380&lt;&gt;"",$I380&lt;&gt;"")),"",IF(ISNUMBER($O380),IF(INDEX('請求台帳'!$C$5:$C$1004,$O380)="","",INDEX('請求台帳'!$C$5:$C$1004,$O380)),IF($C380="","",$C380)))</f>
        <v/>
      </c>
      <c r="Q380" s="35">
        <f>IF(OR(NOT(OR($A380&lt;&gt;"",$E380&lt;&gt;"",$F380&lt;&gt;"",$G380&lt;&gt;"",$H380&lt;&gt;"",$I380&lt;&gt;"")),$P380="",$P380&lt;&gt;'売掛帳'!$B$3,NOT(ISNUMBER($A380)),N($G380)+N($H380)+N($I380)=0),"",IF(AND($A380&gt;='売掛帳'!$Q$3,$A380&lt;='売掛帳'!$Q$4),$A380+0.5+ROW()/10000000,""))</f>
        <v/>
      </c>
      <c r="R380" s="32">
        <f>IF(AND(OR($A380&lt;&gt;"",$E380&lt;&gt;"",$F380&lt;&gt;"",$G380&lt;&gt;"",$H380&lt;&gt;"",$I380&lt;&gt;""),NOT(ISNUMBER($O380))),1,"")</f>
        <v/>
      </c>
    </row>
    <row r="381" ht="18" customHeight="1">
      <c r="A381" s="26" t="n"/>
      <c r="B381" s="18" t="n"/>
      <c r="C381" s="18" t="n"/>
      <c r="D381" s="20">
        <f>IF($P381="","",IFERROR(INDEX('得意先'!$C$5:$C$104,MATCH($P381,'得意先'!$B$5:$B$104,0))&amp;"","※得意先にないコード"))</f>
        <v/>
      </c>
      <c r="E381" s="27" t="n"/>
      <c r="F381" s="18" t="n"/>
      <c r="G381" s="27" t="n"/>
      <c r="H381" s="27" t="n"/>
      <c r="I381" s="27" t="n"/>
      <c r="J381" s="28">
        <f>IF(NOT(OR($A381&lt;&gt;"",$E381&lt;&gt;"",$F381&lt;&gt;"",$G381&lt;&gt;"",$H381&lt;&gt;"",$I381&lt;&gt;"")),"",N($G381)+N($H381)+N($I381))</f>
        <v/>
      </c>
      <c r="K381" s="28">
        <f>IF(ISNUMBER($O381),INDEX('請求台帳'!$R$5:$R$1004,$O381),"")</f>
        <v/>
      </c>
      <c r="L381" s="20">
        <f>IF(NOT(OR($A381&lt;&gt;"",$E381&lt;&gt;"",$F381&lt;&gt;"",$G381&lt;&gt;"",$H381&lt;&gt;"",$I381&lt;&gt;"")),"",IF(NOT(ISNUMBER($A381)),"入金日がありません",IF(AND($F381&lt;&gt;"",$O381="なし"),"請求Noが請求台帳にありません",IF(AND(ISNUMBER($O381),$C381&lt;&gt;"",$C381&lt;&gt;$P381),"請求の得意先は "&amp;$P381&amp;" です",IF(ROUND(IF($B381&lt;&gt;"",SUMIF($B$5:$B$1004,$B381,$E$5:$E$1004)-SUMIF($B$5:$B$1004,$B381,$G$5:$G$1004),N($E381)-N($G381)),0)&lt;&gt;0,"通帳の額と当てた額の差 "&amp;TEXT(IF($B381&lt;&gt;"",SUMIF($B$5:$B$1004,$B381,$E$5:$E$1004)-SUMIF($B$5:$B$1004,$B381,$G$5:$G$1004),N($E381)-N($G381)),"#,##0"),IF(AND(ISNUMBER($O381),N($K381)&lt;0),"請求額より多く消し込んでいます",IF($F381="","消込先が未定","OK")))))))</f>
        <v/>
      </c>
      <c r="M381" s="19" t="n"/>
      <c r="N381" s="56" t="n"/>
      <c r="O381" s="32">
        <f>IF($F381="","",IFERROR(MATCH($F381,'請求台帳'!$A$5:$A$1004,0),"なし"))</f>
        <v/>
      </c>
      <c r="P381" s="37">
        <f>IF(NOT(OR($A381&lt;&gt;"",$E381&lt;&gt;"",$F381&lt;&gt;"",$G381&lt;&gt;"",$H381&lt;&gt;"",$I381&lt;&gt;"")),"",IF(ISNUMBER($O381),IF(INDEX('請求台帳'!$C$5:$C$1004,$O381)="","",INDEX('請求台帳'!$C$5:$C$1004,$O381)),IF($C381="","",$C381)))</f>
        <v/>
      </c>
      <c r="Q381" s="35">
        <f>IF(OR(NOT(OR($A381&lt;&gt;"",$E381&lt;&gt;"",$F381&lt;&gt;"",$G381&lt;&gt;"",$H381&lt;&gt;"",$I381&lt;&gt;"")),$P381="",$P381&lt;&gt;'売掛帳'!$B$3,NOT(ISNUMBER($A381)),N($G381)+N($H381)+N($I381)=0),"",IF(AND($A381&gt;='売掛帳'!$Q$3,$A381&lt;='売掛帳'!$Q$4),$A381+0.5+ROW()/10000000,""))</f>
        <v/>
      </c>
      <c r="R381" s="32">
        <f>IF(AND(OR($A381&lt;&gt;"",$E381&lt;&gt;"",$F381&lt;&gt;"",$G381&lt;&gt;"",$H381&lt;&gt;"",$I381&lt;&gt;""),NOT(ISNUMBER($O381))),1,"")</f>
        <v/>
      </c>
    </row>
    <row r="382" ht="18" customHeight="1">
      <c r="A382" s="26" t="n"/>
      <c r="B382" s="18" t="n"/>
      <c r="C382" s="18" t="n"/>
      <c r="D382" s="20">
        <f>IF($P382="","",IFERROR(INDEX('得意先'!$C$5:$C$104,MATCH($P382,'得意先'!$B$5:$B$104,0))&amp;"","※得意先にないコード"))</f>
        <v/>
      </c>
      <c r="E382" s="27" t="n"/>
      <c r="F382" s="18" t="n"/>
      <c r="G382" s="27" t="n"/>
      <c r="H382" s="27" t="n"/>
      <c r="I382" s="27" t="n"/>
      <c r="J382" s="28">
        <f>IF(NOT(OR($A382&lt;&gt;"",$E382&lt;&gt;"",$F382&lt;&gt;"",$G382&lt;&gt;"",$H382&lt;&gt;"",$I382&lt;&gt;"")),"",N($G382)+N($H382)+N($I382))</f>
        <v/>
      </c>
      <c r="K382" s="28">
        <f>IF(ISNUMBER($O382),INDEX('請求台帳'!$R$5:$R$1004,$O382),"")</f>
        <v/>
      </c>
      <c r="L382" s="20">
        <f>IF(NOT(OR($A382&lt;&gt;"",$E382&lt;&gt;"",$F382&lt;&gt;"",$G382&lt;&gt;"",$H382&lt;&gt;"",$I382&lt;&gt;"")),"",IF(NOT(ISNUMBER($A382)),"入金日がありません",IF(AND($F382&lt;&gt;"",$O382="なし"),"請求Noが請求台帳にありません",IF(AND(ISNUMBER($O382),$C382&lt;&gt;"",$C382&lt;&gt;$P382),"請求の得意先は "&amp;$P382&amp;" です",IF(ROUND(IF($B382&lt;&gt;"",SUMIF($B$5:$B$1004,$B382,$E$5:$E$1004)-SUMIF($B$5:$B$1004,$B382,$G$5:$G$1004),N($E382)-N($G382)),0)&lt;&gt;0,"通帳の額と当てた額の差 "&amp;TEXT(IF($B382&lt;&gt;"",SUMIF($B$5:$B$1004,$B382,$E$5:$E$1004)-SUMIF($B$5:$B$1004,$B382,$G$5:$G$1004),N($E382)-N($G382)),"#,##0"),IF(AND(ISNUMBER($O382),N($K382)&lt;0),"請求額より多く消し込んでいます",IF($F382="","消込先が未定","OK")))))))</f>
        <v/>
      </c>
      <c r="M382" s="19" t="n"/>
      <c r="N382" s="56" t="n"/>
      <c r="O382" s="32">
        <f>IF($F382="","",IFERROR(MATCH($F382,'請求台帳'!$A$5:$A$1004,0),"なし"))</f>
        <v/>
      </c>
      <c r="P382" s="37">
        <f>IF(NOT(OR($A382&lt;&gt;"",$E382&lt;&gt;"",$F382&lt;&gt;"",$G382&lt;&gt;"",$H382&lt;&gt;"",$I382&lt;&gt;"")),"",IF(ISNUMBER($O382),IF(INDEX('請求台帳'!$C$5:$C$1004,$O382)="","",INDEX('請求台帳'!$C$5:$C$1004,$O382)),IF($C382="","",$C382)))</f>
        <v/>
      </c>
      <c r="Q382" s="35">
        <f>IF(OR(NOT(OR($A382&lt;&gt;"",$E382&lt;&gt;"",$F382&lt;&gt;"",$G382&lt;&gt;"",$H382&lt;&gt;"",$I382&lt;&gt;"")),$P382="",$P382&lt;&gt;'売掛帳'!$B$3,NOT(ISNUMBER($A382)),N($G382)+N($H382)+N($I382)=0),"",IF(AND($A382&gt;='売掛帳'!$Q$3,$A382&lt;='売掛帳'!$Q$4),$A382+0.5+ROW()/10000000,""))</f>
        <v/>
      </c>
      <c r="R382" s="32">
        <f>IF(AND(OR($A382&lt;&gt;"",$E382&lt;&gt;"",$F382&lt;&gt;"",$G382&lt;&gt;"",$H382&lt;&gt;"",$I382&lt;&gt;""),NOT(ISNUMBER($O382))),1,"")</f>
        <v/>
      </c>
    </row>
    <row r="383" ht="18" customHeight="1">
      <c r="A383" s="26" t="n"/>
      <c r="B383" s="18" t="n"/>
      <c r="C383" s="18" t="n"/>
      <c r="D383" s="20">
        <f>IF($P383="","",IFERROR(INDEX('得意先'!$C$5:$C$104,MATCH($P383,'得意先'!$B$5:$B$104,0))&amp;"","※得意先にないコード"))</f>
        <v/>
      </c>
      <c r="E383" s="27" t="n"/>
      <c r="F383" s="18" t="n"/>
      <c r="G383" s="27" t="n"/>
      <c r="H383" s="27" t="n"/>
      <c r="I383" s="27" t="n"/>
      <c r="J383" s="28">
        <f>IF(NOT(OR($A383&lt;&gt;"",$E383&lt;&gt;"",$F383&lt;&gt;"",$G383&lt;&gt;"",$H383&lt;&gt;"",$I383&lt;&gt;"")),"",N($G383)+N($H383)+N($I383))</f>
        <v/>
      </c>
      <c r="K383" s="28">
        <f>IF(ISNUMBER($O383),INDEX('請求台帳'!$R$5:$R$1004,$O383),"")</f>
        <v/>
      </c>
      <c r="L383" s="20">
        <f>IF(NOT(OR($A383&lt;&gt;"",$E383&lt;&gt;"",$F383&lt;&gt;"",$G383&lt;&gt;"",$H383&lt;&gt;"",$I383&lt;&gt;"")),"",IF(NOT(ISNUMBER($A383)),"入金日がありません",IF(AND($F383&lt;&gt;"",$O383="なし"),"請求Noが請求台帳にありません",IF(AND(ISNUMBER($O383),$C383&lt;&gt;"",$C383&lt;&gt;$P383),"請求の得意先は "&amp;$P383&amp;" です",IF(ROUND(IF($B383&lt;&gt;"",SUMIF($B$5:$B$1004,$B383,$E$5:$E$1004)-SUMIF($B$5:$B$1004,$B383,$G$5:$G$1004),N($E383)-N($G383)),0)&lt;&gt;0,"通帳の額と当てた額の差 "&amp;TEXT(IF($B383&lt;&gt;"",SUMIF($B$5:$B$1004,$B383,$E$5:$E$1004)-SUMIF($B$5:$B$1004,$B383,$G$5:$G$1004),N($E383)-N($G383)),"#,##0"),IF(AND(ISNUMBER($O383),N($K383)&lt;0),"請求額より多く消し込んでいます",IF($F383="","消込先が未定","OK")))))))</f>
        <v/>
      </c>
      <c r="M383" s="19" t="n"/>
      <c r="N383" s="56" t="n"/>
      <c r="O383" s="32">
        <f>IF($F383="","",IFERROR(MATCH($F383,'請求台帳'!$A$5:$A$1004,0),"なし"))</f>
        <v/>
      </c>
      <c r="P383" s="37">
        <f>IF(NOT(OR($A383&lt;&gt;"",$E383&lt;&gt;"",$F383&lt;&gt;"",$G383&lt;&gt;"",$H383&lt;&gt;"",$I383&lt;&gt;"")),"",IF(ISNUMBER($O383),IF(INDEX('請求台帳'!$C$5:$C$1004,$O383)="","",INDEX('請求台帳'!$C$5:$C$1004,$O383)),IF($C383="","",$C383)))</f>
        <v/>
      </c>
      <c r="Q383" s="35">
        <f>IF(OR(NOT(OR($A383&lt;&gt;"",$E383&lt;&gt;"",$F383&lt;&gt;"",$G383&lt;&gt;"",$H383&lt;&gt;"",$I383&lt;&gt;"")),$P383="",$P383&lt;&gt;'売掛帳'!$B$3,NOT(ISNUMBER($A383)),N($G383)+N($H383)+N($I383)=0),"",IF(AND($A383&gt;='売掛帳'!$Q$3,$A383&lt;='売掛帳'!$Q$4),$A383+0.5+ROW()/10000000,""))</f>
        <v/>
      </c>
      <c r="R383" s="32">
        <f>IF(AND(OR($A383&lt;&gt;"",$E383&lt;&gt;"",$F383&lt;&gt;"",$G383&lt;&gt;"",$H383&lt;&gt;"",$I383&lt;&gt;""),NOT(ISNUMBER($O383))),1,"")</f>
        <v/>
      </c>
    </row>
    <row r="384" ht="18" customHeight="1">
      <c r="A384" s="26" t="n"/>
      <c r="B384" s="18" t="n"/>
      <c r="C384" s="18" t="n"/>
      <c r="D384" s="20">
        <f>IF($P384="","",IFERROR(INDEX('得意先'!$C$5:$C$104,MATCH($P384,'得意先'!$B$5:$B$104,0))&amp;"","※得意先にないコード"))</f>
        <v/>
      </c>
      <c r="E384" s="27" t="n"/>
      <c r="F384" s="18" t="n"/>
      <c r="G384" s="27" t="n"/>
      <c r="H384" s="27" t="n"/>
      <c r="I384" s="27" t="n"/>
      <c r="J384" s="28">
        <f>IF(NOT(OR($A384&lt;&gt;"",$E384&lt;&gt;"",$F384&lt;&gt;"",$G384&lt;&gt;"",$H384&lt;&gt;"",$I384&lt;&gt;"")),"",N($G384)+N($H384)+N($I384))</f>
        <v/>
      </c>
      <c r="K384" s="28">
        <f>IF(ISNUMBER($O384),INDEX('請求台帳'!$R$5:$R$1004,$O384),"")</f>
        <v/>
      </c>
      <c r="L384" s="20">
        <f>IF(NOT(OR($A384&lt;&gt;"",$E384&lt;&gt;"",$F384&lt;&gt;"",$G384&lt;&gt;"",$H384&lt;&gt;"",$I384&lt;&gt;"")),"",IF(NOT(ISNUMBER($A384)),"入金日がありません",IF(AND($F384&lt;&gt;"",$O384="なし"),"請求Noが請求台帳にありません",IF(AND(ISNUMBER($O384),$C384&lt;&gt;"",$C384&lt;&gt;$P384),"請求の得意先は "&amp;$P384&amp;" です",IF(ROUND(IF($B384&lt;&gt;"",SUMIF($B$5:$B$1004,$B384,$E$5:$E$1004)-SUMIF($B$5:$B$1004,$B384,$G$5:$G$1004),N($E384)-N($G384)),0)&lt;&gt;0,"通帳の額と当てた額の差 "&amp;TEXT(IF($B384&lt;&gt;"",SUMIF($B$5:$B$1004,$B384,$E$5:$E$1004)-SUMIF($B$5:$B$1004,$B384,$G$5:$G$1004),N($E384)-N($G384)),"#,##0"),IF(AND(ISNUMBER($O384),N($K384)&lt;0),"請求額より多く消し込んでいます",IF($F384="","消込先が未定","OK")))))))</f>
        <v/>
      </c>
      <c r="M384" s="19" t="n"/>
      <c r="N384" s="56" t="n"/>
      <c r="O384" s="32">
        <f>IF($F384="","",IFERROR(MATCH($F384,'請求台帳'!$A$5:$A$1004,0),"なし"))</f>
        <v/>
      </c>
      <c r="P384" s="37">
        <f>IF(NOT(OR($A384&lt;&gt;"",$E384&lt;&gt;"",$F384&lt;&gt;"",$G384&lt;&gt;"",$H384&lt;&gt;"",$I384&lt;&gt;"")),"",IF(ISNUMBER($O384),IF(INDEX('請求台帳'!$C$5:$C$1004,$O384)="","",INDEX('請求台帳'!$C$5:$C$1004,$O384)),IF($C384="","",$C384)))</f>
        <v/>
      </c>
      <c r="Q384" s="35">
        <f>IF(OR(NOT(OR($A384&lt;&gt;"",$E384&lt;&gt;"",$F384&lt;&gt;"",$G384&lt;&gt;"",$H384&lt;&gt;"",$I384&lt;&gt;"")),$P384="",$P384&lt;&gt;'売掛帳'!$B$3,NOT(ISNUMBER($A384)),N($G384)+N($H384)+N($I384)=0),"",IF(AND($A384&gt;='売掛帳'!$Q$3,$A384&lt;='売掛帳'!$Q$4),$A384+0.5+ROW()/10000000,""))</f>
        <v/>
      </c>
      <c r="R384" s="32">
        <f>IF(AND(OR($A384&lt;&gt;"",$E384&lt;&gt;"",$F384&lt;&gt;"",$G384&lt;&gt;"",$H384&lt;&gt;"",$I384&lt;&gt;""),NOT(ISNUMBER($O384))),1,"")</f>
        <v/>
      </c>
    </row>
    <row r="385" ht="18" customHeight="1">
      <c r="A385" s="26" t="n"/>
      <c r="B385" s="18" t="n"/>
      <c r="C385" s="18" t="n"/>
      <c r="D385" s="20">
        <f>IF($P385="","",IFERROR(INDEX('得意先'!$C$5:$C$104,MATCH($P385,'得意先'!$B$5:$B$104,0))&amp;"","※得意先にないコード"))</f>
        <v/>
      </c>
      <c r="E385" s="27" t="n"/>
      <c r="F385" s="18" t="n"/>
      <c r="G385" s="27" t="n"/>
      <c r="H385" s="27" t="n"/>
      <c r="I385" s="27" t="n"/>
      <c r="J385" s="28">
        <f>IF(NOT(OR($A385&lt;&gt;"",$E385&lt;&gt;"",$F385&lt;&gt;"",$G385&lt;&gt;"",$H385&lt;&gt;"",$I385&lt;&gt;"")),"",N($G385)+N($H385)+N($I385))</f>
        <v/>
      </c>
      <c r="K385" s="28">
        <f>IF(ISNUMBER($O385),INDEX('請求台帳'!$R$5:$R$1004,$O385),"")</f>
        <v/>
      </c>
      <c r="L385" s="20">
        <f>IF(NOT(OR($A385&lt;&gt;"",$E385&lt;&gt;"",$F385&lt;&gt;"",$G385&lt;&gt;"",$H385&lt;&gt;"",$I385&lt;&gt;"")),"",IF(NOT(ISNUMBER($A385)),"入金日がありません",IF(AND($F385&lt;&gt;"",$O385="なし"),"請求Noが請求台帳にありません",IF(AND(ISNUMBER($O385),$C385&lt;&gt;"",$C385&lt;&gt;$P385),"請求の得意先は "&amp;$P385&amp;" です",IF(ROUND(IF($B385&lt;&gt;"",SUMIF($B$5:$B$1004,$B385,$E$5:$E$1004)-SUMIF($B$5:$B$1004,$B385,$G$5:$G$1004),N($E385)-N($G385)),0)&lt;&gt;0,"通帳の額と当てた額の差 "&amp;TEXT(IF($B385&lt;&gt;"",SUMIF($B$5:$B$1004,$B385,$E$5:$E$1004)-SUMIF($B$5:$B$1004,$B385,$G$5:$G$1004),N($E385)-N($G385)),"#,##0"),IF(AND(ISNUMBER($O385),N($K385)&lt;0),"請求額より多く消し込んでいます",IF($F385="","消込先が未定","OK")))))))</f>
        <v/>
      </c>
      <c r="M385" s="19" t="n"/>
      <c r="N385" s="56" t="n"/>
      <c r="O385" s="32">
        <f>IF($F385="","",IFERROR(MATCH($F385,'請求台帳'!$A$5:$A$1004,0),"なし"))</f>
        <v/>
      </c>
      <c r="P385" s="37">
        <f>IF(NOT(OR($A385&lt;&gt;"",$E385&lt;&gt;"",$F385&lt;&gt;"",$G385&lt;&gt;"",$H385&lt;&gt;"",$I385&lt;&gt;"")),"",IF(ISNUMBER($O385),IF(INDEX('請求台帳'!$C$5:$C$1004,$O385)="","",INDEX('請求台帳'!$C$5:$C$1004,$O385)),IF($C385="","",$C385)))</f>
        <v/>
      </c>
      <c r="Q385" s="35">
        <f>IF(OR(NOT(OR($A385&lt;&gt;"",$E385&lt;&gt;"",$F385&lt;&gt;"",$G385&lt;&gt;"",$H385&lt;&gt;"",$I385&lt;&gt;"")),$P385="",$P385&lt;&gt;'売掛帳'!$B$3,NOT(ISNUMBER($A385)),N($G385)+N($H385)+N($I385)=0),"",IF(AND($A385&gt;='売掛帳'!$Q$3,$A385&lt;='売掛帳'!$Q$4),$A385+0.5+ROW()/10000000,""))</f>
        <v/>
      </c>
      <c r="R385" s="32">
        <f>IF(AND(OR($A385&lt;&gt;"",$E385&lt;&gt;"",$F385&lt;&gt;"",$G385&lt;&gt;"",$H385&lt;&gt;"",$I385&lt;&gt;""),NOT(ISNUMBER($O385))),1,"")</f>
        <v/>
      </c>
    </row>
    <row r="386" ht="18" customHeight="1">
      <c r="A386" s="26" t="n"/>
      <c r="B386" s="18" t="n"/>
      <c r="C386" s="18" t="n"/>
      <c r="D386" s="20">
        <f>IF($P386="","",IFERROR(INDEX('得意先'!$C$5:$C$104,MATCH($P386,'得意先'!$B$5:$B$104,0))&amp;"","※得意先にないコード"))</f>
        <v/>
      </c>
      <c r="E386" s="27" t="n"/>
      <c r="F386" s="18" t="n"/>
      <c r="G386" s="27" t="n"/>
      <c r="H386" s="27" t="n"/>
      <c r="I386" s="27" t="n"/>
      <c r="J386" s="28">
        <f>IF(NOT(OR($A386&lt;&gt;"",$E386&lt;&gt;"",$F386&lt;&gt;"",$G386&lt;&gt;"",$H386&lt;&gt;"",$I386&lt;&gt;"")),"",N($G386)+N($H386)+N($I386))</f>
        <v/>
      </c>
      <c r="K386" s="28">
        <f>IF(ISNUMBER($O386),INDEX('請求台帳'!$R$5:$R$1004,$O386),"")</f>
        <v/>
      </c>
      <c r="L386" s="20">
        <f>IF(NOT(OR($A386&lt;&gt;"",$E386&lt;&gt;"",$F386&lt;&gt;"",$G386&lt;&gt;"",$H386&lt;&gt;"",$I386&lt;&gt;"")),"",IF(NOT(ISNUMBER($A386)),"入金日がありません",IF(AND($F386&lt;&gt;"",$O386="なし"),"請求Noが請求台帳にありません",IF(AND(ISNUMBER($O386),$C386&lt;&gt;"",$C386&lt;&gt;$P386),"請求の得意先は "&amp;$P386&amp;" です",IF(ROUND(IF($B386&lt;&gt;"",SUMIF($B$5:$B$1004,$B386,$E$5:$E$1004)-SUMIF($B$5:$B$1004,$B386,$G$5:$G$1004),N($E386)-N($G386)),0)&lt;&gt;0,"通帳の額と当てた額の差 "&amp;TEXT(IF($B386&lt;&gt;"",SUMIF($B$5:$B$1004,$B386,$E$5:$E$1004)-SUMIF($B$5:$B$1004,$B386,$G$5:$G$1004),N($E386)-N($G386)),"#,##0"),IF(AND(ISNUMBER($O386),N($K386)&lt;0),"請求額より多く消し込んでいます",IF($F386="","消込先が未定","OK")))))))</f>
        <v/>
      </c>
      <c r="M386" s="19" t="n"/>
      <c r="N386" s="56" t="n"/>
      <c r="O386" s="32">
        <f>IF($F386="","",IFERROR(MATCH($F386,'請求台帳'!$A$5:$A$1004,0),"なし"))</f>
        <v/>
      </c>
      <c r="P386" s="37">
        <f>IF(NOT(OR($A386&lt;&gt;"",$E386&lt;&gt;"",$F386&lt;&gt;"",$G386&lt;&gt;"",$H386&lt;&gt;"",$I386&lt;&gt;"")),"",IF(ISNUMBER($O386),IF(INDEX('請求台帳'!$C$5:$C$1004,$O386)="","",INDEX('請求台帳'!$C$5:$C$1004,$O386)),IF($C386="","",$C386)))</f>
        <v/>
      </c>
      <c r="Q386" s="35">
        <f>IF(OR(NOT(OR($A386&lt;&gt;"",$E386&lt;&gt;"",$F386&lt;&gt;"",$G386&lt;&gt;"",$H386&lt;&gt;"",$I386&lt;&gt;"")),$P386="",$P386&lt;&gt;'売掛帳'!$B$3,NOT(ISNUMBER($A386)),N($G386)+N($H386)+N($I386)=0),"",IF(AND($A386&gt;='売掛帳'!$Q$3,$A386&lt;='売掛帳'!$Q$4),$A386+0.5+ROW()/10000000,""))</f>
        <v/>
      </c>
      <c r="R386" s="32">
        <f>IF(AND(OR($A386&lt;&gt;"",$E386&lt;&gt;"",$F386&lt;&gt;"",$G386&lt;&gt;"",$H386&lt;&gt;"",$I386&lt;&gt;""),NOT(ISNUMBER($O386))),1,"")</f>
        <v/>
      </c>
    </row>
    <row r="387" ht="18" customHeight="1">
      <c r="A387" s="26" t="n"/>
      <c r="B387" s="18" t="n"/>
      <c r="C387" s="18" t="n"/>
      <c r="D387" s="20">
        <f>IF($P387="","",IFERROR(INDEX('得意先'!$C$5:$C$104,MATCH($P387,'得意先'!$B$5:$B$104,0))&amp;"","※得意先にないコード"))</f>
        <v/>
      </c>
      <c r="E387" s="27" t="n"/>
      <c r="F387" s="18" t="n"/>
      <c r="G387" s="27" t="n"/>
      <c r="H387" s="27" t="n"/>
      <c r="I387" s="27" t="n"/>
      <c r="J387" s="28">
        <f>IF(NOT(OR($A387&lt;&gt;"",$E387&lt;&gt;"",$F387&lt;&gt;"",$G387&lt;&gt;"",$H387&lt;&gt;"",$I387&lt;&gt;"")),"",N($G387)+N($H387)+N($I387))</f>
        <v/>
      </c>
      <c r="K387" s="28">
        <f>IF(ISNUMBER($O387),INDEX('請求台帳'!$R$5:$R$1004,$O387),"")</f>
        <v/>
      </c>
      <c r="L387" s="20">
        <f>IF(NOT(OR($A387&lt;&gt;"",$E387&lt;&gt;"",$F387&lt;&gt;"",$G387&lt;&gt;"",$H387&lt;&gt;"",$I387&lt;&gt;"")),"",IF(NOT(ISNUMBER($A387)),"入金日がありません",IF(AND($F387&lt;&gt;"",$O387="なし"),"請求Noが請求台帳にありません",IF(AND(ISNUMBER($O387),$C387&lt;&gt;"",$C387&lt;&gt;$P387),"請求の得意先は "&amp;$P387&amp;" です",IF(ROUND(IF($B387&lt;&gt;"",SUMIF($B$5:$B$1004,$B387,$E$5:$E$1004)-SUMIF($B$5:$B$1004,$B387,$G$5:$G$1004),N($E387)-N($G387)),0)&lt;&gt;0,"通帳の額と当てた額の差 "&amp;TEXT(IF($B387&lt;&gt;"",SUMIF($B$5:$B$1004,$B387,$E$5:$E$1004)-SUMIF($B$5:$B$1004,$B387,$G$5:$G$1004),N($E387)-N($G387)),"#,##0"),IF(AND(ISNUMBER($O387),N($K387)&lt;0),"請求額より多く消し込んでいます",IF($F387="","消込先が未定","OK")))))))</f>
        <v/>
      </c>
      <c r="M387" s="19" t="n"/>
      <c r="N387" s="56" t="n"/>
      <c r="O387" s="32">
        <f>IF($F387="","",IFERROR(MATCH($F387,'請求台帳'!$A$5:$A$1004,0),"なし"))</f>
        <v/>
      </c>
      <c r="P387" s="37">
        <f>IF(NOT(OR($A387&lt;&gt;"",$E387&lt;&gt;"",$F387&lt;&gt;"",$G387&lt;&gt;"",$H387&lt;&gt;"",$I387&lt;&gt;"")),"",IF(ISNUMBER($O387),IF(INDEX('請求台帳'!$C$5:$C$1004,$O387)="","",INDEX('請求台帳'!$C$5:$C$1004,$O387)),IF($C387="","",$C387)))</f>
        <v/>
      </c>
      <c r="Q387" s="35">
        <f>IF(OR(NOT(OR($A387&lt;&gt;"",$E387&lt;&gt;"",$F387&lt;&gt;"",$G387&lt;&gt;"",$H387&lt;&gt;"",$I387&lt;&gt;"")),$P387="",$P387&lt;&gt;'売掛帳'!$B$3,NOT(ISNUMBER($A387)),N($G387)+N($H387)+N($I387)=0),"",IF(AND($A387&gt;='売掛帳'!$Q$3,$A387&lt;='売掛帳'!$Q$4),$A387+0.5+ROW()/10000000,""))</f>
        <v/>
      </c>
      <c r="R387" s="32">
        <f>IF(AND(OR($A387&lt;&gt;"",$E387&lt;&gt;"",$F387&lt;&gt;"",$G387&lt;&gt;"",$H387&lt;&gt;"",$I387&lt;&gt;""),NOT(ISNUMBER($O387))),1,"")</f>
        <v/>
      </c>
    </row>
    <row r="388" ht="18" customHeight="1">
      <c r="A388" s="26" t="n"/>
      <c r="B388" s="18" t="n"/>
      <c r="C388" s="18" t="n"/>
      <c r="D388" s="20">
        <f>IF($P388="","",IFERROR(INDEX('得意先'!$C$5:$C$104,MATCH($P388,'得意先'!$B$5:$B$104,0))&amp;"","※得意先にないコード"))</f>
        <v/>
      </c>
      <c r="E388" s="27" t="n"/>
      <c r="F388" s="18" t="n"/>
      <c r="G388" s="27" t="n"/>
      <c r="H388" s="27" t="n"/>
      <c r="I388" s="27" t="n"/>
      <c r="J388" s="28">
        <f>IF(NOT(OR($A388&lt;&gt;"",$E388&lt;&gt;"",$F388&lt;&gt;"",$G388&lt;&gt;"",$H388&lt;&gt;"",$I388&lt;&gt;"")),"",N($G388)+N($H388)+N($I388))</f>
        <v/>
      </c>
      <c r="K388" s="28">
        <f>IF(ISNUMBER($O388),INDEX('請求台帳'!$R$5:$R$1004,$O388),"")</f>
        <v/>
      </c>
      <c r="L388" s="20">
        <f>IF(NOT(OR($A388&lt;&gt;"",$E388&lt;&gt;"",$F388&lt;&gt;"",$G388&lt;&gt;"",$H388&lt;&gt;"",$I388&lt;&gt;"")),"",IF(NOT(ISNUMBER($A388)),"入金日がありません",IF(AND($F388&lt;&gt;"",$O388="なし"),"請求Noが請求台帳にありません",IF(AND(ISNUMBER($O388),$C388&lt;&gt;"",$C388&lt;&gt;$P388),"請求の得意先は "&amp;$P388&amp;" です",IF(ROUND(IF($B388&lt;&gt;"",SUMIF($B$5:$B$1004,$B388,$E$5:$E$1004)-SUMIF($B$5:$B$1004,$B388,$G$5:$G$1004),N($E388)-N($G388)),0)&lt;&gt;0,"通帳の額と当てた額の差 "&amp;TEXT(IF($B388&lt;&gt;"",SUMIF($B$5:$B$1004,$B388,$E$5:$E$1004)-SUMIF($B$5:$B$1004,$B388,$G$5:$G$1004),N($E388)-N($G388)),"#,##0"),IF(AND(ISNUMBER($O388),N($K388)&lt;0),"請求額より多く消し込んでいます",IF($F388="","消込先が未定","OK")))))))</f>
        <v/>
      </c>
      <c r="M388" s="19" t="n"/>
      <c r="N388" s="56" t="n"/>
      <c r="O388" s="32">
        <f>IF($F388="","",IFERROR(MATCH($F388,'請求台帳'!$A$5:$A$1004,0),"なし"))</f>
        <v/>
      </c>
      <c r="P388" s="37">
        <f>IF(NOT(OR($A388&lt;&gt;"",$E388&lt;&gt;"",$F388&lt;&gt;"",$G388&lt;&gt;"",$H388&lt;&gt;"",$I388&lt;&gt;"")),"",IF(ISNUMBER($O388),IF(INDEX('請求台帳'!$C$5:$C$1004,$O388)="","",INDEX('請求台帳'!$C$5:$C$1004,$O388)),IF($C388="","",$C388)))</f>
        <v/>
      </c>
      <c r="Q388" s="35">
        <f>IF(OR(NOT(OR($A388&lt;&gt;"",$E388&lt;&gt;"",$F388&lt;&gt;"",$G388&lt;&gt;"",$H388&lt;&gt;"",$I388&lt;&gt;"")),$P388="",$P388&lt;&gt;'売掛帳'!$B$3,NOT(ISNUMBER($A388)),N($G388)+N($H388)+N($I388)=0),"",IF(AND($A388&gt;='売掛帳'!$Q$3,$A388&lt;='売掛帳'!$Q$4),$A388+0.5+ROW()/10000000,""))</f>
        <v/>
      </c>
      <c r="R388" s="32">
        <f>IF(AND(OR($A388&lt;&gt;"",$E388&lt;&gt;"",$F388&lt;&gt;"",$G388&lt;&gt;"",$H388&lt;&gt;"",$I388&lt;&gt;""),NOT(ISNUMBER($O388))),1,"")</f>
        <v/>
      </c>
    </row>
    <row r="389" ht="18" customHeight="1">
      <c r="A389" s="26" t="n"/>
      <c r="B389" s="18" t="n"/>
      <c r="C389" s="18" t="n"/>
      <c r="D389" s="20">
        <f>IF($P389="","",IFERROR(INDEX('得意先'!$C$5:$C$104,MATCH($P389,'得意先'!$B$5:$B$104,0))&amp;"","※得意先にないコード"))</f>
        <v/>
      </c>
      <c r="E389" s="27" t="n"/>
      <c r="F389" s="18" t="n"/>
      <c r="G389" s="27" t="n"/>
      <c r="H389" s="27" t="n"/>
      <c r="I389" s="27" t="n"/>
      <c r="J389" s="28">
        <f>IF(NOT(OR($A389&lt;&gt;"",$E389&lt;&gt;"",$F389&lt;&gt;"",$G389&lt;&gt;"",$H389&lt;&gt;"",$I389&lt;&gt;"")),"",N($G389)+N($H389)+N($I389))</f>
        <v/>
      </c>
      <c r="K389" s="28">
        <f>IF(ISNUMBER($O389),INDEX('請求台帳'!$R$5:$R$1004,$O389),"")</f>
        <v/>
      </c>
      <c r="L389" s="20">
        <f>IF(NOT(OR($A389&lt;&gt;"",$E389&lt;&gt;"",$F389&lt;&gt;"",$G389&lt;&gt;"",$H389&lt;&gt;"",$I389&lt;&gt;"")),"",IF(NOT(ISNUMBER($A389)),"入金日がありません",IF(AND($F389&lt;&gt;"",$O389="なし"),"請求Noが請求台帳にありません",IF(AND(ISNUMBER($O389),$C389&lt;&gt;"",$C389&lt;&gt;$P389),"請求の得意先は "&amp;$P389&amp;" です",IF(ROUND(IF($B389&lt;&gt;"",SUMIF($B$5:$B$1004,$B389,$E$5:$E$1004)-SUMIF($B$5:$B$1004,$B389,$G$5:$G$1004),N($E389)-N($G389)),0)&lt;&gt;0,"通帳の額と当てた額の差 "&amp;TEXT(IF($B389&lt;&gt;"",SUMIF($B$5:$B$1004,$B389,$E$5:$E$1004)-SUMIF($B$5:$B$1004,$B389,$G$5:$G$1004),N($E389)-N($G389)),"#,##0"),IF(AND(ISNUMBER($O389),N($K389)&lt;0),"請求額より多く消し込んでいます",IF($F389="","消込先が未定","OK")))))))</f>
        <v/>
      </c>
      <c r="M389" s="19" t="n"/>
      <c r="N389" s="56" t="n"/>
      <c r="O389" s="32">
        <f>IF($F389="","",IFERROR(MATCH($F389,'請求台帳'!$A$5:$A$1004,0),"なし"))</f>
        <v/>
      </c>
      <c r="P389" s="37">
        <f>IF(NOT(OR($A389&lt;&gt;"",$E389&lt;&gt;"",$F389&lt;&gt;"",$G389&lt;&gt;"",$H389&lt;&gt;"",$I389&lt;&gt;"")),"",IF(ISNUMBER($O389),IF(INDEX('請求台帳'!$C$5:$C$1004,$O389)="","",INDEX('請求台帳'!$C$5:$C$1004,$O389)),IF($C389="","",$C389)))</f>
        <v/>
      </c>
      <c r="Q389" s="35">
        <f>IF(OR(NOT(OR($A389&lt;&gt;"",$E389&lt;&gt;"",$F389&lt;&gt;"",$G389&lt;&gt;"",$H389&lt;&gt;"",$I389&lt;&gt;"")),$P389="",$P389&lt;&gt;'売掛帳'!$B$3,NOT(ISNUMBER($A389)),N($G389)+N($H389)+N($I389)=0),"",IF(AND($A389&gt;='売掛帳'!$Q$3,$A389&lt;='売掛帳'!$Q$4),$A389+0.5+ROW()/10000000,""))</f>
        <v/>
      </c>
      <c r="R389" s="32">
        <f>IF(AND(OR($A389&lt;&gt;"",$E389&lt;&gt;"",$F389&lt;&gt;"",$G389&lt;&gt;"",$H389&lt;&gt;"",$I389&lt;&gt;""),NOT(ISNUMBER($O389))),1,"")</f>
        <v/>
      </c>
    </row>
    <row r="390" ht="18" customHeight="1">
      <c r="A390" s="26" t="n"/>
      <c r="B390" s="18" t="n"/>
      <c r="C390" s="18" t="n"/>
      <c r="D390" s="20">
        <f>IF($P390="","",IFERROR(INDEX('得意先'!$C$5:$C$104,MATCH($P390,'得意先'!$B$5:$B$104,0))&amp;"","※得意先にないコード"))</f>
        <v/>
      </c>
      <c r="E390" s="27" t="n"/>
      <c r="F390" s="18" t="n"/>
      <c r="G390" s="27" t="n"/>
      <c r="H390" s="27" t="n"/>
      <c r="I390" s="27" t="n"/>
      <c r="J390" s="28">
        <f>IF(NOT(OR($A390&lt;&gt;"",$E390&lt;&gt;"",$F390&lt;&gt;"",$G390&lt;&gt;"",$H390&lt;&gt;"",$I390&lt;&gt;"")),"",N($G390)+N($H390)+N($I390))</f>
        <v/>
      </c>
      <c r="K390" s="28">
        <f>IF(ISNUMBER($O390),INDEX('請求台帳'!$R$5:$R$1004,$O390),"")</f>
        <v/>
      </c>
      <c r="L390" s="20">
        <f>IF(NOT(OR($A390&lt;&gt;"",$E390&lt;&gt;"",$F390&lt;&gt;"",$G390&lt;&gt;"",$H390&lt;&gt;"",$I390&lt;&gt;"")),"",IF(NOT(ISNUMBER($A390)),"入金日がありません",IF(AND($F390&lt;&gt;"",$O390="なし"),"請求Noが請求台帳にありません",IF(AND(ISNUMBER($O390),$C390&lt;&gt;"",$C390&lt;&gt;$P390),"請求の得意先は "&amp;$P390&amp;" です",IF(ROUND(IF($B390&lt;&gt;"",SUMIF($B$5:$B$1004,$B390,$E$5:$E$1004)-SUMIF($B$5:$B$1004,$B390,$G$5:$G$1004),N($E390)-N($G390)),0)&lt;&gt;0,"通帳の額と当てた額の差 "&amp;TEXT(IF($B390&lt;&gt;"",SUMIF($B$5:$B$1004,$B390,$E$5:$E$1004)-SUMIF($B$5:$B$1004,$B390,$G$5:$G$1004),N($E390)-N($G390)),"#,##0"),IF(AND(ISNUMBER($O390),N($K390)&lt;0),"請求額より多く消し込んでいます",IF($F390="","消込先が未定","OK")))))))</f>
        <v/>
      </c>
      <c r="M390" s="19" t="n"/>
      <c r="N390" s="56" t="n"/>
      <c r="O390" s="32">
        <f>IF($F390="","",IFERROR(MATCH($F390,'請求台帳'!$A$5:$A$1004,0),"なし"))</f>
        <v/>
      </c>
      <c r="P390" s="37">
        <f>IF(NOT(OR($A390&lt;&gt;"",$E390&lt;&gt;"",$F390&lt;&gt;"",$G390&lt;&gt;"",$H390&lt;&gt;"",$I390&lt;&gt;"")),"",IF(ISNUMBER($O390),IF(INDEX('請求台帳'!$C$5:$C$1004,$O390)="","",INDEX('請求台帳'!$C$5:$C$1004,$O390)),IF($C390="","",$C390)))</f>
        <v/>
      </c>
      <c r="Q390" s="35">
        <f>IF(OR(NOT(OR($A390&lt;&gt;"",$E390&lt;&gt;"",$F390&lt;&gt;"",$G390&lt;&gt;"",$H390&lt;&gt;"",$I390&lt;&gt;"")),$P390="",$P390&lt;&gt;'売掛帳'!$B$3,NOT(ISNUMBER($A390)),N($G390)+N($H390)+N($I390)=0),"",IF(AND($A390&gt;='売掛帳'!$Q$3,$A390&lt;='売掛帳'!$Q$4),$A390+0.5+ROW()/10000000,""))</f>
        <v/>
      </c>
      <c r="R390" s="32">
        <f>IF(AND(OR($A390&lt;&gt;"",$E390&lt;&gt;"",$F390&lt;&gt;"",$G390&lt;&gt;"",$H390&lt;&gt;"",$I390&lt;&gt;""),NOT(ISNUMBER($O390))),1,"")</f>
        <v/>
      </c>
    </row>
    <row r="391" ht="18" customHeight="1">
      <c r="A391" s="26" t="n"/>
      <c r="B391" s="18" t="n"/>
      <c r="C391" s="18" t="n"/>
      <c r="D391" s="20">
        <f>IF($P391="","",IFERROR(INDEX('得意先'!$C$5:$C$104,MATCH($P391,'得意先'!$B$5:$B$104,0))&amp;"","※得意先にないコード"))</f>
        <v/>
      </c>
      <c r="E391" s="27" t="n"/>
      <c r="F391" s="18" t="n"/>
      <c r="G391" s="27" t="n"/>
      <c r="H391" s="27" t="n"/>
      <c r="I391" s="27" t="n"/>
      <c r="J391" s="28">
        <f>IF(NOT(OR($A391&lt;&gt;"",$E391&lt;&gt;"",$F391&lt;&gt;"",$G391&lt;&gt;"",$H391&lt;&gt;"",$I391&lt;&gt;"")),"",N($G391)+N($H391)+N($I391))</f>
        <v/>
      </c>
      <c r="K391" s="28">
        <f>IF(ISNUMBER($O391),INDEX('請求台帳'!$R$5:$R$1004,$O391),"")</f>
        <v/>
      </c>
      <c r="L391" s="20">
        <f>IF(NOT(OR($A391&lt;&gt;"",$E391&lt;&gt;"",$F391&lt;&gt;"",$G391&lt;&gt;"",$H391&lt;&gt;"",$I391&lt;&gt;"")),"",IF(NOT(ISNUMBER($A391)),"入金日がありません",IF(AND($F391&lt;&gt;"",$O391="なし"),"請求Noが請求台帳にありません",IF(AND(ISNUMBER($O391),$C391&lt;&gt;"",$C391&lt;&gt;$P391),"請求の得意先は "&amp;$P391&amp;" です",IF(ROUND(IF($B391&lt;&gt;"",SUMIF($B$5:$B$1004,$B391,$E$5:$E$1004)-SUMIF($B$5:$B$1004,$B391,$G$5:$G$1004),N($E391)-N($G391)),0)&lt;&gt;0,"通帳の額と当てた額の差 "&amp;TEXT(IF($B391&lt;&gt;"",SUMIF($B$5:$B$1004,$B391,$E$5:$E$1004)-SUMIF($B$5:$B$1004,$B391,$G$5:$G$1004),N($E391)-N($G391)),"#,##0"),IF(AND(ISNUMBER($O391),N($K391)&lt;0),"請求額より多く消し込んでいます",IF($F391="","消込先が未定","OK")))))))</f>
        <v/>
      </c>
      <c r="M391" s="19" t="n"/>
      <c r="N391" s="56" t="n"/>
      <c r="O391" s="32">
        <f>IF($F391="","",IFERROR(MATCH($F391,'請求台帳'!$A$5:$A$1004,0),"なし"))</f>
        <v/>
      </c>
      <c r="P391" s="37">
        <f>IF(NOT(OR($A391&lt;&gt;"",$E391&lt;&gt;"",$F391&lt;&gt;"",$G391&lt;&gt;"",$H391&lt;&gt;"",$I391&lt;&gt;"")),"",IF(ISNUMBER($O391),IF(INDEX('請求台帳'!$C$5:$C$1004,$O391)="","",INDEX('請求台帳'!$C$5:$C$1004,$O391)),IF($C391="","",$C391)))</f>
        <v/>
      </c>
      <c r="Q391" s="35">
        <f>IF(OR(NOT(OR($A391&lt;&gt;"",$E391&lt;&gt;"",$F391&lt;&gt;"",$G391&lt;&gt;"",$H391&lt;&gt;"",$I391&lt;&gt;"")),$P391="",$P391&lt;&gt;'売掛帳'!$B$3,NOT(ISNUMBER($A391)),N($G391)+N($H391)+N($I391)=0),"",IF(AND($A391&gt;='売掛帳'!$Q$3,$A391&lt;='売掛帳'!$Q$4),$A391+0.5+ROW()/10000000,""))</f>
        <v/>
      </c>
      <c r="R391" s="32">
        <f>IF(AND(OR($A391&lt;&gt;"",$E391&lt;&gt;"",$F391&lt;&gt;"",$G391&lt;&gt;"",$H391&lt;&gt;"",$I391&lt;&gt;""),NOT(ISNUMBER($O391))),1,"")</f>
        <v/>
      </c>
    </row>
    <row r="392" ht="18" customHeight="1">
      <c r="A392" s="26" t="n"/>
      <c r="B392" s="18" t="n"/>
      <c r="C392" s="18" t="n"/>
      <c r="D392" s="20">
        <f>IF($P392="","",IFERROR(INDEX('得意先'!$C$5:$C$104,MATCH($P392,'得意先'!$B$5:$B$104,0))&amp;"","※得意先にないコード"))</f>
        <v/>
      </c>
      <c r="E392" s="27" t="n"/>
      <c r="F392" s="18" t="n"/>
      <c r="G392" s="27" t="n"/>
      <c r="H392" s="27" t="n"/>
      <c r="I392" s="27" t="n"/>
      <c r="J392" s="28">
        <f>IF(NOT(OR($A392&lt;&gt;"",$E392&lt;&gt;"",$F392&lt;&gt;"",$G392&lt;&gt;"",$H392&lt;&gt;"",$I392&lt;&gt;"")),"",N($G392)+N($H392)+N($I392))</f>
        <v/>
      </c>
      <c r="K392" s="28">
        <f>IF(ISNUMBER($O392),INDEX('請求台帳'!$R$5:$R$1004,$O392),"")</f>
        <v/>
      </c>
      <c r="L392" s="20">
        <f>IF(NOT(OR($A392&lt;&gt;"",$E392&lt;&gt;"",$F392&lt;&gt;"",$G392&lt;&gt;"",$H392&lt;&gt;"",$I392&lt;&gt;"")),"",IF(NOT(ISNUMBER($A392)),"入金日がありません",IF(AND($F392&lt;&gt;"",$O392="なし"),"請求Noが請求台帳にありません",IF(AND(ISNUMBER($O392),$C392&lt;&gt;"",$C392&lt;&gt;$P392),"請求の得意先は "&amp;$P392&amp;" です",IF(ROUND(IF($B392&lt;&gt;"",SUMIF($B$5:$B$1004,$B392,$E$5:$E$1004)-SUMIF($B$5:$B$1004,$B392,$G$5:$G$1004),N($E392)-N($G392)),0)&lt;&gt;0,"通帳の額と当てた額の差 "&amp;TEXT(IF($B392&lt;&gt;"",SUMIF($B$5:$B$1004,$B392,$E$5:$E$1004)-SUMIF($B$5:$B$1004,$B392,$G$5:$G$1004),N($E392)-N($G392)),"#,##0"),IF(AND(ISNUMBER($O392),N($K392)&lt;0),"請求額より多く消し込んでいます",IF($F392="","消込先が未定","OK")))))))</f>
        <v/>
      </c>
      <c r="M392" s="19" t="n"/>
      <c r="N392" s="56" t="n"/>
      <c r="O392" s="32">
        <f>IF($F392="","",IFERROR(MATCH($F392,'請求台帳'!$A$5:$A$1004,0),"なし"))</f>
        <v/>
      </c>
      <c r="P392" s="37">
        <f>IF(NOT(OR($A392&lt;&gt;"",$E392&lt;&gt;"",$F392&lt;&gt;"",$G392&lt;&gt;"",$H392&lt;&gt;"",$I392&lt;&gt;"")),"",IF(ISNUMBER($O392),IF(INDEX('請求台帳'!$C$5:$C$1004,$O392)="","",INDEX('請求台帳'!$C$5:$C$1004,$O392)),IF($C392="","",$C392)))</f>
        <v/>
      </c>
      <c r="Q392" s="35">
        <f>IF(OR(NOT(OR($A392&lt;&gt;"",$E392&lt;&gt;"",$F392&lt;&gt;"",$G392&lt;&gt;"",$H392&lt;&gt;"",$I392&lt;&gt;"")),$P392="",$P392&lt;&gt;'売掛帳'!$B$3,NOT(ISNUMBER($A392)),N($G392)+N($H392)+N($I392)=0),"",IF(AND($A392&gt;='売掛帳'!$Q$3,$A392&lt;='売掛帳'!$Q$4),$A392+0.5+ROW()/10000000,""))</f>
        <v/>
      </c>
      <c r="R392" s="32">
        <f>IF(AND(OR($A392&lt;&gt;"",$E392&lt;&gt;"",$F392&lt;&gt;"",$G392&lt;&gt;"",$H392&lt;&gt;"",$I392&lt;&gt;""),NOT(ISNUMBER($O392))),1,"")</f>
        <v/>
      </c>
    </row>
    <row r="393" ht="18" customHeight="1">
      <c r="A393" s="26" t="n"/>
      <c r="B393" s="18" t="n"/>
      <c r="C393" s="18" t="n"/>
      <c r="D393" s="20">
        <f>IF($P393="","",IFERROR(INDEX('得意先'!$C$5:$C$104,MATCH($P393,'得意先'!$B$5:$B$104,0))&amp;"","※得意先にないコード"))</f>
        <v/>
      </c>
      <c r="E393" s="27" t="n"/>
      <c r="F393" s="18" t="n"/>
      <c r="G393" s="27" t="n"/>
      <c r="H393" s="27" t="n"/>
      <c r="I393" s="27" t="n"/>
      <c r="J393" s="28">
        <f>IF(NOT(OR($A393&lt;&gt;"",$E393&lt;&gt;"",$F393&lt;&gt;"",$G393&lt;&gt;"",$H393&lt;&gt;"",$I393&lt;&gt;"")),"",N($G393)+N($H393)+N($I393))</f>
        <v/>
      </c>
      <c r="K393" s="28">
        <f>IF(ISNUMBER($O393),INDEX('請求台帳'!$R$5:$R$1004,$O393),"")</f>
        <v/>
      </c>
      <c r="L393" s="20">
        <f>IF(NOT(OR($A393&lt;&gt;"",$E393&lt;&gt;"",$F393&lt;&gt;"",$G393&lt;&gt;"",$H393&lt;&gt;"",$I393&lt;&gt;"")),"",IF(NOT(ISNUMBER($A393)),"入金日がありません",IF(AND($F393&lt;&gt;"",$O393="なし"),"請求Noが請求台帳にありません",IF(AND(ISNUMBER($O393),$C393&lt;&gt;"",$C393&lt;&gt;$P393),"請求の得意先は "&amp;$P393&amp;" です",IF(ROUND(IF($B393&lt;&gt;"",SUMIF($B$5:$B$1004,$B393,$E$5:$E$1004)-SUMIF($B$5:$B$1004,$B393,$G$5:$G$1004),N($E393)-N($G393)),0)&lt;&gt;0,"通帳の額と当てた額の差 "&amp;TEXT(IF($B393&lt;&gt;"",SUMIF($B$5:$B$1004,$B393,$E$5:$E$1004)-SUMIF($B$5:$B$1004,$B393,$G$5:$G$1004),N($E393)-N($G393)),"#,##0"),IF(AND(ISNUMBER($O393),N($K393)&lt;0),"請求額より多く消し込んでいます",IF($F393="","消込先が未定","OK")))))))</f>
        <v/>
      </c>
      <c r="M393" s="19" t="n"/>
      <c r="N393" s="56" t="n"/>
      <c r="O393" s="32">
        <f>IF($F393="","",IFERROR(MATCH($F393,'請求台帳'!$A$5:$A$1004,0),"なし"))</f>
        <v/>
      </c>
      <c r="P393" s="37">
        <f>IF(NOT(OR($A393&lt;&gt;"",$E393&lt;&gt;"",$F393&lt;&gt;"",$G393&lt;&gt;"",$H393&lt;&gt;"",$I393&lt;&gt;"")),"",IF(ISNUMBER($O393),IF(INDEX('請求台帳'!$C$5:$C$1004,$O393)="","",INDEX('請求台帳'!$C$5:$C$1004,$O393)),IF($C393="","",$C393)))</f>
        <v/>
      </c>
      <c r="Q393" s="35">
        <f>IF(OR(NOT(OR($A393&lt;&gt;"",$E393&lt;&gt;"",$F393&lt;&gt;"",$G393&lt;&gt;"",$H393&lt;&gt;"",$I393&lt;&gt;"")),$P393="",$P393&lt;&gt;'売掛帳'!$B$3,NOT(ISNUMBER($A393)),N($G393)+N($H393)+N($I393)=0),"",IF(AND($A393&gt;='売掛帳'!$Q$3,$A393&lt;='売掛帳'!$Q$4),$A393+0.5+ROW()/10000000,""))</f>
        <v/>
      </c>
      <c r="R393" s="32">
        <f>IF(AND(OR($A393&lt;&gt;"",$E393&lt;&gt;"",$F393&lt;&gt;"",$G393&lt;&gt;"",$H393&lt;&gt;"",$I393&lt;&gt;""),NOT(ISNUMBER($O393))),1,"")</f>
        <v/>
      </c>
    </row>
    <row r="394" ht="18" customHeight="1">
      <c r="A394" s="26" t="n"/>
      <c r="B394" s="18" t="n"/>
      <c r="C394" s="18" t="n"/>
      <c r="D394" s="20">
        <f>IF($P394="","",IFERROR(INDEX('得意先'!$C$5:$C$104,MATCH($P394,'得意先'!$B$5:$B$104,0))&amp;"","※得意先にないコード"))</f>
        <v/>
      </c>
      <c r="E394" s="27" t="n"/>
      <c r="F394" s="18" t="n"/>
      <c r="G394" s="27" t="n"/>
      <c r="H394" s="27" t="n"/>
      <c r="I394" s="27" t="n"/>
      <c r="J394" s="28">
        <f>IF(NOT(OR($A394&lt;&gt;"",$E394&lt;&gt;"",$F394&lt;&gt;"",$G394&lt;&gt;"",$H394&lt;&gt;"",$I394&lt;&gt;"")),"",N($G394)+N($H394)+N($I394))</f>
        <v/>
      </c>
      <c r="K394" s="28">
        <f>IF(ISNUMBER($O394),INDEX('請求台帳'!$R$5:$R$1004,$O394),"")</f>
        <v/>
      </c>
      <c r="L394" s="20">
        <f>IF(NOT(OR($A394&lt;&gt;"",$E394&lt;&gt;"",$F394&lt;&gt;"",$G394&lt;&gt;"",$H394&lt;&gt;"",$I394&lt;&gt;"")),"",IF(NOT(ISNUMBER($A394)),"入金日がありません",IF(AND($F394&lt;&gt;"",$O394="なし"),"請求Noが請求台帳にありません",IF(AND(ISNUMBER($O394),$C394&lt;&gt;"",$C394&lt;&gt;$P394),"請求の得意先は "&amp;$P394&amp;" です",IF(ROUND(IF($B394&lt;&gt;"",SUMIF($B$5:$B$1004,$B394,$E$5:$E$1004)-SUMIF($B$5:$B$1004,$B394,$G$5:$G$1004),N($E394)-N($G394)),0)&lt;&gt;0,"通帳の額と当てた額の差 "&amp;TEXT(IF($B394&lt;&gt;"",SUMIF($B$5:$B$1004,$B394,$E$5:$E$1004)-SUMIF($B$5:$B$1004,$B394,$G$5:$G$1004),N($E394)-N($G394)),"#,##0"),IF(AND(ISNUMBER($O394),N($K394)&lt;0),"請求額より多く消し込んでいます",IF($F394="","消込先が未定","OK")))))))</f>
        <v/>
      </c>
      <c r="M394" s="19" t="n"/>
      <c r="N394" s="56" t="n"/>
      <c r="O394" s="32">
        <f>IF($F394="","",IFERROR(MATCH($F394,'請求台帳'!$A$5:$A$1004,0),"なし"))</f>
        <v/>
      </c>
      <c r="P394" s="37">
        <f>IF(NOT(OR($A394&lt;&gt;"",$E394&lt;&gt;"",$F394&lt;&gt;"",$G394&lt;&gt;"",$H394&lt;&gt;"",$I394&lt;&gt;"")),"",IF(ISNUMBER($O394),IF(INDEX('請求台帳'!$C$5:$C$1004,$O394)="","",INDEX('請求台帳'!$C$5:$C$1004,$O394)),IF($C394="","",$C394)))</f>
        <v/>
      </c>
      <c r="Q394" s="35">
        <f>IF(OR(NOT(OR($A394&lt;&gt;"",$E394&lt;&gt;"",$F394&lt;&gt;"",$G394&lt;&gt;"",$H394&lt;&gt;"",$I394&lt;&gt;"")),$P394="",$P394&lt;&gt;'売掛帳'!$B$3,NOT(ISNUMBER($A394)),N($G394)+N($H394)+N($I394)=0),"",IF(AND($A394&gt;='売掛帳'!$Q$3,$A394&lt;='売掛帳'!$Q$4),$A394+0.5+ROW()/10000000,""))</f>
        <v/>
      </c>
      <c r="R394" s="32">
        <f>IF(AND(OR($A394&lt;&gt;"",$E394&lt;&gt;"",$F394&lt;&gt;"",$G394&lt;&gt;"",$H394&lt;&gt;"",$I394&lt;&gt;""),NOT(ISNUMBER($O394))),1,"")</f>
        <v/>
      </c>
    </row>
    <row r="395" ht="18" customHeight="1">
      <c r="A395" s="26" t="n"/>
      <c r="B395" s="18" t="n"/>
      <c r="C395" s="18" t="n"/>
      <c r="D395" s="20">
        <f>IF($P395="","",IFERROR(INDEX('得意先'!$C$5:$C$104,MATCH($P395,'得意先'!$B$5:$B$104,0))&amp;"","※得意先にないコード"))</f>
        <v/>
      </c>
      <c r="E395" s="27" t="n"/>
      <c r="F395" s="18" t="n"/>
      <c r="G395" s="27" t="n"/>
      <c r="H395" s="27" t="n"/>
      <c r="I395" s="27" t="n"/>
      <c r="J395" s="28">
        <f>IF(NOT(OR($A395&lt;&gt;"",$E395&lt;&gt;"",$F395&lt;&gt;"",$G395&lt;&gt;"",$H395&lt;&gt;"",$I395&lt;&gt;"")),"",N($G395)+N($H395)+N($I395))</f>
        <v/>
      </c>
      <c r="K395" s="28">
        <f>IF(ISNUMBER($O395),INDEX('請求台帳'!$R$5:$R$1004,$O395),"")</f>
        <v/>
      </c>
      <c r="L395" s="20">
        <f>IF(NOT(OR($A395&lt;&gt;"",$E395&lt;&gt;"",$F395&lt;&gt;"",$G395&lt;&gt;"",$H395&lt;&gt;"",$I395&lt;&gt;"")),"",IF(NOT(ISNUMBER($A395)),"入金日がありません",IF(AND($F395&lt;&gt;"",$O395="なし"),"請求Noが請求台帳にありません",IF(AND(ISNUMBER($O395),$C395&lt;&gt;"",$C395&lt;&gt;$P395),"請求の得意先は "&amp;$P395&amp;" です",IF(ROUND(IF($B395&lt;&gt;"",SUMIF($B$5:$B$1004,$B395,$E$5:$E$1004)-SUMIF($B$5:$B$1004,$B395,$G$5:$G$1004),N($E395)-N($G395)),0)&lt;&gt;0,"通帳の額と当てた額の差 "&amp;TEXT(IF($B395&lt;&gt;"",SUMIF($B$5:$B$1004,$B395,$E$5:$E$1004)-SUMIF($B$5:$B$1004,$B395,$G$5:$G$1004),N($E395)-N($G395)),"#,##0"),IF(AND(ISNUMBER($O395),N($K395)&lt;0),"請求額より多く消し込んでいます",IF($F395="","消込先が未定","OK")))))))</f>
        <v/>
      </c>
      <c r="M395" s="19" t="n"/>
      <c r="N395" s="56" t="n"/>
      <c r="O395" s="32">
        <f>IF($F395="","",IFERROR(MATCH($F395,'請求台帳'!$A$5:$A$1004,0),"なし"))</f>
        <v/>
      </c>
      <c r="P395" s="37">
        <f>IF(NOT(OR($A395&lt;&gt;"",$E395&lt;&gt;"",$F395&lt;&gt;"",$G395&lt;&gt;"",$H395&lt;&gt;"",$I395&lt;&gt;"")),"",IF(ISNUMBER($O395),IF(INDEX('請求台帳'!$C$5:$C$1004,$O395)="","",INDEX('請求台帳'!$C$5:$C$1004,$O395)),IF($C395="","",$C395)))</f>
        <v/>
      </c>
      <c r="Q395" s="35">
        <f>IF(OR(NOT(OR($A395&lt;&gt;"",$E395&lt;&gt;"",$F395&lt;&gt;"",$G395&lt;&gt;"",$H395&lt;&gt;"",$I395&lt;&gt;"")),$P395="",$P395&lt;&gt;'売掛帳'!$B$3,NOT(ISNUMBER($A395)),N($G395)+N($H395)+N($I395)=0),"",IF(AND($A395&gt;='売掛帳'!$Q$3,$A395&lt;='売掛帳'!$Q$4),$A395+0.5+ROW()/10000000,""))</f>
        <v/>
      </c>
      <c r="R395" s="32">
        <f>IF(AND(OR($A395&lt;&gt;"",$E395&lt;&gt;"",$F395&lt;&gt;"",$G395&lt;&gt;"",$H395&lt;&gt;"",$I395&lt;&gt;""),NOT(ISNUMBER($O395))),1,"")</f>
        <v/>
      </c>
    </row>
    <row r="396" ht="18" customHeight="1">
      <c r="A396" s="26" t="n"/>
      <c r="B396" s="18" t="n"/>
      <c r="C396" s="18" t="n"/>
      <c r="D396" s="20">
        <f>IF($P396="","",IFERROR(INDEX('得意先'!$C$5:$C$104,MATCH($P396,'得意先'!$B$5:$B$104,0))&amp;"","※得意先にないコード"))</f>
        <v/>
      </c>
      <c r="E396" s="27" t="n"/>
      <c r="F396" s="18" t="n"/>
      <c r="G396" s="27" t="n"/>
      <c r="H396" s="27" t="n"/>
      <c r="I396" s="27" t="n"/>
      <c r="J396" s="28">
        <f>IF(NOT(OR($A396&lt;&gt;"",$E396&lt;&gt;"",$F396&lt;&gt;"",$G396&lt;&gt;"",$H396&lt;&gt;"",$I396&lt;&gt;"")),"",N($G396)+N($H396)+N($I396))</f>
        <v/>
      </c>
      <c r="K396" s="28">
        <f>IF(ISNUMBER($O396),INDEX('請求台帳'!$R$5:$R$1004,$O396),"")</f>
        <v/>
      </c>
      <c r="L396" s="20">
        <f>IF(NOT(OR($A396&lt;&gt;"",$E396&lt;&gt;"",$F396&lt;&gt;"",$G396&lt;&gt;"",$H396&lt;&gt;"",$I396&lt;&gt;"")),"",IF(NOT(ISNUMBER($A396)),"入金日がありません",IF(AND($F396&lt;&gt;"",$O396="なし"),"請求Noが請求台帳にありません",IF(AND(ISNUMBER($O396),$C396&lt;&gt;"",$C396&lt;&gt;$P396),"請求の得意先は "&amp;$P396&amp;" です",IF(ROUND(IF($B396&lt;&gt;"",SUMIF($B$5:$B$1004,$B396,$E$5:$E$1004)-SUMIF($B$5:$B$1004,$B396,$G$5:$G$1004),N($E396)-N($G396)),0)&lt;&gt;0,"通帳の額と当てた額の差 "&amp;TEXT(IF($B396&lt;&gt;"",SUMIF($B$5:$B$1004,$B396,$E$5:$E$1004)-SUMIF($B$5:$B$1004,$B396,$G$5:$G$1004),N($E396)-N($G396)),"#,##0"),IF(AND(ISNUMBER($O396),N($K396)&lt;0),"請求額より多く消し込んでいます",IF($F396="","消込先が未定","OK")))))))</f>
        <v/>
      </c>
      <c r="M396" s="19" t="n"/>
      <c r="N396" s="56" t="n"/>
      <c r="O396" s="32">
        <f>IF($F396="","",IFERROR(MATCH($F396,'請求台帳'!$A$5:$A$1004,0),"なし"))</f>
        <v/>
      </c>
      <c r="P396" s="37">
        <f>IF(NOT(OR($A396&lt;&gt;"",$E396&lt;&gt;"",$F396&lt;&gt;"",$G396&lt;&gt;"",$H396&lt;&gt;"",$I396&lt;&gt;"")),"",IF(ISNUMBER($O396),IF(INDEX('請求台帳'!$C$5:$C$1004,$O396)="","",INDEX('請求台帳'!$C$5:$C$1004,$O396)),IF($C396="","",$C396)))</f>
        <v/>
      </c>
      <c r="Q396" s="35">
        <f>IF(OR(NOT(OR($A396&lt;&gt;"",$E396&lt;&gt;"",$F396&lt;&gt;"",$G396&lt;&gt;"",$H396&lt;&gt;"",$I396&lt;&gt;"")),$P396="",$P396&lt;&gt;'売掛帳'!$B$3,NOT(ISNUMBER($A396)),N($G396)+N($H396)+N($I396)=0),"",IF(AND($A396&gt;='売掛帳'!$Q$3,$A396&lt;='売掛帳'!$Q$4),$A396+0.5+ROW()/10000000,""))</f>
        <v/>
      </c>
      <c r="R396" s="32">
        <f>IF(AND(OR($A396&lt;&gt;"",$E396&lt;&gt;"",$F396&lt;&gt;"",$G396&lt;&gt;"",$H396&lt;&gt;"",$I396&lt;&gt;""),NOT(ISNUMBER($O396))),1,"")</f>
        <v/>
      </c>
    </row>
    <row r="397" ht="18" customHeight="1">
      <c r="A397" s="26" t="n"/>
      <c r="B397" s="18" t="n"/>
      <c r="C397" s="18" t="n"/>
      <c r="D397" s="20">
        <f>IF($P397="","",IFERROR(INDEX('得意先'!$C$5:$C$104,MATCH($P397,'得意先'!$B$5:$B$104,0))&amp;"","※得意先にないコード"))</f>
        <v/>
      </c>
      <c r="E397" s="27" t="n"/>
      <c r="F397" s="18" t="n"/>
      <c r="G397" s="27" t="n"/>
      <c r="H397" s="27" t="n"/>
      <c r="I397" s="27" t="n"/>
      <c r="J397" s="28">
        <f>IF(NOT(OR($A397&lt;&gt;"",$E397&lt;&gt;"",$F397&lt;&gt;"",$G397&lt;&gt;"",$H397&lt;&gt;"",$I397&lt;&gt;"")),"",N($G397)+N($H397)+N($I397))</f>
        <v/>
      </c>
      <c r="K397" s="28">
        <f>IF(ISNUMBER($O397),INDEX('請求台帳'!$R$5:$R$1004,$O397),"")</f>
        <v/>
      </c>
      <c r="L397" s="20">
        <f>IF(NOT(OR($A397&lt;&gt;"",$E397&lt;&gt;"",$F397&lt;&gt;"",$G397&lt;&gt;"",$H397&lt;&gt;"",$I397&lt;&gt;"")),"",IF(NOT(ISNUMBER($A397)),"入金日がありません",IF(AND($F397&lt;&gt;"",$O397="なし"),"請求Noが請求台帳にありません",IF(AND(ISNUMBER($O397),$C397&lt;&gt;"",$C397&lt;&gt;$P397),"請求の得意先は "&amp;$P397&amp;" です",IF(ROUND(IF($B397&lt;&gt;"",SUMIF($B$5:$B$1004,$B397,$E$5:$E$1004)-SUMIF($B$5:$B$1004,$B397,$G$5:$G$1004),N($E397)-N($G397)),0)&lt;&gt;0,"通帳の額と当てた額の差 "&amp;TEXT(IF($B397&lt;&gt;"",SUMIF($B$5:$B$1004,$B397,$E$5:$E$1004)-SUMIF($B$5:$B$1004,$B397,$G$5:$G$1004),N($E397)-N($G397)),"#,##0"),IF(AND(ISNUMBER($O397),N($K397)&lt;0),"請求額より多く消し込んでいます",IF($F397="","消込先が未定","OK")))))))</f>
        <v/>
      </c>
      <c r="M397" s="19" t="n"/>
      <c r="N397" s="56" t="n"/>
      <c r="O397" s="32">
        <f>IF($F397="","",IFERROR(MATCH($F397,'請求台帳'!$A$5:$A$1004,0),"なし"))</f>
        <v/>
      </c>
      <c r="P397" s="37">
        <f>IF(NOT(OR($A397&lt;&gt;"",$E397&lt;&gt;"",$F397&lt;&gt;"",$G397&lt;&gt;"",$H397&lt;&gt;"",$I397&lt;&gt;"")),"",IF(ISNUMBER($O397),IF(INDEX('請求台帳'!$C$5:$C$1004,$O397)="","",INDEX('請求台帳'!$C$5:$C$1004,$O397)),IF($C397="","",$C397)))</f>
        <v/>
      </c>
      <c r="Q397" s="35">
        <f>IF(OR(NOT(OR($A397&lt;&gt;"",$E397&lt;&gt;"",$F397&lt;&gt;"",$G397&lt;&gt;"",$H397&lt;&gt;"",$I397&lt;&gt;"")),$P397="",$P397&lt;&gt;'売掛帳'!$B$3,NOT(ISNUMBER($A397)),N($G397)+N($H397)+N($I397)=0),"",IF(AND($A397&gt;='売掛帳'!$Q$3,$A397&lt;='売掛帳'!$Q$4),$A397+0.5+ROW()/10000000,""))</f>
        <v/>
      </c>
      <c r="R397" s="32">
        <f>IF(AND(OR($A397&lt;&gt;"",$E397&lt;&gt;"",$F397&lt;&gt;"",$G397&lt;&gt;"",$H397&lt;&gt;"",$I397&lt;&gt;""),NOT(ISNUMBER($O397))),1,"")</f>
        <v/>
      </c>
    </row>
    <row r="398" ht="18" customHeight="1">
      <c r="A398" s="26" t="n"/>
      <c r="B398" s="18" t="n"/>
      <c r="C398" s="18" t="n"/>
      <c r="D398" s="20">
        <f>IF($P398="","",IFERROR(INDEX('得意先'!$C$5:$C$104,MATCH($P398,'得意先'!$B$5:$B$104,0))&amp;"","※得意先にないコード"))</f>
        <v/>
      </c>
      <c r="E398" s="27" t="n"/>
      <c r="F398" s="18" t="n"/>
      <c r="G398" s="27" t="n"/>
      <c r="H398" s="27" t="n"/>
      <c r="I398" s="27" t="n"/>
      <c r="J398" s="28">
        <f>IF(NOT(OR($A398&lt;&gt;"",$E398&lt;&gt;"",$F398&lt;&gt;"",$G398&lt;&gt;"",$H398&lt;&gt;"",$I398&lt;&gt;"")),"",N($G398)+N($H398)+N($I398))</f>
        <v/>
      </c>
      <c r="K398" s="28">
        <f>IF(ISNUMBER($O398),INDEX('請求台帳'!$R$5:$R$1004,$O398),"")</f>
        <v/>
      </c>
      <c r="L398" s="20">
        <f>IF(NOT(OR($A398&lt;&gt;"",$E398&lt;&gt;"",$F398&lt;&gt;"",$G398&lt;&gt;"",$H398&lt;&gt;"",$I398&lt;&gt;"")),"",IF(NOT(ISNUMBER($A398)),"入金日がありません",IF(AND($F398&lt;&gt;"",$O398="なし"),"請求Noが請求台帳にありません",IF(AND(ISNUMBER($O398),$C398&lt;&gt;"",$C398&lt;&gt;$P398),"請求の得意先は "&amp;$P398&amp;" です",IF(ROUND(IF($B398&lt;&gt;"",SUMIF($B$5:$B$1004,$B398,$E$5:$E$1004)-SUMIF($B$5:$B$1004,$B398,$G$5:$G$1004),N($E398)-N($G398)),0)&lt;&gt;0,"通帳の額と当てた額の差 "&amp;TEXT(IF($B398&lt;&gt;"",SUMIF($B$5:$B$1004,$B398,$E$5:$E$1004)-SUMIF($B$5:$B$1004,$B398,$G$5:$G$1004),N($E398)-N($G398)),"#,##0"),IF(AND(ISNUMBER($O398),N($K398)&lt;0),"請求額より多く消し込んでいます",IF($F398="","消込先が未定","OK")))))))</f>
        <v/>
      </c>
      <c r="M398" s="19" t="n"/>
      <c r="N398" s="56" t="n"/>
      <c r="O398" s="32">
        <f>IF($F398="","",IFERROR(MATCH($F398,'請求台帳'!$A$5:$A$1004,0),"なし"))</f>
        <v/>
      </c>
      <c r="P398" s="37">
        <f>IF(NOT(OR($A398&lt;&gt;"",$E398&lt;&gt;"",$F398&lt;&gt;"",$G398&lt;&gt;"",$H398&lt;&gt;"",$I398&lt;&gt;"")),"",IF(ISNUMBER($O398),IF(INDEX('請求台帳'!$C$5:$C$1004,$O398)="","",INDEX('請求台帳'!$C$5:$C$1004,$O398)),IF($C398="","",$C398)))</f>
        <v/>
      </c>
      <c r="Q398" s="35">
        <f>IF(OR(NOT(OR($A398&lt;&gt;"",$E398&lt;&gt;"",$F398&lt;&gt;"",$G398&lt;&gt;"",$H398&lt;&gt;"",$I398&lt;&gt;"")),$P398="",$P398&lt;&gt;'売掛帳'!$B$3,NOT(ISNUMBER($A398)),N($G398)+N($H398)+N($I398)=0),"",IF(AND($A398&gt;='売掛帳'!$Q$3,$A398&lt;='売掛帳'!$Q$4),$A398+0.5+ROW()/10000000,""))</f>
        <v/>
      </c>
      <c r="R398" s="32">
        <f>IF(AND(OR($A398&lt;&gt;"",$E398&lt;&gt;"",$F398&lt;&gt;"",$G398&lt;&gt;"",$H398&lt;&gt;"",$I398&lt;&gt;""),NOT(ISNUMBER($O398))),1,"")</f>
        <v/>
      </c>
    </row>
    <row r="399" ht="18" customHeight="1">
      <c r="A399" s="26" t="n"/>
      <c r="B399" s="18" t="n"/>
      <c r="C399" s="18" t="n"/>
      <c r="D399" s="20">
        <f>IF($P399="","",IFERROR(INDEX('得意先'!$C$5:$C$104,MATCH($P399,'得意先'!$B$5:$B$104,0))&amp;"","※得意先にないコード"))</f>
        <v/>
      </c>
      <c r="E399" s="27" t="n"/>
      <c r="F399" s="18" t="n"/>
      <c r="G399" s="27" t="n"/>
      <c r="H399" s="27" t="n"/>
      <c r="I399" s="27" t="n"/>
      <c r="J399" s="28">
        <f>IF(NOT(OR($A399&lt;&gt;"",$E399&lt;&gt;"",$F399&lt;&gt;"",$G399&lt;&gt;"",$H399&lt;&gt;"",$I399&lt;&gt;"")),"",N($G399)+N($H399)+N($I399))</f>
        <v/>
      </c>
      <c r="K399" s="28">
        <f>IF(ISNUMBER($O399),INDEX('請求台帳'!$R$5:$R$1004,$O399),"")</f>
        <v/>
      </c>
      <c r="L399" s="20">
        <f>IF(NOT(OR($A399&lt;&gt;"",$E399&lt;&gt;"",$F399&lt;&gt;"",$G399&lt;&gt;"",$H399&lt;&gt;"",$I399&lt;&gt;"")),"",IF(NOT(ISNUMBER($A399)),"入金日がありません",IF(AND($F399&lt;&gt;"",$O399="なし"),"請求Noが請求台帳にありません",IF(AND(ISNUMBER($O399),$C399&lt;&gt;"",$C399&lt;&gt;$P399),"請求の得意先は "&amp;$P399&amp;" です",IF(ROUND(IF($B399&lt;&gt;"",SUMIF($B$5:$B$1004,$B399,$E$5:$E$1004)-SUMIF($B$5:$B$1004,$B399,$G$5:$G$1004),N($E399)-N($G399)),0)&lt;&gt;0,"通帳の額と当てた額の差 "&amp;TEXT(IF($B399&lt;&gt;"",SUMIF($B$5:$B$1004,$B399,$E$5:$E$1004)-SUMIF($B$5:$B$1004,$B399,$G$5:$G$1004),N($E399)-N($G399)),"#,##0"),IF(AND(ISNUMBER($O399),N($K399)&lt;0),"請求額より多く消し込んでいます",IF($F399="","消込先が未定","OK")))))))</f>
        <v/>
      </c>
      <c r="M399" s="19" t="n"/>
      <c r="N399" s="56" t="n"/>
      <c r="O399" s="32">
        <f>IF($F399="","",IFERROR(MATCH($F399,'請求台帳'!$A$5:$A$1004,0),"なし"))</f>
        <v/>
      </c>
      <c r="P399" s="37">
        <f>IF(NOT(OR($A399&lt;&gt;"",$E399&lt;&gt;"",$F399&lt;&gt;"",$G399&lt;&gt;"",$H399&lt;&gt;"",$I399&lt;&gt;"")),"",IF(ISNUMBER($O399),IF(INDEX('請求台帳'!$C$5:$C$1004,$O399)="","",INDEX('請求台帳'!$C$5:$C$1004,$O399)),IF($C399="","",$C399)))</f>
        <v/>
      </c>
      <c r="Q399" s="35">
        <f>IF(OR(NOT(OR($A399&lt;&gt;"",$E399&lt;&gt;"",$F399&lt;&gt;"",$G399&lt;&gt;"",$H399&lt;&gt;"",$I399&lt;&gt;"")),$P399="",$P399&lt;&gt;'売掛帳'!$B$3,NOT(ISNUMBER($A399)),N($G399)+N($H399)+N($I399)=0),"",IF(AND($A399&gt;='売掛帳'!$Q$3,$A399&lt;='売掛帳'!$Q$4),$A399+0.5+ROW()/10000000,""))</f>
        <v/>
      </c>
      <c r="R399" s="32">
        <f>IF(AND(OR($A399&lt;&gt;"",$E399&lt;&gt;"",$F399&lt;&gt;"",$G399&lt;&gt;"",$H399&lt;&gt;"",$I399&lt;&gt;""),NOT(ISNUMBER($O399))),1,"")</f>
        <v/>
      </c>
    </row>
    <row r="400" ht="18" customHeight="1">
      <c r="A400" s="26" t="n"/>
      <c r="B400" s="18" t="n"/>
      <c r="C400" s="18" t="n"/>
      <c r="D400" s="20">
        <f>IF($P400="","",IFERROR(INDEX('得意先'!$C$5:$C$104,MATCH($P400,'得意先'!$B$5:$B$104,0))&amp;"","※得意先にないコード"))</f>
        <v/>
      </c>
      <c r="E400" s="27" t="n"/>
      <c r="F400" s="18" t="n"/>
      <c r="G400" s="27" t="n"/>
      <c r="H400" s="27" t="n"/>
      <c r="I400" s="27" t="n"/>
      <c r="J400" s="28">
        <f>IF(NOT(OR($A400&lt;&gt;"",$E400&lt;&gt;"",$F400&lt;&gt;"",$G400&lt;&gt;"",$H400&lt;&gt;"",$I400&lt;&gt;"")),"",N($G400)+N($H400)+N($I400))</f>
        <v/>
      </c>
      <c r="K400" s="28">
        <f>IF(ISNUMBER($O400),INDEX('請求台帳'!$R$5:$R$1004,$O400),"")</f>
        <v/>
      </c>
      <c r="L400" s="20">
        <f>IF(NOT(OR($A400&lt;&gt;"",$E400&lt;&gt;"",$F400&lt;&gt;"",$G400&lt;&gt;"",$H400&lt;&gt;"",$I400&lt;&gt;"")),"",IF(NOT(ISNUMBER($A400)),"入金日がありません",IF(AND($F400&lt;&gt;"",$O400="なし"),"請求Noが請求台帳にありません",IF(AND(ISNUMBER($O400),$C400&lt;&gt;"",$C400&lt;&gt;$P400),"請求の得意先は "&amp;$P400&amp;" です",IF(ROUND(IF($B400&lt;&gt;"",SUMIF($B$5:$B$1004,$B400,$E$5:$E$1004)-SUMIF($B$5:$B$1004,$B400,$G$5:$G$1004),N($E400)-N($G400)),0)&lt;&gt;0,"通帳の額と当てた額の差 "&amp;TEXT(IF($B400&lt;&gt;"",SUMIF($B$5:$B$1004,$B400,$E$5:$E$1004)-SUMIF($B$5:$B$1004,$B400,$G$5:$G$1004),N($E400)-N($G400)),"#,##0"),IF(AND(ISNUMBER($O400),N($K400)&lt;0),"請求額より多く消し込んでいます",IF($F400="","消込先が未定","OK")))))))</f>
        <v/>
      </c>
      <c r="M400" s="19" t="n"/>
      <c r="N400" s="56" t="n"/>
      <c r="O400" s="32">
        <f>IF($F400="","",IFERROR(MATCH($F400,'請求台帳'!$A$5:$A$1004,0),"なし"))</f>
        <v/>
      </c>
      <c r="P400" s="37">
        <f>IF(NOT(OR($A400&lt;&gt;"",$E400&lt;&gt;"",$F400&lt;&gt;"",$G400&lt;&gt;"",$H400&lt;&gt;"",$I400&lt;&gt;"")),"",IF(ISNUMBER($O400),IF(INDEX('請求台帳'!$C$5:$C$1004,$O400)="","",INDEX('請求台帳'!$C$5:$C$1004,$O400)),IF($C400="","",$C400)))</f>
        <v/>
      </c>
      <c r="Q400" s="35">
        <f>IF(OR(NOT(OR($A400&lt;&gt;"",$E400&lt;&gt;"",$F400&lt;&gt;"",$G400&lt;&gt;"",$H400&lt;&gt;"",$I400&lt;&gt;"")),$P400="",$P400&lt;&gt;'売掛帳'!$B$3,NOT(ISNUMBER($A400)),N($G400)+N($H400)+N($I400)=0),"",IF(AND($A400&gt;='売掛帳'!$Q$3,$A400&lt;='売掛帳'!$Q$4),$A400+0.5+ROW()/10000000,""))</f>
        <v/>
      </c>
      <c r="R400" s="32">
        <f>IF(AND(OR($A400&lt;&gt;"",$E400&lt;&gt;"",$F400&lt;&gt;"",$G400&lt;&gt;"",$H400&lt;&gt;"",$I400&lt;&gt;""),NOT(ISNUMBER($O400))),1,"")</f>
        <v/>
      </c>
    </row>
    <row r="401" ht="18" customHeight="1">
      <c r="A401" s="26" t="n"/>
      <c r="B401" s="18" t="n"/>
      <c r="C401" s="18" t="n"/>
      <c r="D401" s="20">
        <f>IF($P401="","",IFERROR(INDEX('得意先'!$C$5:$C$104,MATCH($P401,'得意先'!$B$5:$B$104,0))&amp;"","※得意先にないコード"))</f>
        <v/>
      </c>
      <c r="E401" s="27" t="n"/>
      <c r="F401" s="18" t="n"/>
      <c r="G401" s="27" t="n"/>
      <c r="H401" s="27" t="n"/>
      <c r="I401" s="27" t="n"/>
      <c r="J401" s="28">
        <f>IF(NOT(OR($A401&lt;&gt;"",$E401&lt;&gt;"",$F401&lt;&gt;"",$G401&lt;&gt;"",$H401&lt;&gt;"",$I401&lt;&gt;"")),"",N($G401)+N($H401)+N($I401))</f>
        <v/>
      </c>
      <c r="K401" s="28">
        <f>IF(ISNUMBER($O401),INDEX('請求台帳'!$R$5:$R$1004,$O401),"")</f>
        <v/>
      </c>
      <c r="L401" s="20">
        <f>IF(NOT(OR($A401&lt;&gt;"",$E401&lt;&gt;"",$F401&lt;&gt;"",$G401&lt;&gt;"",$H401&lt;&gt;"",$I401&lt;&gt;"")),"",IF(NOT(ISNUMBER($A401)),"入金日がありません",IF(AND($F401&lt;&gt;"",$O401="なし"),"請求Noが請求台帳にありません",IF(AND(ISNUMBER($O401),$C401&lt;&gt;"",$C401&lt;&gt;$P401),"請求の得意先は "&amp;$P401&amp;" です",IF(ROUND(IF($B401&lt;&gt;"",SUMIF($B$5:$B$1004,$B401,$E$5:$E$1004)-SUMIF($B$5:$B$1004,$B401,$G$5:$G$1004),N($E401)-N($G401)),0)&lt;&gt;0,"通帳の額と当てた額の差 "&amp;TEXT(IF($B401&lt;&gt;"",SUMIF($B$5:$B$1004,$B401,$E$5:$E$1004)-SUMIF($B$5:$B$1004,$B401,$G$5:$G$1004),N($E401)-N($G401)),"#,##0"),IF(AND(ISNUMBER($O401),N($K401)&lt;0),"請求額より多く消し込んでいます",IF($F401="","消込先が未定","OK")))))))</f>
        <v/>
      </c>
      <c r="M401" s="19" t="n"/>
      <c r="N401" s="56" t="n"/>
      <c r="O401" s="32">
        <f>IF($F401="","",IFERROR(MATCH($F401,'請求台帳'!$A$5:$A$1004,0),"なし"))</f>
        <v/>
      </c>
      <c r="P401" s="37">
        <f>IF(NOT(OR($A401&lt;&gt;"",$E401&lt;&gt;"",$F401&lt;&gt;"",$G401&lt;&gt;"",$H401&lt;&gt;"",$I401&lt;&gt;"")),"",IF(ISNUMBER($O401),IF(INDEX('請求台帳'!$C$5:$C$1004,$O401)="","",INDEX('請求台帳'!$C$5:$C$1004,$O401)),IF($C401="","",$C401)))</f>
        <v/>
      </c>
      <c r="Q401" s="35">
        <f>IF(OR(NOT(OR($A401&lt;&gt;"",$E401&lt;&gt;"",$F401&lt;&gt;"",$G401&lt;&gt;"",$H401&lt;&gt;"",$I401&lt;&gt;"")),$P401="",$P401&lt;&gt;'売掛帳'!$B$3,NOT(ISNUMBER($A401)),N($G401)+N($H401)+N($I401)=0),"",IF(AND($A401&gt;='売掛帳'!$Q$3,$A401&lt;='売掛帳'!$Q$4),$A401+0.5+ROW()/10000000,""))</f>
        <v/>
      </c>
      <c r="R401" s="32">
        <f>IF(AND(OR($A401&lt;&gt;"",$E401&lt;&gt;"",$F401&lt;&gt;"",$G401&lt;&gt;"",$H401&lt;&gt;"",$I401&lt;&gt;""),NOT(ISNUMBER($O401))),1,"")</f>
        <v/>
      </c>
    </row>
    <row r="402" ht="18" customHeight="1">
      <c r="A402" s="26" t="n"/>
      <c r="B402" s="18" t="n"/>
      <c r="C402" s="18" t="n"/>
      <c r="D402" s="20">
        <f>IF($P402="","",IFERROR(INDEX('得意先'!$C$5:$C$104,MATCH($P402,'得意先'!$B$5:$B$104,0))&amp;"","※得意先にないコード"))</f>
        <v/>
      </c>
      <c r="E402" s="27" t="n"/>
      <c r="F402" s="18" t="n"/>
      <c r="G402" s="27" t="n"/>
      <c r="H402" s="27" t="n"/>
      <c r="I402" s="27" t="n"/>
      <c r="J402" s="28">
        <f>IF(NOT(OR($A402&lt;&gt;"",$E402&lt;&gt;"",$F402&lt;&gt;"",$G402&lt;&gt;"",$H402&lt;&gt;"",$I402&lt;&gt;"")),"",N($G402)+N($H402)+N($I402))</f>
        <v/>
      </c>
      <c r="K402" s="28">
        <f>IF(ISNUMBER($O402),INDEX('請求台帳'!$R$5:$R$1004,$O402),"")</f>
        <v/>
      </c>
      <c r="L402" s="20">
        <f>IF(NOT(OR($A402&lt;&gt;"",$E402&lt;&gt;"",$F402&lt;&gt;"",$G402&lt;&gt;"",$H402&lt;&gt;"",$I402&lt;&gt;"")),"",IF(NOT(ISNUMBER($A402)),"入金日がありません",IF(AND($F402&lt;&gt;"",$O402="なし"),"請求Noが請求台帳にありません",IF(AND(ISNUMBER($O402),$C402&lt;&gt;"",$C402&lt;&gt;$P402),"請求の得意先は "&amp;$P402&amp;" です",IF(ROUND(IF($B402&lt;&gt;"",SUMIF($B$5:$B$1004,$B402,$E$5:$E$1004)-SUMIF($B$5:$B$1004,$B402,$G$5:$G$1004),N($E402)-N($G402)),0)&lt;&gt;0,"通帳の額と当てた額の差 "&amp;TEXT(IF($B402&lt;&gt;"",SUMIF($B$5:$B$1004,$B402,$E$5:$E$1004)-SUMIF($B$5:$B$1004,$B402,$G$5:$G$1004),N($E402)-N($G402)),"#,##0"),IF(AND(ISNUMBER($O402),N($K402)&lt;0),"請求額より多く消し込んでいます",IF($F402="","消込先が未定","OK")))))))</f>
        <v/>
      </c>
      <c r="M402" s="19" t="n"/>
      <c r="N402" s="56" t="n"/>
      <c r="O402" s="32">
        <f>IF($F402="","",IFERROR(MATCH($F402,'請求台帳'!$A$5:$A$1004,0),"なし"))</f>
        <v/>
      </c>
      <c r="P402" s="37">
        <f>IF(NOT(OR($A402&lt;&gt;"",$E402&lt;&gt;"",$F402&lt;&gt;"",$G402&lt;&gt;"",$H402&lt;&gt;"",$I402&lt;&gt;"")),"",IF(ISNUMBER($O402),IF(INDEX('請求台帳'!$C$5:$C$1004,$O402)="","",INDEX('請求台帳'!$C$5:$C$1004,$O402)),IF($C402="","",$C402)))</f>
        <v/>
      </c>
      <c r="Q402" s="35">
        <f>IF(OR(NOT(OR($A402&lt;&gt;"",$E402&lt;&gt;"",$F402&lt;&gt;"",$G402&lt;&gt;"",$H402&lt;&gt;"",$I402&lt;&gt;"")),$P402="",$P402&lt;&gt;'売掛帳'!$B$3,NOT(ISNUMBER($A402)),N($G402)+N($H402)+N($I402)=0),"",IF(AND($A402&gt;='売掛帳'!$Q$3,$A402&lt;='売掛帳'!$Q$4),$A402+0.5+ROW()/10000000,""))</f>
        <v/>
      </c>
      <c r="R402" s="32">
        <f>IF(AND(OR($A402&lt;&gt;"",$E402&lt;&gt;"",$F402&lt;&gt;"",$G402&lt;&gt;"",$H402&lt;&gt;"",$I402&lt;&gt;""),NOT(ISNUMBER($O402))),1,"")</f>
        <v/>
      </c>
    </row>
    <row r="403" ht="18" customHeight="1">
      <c r="A403" s="26" t="n"/>
      <c r="B403" s="18" t="n"/>
      <c r="C403" s="18" t="n"/>
      <c r="D403" s="20">
        <f>IF($P403="","",IFERROR(INDEX('得意先'!$C$5:$C$104,MATCH($P403,'得意先'!$B$5:$B$104,0))&amp;"","※得意先にないコード"))</f>
        <v/>
      </c>
      <c r="E403" s="27" t="n"/>
      <c r="F403" s="18" t="n"/>
      <c r="G403" s="27" t="n"/>
      <c r="H403" s="27" t="n"/>
      <c r="I403" s="27" t="n"/>
      <c r="J403" s="28">
        <f>IF(NOT(OR($A403&lt;&gt;"",$E403&lt;&gt;"",$F403&lt;&gt;"",$G403&lt;&gt;"",$H403&lt;&gt;"",$I403&lt;&gt;"")),"",N($G403)+N($H403)+N($I403))</f>
        <v/>
      </c>
      <c r="K403" s="28">
        <f>IF(ISNUMBER($O403),INDEX('請求台帳'!$R$5:$R$1004,$O403),"")</f>
        <v/>
      </c>
      <c r="L403" s="20">
        <f>IF(NOT(OR($A403&lt;&gt;"",$E403&lt;&gt;"",$F403&lt;&gt;"",$G403&lt;&gt;"",$H403&lt;&gt;"",$I403&lt;&gt;"")),"",IF(NOT(ISNUMBER($A403)),"入金日がありません",IF(AND($F403&lt;&gt;"",$O403="なし"),"請求Noが請求台帳にありません",IF(AND(ISNUMBER($O403),$C403&lt;&gt;"",$C403&lt;&gt;$P403),"請求の得意先は "&amp;$P403&amp;" です",IF(ROUND(IF($B403&lt;&gt;"",SUMIF($B$5:$B$1004,$B403,$E$5:$E$1004)-SUMIF($B$5:$B$1004,$B403,$G$5:$G$1004),N($E403)-N($G403)),0)&lt;&gt;0,"通帳の額と当てた額の差 "&amp;TEXT(IF($B403&lt;&gt;"",SUMIF($B$5:$B$1004,$B403,$E$5:$E$1004)-SUMIF($B$5:$B$1004,$B403,$G$5:$G$1004),N($E403)-N($G403)),"#,##0"),IF(AND(ISNUMBER($O403),N($K403)&lt;0),"請求額より多く消し込んでいます",IF($F403="","消込先が未定","OK")))))))</f>
        <v/>
      </c>
      <c r="M403" s="19" t="n"/>
      <c r="N403" s="56" t="n"/>
      <c r="O403" s="32">
        <f>IF($F403="","",IFERROR(MATCH($F403,'請求台帳'!$A$5:$A$1004,0),"なし"))</f>
        <v/>
      </c>
      <c r="P403" s="37">
        <f>IF(NOT(OR($A403&lt;&gt;"",$E403&lt;&gt;"",$F403&lt;&gt;"",$G403&lt;&gt;"",$H403&lt;&gt;"",$I403&lt;&gt;"")),"",IF(ISNUMBER($O403),IF(INDEX('請求台帳'!$C$5:$C$1004,$O403)="","",INDEX('請求台帳'!$C$5:$C$1004,$O403)),IF($C403="","",$C403)))</f>
        <v/>
      </c>
      <c r="Q403" s="35">
        <f>IF(OR(NOT(OR($A403&lt;&gt;"",$E403&lt;&gt;"",$F403&lt;&gt;"",$G403&lt;&gt;"",$H403&lt;&gt;"",$I403&lt;&gt;"")),$P403="",$P403&lt;&gt;'売掛帳'!$B$3,NOT(ISNUMBER($A403)),N($G403)+N($H403)+N($I403)=0),"",IF(AND($A403&gt;='売掛帳'!$Q$3,$A403&lt;='売掛帳'!$Q$4),$A403+0.5+ROW()/10000000,""))</f>
        <v/>
      </c>
      <c r="R403" s="32">
        <f>IF(AND(OR($A403&lt;&gt;"",$E403&lt;&gt;"",$F403&lt;&gt;"",$G403&lt;&gt;"",$H403&lt;&gt;"",$I403&lt;&gt;""),NOT(ISNUMBER($O403))),1,"")</f>
        <v/>
      </c>
    </row>
    <row r="404" ht="18" customHeight="1">
      <c r="A404" s="26" t="n"/>
      <c r="B404" s="18" t="n"/>
      <c r="C404" s="18" t="n"/>
      <c r="D404" s="20">
        <f>IF($P404="","",IFERROR(INDEX('得意先'!$C$5:$C$104,MATCH($P404,'得意先'!$B$5:$B$104,0))&amp;"","※得意先にないコード"))</f>
        <v/>
      </c>
      <c r="E404" s="27" t="n"/>
      <c r="F404" s="18" t="n"/>
      <c r="G404" s="27" t="n"/>
      <c r="H404" s="27" t="n"/>
      <c r="I404" s="27" t="n"/>
      <c r="J404" s="28">
        <f>IF(NOT(OR($A404&lt;&gt;"",$E404&lt;&gt;"",$F404&lt;&gt;"",$G404&lt;&gt;"",$H404&lt;&gt;"",$I404&lt;&gt;"")),"",N($G404)+N($H404)+N($I404))</f>
        <v/>
      </c>
      <c r="K404" s="28">
        <f>IF(ISNUMBER($O404),INDEX('請求台帳'!$R$5:$R$1004,$O404),"")</f>
        <v/>
      </c>
      <c r="L404" s="20">
        <f>IF(NOT(OR($A404&lt;&gt;"",$E404&lt;&gt;"",$F404&lt;&gt;"",$G404&lt;&gt;"",$H404&lt;&gt;"",$I404&lt;&gt;"")),"",IF(NOT(ISNUMBER($A404)),"入金日がありません",IF(AND($F404&lt;&gt;"",$O404="なし"),"請求Noが請求台帳にありません",IF(AND(ISNUMBER($O404),$C404&lt;&gt;"",$C404&lt;&gt;$P404),"請求の得意先は "&amp;$P404&amp;" です",IF(ROUND(IF($B404&lt;&gt;"",SUMIF($B$5:$B$1004,$B404,$E$5:$E$1004)-SUMIF($B$5:$B$1004,$B404,$G$5:$G$1004),N($E404)-N($G404)),0)&lt;&gt;0,"通帳の額と当てた額の差 "&amp;TEXT(IF($B404&lt;&gt;"",SUMIF($B$5:$B$1004,$B404,$E$5:$E$1004)-SUMIF($B$5:$B$1004,$B404,$G$5:$G$1004),N($E404)-N($G404)),"#,##0"),IF(AND(ISNUMBER($O404),N($K404)&lt;0),"請求額より多く消し込んでいます",IF($F404="","消込先が未定","OK")))))))</f>
        <v/>
      </c>
      <c r="M404" s="19" t="n"/>
      <c r="N404" s="56" t="n"/>
      <c r="O404" s="32">
        <f>IF($F404="","",IFERROR(MATCH($F404,'請求台帳'!$A$5:$A$1004,0),"なし"))</f>
        <v/>
      </c>
      <c r="P404" s="37">
        <f>IF(NOT(OR($A404&lt;&gt;"",$E404&lt;&gt;"",$F404&lt;&gt;"",$G404&lt;&gt;"",$H404&lt;&gt;"",$I404&lt;&gt;"")),"",IF(ISNUMBER($O404),IF(INDEX('請求台帳'!$C$5:$C$1004,$O404)="","",INDEX('請求台帳'!$C$5:$C$1004,$O404)),IF($C404="","",$C404)))</f>
        <v/>
      </c>
      <c r="Q404" s="35">
        <f>IF(OR(NOT(OR($A404&lt;&gt;"",$E404&lt;&gt;"",$F404&lt;&gt;"",$G404&lt;&gt;"",$H404&lt;&gt;"",$I404&lt;&gt;"")),$P404="",$P404&lt;&gt;'売掛帳'!$B$3,NOT(ISNUMBER($A404)),N($G404)+N($H404)+N($I404)=0),"",IF(AND($A404&gt;='売掛帳'!$Q$3,$A404&lt;='売掛帳'!$Q$4),$A404+0.5+ROW()/10000000,""))</f>
        <v/>
      </c>
      <c r="R404" s="32">
        <f>IF(AND(OR($A404&lt;&gt;"",$E404&lt;&gt;"",$F404&lt;&gt;"",$G404&lt;&gt;"",$H404&lt;&gt;"",$I404&lt;&gt;""),NOT(ISNUMBER($O404))),1,"")</f>
        <v/>
      </c>
    </row>
    <row r="405" ht="18" customHeight="1">
      <c r="A405" s="26" t="n"/>
      <c r="B405" s="18" t="n"/>
      <c r="C405" s="18" t="n"/>
      <c r="D405" s="20">
        <f>IF($P405="","",IFERROR(INDEX('得意先'!$C$5:$C$104,MATCH($P405,'得意先'!$B$5:$B$104,0))&amp;"","※得意先にないコード"))</f>
        <v/>
      </c>
      <c r="E405" s="27" t="n"/>
      <c r="F405" s="18" t="n"/>
      <c r="G405" s="27" t="n"/>
      <c r="H405" s="27" t="n"/>
      <c r="I405" s="27" t="n"/>
      <c r="J405" s="28">
        <f>IF(NOT(OR($A405&lt;&gt;"",$E405&lt;&gt;"",$F405&lt;&gt;"",$G405&lt;&gt;"",$H405&lt;&gt;"",$I405&lt;&gt;"")),"",N($G405)+N($H405)+N($I405))</f>
        <v/>
      </c>
      <c r="K405" s="28">
        <f>IF(ISNUMBER($O405),INDEX('請求台帳'!$R$5:$R$1004,$O405),"")</f>
        <v/>
      </c>
      <c r="L405" s="20">
        <f>IF(NOT(OR($A405&lt;&gt;"",$E405&lt;&gt;"",$F405&lt;&gt;"",$G405&lt;&gt;"",$H405&lt;&gt;"",$I405&lt;&gt;"")),"",IF(NOT(ISNUMBER($A405)),"入金日がありません",IF(AND($F405&lt;&gt;"",$O405="なし"),"請求Noが請求台帳にありません",IF(AND(ISNUMBER($O405),$C405&lt;&gt;"",$C405&lt;&gt;$P405),"請求の得意先は "&amp;$P405&amp;" です",IF(ROUND(IF($B405&lt;&gt;"",SUMIF($B$5:$B$1004,$B405,$E$5:$E$1004)-SUMIF($B$5:$B$1004,$B405,$G$5:$G$1004),N($E405)-N($G405)),0)&lt;&gt;0,"通帳の額と当てた額の差 "&amp;TEXT(IF($B405&lt;&gt;"",SUMIF($B$5:$B$1004,$B405,$E$5:$E$1004)-SUMIF($B$5:$B$1004,$B405,$G$5:$G$1004),N($E405)-N($G405)),"#,##0"),IF(AND(ISNUMBER($O405),N($K405)&lt;0),"請求額より多く消し込んでいます",IF($F405="","消込先が未定","OK")))))))</f>
        <v/>
      </c>
      <c r="M405" s="19" t="n"/>
      <c r="N405" s="56" t="n"/>
      <c r="O405" s="32">
        <f>IF($F405="","",IFERROR(MATCH($F405,'請求台帳'!$A$5:$A$1004,0),"なし"))</f>
        <v/>
      </c>
      <c r="P405" s="37">
        <f>IF(NOT(OR($A405&lt;&gt;"",$E405&lt;&gt;"",$F405&lt;&gt;"",$G405&lt;&gt;"",$H405&lt;&gt;"",$I405&lt;&gt;"")),"",IF(ISNUMBER($O405),IF(INDEX('請求台帳'!$C$5:$C$1004,$O405)="","",INDEX('請求台帳'!$C$5:$C$1004,$O405)),IF($C405="","",$C405)))</f>
        <v/>
      </c>
      <c r="Q405" s="35">
        <f>IF(OR(NOT(OR($A405&lt;&gt;"",$E405&lt;&gt;"",$F405&lt;&gt;"",$G405&lt;&gt;"",$H405&lt;&gt;"",$I405&lt;&gt;"")),$P405="",$P405&lt;&gt;'売掛帳'!$B$3,NOT(ISNUMBER($A405)),N($G405)+N($H405)+N($I405)=0),"",IF(AND($A405&gt;='売掛帳'!$Q$3,$A405&lt;='売掛帳'!$Q$4),$A405+0.5+ROW()/10000000,""))</f>
        <v/>
      </c>
      <c r="R405" s="32">
        <f>IF(AND(OR($A405&lt;&gt;"",$E405&lt;&gt;"",$F405&lt;&gt;"",$G405&lt;&gt;"",$H405&lt;&gt;"",$I405&lt;&gt;""),NOT(ISNUMBER($O405))),1,"")</f>
        <v/>
      </c>
    </row>
    <row r="406" ht="18" customHeight="1">
      <c r="A406" s="26" t="n"/>
      <c r="B406" s="18" t="n"/>
      <c r="C406" s="18" t="n"/>
      <c r="D406" s="20">
        <f>IF($P406="","",IFERROR(INDEX('得意先'!$C$5:$C$104,MATCH($P406,'得意先'!$B$5:$B$104,0))&amp;"","※得意先にないコード"))</f>
        <v/>
      </c>
      <c r="E406" s="27" t="n"/>
      <c r="F406" s="18" t="n"/>
      <c r="G406" s="27" t="n"/>
      <c r="H406" s="27" t="n"/>
      <c r="I406" s="27" t="n"/>
      <c r="J406" s="28">
        <f>IF(NOT(OR($A406&lt;&gt;"",$E406&lt;&gt;"",$F406&lt;&gt;"",$G406&lt;&gt;"",$H406&lt;&gt;"",$I406&lt;&gt;"")),"",N($G406)+N($H406)+N($I406))</f>
        <v/>
      </c>
      <c r="K406" s="28">
        <f>IF(ISNUMBER($O406),INDEX('請求台帳'!$R$5:$R$1004,$O406),"")</f>
        <v/>
      </c>
      <c r="L406" s="20">
        <f>IF(NOT(OR($A406&lt;&gt;"",$E406&lt;&gt;"",$F406&lt;&gt;"",$G406&lt;&gt;"",$H406&lt;&gt;"",$I406&lt;&gt;"")),"",IF(NOT(ISNUMBER($A406)),"入金日がありません",IF(AND($F406&lt;&gt;"",$O406="なし"),"請求Noが請求台帳にありません",IF(AND(ISNUMBER($O406),$C406&lt;&gt;"",$C406&lt;&gt;$P406),"請求の得意先は "&amp;$P406&amp;" です",IF(ROUND(IF($B406&lt;&gt;"",SUMIF($B$5:$B$1004,$B406,$E$5:$E$1004)-SUMIF($B$5:$B$1004,$B406,$G$5:$G$1004),N($E406)-N($G406)),0)&lt;&gt;0,"通帳の額と当てた額の差 "&amp;TEXT(IF($B406&lt;&gt;"",SUMIF($B$5:$B$1004,$B406,$E$5:$E$1004)-SUMIF($B$5:$B$1004,$B406,$G$5:$G$1004),N($E406)-N($G406)),"#,##0"),IF(AND(ISNUMBER($O406),N($K406)&lt;0),"請求額より多く消し込んでいます",IF($F406="","消込先が未定","OK")))))))</f>
        <v/>
      </c>
      <c r="M406" s="19" t="n"/>
      <c r="N406" s="56" t="n"/>
      <c r="O406" s="32">
        <f>IF($F406="","",IFERROR(MATCH($F406,'請求台帳'!$A$5:$A$1004,0),"なし"))</f>
        <v/>
      </c>
      <c r="P406" s="37">
        <f>IF(NOT(OR($A406&lt;&gt;"",$E406&lt;&gt;"",$F406&lt;&gt;"",$G406&lt;&gt;"",$H406&lt;&gt;"",$I406&lt;&gt;"")),"",IF(ISNUMBER($O406),IF(INDEX('請求台帳'!$C$5:$C$1004,$O406)="","",INDEX('請求台帳'!$C$5:$C$1004,$O406)),IF($C406="","",$C406)))</f>
        <v/>
      </c>
      <c r="Q406" s="35">
        <f>IF(OR(NOT(OR($A406&lt;&gt;"",$E406&lt;&gt;"",$F406&lt;&gt;"",$G406&lt;&gt;"",$H406&lt;&gt;"",$I406&lt;&gt;"")),$P406="",$P406&lt;&gt;'売掛帳'!$B$3,NOT(ISNUMBER($A406)),N($G406)+N($H406)+N($I406)=0),"",IF(AND($A406&gt;='売掛帳'!$Q$3,$A406&lt;='売掛帳'!$Q$4),$A406+0.5+ROW()/10000000,""))</f>
        <v/>
      </c>
      <c r="R406" s="32">
        <f>IF(AND(OR($A406&lt;&gt;"",$E406&lt;&gt;"",$F406&lt;&gt;"",$G406&lt;&gt;"",$H406&lt;&gt;"",$I406&lt;&gt;""),NOT(ISNUMBER($O406))),1,"")</f>
        <v/>
      </c>
    </row>
    <row r="407" ht="18" customHeight="1">
      <c r="A407" s="26" t="n"/>
      <c r="B407" s="18" t="n"/>
      <c r="C407" s="18" t="n"/>
      <c r="D407" s="20">
        <f>IF($P407="","",IFERROR(INDEX('得意先'!$C$5:$C$104,MATCH($P407,'得意先'!$B$5:$B$104,0))&amp;"","※得意先にないコード"))</f>
        <v/>
      </c>
      <c r="E407" s="27" t="n"/>
      <c r="F407" s="18" t="n"/>
      <c r="G407" s="27" t="n"/>
      <c r="H407" s="27" t="n"/>
      <c r="I407" s="27" t="n"/>
      <c r="J407" s="28">
        <f>IF(NOT(OR($A407&lt;&gt;"",$E407&lt;&gt;"",$F407&lt;&gt;"",$G407&lt;&gt;"",$H407&lt;&gt;"",$I407&lt;&gt;"")),"",N($G407)+N($H407)+N($I407))</f>
        <v/>
      </c>
      <c r="K407" s="28">
        <f>IF(ISNUMBER($O407),INDEX('請求台帳'!$R$5:$R$1004,$O407),"")</f>
        <v/>
      </c>
      <c r="L407" s="20">
        <f>IF(NOT(OR($A407&lt;&gt;"",$E407&lt;&gt;"",$F407&lt;&gt;"",$G407&lt;&gt;"",$H407&lt;&gt;"",$I407&lt;&gt;"")),"",IF(NOT(ISNUMBER($A407)),"入金日がありません",IF(AND($F407&lt;&gt;"",$O407="なし"),"請求Noが請求台帳にありません",IF(AND(ISNUMBER($O407),$C407&lt;&gt;"",$C407&lt;&gt;$P407),"請求の得意先は "&amp;$P407&amp;" です",IF(ROUND(IF($B407&lt;&gt;"",SUMIF($B$5:$B$1004,$B407,$E$5:$E$1004)-SUMIF($B$5:$B$1004,$B407,$G$5:$G$1004),N($E407)-N($G407)),0)&lt;&gt;0,"通帳の額と当てた額の差 "&amp;TEXT(IF($B407&lt;&gt;"",SUMIF($B$5:$B$1004,$B407,$E$5:$E$1004)-SUMIF($B$5:$B$1004,$B407,$G$5:$G$1004),N($E407)-N($G407)),"#,##0"),IF(AND(ISNUMBER($O407),N($K407)&lt;0),"請求額より多く消し込んでいます",IF($F407="","消込先が未定","OK")))))))</f>
        <v/>
      </c>
      <c r="M407" s="19" t="n"/>
      <c r="N407" s="56" t="n"/>
      <c r="O407" s="32">
        <f>IF($F407="","",IFERROR(MATCH($F407,'請求台帳'!$A$5:$A$1004,0),"なし"))</f>
        <v/>
      </c>
      <c r="P407" s="37">
        <f>IF(NOT(OR($A407&lt;&gt;"",$E407&lt;&gt;"",$F407&lt;&gt;"",$G407&lt;&gt;"",$H407&lt;&gt;"",$I407&lt;&gt;"")),"",IF(ISNUMBER($O407),IF(INDEX('請求台帳'!$C$5:$C$1004,$O407)="","",INDEX('請求台帳'!$C$5:$C$1004,$O407)),IF($C407="","",$C407)))</f>
        <v/>
      </c>
      <c r="Q407" s="35">
        <f>IF(OR(NOT(OR($A407&lt;&gt;"",$E407&lt;&gt;"",$F407&lt;&gt;"",$G407&lt;&gt;"",$H407&lt;&gt;"",$I407&lt;&gt;"")),$P407="",$P407&lt;&gt;'売掛帳'!$B$3,NOT(ISNUMBER($A407)),N($G407)+N($H407)+N($I407)=0),"",IF(AND($A407&gt;='売掛帳'!$Q$3,$A407&lt;='売掛帳'!$Q$4),$A407+0.5+ROW()/10000000,""))</f>
        <v/>
      </c>
      <c r="R407" s="32">
        <f>IF(AND(OR($A407&lt;&gt;"",$E407&lt;&gt;"",$F407&lt;&gt;"",$G407&lt;&gt;"",$H407&lt;&gt;"",$I407&lt;&gt;""),NOT(ISNUMBER($O407))),1,"")</f>
        <v/>
      </c>
    </row>
    <row r="408" ht="18" customHeight="1">
      <c r="A408" s="26" t="n"/>
      <c r="B408" s="18" t="n"/>
      <c r="C408" s="18" t="n"/>
      <c r="D408" s="20">
        <f>IF($P408="","",IFERROR(INDEX('得意先'!$C$5:$C$104,MATCH($P408,'得意先'!$B$5:$B$104,0))&amp;"","※得意先にないコード"))</f>
        <v/>
      </c>
      <c r="E408" s="27" t="n"/>
      <c r="F408" s="18" t="n"/>
      <c r="G408" s="27" t="n"/>
      <c r="H408" s="27" t="n"/>
      <c r="I408" s="27" t="n"/>
      <c r="J408" s="28">
        <f>IF(NOT(OR($A408&lt;&gt;"",$E408&lt;&gt;"",$F408&lt;&gt;"",$G408&lt;&gt;"",$H408&lt;&gt;"",$I408&lt;&gt;"")),"",N($G408)+N($H408)+N($I408))</f>
        <v/>
      </c>
      <c r="K408" s="28">
        <f>IF(ISNUMBER($O408),INDEX('請求台帳'!$R$5:$R$1004,$O408),"")</f>
        <v/>
      </c>
      <c r="L408" s="20">
        <f>IF(NOT(OR($A408&lt;&gt;"",$E408&lt;&gt;"",$F408&lt;&gt;"",$G408&lt;&gt;"",$H408&lt;&gt;"",$I408&lt;&gt;"")),"",IF(NOT(ISNUMBER($A408)),"入金日がありません",IF(AND($F408&lt;&gt;"",$O408="なし"),"請求Noが請求台帳にありません",IF(AND(ISNUMBER($O408),$C408&lt;&gt;"",$C408&lt;&gt;$P408),"請求の得意先は "&amp;$P408&amp;" です",IF(ROUND(IF($B408&lt;&gt;"",SUMIF($B$5:$B$1004,$B408,$E$5:$E$1004)-SUMIF($B$5:$B$1004,$B408,$G$5:$G$1004),N($E408)-N($G408)),0)&lt;&gt;0,"通帳の額と当てた額の差 "&amp;TEXT(IF($B408&lt;&gt;"",SUMIF($B$5:$B$1004,$B408,$E$5:$E$1004)-SUMIF($B$5:$B$1004,$B408,$G$5:$G$1004),N($E408)-N($G408)),"#,##0"),IF(AND(ISNUMBER($O408),N($K408)&lt;0),"請求額より多く消し込んでいます",IF($F408="","消込先が未定","OK")))))))</f>
        <v/>
      </c>
      <c r="M408" s="19" t="n"/>
      <c r="N408" s="56" t="n"/>
      <c r="O408" s="32">
        <f>IF($F408="","",IFERROR(MATCH($F408,'請求台帳'!$A$5:$A$1004,0),"なし"))</f>
        <v/>
      </c>
      <c r="P408" s="37">
        <f>IF(NOT(OR($A408&lt;&gt;"",$E408&lt;&gt;"",$F408&lt;&gt;"",$G408&lt;&gt;"",$H408&lt;&gt;"",$I408&lt;&gt;"")),"",IF(ISNUMBER($O408),IF(INDEX('請求台帳'!$C$5:$C$1004,$O408)="","",INDEX('請求台帳'!$C$5:$C$1004,$O408)),IF($C408="","",$C408)))</f>
        <v/>
      </c>
      <c r="Q408" s="35">
        <f>IF(OR(NOT(OR($A408&lt;&gt;"",$E408&lt;&gt;"",$F408&lt;&gt;"",$G408&lt;&gt;"",$H408&lt;&gt;"",$I408&lt;&gt;"")),$P408="",$P408&lt;&gt;'売掛帳'!$B$3,NOT(ISNUMBER($A408)),N($G408)+N($H408)+N($I408)=0),"",IF(AND($A408&gt;='売掛帳'!$Q$3,$A408&lt;='売掛帳'!$Q$4),$A408+0.5+ROW()/10000000,""))</f>
        <v/>
      </c>
      <c r="R408" s="32">
        <f>IF(AND(OR($A408&lt;&gt;"",$E408&lt;&gt;"",$F408&lt;&gt;"",$G408&lt;&gt;"",$H408&lt;&gt;"",$I408&lt;&gt;""),NOT(ISNUMBER($O408))),1,"")</f>
        <v/>
      </c>
    </row>
    <row r="409" ht="18" customHeight="1">
      <c r="A409" s="26" t="n"/>
      <c r="B409" s="18" t="n"/>
      <c r="C409" s="18" t="n"/>
      <c r="D409" s="20">
        <f>IF($P409="","",IFERROR(INDEX('得意先'!$C$5:$C$104,MATCH($P409,'得意先'!$B$5:$B$104,0))&amp;"","※得意先にないコード"))</f>
        <v/>
      </c>
      <c r="E409" s="27" t="n"/>
      <c r="F409" s="18" t="n"/>
      <c r="G409" s="27" t="n"/>
      <c r="H409" s="27" t="n"/>
      <c r="I409" s="27" t="n"/>
      <c r="J409" s="28">
        <f>IF(NOT(OR($A409&lt;&gt;"",$E409&lt;&gt;"",$F409&lt;&gt;"",$G409&lt;&gt;"",$H409&lt;&gt;"",$I409&lt;&gt;"")),"",N($G409)+N($H409)+N($I409))</f>
        <v/>
      </c>
      <c r="K409" s="28">
        <f>IF(ISNUMBER($O409),INDEX('請求台帳'!$R$5:$R$1004,$O409),"")</f>
        <v/>
      </c>
      <c r="L409" s="20">
        <f>IF(NOT(OR($A409&lt;&gt;"",$E409&lt;&gt;"",$F409&lt;&gt;"",$G409&lt;&gt;"",$H409&lt;&gt;"",$I409&lt;&gt;"")),"",IF(NOT(ISNUMBER($A409)),"入金日がありません",IF(AND($F409&lt;&gt;"",$O409="なし"),"請求Noが請求台帳にありません",IF(AND(ISNUMBER($O409),$C409&lt;&gt;"",$C409&lt;&gt;$P409),"請求の得意先は "&amp;$P409&amp;" です",IF(ROUND(IF($B409&lt;&gt;"",SUMIF($B$5:$B$1004,$B409,$E$5:$E$1004)-SUMIF($B$5:$B$1004,$B409,$G$5:$G$1004),N($E409)-N($G409)),0)&lt;&gt;0,"通帳の額と当てた額の差 "&amp;TEXT(IF($B409&lt;&gt;"",SUMIF($B$5:$B$1004,$B409,$E$5:$E$1004)-SUMIF($B$5:$B$1004,$B409,$G$5:$G$1004),N($E409)-N($G409)),"#,##0"),IF(AND(ISNUMBER($O409),N($K409)&lt;0),"請求額より多く消し込んでいます",IF($F409="","消込先が未定","OK")))))))</f>
        <v/>
      </c>
      <c r="M409" s="19" t="n"/>
      <c r="N409" s="56" t="n"/>
      <c r="O409" s="32">
        <f>IF($F409="","",IFERROR(MATCH($F409,'請求台帳'!$A$5:$A$1004,0),"なし"))</f>
        <v/>
      </c>
      <c r="P409" s="37">
        <f>IF(NOT(OR($A409&lt;&gt;"",$E409&lt;&gt;"",$F409&lt;&gt;"",$G409&lt;&gt;"",$H409&lt;&gt;"",$I409&lt;&gt;"")),"",IF(ISNUMBER($O409),IF(INDEX('請求台帳'!$C$5:$C$1004,$O409)="","",INDEX('請求台帳'!$C$5:$C$1004,$O409)),IF($C409="","",$C409)))</f>
        <v/>
      </c>
      <c r="Q409" s="35">
        <f>IF(OR(NOT(OR($A409&lt;&gt;"",$E409&lt;&gt;"",$F409&lt;&gt;"",$G409&lt;&gt;"",$H409&lt;&gt;"",$I409&lt;&gt;"")),$P409="",$P409&lt;&gt;'売掛帳'!$B$3,NOT(ISNUMBER($A409)),N($G409)+N($H409)+N($I409)=0),"",IF(AND($A409&gt;='売掛帳'!$Q$3,$A409&lt;='売掛帳'!$Q$4),$A409+0.5+ROW()/10000000,""))</f>
        <v/>
      </c>
      <c r="R409" s="32">
        <f>IF(AND(OR($A409&lt;&gt;"",$E409&lt;&gt;"",$F409&lt;&gt;"",$G409&lt;&gt;"",$H409&lt;&gt;"",$I409&lt;&gt;""),NOT(ISNUMBER($O409))),1,"")</f>
        <v/>
      </c>
    </row>
    <row r="410" ht="18" customHeight="1">
      <c r="A410" s="26" t="n"/>
      <c r="B410" s="18" t="n"/>
      <c r="C410" s="18" t="n"/>
      <c r="D410" s="20">
        <f>IF($P410="","",IFERROR(INDEX('得意先'!$C$5:$C$104,MATCH($P410,'得意先'!$B$5:$B$104,0))&amp;"","※得意先にないコード"))</f>
        <v/>
      </c>
      <c r="E410" s="27" t="n"/>
      <c r="F410" s="18" t="n"/>
      <c r="G410" s="27" t="n"/>
      <c r="H410" s="27" t="n"/>
      <c r="I410" s="27" t="n"/>
      <c r="J410" s="28">
        <f>IF(NOT(OR($A410&lt;&gt;"",$E410&lt;&gt;"",$F410&lt;&gt;"",$G410&lt;&gt;"",$H410&lt;&gt;"",$I410&lt;&gt;"")),"",N($G410)+N($H410)+N($I410))</f>
        <v/>
      </c>
      <c r="K410" s="28">
        <f>IF(ISNUMBER($O410),INDEX('請求台帳'!$R$5:$R$1004,$O410),"")</f>
        <v/>
      </c>
      <c r="L410" s="20">
        <f>IF(NOT(OR($A410&lt;&gt;"",$E410&lt;&gt;"",$F410&lt;&gt;"",$G410&lt;&gt;"",$H410&lt;&gt;"",$I410&lt;&gt;"")),"",IF(NOT(ISNUMBER($A410)),"入金日がありません",IF(AND($F410&lt;&gt;"",$O410="なし"),"請求Noが請求台帳にありません",IF(AND(ISNUMBER($O410),$C410&lt;&gt;"",$C410&lt;&gt;$P410),"請求の得意先は "&amp;$P410&amp;" です",IF(ROUND(IF($B410&lt;&gt;"",SUMIF($B$5:$B$1004,$B410,$E$5:$E$1004)-SUMIF($B$5:$B$1004,$B410,$G$5:$G$1004),N($E410)-N($G410)),0)&lt;&gt;0,"通帳の額と当てた額の差 "&amp;TEXT(IF($B410&lt;&gt;"",SUMIF($B$5:$B$1004,$B410,$E$5:$E$1004)-SUMIF($B$5:$B$1004,$B410,$G$5:$G$1004),N($E410)-N($G410)),"#,##0"),IF(AND(ISNUMBER($O410),N($K410)&lt;0),"請求額より多く消し込んでいます",IF($F410="","消込先が未定","OK")))))))</f>
        <v/>
      </c>
      <c r="M410" s="19" t="n"/>
      <c r="N410" s="56" t="n"/>
      <c r="O410" s="32">
        <f>IF($F410="","",IFERROR(MATCH($F410,'請求台帳'!$A$5:$A$1004,0),"なし"))</f>
        <v/>
      </c>
      <c r="P410" s="37">
        <f>IF(NOT(OR($A410&lt;&gt;"",$E410&lt;&gt;"",$F410&lt;&gt;"",$G410&lt;&gt;"",$H410&lt;&gt;"",$I410&lt;&gt;"")),"",IF(ISNUMBER($O410),IF(INDEX('請求台帳'!$C$5:$C$1004,$O410)="","",INDEX('請求台帳'!$C$5:$C$1004,$O410)),IF($C410="","",$C410)))</f>
        <v/>
      </c>
      <c r="Q410" s="35">
        <f>IF(OR(NOT(OR($A410&lt;&gt;"",$E410&lt;&gt;"",$F410&lt;&gt;"",$G410&lt;&gt;"",$H410&lt;&gt;"",$I410&lt;&gt;"")),$P410="",$P410&lt;&gt;'売掛帳'!$B$3,NOT(ISNUMBER($A410)),N($G410)+N($H410)+N($I410)=0),"",IF(AND($A410&gt;='売掛帳'!$Q$3,$A410&lt;='売掛帳'!$Q$4),$A410+0.5+ROW()/10000000,""))</f>
        <v/>
      </c>
      <c r="R410" s="32">
        <f>IF(AND(OR($A410&lt;&gt;"",$E410&lt;&gt;"",$F410&lt;&gt;"",$G410&lt;&gt;"",$H410&lt;&gt;"",$I410&lt;&gt;""),NOT(ISNUMBER($O410))),1,"")</f>
        <v/>
      </c>
    </row>
    <row r="411" ht="18" customHeight="1">
      <c r="A411" s="26" t="n"/>
      <c r="B411" s="18" t="n"/>
      <c r="C411" s="18" t="n"/>
      <c r="D411" s="20">
        <f>IF($P411="","",IFERROR(INDEX('得意先'!$C$5:$C$104,MATCH($P411,'得意先'!$B$5:$B$104,0))&amp;"","※得意先にないコード"))</f>
        <v/>
      </c>
      <c r="E411" s="27" t="n"/>
      <c r="F411" s="18" t="n"/>
      <c r="G411" s="27" t="n"/>
      <c r="H411" s="27" t="n"/>
      <c r="I411" s="27" t="n"/>
      <c r="J411" s="28">
        <f>IF(NOT(OR($A411&lt;&gt;"",$E411&lt;&gt;"",$F411&lt;&gt;"",$G411&lt;&gt;"",$H411&lt;&gt;"",$I411&lt;&gt;"")),"",N($G411)+N($H411)+N($I411))</f>
        <v/>
      </c>
      <c r="K411" s="28">
        <f>IF(ISNUMBER($O411),INDEX('請求台帳'!$R$5:$R$1004,$O411),"")</f>
        <v/>
      </c>
      <c r="L411" s="20">
        <f>IF(NOT(OR($A411&lt;&gt;"",$E411&lt;&gt;"",$F411&lt;&gt;"",$G411&lt;&gt;"",$H411&lt;&gt;"",$I411&lt;&gt;"")),"",IF(NOT(ISNUMBER($A411)),"入金日がありません",IF(AND($F411&lt;&gt;"",$O411="なし"),"請求Noが請求台帳にありません",IF(AND(ISNUMBER($O411),$C411&lt;&gt;"",$C411&lt;&gt;$P411),"請求の得意先は "&amp;$P411&amp;" です",IF(ROUND(IF($B411&lt;&gt;"",SUMIF($B$5:$B$1004,$B411,$E$5:$E$1004)-SUMIF($B$5:$B$1004,$B411,$G$5:$G$1004),N($E411)-N($G411)),0)&lt;&gt;0,"通帳の額と当てた額の差 "&amp;TEXT(IF($B411&lt;&gt;"",SUMIF($B$5:$B$1004,$B411,$E$5:$E$1004)-SUMIF($B$5:$B$1004,$B411,$G$5:$G$1004),N($E411)-N($G411)),"#,##0"),IF(AND(ISNUMBER($O411),N($K411)&lt;0),"請求額より多く消し込んでいます",IF($F411="","消込先が未定","OK")))))))</f>
        <v/>
      </c>
      <c r="M411" s="19" t="n"/>
      <c r="N411" s="56" t="n"/>
      <c r="O411" s="32">
        <f>IF($F411="","",IFERROR(MATCH($F411,'請求台帳'!$A$5:$A$1004,0),"なし"))</f>
        <v/>
      </c>
      <c r="P411" s="37">
        <f>IF(NOT(OR($A411&lt;&gt;"",$E411&lt;&gt;"",$F411&lt;&gt;"",$G411&lt;&gt;"",$H411&lt;&gt;"",$I411&lt;&gt;"")),"",IF(ISNUMBER($O411),IF(INDEX('請求台帳'!$C$5:$C$1004,$O411)="","",INDEX('請求台帳'!$C$5:$C$1004,$O411)),IF($C411="","",$C411)))</f>
        <v/>
      </c>
      <c r="Q411" s="35">
        <f>IF(OR(NOT(OR($A411&lt;&gt;"",$E411&lt;&gt;"",$F411&lt;&gt;"",$G411&lt;&gt;"",$H411&lt;&gt;"",$I411&lt;&gt;"")),$P411="",$P411&lt;&gt;'売掛帳'!$B$3,NOT(ISNUMBER($A411)),N($G411)+N($H411)+N($I411)=0),"",IF(AND($A411&gt;='売掛帳'!$Q$3,$A411&lt;='売掛帳'!$Q$4),$A411+0.5+ROW()/10000000,""))</f>
        <v/>
      </c>
      <c r="R411" s="32">
        <f>IF(AND(OR($A411&lt;&gt;"",$E411&lt;&gt;"",$F411&lt;&gt;"",$G411&lt;&gt;"",$H411&lt;&gt;"",$I411&lt;&gt;""),NOT(ISNUMBER($O411))),1,"")</f>
        <v/>
      </c>
    </row>
    <row r="412" ht="18" customHeight="1">
      <c r="A412" s="26" t="n"/>
      <c r="B412" s="18" t="n"/>
      <c r="C412" s="18" t="n"/>
      <c r="D412" s="20">
        <f>IF($P412="","",IFERROR(INDEX('得意先'!$C$5:$C$104,MATCH($P412,'得意先'!$B$5:$B$104,0))&amp;"","※得意先にないコード"))</f>
        <v/>
      </c>
      <c r="E412" s="27" t="n"/>
      <c r="F412" s="18" t="n"/>
      <c r="G412" s="27" t="n"/>
      <c r="H412" s="27" t="n"/>
      <c r="I412" s="27" t="n"/>
      <c r="J412" s="28">
        <f>IF(NOT(OR($A412&lt;&gt;"",$E412&lt;&gt;"",$F412&lt;&gt;"",$G412&lt;&gt;"",$H412&lt;&gt;"",$I412&lt;&gt;"")),"",N($G412)+N($H412)+N($I412))</f>
        <v/>
      </c>
      <c r="K412" s="28">
        <f>IF(ISNUMBER($O412),INDEX('請求台帳'!$R$5:$R$1004,$O412),"")</f>
        <v/>
      </c>
      <c r="L412" s="20">
        <f>IF(NOT(OR($A412&lt;&gt;"",$E412&lt;&gt;"",$F412&lt;&gt;"",$G412&lt;&gt;"",$H412&lt;&gt;"",$I412&lt;&gt;"")),"",IF(NOT(ISNUMBER($A412)),"入金日がありません",IF(AND($F412&lt;&gt;"",$O412="なし"),"請求Noが請求台帳にありません",IF(AND(ISNUMBER($O412),$C412&lt;&gt;"",$C412&lt;&gt;$P412),"請求の得意先は "&amp;$P412&amp;" です",IF(ROUND(IF($B412&lt;&gt;"",SUMIF($B$5:$B$1004,$B412,$E$5:$E$1004)-SUMIF($B$5:$B$1004,$B412,$G$5:$G$1004),N($E412)-N($G412)),0)&lt;&gt;0,"通帳の額と当てた額の差 "&amp;TEXT(IF($B412&lt;&gt;"",SUMIF($B$5:$B$1004,$B412,$E$5:$E$1004)-SUMIF($B$5:$B$1004,$B412,$G$5:$G$1004),N($E412)-N($G412)),"#,##0"),IF(AND(ISNUMBER($O412),N($K412)&lt;0),"請求額より多く消し込んでいます",IF($F412="","消込先が未定","OK")))))))</f>
        <v/>
      </c>
      <c r="M412" s="19" t="n"/>
      <c r="N412" s="56" t="n"/>
      <c r="O412" s="32">
        <f>IF($F412="","",IFERROR(MATCH($F412,'請求台帳'!$A$5:$A$1004,0),"なし"))</f>
        <v/>
      </c>
      <c r="P412" s="37">
        <f>IF(NOT(OR($A412&lt;&gt;"",$E412&lt;&gt;"",$F412&lt;&gt;"",$G412&lt;&gt;"",$H412&lt;&gt;"",$I412&lt;&gt;"")),"",IF(ISNUMBER($O412),IF(INDEX('請求台帳'!$C$5:$C$1004,$O412)="","",INDEX('請求台帳'!$C$5:$C$1004,$O412)),IF($C412="","",$C412)))</f>
        <v/>
      </c>
      <c r="Q412" s="35">
        <f>IF(OR(NOT(OR($A412&lt;&gt;"",$E412&lt;&gt;"",$F412&lt;&gt;"",$G412&lt;&gt;"",$H412&lt;&gt;"",$I412&lt;&gt;"")),$P412="",$P412&lt;&gt;'売掛帳'!$B$3,NOT(ISNUMBER($A412)),N($G412)+N($H412)+N($I412)=0),"",IF(AND($A412&gt;='売掛帳'!$Q$3,$A412&lt;='売掛帳'!$Q$4),$A412+0.5+ROW()/10000000,""))</f>
        <v/>
      </c>
      <c r="R412" s="32">
        <f>IF(AND(OR($A412&lt;&gt;"",$E412&lt;&gt;"",$F412&lt;&gt;"",$G412&lt;&gt;"",$H412&lt;&gt;"",$I412&lt;&gt;""),NOT(ISNUMBER($O412))),1,"")</f>
        <v/>
      </c>
    </row>
    <row r="413" ht="18" customHeight="1">
      <c r="A413" s="26" t="n"/>
      <c r="B413" s="18" t="n"/>
      <c r="C413" s="18" t="n"/>
      <c r="D413" s="20">
        <f>IF($P413="","",IFERROR(INDEX('得意先'!$C$5:$C$104,MATCH($P413,'得意先'!$B$5:$B$104,0))&amp;"","※得意先にないコード"))</f>
        <v/>
      </c>
      <c r="E413" s="27" t="n"/>
      <c r="F413" s="18" t="n"/>
      <c r="G413" s="27" t="n"/>
      <c r="H413" s="27" t="n"/>
      <c r="I413" s="27" t="n"/>
      <c r="J413" s="28">
        <f>IF(NOT(OR($A413&lt;&gt;"",$E413&lt;&gt;"",$F413&lt;&gt;"",$G413&lt;&gt;"",$H413&lt;&gt;"",$I413&lt;&gt;"")),"",N($G413)+N($H413)+N($I413))</f>
        <v/>
      </c>
      <c r="K413" s="28">
        <f>IF(ISNUMBER($O413),INDEX('請求台帳'!$R$5:$R$1004,$O413),"")</f>
        <v/>
      </c>
      <c r="L413" s="20">
        <f>IF(NOT(OR($A413&lt;&gt;"",$E413&lt;&gt;"",$F413&lt;&gt;"",$G413&lt;&gt;"",$H413&lt;&gt;"",$I413&lt;&gt;"")),"",IF(NOT(ISNUMBER($A413)),"入金日がありません",IF(AND($F413&lt;&gt;"",$O413="なし"),"請求Noが請求台帳にありません",IF(AND(ISNUMBER($O413),$C413&lt;&gt;"",$C413&lt;&gt;$P413),"請求の得意先は "&amp;$P413&amp;" です",IF(ROUND(IF($B413&lt;&gt;"",SUMIF($B$5:$B$1004,$B413,$E$5:$E$1004)-SUMIF($B$5:$B$1004,$B413,$G$5:$G$1004),N($E413)-N($G413)),0)&lt;&gt;0,"通帳の額と当てた額の差 "&amp;TEXT(IF($B413&lt;&gt;"",SUMIF($B$5:$B$1004,$B413,$E$5:$E$1004)-SUMIF($B$5:$B$1004,$B413,$G$5:$G$1004),N($E413)-N($G413)),"#,##0"),IF(AND(ISNUMBER($O413),N($K413)&lt;0),"請求額より多く消し込んでいます",IF($F413="","消込先が未定","OK")))))))</f>
        <v/>
      </c>
      <c r="M413" s="19" t="n"/>
      <c r="N413" s="56" t="n"/>
      <c r="O413" s="32">
        <f>IF($F413="","",IFERROR(MATCH($F413,'請求台帳'!$A$5:$A$1004,0),"なし"))</f>
        <v/>
      </c>
      <c r="P413" s="37">
        <f>IF(NOT(OR($A413&lt;&gt;"",$E413&lt;&gt;"",$F413&lt;&gt;"",$G413&lt;&gt;"",$H413&lt;&gt;"",$I413&lt;&gt;"")),"",IF(ISNUMBER($O413),IF(INDEX('請求台帳'!$C$5:$C$1004,$O413)="","",INDEX('請求台帳'!$C$5:$C$1004,$O413)),IF($C413="","",$C413)))</f>
        <v/>
      </c>
      <c r="Q413" s="35">
        <f>IF(OR(NOT(OR($A413&lt;&gt;"",$E413&lt;&gt;"",$F413&lt;&gt;"",$G413&lt;&gt;"",$H413&lt;&gt;"",$I413&lt;&gt;"")),$P413="",$P413&lt;&gt;'売掛帳'!$B$3,NOT(ISNUMBER($A413)),N($G413)+N($H413)+N($I413)=0),"",IF(AND($A413&gt;='売掛帳'!$Q$3,$A413&lt;='売掛帳'!$Q$4),$A413+0.5+ROW()/10000000,""))</f>
        <v/>
      </c>
      <c r="R413" s="32">
        <f>IF(AND(OR($A413&lt;&gt;"",$E413&lt;&gt;"",$F413&lt;&gt;"",$G413&lt;&gt;"",$H413&lt;&gt;"",$I413&lt;&gt;""),NOT(ISNUMBER($O413))),1,"")</f>
        <v/>
      </c>
    </row>
    <row r="414" ht="18" customHeight="1">
      <c r="A414" s="26" t="n"/>
      <c r="B414" s="18" t="n"/>
      <c r="C414" s="18" t="n"/>
      <c r="D414" s="20">
        <f>IF($P414="","",IFERROR(INDEX('得意先'!$C$5:$C$104,MATCH($P414,'得意先'!$B$5:$B$104,0))&amp;"","※得意先にないコード"))</f>
        <v/>
      </c>
      <c r="E414" s="27" t="n"/>
      <c r="F414" s="18" t="n"/>
      <c r="G414" s="27" t="n"/>
      <c r="H414" s="27" t="n"/>
      <c r="I414" s="27" t="n"/>
      <c r="J414" s="28">
        <f>IF(NOT(OR($A414&lt;&gt;"",$E414&lt;&gt;"",$F414&lt;&gt;"",$G414&lt;&gt;"",$H414&lt;&gt;"",$I414&lt;&gt;"")),"",N($G414)+N($H414)+N($I414))</f>
        <v/>
      </c>
      <c r="K414" s="28">
        <f>IF(ISNUMBER($O414),INDEX('請求台帳'!$R$5:$R$1004,$O414),"")</f>
        <v/>
      </c>
      <c r="L414" s="20">
        <f>IF(NOT(OR($A414&lt;&gt;"",$E414&lt;&gt;"",$F414&lt;&gt;"",$G414&lt;&gt;"",$H414&lt;&gt;"",$I414&lt;&gt;"")),"",IF(NOT(ISNUMBER($A414)),"入金日がありません",IF(AND($F414&lt;&gt;"",$O414="なし"),"請求Noが請求台帳にありません",IF(AND(ISNUMBER($O414),$C414&lt;&gt;"",$C414&lt;&gt;$P414),"請求の得意先は "&amp;$P414&amp;" です",IF(ROUND(IF($B414&lt;&gt;"",SUMIF($B$5:$B$1004,$B414,$E$5:$E$1004)-SUMIF($B$5:$B$1004,$B414,$G$5:$G$1004),N($E414)-N($G414)),0)&lt;&gt;0,"通帳の額と当てた額の差 "&amp;TEXT(IF($B414&lt;&gt;"",SUMIF($B$5:$B$1004,$B414,$E$5:$E$1004)-SUMIF($B$5:$B$1004,$B414,$G$5:$G$1004),N($E414)-N($G414)),"#,##0"),IF(AND(ISNUMBER($O414),N($K414)&lt;0),"請求額より多く消し込んでいます",IF($F414="","消込先が未定","OK")))))))</f>
        <v/>
      </c>
      <c r="M414" s="19" t="n"/>
      <c r="N414" s="56" t="n"/>
      <c r="O414" s="32">
        <f>IF($F414="","",IFERROR(MATCH($F414,'請求台帳'!$A$5:$A$1004,0),"なし"))</f>
        <v/>
      </c>
      <c r="P414" s="37">
        <f>IF(NOT(OR($A414&lt;&gt;"",$E414&lt;&gt;"",$F414&lt;&gt;"",$G414&lt;&gt;"",$H414&lt;&gt;"",$I414&lt;&gt;"")),"",IF(ISNUMBER($O414),IF(INDEX('請求台帳'!$C$5:$C$1004,$O414)="","",INDEX('請求台帳'!$C$5:$C$1004,$O414)),IF($C414="","",$C414)))</f>
        <v/>
      </c>
      <c r="Q414" s="35">
        <f>IF(OR(NOT(OR($A414&lt;&gt;"",$E414&lt;&gt;"",$F414&lt;&gt;"",$G414&lt;&gt;"",$H414&lt;&gt;"",$I414&lt;&gt;"")),$P414="",$P414&lt;&gt;'売掛帳'!$B$3,NOT(ISNUMBER($A414)),N($G414)+N($H414)+N($I414)=0),"",IF(AND($A414&gt;='売掛帳'!$Q$3,$A414&lt;='売掛帳'!$Q$4),$A414+0.5+ROW()/10000000,""))</f>
        <v/>
      </c>
      <c r="R414" s="32">
        <f>IF(AND(OR($A414&lt;&gt;"",$E414&lt;&gt;"",$F414&lt;&gt;"",$G414&lt;&gt;"",$H414&lt;&gt;"",$I414&lt;&gt;""),NOT(ISNUMBER($O414))),1,"")</f>
        <v/>
      </c>
    </row>
    <row r="415" ht="18" customHeight="1">
      <c r="A415" s="26" t="n"/>
      <c r="B415" s="18" t="n"/>
      <c r="C415" s="18" t="n"/>
      <c r="D415" s="20">
        <f>IF($P415="","",IFERROR(INDEX('得意先'!$C$5:$C$104,MATCH($P415,'得意先'!$B$5:$B$104,0))&amp;"","※得意先にないコード"))</f>
        <v/>
      </c>
      <c r="E415" s="27" t="n"/>
      <c r="F415" s="18" t="n"/>
      <c r="G415" s="27" t="n"/>
      <c r="H415" s="27" t="n"/>
      <c r="I415" s="27" t="n"/>
      <c r="J415" s="28">
        <f>IF(NOT(OR($A415&lt;&gt;"",$E415&lt;&gt;"",$F415&lt;&gt;"",$G415&lt;&gt;"",$H415&lt;&gt;"",$I415&lt;&gt;"")),"",N($G415)+N($H415)+N($I415))</f>
        <v/>
      </c>
      <c r="K415" s="28">
        <f>IF(ISNUMBER($O415),INDEX('請求台帳'!$R$5:$R$1004,$O415),"")</f>
        <v/>
      </c>
      <c r="L415" s="20">
        <f>IF(NOT(OR($A415&lt;&gt;"",$E415&lt;&gt;"",$F415&lt;&gt;"",$G415&lt;&gt;"",$H415&lt;&gt;"",$I415&lt;&gt;"")),"",IF(NOT(ISNUMBER($A415)),"入金日がありません",IF(AND($F415&lt;&gt;"",$O415="なし"),"請求Noが請求台帳にありません",IF(AND(ISNUMBER($O415),$C415&lt;&gt;"",$C415&lt;&gt;$P415),"請求の得意先は "&amp;$P415&amp;" です",IF(ROUND(IF($B415&lt;&gt;"",SUMIF($B$5:$B$1004,$B415,$E$5:$E$1004)-SUMIF($B$5:$B$1004,$B415,$G$5:$G$1004),N($E415)-N($G415)),0)&lt;&gt;0,"通帳の額と当てた額の差 "&amp;TEXT(IF($B415&lt;&gt;"",SUMIF($B$5:$B$1004,$B415,$E$5:$E$1004)-SUMIF($B$5:$B$1004,$B415,$G$5:$G$1004),N($E415)-N($G415)),"#,##0"),IF(AND(ISNUMBER($O415),N($K415)&lt;0),"請求額より多く消し込んでいます",IF($F415="","消込先が未定","OK")))))))</f>
        <v/>
      </c>
      <c r="M415" s="19" t="n"/>
      <c r="N415" s="56" t="n"/>
      <c r="O415" s="32">
        <f>IF($F415="","",IFERROR(MATCH($F415,'請求台帳'!$A$5:$A$1004,0),"なし"))</f>
        <v/>
      </c>
      <c r="P415" s="37">
        <f>IF(NOT(OR($A415&lt;&gt;"",$E415&lt;&gt;"",$F415&lt;&gt;"",$G415&lt;&gt;"",$H415&lt;&gt;"",$I415&lt;&gt;"")),"",IF(ISNUMBER($O415),IF(INDEX('請求台帳'!$C$5:$C$1004,$O415)="","",INDEX('請求台帳'!$C$5:$C$1004,$O415)),IF($C415="","",$C415)))</f>
        <v/>
      </c>
      <c r="Q415" s="35">
        <f>IF(OR(NOT(OR($A415&lt;&gt;"",$E415&lt;&gt;"",$F415&lt;&gt;"",$G415&lt;&gt;"",$H415&lt;&gt;"",$I415&lt;&gt;"")),$P415="",$P415&lt;&gt;'売掛帳'!$B$3,NOT(ISNUMBER($A415)),N($G415)+N($H415)+N($I415)=0),"",IF(AND($A415&gt;='売掛帳'!$Q$3,$A415&lt;='売掛帳'!$Q$4),$A415+0.5+ROW()/10000000,""))</f>
        <v/>
      </c>
      <c r="R415" s="32">
        <f>IF(AND(OR($A415&lt;&gt;"",$E415&lt;&gt;"",$F415&lt;&gt;"",$G415&lt;&gt;"",$H415&lt;&gt;"",$I415&lt;&gt;""),NOT(ISNUMBER($O415))),1,"")</f>
        <v/>
      </c>
    </row>
    <row r="416" ht="18" customHeight="1">
      <c r="A416" s="26" t="n"/>
      <c r="B416" s="18" t="n"/>
      <c r="C416" s="18" t="n"/>
      <c r="D416" s="20">
        <f>IF($P416="","",IFERROR(INDEX('得意先'!$C$5:$C$104,MATCH($P416,'得意先'!$B$5:$B$104,0))&amp;"","※得意先にないコード"))</f>
        <v/>
      </c>
      <c r="E416" s="27" t="n"/>
      <c r="F416" s="18" t="n"/>
      <c r="G416" s="27" t="n"/>
      <c r="H416" s="27" t="n"/>
      <c r="I416" s="27" t="n"/>
      <c r="J416" s="28">
        <f>IF(NOT(OR($A416&lt;&gt;"",$E416&lt;&gt;"",$F416&lt;&gt;"",$G416&lt;&gt;"",$H416&lt;&gt;"",$I416&lt;&gt;"")),"",N($G416)+N($H416)+N($I416))</f>
        <v/>
      </c>
      <c r="K416" s="28">
        <f>IF(ISNUMBER($O416),INDEX('請求台帳'!$R$5:$R$1004,$O416),"")</f>
        <v/>
      </c>
      <c r="L416" s="20">
        <f>IF(NOT(OR($A416&lt;&gt;"",$E416&lt;&gt;"",$F416&lt;&gt;"",$G416&lt;&gt;"",$H416&lt;&gt;"",$I416&lt;&gt;"")),"",IF(NOT(ISNUMBER($A416)),"入金日がありません",IF(AND($F416&lt;&gt;"",$O416="なし"),"請求Noが請求台帳にありません",IF(AND(ISNUMBER($O416),$C416&lt;&gt;"",$C416&lt;&gt;$P416),"請求の得意先は "&amp;$P416&amp;" です",IF(ROUND(IF($B416&lt;&gt;"",SUMIF($B$5:$B$1004,$B416,$E$5:$E$1004)-SUMIF($B$5:$B$1004,$B416,$G$5:$G$1004),N($E416)-N($G416)),0)&lt;&gt;0,"通帳の額と当てた額の差 "&amp;TEXT(IF($B416&lt;&gt;"",SUMIF($B$5:$B$1004,$B416,$E$5:$E$1004)-SUMIF($B$5:$B$1004,$B416,$G$5:$G$1004),N($E416)-N($G416)),"#,##0"),IF(AND(ISNUMBER($O416),N($K416)&lt;0),"請求額より多く消し込んでいます",IF($F416="","消込先が未定","OK")))))))</f>
        <v/>
      </c>
      <c r="M416" s="19" t="n"/>
      <c r="N416" s="56" t="n"/>
      <c r="O416" s="32">
        <f>IF($F416="","",IFERROR(MATCH($F416,'請求台帳'!$A$5:$A$1004,0),"なし"))</f>
        <v/>
      </c>
      <c r="P416" s="37">
        <f>IF(NOT(OR($A416&lt;&gt;"",$E416&lt;&gt;"",$F416&lt;&gt;"",$G416&lt;&gt;"",$H416&lt;&gt;"",$I416&lt;&gt;"")),"",IF(ISNUMBER($O416),IF(INDEX('請求台帳'!$C$5:$C$1004,$O416)="","",INDEX('請求台帳'!$C$5:$C$1004,$O416)),IF($C416="","",$C416)))</f>
        <v/>
      </c>
      <c r="Q416" s="35">
        <f>IF(OR(NOT(OR($A416&lt;&gt;"",$E416&lt;&gt;"",$F416&lt;&gt;"",$G416&lt;&gt;"",$H416&lt;&gt;"",$I416&lt;&gt;"")),$P416="",$P416&lt;&gt;'売掛帳'!$B$3,NOT(ISNUMBER($A416)),N($G416)+N($H416)+N($I416)=0),"",IF(AND($A416&gt;='売掛帳'!$Q$3,$A416&lt;='売掛帳'!$Q$4),$A416+0.5+ROW()/10000000,""))</f>
        <v/>
      </c>
      <c r="R416" s="32">
        <f>IF(AND(OR($A416&lt;&gt;"",$E416&lt;&gt;"",$F416&lt;&gt;"",$G416&lt;&gt;"",$H416&lt;&gt;"",$I416&lt;&gt;""),NOT(ISNUMBER($O416))),1,"")</f>
        <v/>
      </c>
    </row>
    <row r="417" ht="18" customHeight="1">
      <c r="A417" s="26" t="n"/>
      <c r="B417" s="18" t="n"/>
      <c r="C417" s="18" t="n"/>
      <c r="D417" s="20">
        <f>IF($P417="","",IFERROR(INDEX('得意先'!$C$5:$C$104,MATCH($P417,'得意先'!$B$5:$B$104,0))&amp;"","※得意先にないコード"))</f>
        <v/>
      </c>
      <c r="E417" s="27" t="n"/>
      <c r="F417" s="18" t="n"/>
      <c r="G417" s="27" t="n"/>
      <c r="H417" s="27" t="n"/>
      <c r="I417" s="27" t="n"/>
      <c r="J417" s="28">
        <f>IF(NOT(OR($A417&lt;&gt;"",$E417&lt;&gt;"",$F417&lt;&gt;"",$G417&lt;&gt;"",$H417&lt;&gt;"",$I417&lt;&gt;"")),"",N($G417)+N($H417)+N($I417))</f>
        <v/>
      </c>
      <c r="K417" s="28">
        <f>IF(ISNUMBER($O417),INDEX('請求台帳'!$R$5:$R$1004,$O417),"")</f>
        <v/>
      </c>
      <c r="L417" s="20">
        <f>IF(NOT(OR($A417&lt;&gt;"",$E417&lt;&gt;"",$F417&lt;&gt;"",$G417&lt;&gt;"",$H417&lt;&gt;"",$I417&lt;&gt;"")),"",IF(NOT(ISNUMBER($A417)),"入金日がありません",IF(AND($F417&lt;&gt;"",$O417="なし"),"請求Noが請求台帳にありません",IF(AND(ISNUMBER($O417),$C417&lt;&gt;"",$C417&lt;&gt;$P417),"請求の得意先は "&amp;$P417&amp;" です",IF(ROUND(IF($B417&lt;&gt;"",SUMIF($B$5:$B$1004,$B417,$E$5:$E$1004)-SUMIF($B$5:$B$1004,$B417,$G$5:$G$1004),N($E417)-N($G417)),0)&lt;&gt;0,"通帳の額と当てた額の差 "&amp;TEXT(IF($B417&lt;&gt;"",SUMIF($B$5:$B$1004,$B417,$E$5:$E$1004)-SUMIF($B$5:$B$1004,$B417,$G$5:$G$1004),N($E417)-N($G417)),"#,##0"),IF(AND(ISNUMBER($O417),N($K417)&lt;0),"請求額より多く消し込んでいます",IF($F417="","消込先が未定","OK")))))))</f>
        <v/>
      </c>
      <c r="M417" s="19" t="n"/>
      <c r="N417" s="56" t="n"/>
      <c r="O417" s="32">
        <f>IF($F417="","",IFERROR(MATCH($F417,'請求台帳'!$A$5:$A$1004,0),"なし"))</f>
        <v/>
      </c>
      <c r="P417" s="37">
        <f>IF(NOT(OR($A417&lt;&gt;"",$E417&lt;&gt;"",$F417&lt;&gt;"",$G417&lt;&gt;"",$H417&lt;&gt;"",$I417&lt;&gt;"")),"",IF(ISNUMBER($O417),IF(INDEX('請求台帳'!$C$5:$C$1004,$O417)="","",INDEX('請求台帳'!$C$5:$C$1004,$O417)),IF($C417="","",$C417)))</f>
        <v/>
      </c>
      <c r="Q417" s="35">
        <f>IF(OR(NOT(OR($A417&lt;&gt;"",$E417&lt;&gt;"",$F417&lt;&gt;"",$G417&lt;&gt;"",$H417&lt;&gt;"",$I417&lt;&gt;"")),$P417="",$P417&lt;&gt;'売掛帳'!$B$3,NOT(ISNUMBER($A417)),N($G417)+N($H417)+N($I417)=0),"",IF(AND($A417&gt;='売掛帳'!$Q$3,$A417&lt;='売掛帳'!$Q$4),$A417+0.5+ROW()/10000000,""))</f>
        <v/>
      </c>
      <c r="R417" s="32">
        <f>IF(AND(OR($A417&lt;&gt;"",$E417&lt;&gt;"",$F417&lt;&gt;"",$G417&lt;&gt;"",$H417&lt;&gt;"",$I417&lt;&gt;""),NOT(ISNUMBER($O417))),1,"")</f>
        <v/>
      </c>
    </row>
    <row r="418" ht="18" customHeight="1">
      <c r="A418" s="26" t="n"/>
      <c r="B418" s="18" t="n"/>
      <c r="C418" s="18" t="n"/>
      <c r="D418" s="20">
        <f>IF($P418="","",IFERROR(INDEX('得意先'!$C$5:$C$104,MATCH($P418,'得意先'!$B$5:$B$104,0))&amp;"","※得意先にないコード"))</f>
        <v/>
      </c>
      <c r="E418" s="27" t="n"/>
      <c r="F418" s="18" t="n"/>
      <c r="G418" s="27" t="n"/>
      <c r="H418" s="27" t="n"/>
      <c r="I418" s="27" t="n"/>
      <c r="J418" s="28">
        <f>IF(NOT(OR($A418&lt;&gt;"",$E418&lt;&gt;"",$F418&lt;&gt;"",$G418&lt;&gt;"",$H418&lt;&gt;"",$I418&lt;&gt;"")),"",N($G418)+N($H418)+N($I418))</f>
        <v/>
      </c>
      <c r="K418" s="28">
        <f>IF(ISNUMBER($O418),INDEX('請求台帳'!$R$5:$R$1004,$O418),"")</f>
        <v/>
      </c>
      <c r="L418" s="20">
        <f>IF(NOT(OR($A418&lt;&gt;"",$E418&lt;&gt;"",$F418&lt;&gt;"",$G418&lt;&gt;"",$H418&lt;&gt;"",$I418&lt;&gt;"")),"",IF(NOT(ISNUMBER($A418)),"入金日がありません",IF(AND($F418&lt;&gt;"",$O418="なし"),"請求Noが請求台帳にありません",IF(AND(ISNUMBER($O418),$C418&lt;&gt;"",$C418&lt;&gt;$P418),"請求の得意先は "&amp;$P418&amp;" です",IF(ROUND(IF($B418&lt;&gt;"",SUMIF($B$5:$B$1004,$B418,$E$5:$E$1004)-SUMIF($B$5:$B$1004,$B418,$G$5:$G$1004),N($E418)-N($G418)),0)&lt;&gt;0,"通帳の額と当てた額の差 "&amp;TEXT(IF($B418&lt;&gt;"",SUMIF($B$5:$B$1004,$B418,$E$5:$E$1004)-SUMIF($B$5:$B$1004,$B418,$G$5:$G$1004),N($E418)-N($G418)),"#,##0"),IF(AND(ISNUMBER($O418),N($K418)&lt;0),"請求額より多く消し込んでいます",IF($F418="","消込先が未定","OK")))))))</f>
        <v/>
      </c>
      <c r="M418" s="19" t="n"/>
      <c r="N418" s="56" t="n"/>
      <c r="O418" s="32">
        <f>IF($F418="","",IFERROR(MATCH($F418,'請求台帳'!$A$5:$A$1004,0),"なし"))</f>
        <v/>
      </c>
      <c r="P418" s="37">
        <f>IF(NOT(OR($A418&lt;&gt;"",$E418&lt;&gt;"",$F418&lt;&gt;"",$G418&lt;&gt;"",$H418&lt;&gt;"",$I418&lt;&gt;"")),"",IF(ISNUMBER($O418),IF(INDEX('請求台帳'!$C$5:$C$1004,$O418)="","",INDEX('請求台帳'!$C$5:$C$1004,$O418)),IF($C418="","",$C418)))</f>
        <v/>
      </c>
      <c r="Q418" s="35">
        <f>IF(OR(NOT(OR($A418&lt;&gt;"",$E418&lt;&gt;"",$F418&lt;&gt;"",$G418&lt;&gt;"",$H418&lt;&gt;"",$I418&lt;&gt;"")),$P418="",$P418&lt;&gt;'売掛帳'!$B$3,NOT(ISNUMBER($A418)),N($G418)+N($H418)+N($I418)=0),"",IF(AND($A418&gt;='売掛帳'!$Q$3,$A418&lt;='売掛帳'!$Q$4),$A418+0.5+ROW()/10000000,""))</f>
        <v/>
      </c>
      <c r="R418" s="32">
        <f>IF(AND(OR($A418&lt;&gt;"",$E418&lt;&gt;"",$F418&lt;&gt;"",$G418&lt;&gt;"",$H418&lt;&gt;"",$I418&lt;&gt;""),NOT(ISNUMBER($O418))),1,"")</f>
        <v/>
      </c>
    </row>
    <row r="419" ht="18" customHeight="1">
      <c r="A419" s="26" t="n"/>
      <c r="B419" s="18" t="n"/>
      <c r="C419" s="18" t="n"/>
      <c r="D419" s="20">
        <f>IF($P419="","",IFERROR(INDEX('得意先'!$C$5:$C$104,MATCH($P419,'得意先'!$B$5:$B$104,0))&amp;"","※得意先にないコード"))</f>
        <v/>
      </c>
      <c r="E419" s="27" t="n"/>
      <c r="F419" s="18" t="n"/>
      <c r="G419" s="27" t="n"/>
      <c r="H419" s="27" t="n"/>
      <c r="I419" s="27" t="n"/>
      <c r="J419" s="28">
        <f>IF(NOT(OR($A419&lt;&gt;"",$E419&lt;&gt;"",$F419&lt;&gt;"",$G419&lt;&gt;"",$H419&lt;&gt;"",$I419&lt;&gt;"")),"",N($G419)+N($H419)+N($I419))</f>
        <v/>
      </c>
      <c r="K419" s="28">
        <f>IF(ISNUMBER($O419),INDEX('請求台帳'!$R$5:$R$1004,$O419),"")</f>
        <v/>
      </c>
      <c r="L419" s="20">
        <f>IF(NOT(OR($A419&lt;&gt;"",$E419&lt;&gt;"",$F419&lt;&gt;"",$G419&lt;&gt;"",$H419&lt;&gt;"",$I419&lt;&gt;"")),"",IF(NOT(ISNUMBER($A419)),"入金日がありません",IF(AND($F419&lt;&gt;"",$O419="なし"),"請求Noが請求台帳にありません",IF(AND(ISNUMBER($O419),$C419&lt;&gt;"",$C419&lt;&gt;$P419),"請求の得意先は "&amp;$P419&amp;" です",IF(ROUND(IF($B419&lt;&gt;"",SUMIF($B$5:$B$1004,$B419,$E$5:$E$1004)-SUMIF($B$5:$B$1004,$B419,$G$5:$G$1004),N($E419)-N($G419)),0)&lt;&gt;0,"通帳の額と当てた額の差 "&amp;TEXT(IF($B419&lt;&gt;"",SUMIF($B$5:$B$1004,$B419,$E$5:$E$1004)-SUMIF($B$5:$B$1004,$B419,$G$5:$G$1004),N($E419)-N($G419)),"#,##0"),IF(AND(ISNUMBER($O419),N($K419)&lt;0),"請求額より多く消し込んでいます",IF($F419="","消込先が未定","OK")))))))</f>
        <v/>
      </c>
      <c r="M419" s="19" t="n"/>
      <c r="N419" s="56" t="n"/>
      <c r="O419" s="32">
        <f>IF($F419="","",IFERROR(MATCH($F419,'請求台帳'!$A$5:$A$1004,0),"なし"))</f>
        <v/>
      </c>
      <c r="P419" s="37">
        <f>IF(NOT(OR($A419&lt;&gt;"",$E419&lt;&gt;"",$F419&lt;&gt;"",$G419&lt;&gt;"",$H419&lt;&gt;"",$I419&lt;&gt;"")),"",IF(ISNUMBER($O419),IF(INDEX('請求台帳'!$C$5:$C$1004,$O419)="","",INDEX('請求台帳'!$C$5:$C$1004,$O419)),IF($C419="","",$C419)))</f>
        <v/>
      </c>
      <c r="Q419" s="35">
        <f>IF(OR(NOT(OR($A419&lt;&gt;"",$E419&lt;&gt;"",$F419&lt;&gt;"",$G419&lt;&gt;"",$H419&lt;&gt;"",$I419&lt;&gt;"")),$P419="",$P419&lt;&gt;'売掛帳'!$B$3,NOT(ISNUMBER($A419)),N($G419)+N($H419)+N($I419)=0),"",IF(AND($A419&gt;='売掛帳'!$Q$3,$A419&lt;='売掛帳'!$Q$4),$A419+0.5+ROW()/10000000,""))</f>
        <v/>
      </c>
      <c r="R419" s="32">
        <f>IF(AND(OR($A419&lt;&gt;"",$E419&lt;&gt;"",$F419&lt;&gt;"",$G419&lt;&gt;"",$H419&lt;&gt;"",$I419&lt;&gt;""),NOT(ISNUMBER($O419))),1,"")</f>
        <v/>
      </c>
    </row>
    <row r="420" ht="18" customHeight="1">
      <c r="A420" s="26" t="n"/>
      <c r="B420" s="18" t="n"/>
      <c r="C420" s="18" t="n"/>
      <c r="D420" s="20">
        <f>IF($P420="","",IFERROR(INDEX('得意先'!$C$5:$C$104,MATCH($P420,'得意先'!$B$5:$B$104,0))&amp;"","※得意先にないコード"))</f>
        <v/>
      </c>
      <c r="E420" s="27" t="n"/>
      <c r="F420" s="18" t="n"/>
      <c r="G420" s="27" t="n"/>
      <c r="H420" s="27" t="n"/>
      <c r="I420" s="27" t="n"/>
      <c r="J420" s="28">
        <f>IF(NOT(OR($A420&lt;&gt;"",$E420&lt;&gt;"",$F420&lt;&gt;"",$G420&lt;&gt;"",$H420&lt;&gt;"",$I420&lt;&gt;"")),"",N($G420)+N($H420)+N($I420))</f>
        <v/>
      </c>
      <c r="K420" s="28">
        <f>IF(ISNUMBER($O420),INDEX('請求台帳'!$R$5:$R$1004,$O420),"")</f>
        <v/>
      </c>
      <c r="L420" s="20">
        <f>IF(NOT(OR($A420&lt;&gt;"",$E420&lt;&gt;"",$F420&lt;&gt;"",$G420&lt;&gt;"",$H420&lt;&gt;"",$I420&lt;&gt;"")),"",IF(NOT(ISNUMBER($A420)),"入金日がありません",IF(AND($F420&lt;&gt;"",$O420="なし"),"請求Noが請求台帳にありません",IF(AND(ISNUMBER($O420),$C420&lt;&gt;"",$C420&lt;&gt;$P420),"請求の得意先は "&amp;$P420&amp;" です",IF(ROUND(IF($B420&lt;&gt;"",SUMIF($B$5:$B$1004,$B420,$E$5:$E$1004)-SUMIF($B$5:$B$1004,$B420,$G$5:$G$1004),N($E420)-N($G420)),0)&lt;&gt;0,"通帳の額と当てた額の差 "&amp;TEXT(IF($B420&lt;&gt;"",SUMIF($B$5:$B$1004,$B420,$E$5:$E$1004)-SUMIF($B$5:$B$1004,$B420,$G$5:$G$1004),N($E420)-N($G420)),"#,##0"),IF(AND(ISNUMBER($O420),N($K420)&lt;0),"請求額より多く消し込んでいます",IF($F420="","消込先が未定","OK")))))))</f>
        <v/>
      </c>
      <c r="M420" s="19" t="n"/>
      <c r="N420" s="56" t="n"/>
      <c r="O420" s="32">
        <f>IF($F420="","",IFERROR(MATCH($F420,'請求台帳'!$A$5:$A$1004,0),"なし"))</f>
        <v/>
      </c>
      <c r="P420" s="37">
        <f>IF(NOT(OR($A420&lt;&gt;"",$E420&lt;&gt;"",$F420&lt;&gt;"",$G420&lt;&gt;"",$H420&lt;&gt;"",$I420&lt;&gt;"")),"",IF(ISNUMBER($O420),IF(INDEX('請求台帳'!$C$5:$C$1004,$O420)="","",INDEX('請求台帳'!$C$5:$C$1004,$O420)),IF($C420="","",$C420)))</f>
        <v/>
      </c>
      <c r="Q420" s="35">
        <f>IF(OR(NOT(OR($A420&lt;&gt;"",$E420&lt;&gt;"",$F420&lt;&gt;"",$G420&lt;&gt;"",$H420&lt;&gt;"",$I420&lt;&gt;"")),$P420="",$P420&lt;&gt;'売掛帳'!$B$3,NOT(ISNUMBER($A420)),N($G420)+N($H420)+N($I420)=0),"",IF(AND($A420&gt;='売掛帳'!$Q$3,$A420&lt;='売掛帳'!$Q$4),$A420+0.5+ROW()/10000000,""))</f>
        <v/>
      </c>
      <c r="R420" s="32">
        <f>IF(AND(OR($A420&lt;&gt;"",$E420&lt;&gt;"",$F420&lt;&gt;"",$G420&lt;&gt;"",$H420&lt;&gt;"",$I420&lt;&gt;""),NOT(ISNUMBER($O420))),1,"")</f>
        <v/>
      </c>
    </row>
    <row r="421" ht="18" customHeight="1">
      <c r="A421" s="26" t="n"/>
      <c r="B421" s="18" t="n"/>
      <c r="C421" s="18" t="n"/>
      <c r="D421" s="20">
        <f>IF($P421="","",IFERROR(INDEX('得意先'!$C$5:$C$104,MATCH($P421,'得意先'!$B$5:$B$104,0))&amp;"","※得意先にないコード"))</f>
        <v/>
      </c>
      <c r="E421" s="27" t="n"/>
      <c r="F421" s="18" t="n"/>
      <c r="G421" s="27" t="n"/>
      <c r="H421" s="27" t="n"/>
      <c r="I421" s="27" t="n"/>
      <c r="J421" s="28">
        <f>IF(NOT(OR($A421&lt;&gt;"",$E421&lt;&gt;"",$F421&lt;&gt;"",$G421&lt;&gt;"",$H421&lt;&gt;"",$I421&lt;&gt;"")),"",N($G421)+N($H421)+N($I421))</f>
        <v/>
      </c>
      <c r="K421" s="28">
        <f>IF(ISNUMBER($O421),INDEX('請求台帳'!$R$5:$R$1004,$O421),"")</f>
        <v/>
      </c>
      <c r="L421" s="20">
        <f>IF(NOT(OR($A421&lt;&gt;"",$E421&lt;&gt;"",$F421&lt;&gt;"",$G421&lt;&gt;"",$H421&lt;&gt;"",$I421&lt;&gt;"")),"",IF(NOT(ISNUMBER($A421)),"入金日がありません",IF(AND($F421&lt;&gt;"",$O421="なし"),"請求Noが請求台帳にありません",IF(AND(ISNUMBER($O421),$C421&lt;&gt;"",$C421&lt;&gt;$P421),"請求の得意先は "&amp;$P421&amp;" です",IF(ROUND(IF($B421&lt;&gt;"",SUMIF($B$5:$B$1004,$B421,$E$5:$E$1004)-SUMIF($B$5:$B$1004,$B421,$G$5:$G$1004),N($E421)-N($G421)),0)&lt;&gt;0,"通帳の額と当てた額の差 "&amp;TEXT(IF($B421&lt;&gt;"",SUMIF($B$5:$B$1004,$B421,$E$5:$E$1004)-SUMIF($B$5:$B$1004,$B421,$G$5:$G$1004),N($E421)-N($G421)),"#,##0"),IF(AND(ISNUMBER($O421),N($K421)&lt;0),"請求額より多く消し込んでいます",IF($F421="","消込先が未定","OK")))))))</f>
        <v/>
      </c>
      <c r="M421" s="19" t="n"/>
      <c r="N421" s="56" t="n"/>
      <c r="O421" s="32">
        <f>IF($F421="","",IFERROR(MATCH($F421,'請求台帳'!$A$5:$A$1004,0),"なし"))</f>
        <v/>
      </c>
      <c r="P421" s="37">
        <f>IF(NOT(OR($A421&lt;&gt;"",$E421&lt;&gt;"",$F421&lt;&gt;"",$G421&lt;&gt;"",$H421&lt;&gt;"",$I421&lt;&gt;"")),"",IF(ISNUMBER($O421),IF(INDEX('請求台帳'!$C$5:$C$1004,$O421)="","",INDEX('請求台帳'!$C$5:$C$1004,$O421)),IF($C421="","",$C421)))</f>
        <v/>
      </c>
      <c r="Q421" s="35">
        <f>IF(OR(NOT(OR($A421&lt;&gt;"",$E421&lt;&gt;"",$F421&lt;&gt;"",$G421&lt;&gt;"",$H421&lt;&gt;"",$I421&lt;&gt;"")),$P421="",$P421&lt;&gt;'売掛帳'!$B$3,NOT(ISNUMBER($A421)),N($G421)+N($H421)+N($I421)=0),"",IF(AND($A421&gt;='売掛帳'!$Q$3,$A421&lt;='売掛帳'!$Q$4),$A421+0.5+ROW()/10000000,""))</f>
        <v/>
      </c>
      <c r="R421" s="32">
        <f>IF(AND(OR($A421&lt;&gt;"",$E421&lt;&gt;"",$F421&lt;&gt;"",$G421&lt;&gt;"",$H421&lt;&gt;"",$I421&lt;&gt;""),NOT(ISNUMBER($O421))),1,"")</f>
        <v/>
      </c>
    </row>
    <row r="422" ht="18" customHeight="1">
      <c r="A422" s="26" t="n"/>
      <c r="B422" s="18" t="n"/>
      <c r="C422" s="18" t="n"/>
      <c r="D422" s="20">
        <f>IF($P422="","",IFERROR(INDEX('得意先'!$C$5:$C$104,MATCH($P422,'得意先'!$B$5:$B$104,0))&amp;"","※得意先にないコード"))</f>
        <v/>
      </c>
      <c r="E422" s="27" t="n"/>
      <c r="F422" s="18" t="n"/>
      <c r="G422" s="27" t="n"/>
      <c r="H422" s="27" t="n"/>
      <c r="I422" s="27" t="n"/>
      <c r="J422" s="28">
        <f>IF(NOT(OR($A422&lt;&gt;"",$E422&lt;&gt;"",$F422&lt;&gt;"",$G422&lt;&gt;"",$H422&lt;&gt;"",$I422&lt;&gt;"")),"",N($G422)+N($H422)+N($I422))</f>
        <v/>
      </c>
      <c r="K422" s="28">
        <f>IF(ISNUMBER($O422),INDEX('請求台帳'!$R$5:$R$1004,$O422),"")</f>
        <v/>
      </c>
      <c r="L422" s="20">
        <f>IF(NOT(OR($A422&lt;&gt;"",$E422&lt;&gt;"",$F422&lt;&gt;"",$G422&lt;&gt;"",$H422&lt;&gt;"",$I422&lt;&gt;"")),"",IF(NOT(ISNUMBER($A422)),"入金日がありません",IF(AND($F422&lt;&gt;"",$O422="なし"),"請求Noが請求台帳にありません",IF(AND(ISNUMBER($O422),$C422&lt;&gt;"",$C422&lt;&gt;$P422),"請求の得意先は "&amp;$P422&amp;" です",IF(ROUND(IF($B422&lt;&gt;"",SUMIF($B$5:$B$1004,$B422,$E$5:$E$1004)-SUMIF($B$5:$B$1004,$B422,$G$5:$G$1004),N($E422)-N($G422)),0)&lt;&gt;0,"通帳の額と当てた額の差 "&amp;TEXT(IF($B422&lt;&gt;"",SUMIF($B$5:$B$1004,$B422,$E$5:$E$1004)-SUMIF($B$5:$B$1004,$B422,$G$5:$G$1004),N($E422)-N($G422)),"#,##0"),IF(AND(ISNUMBER($O422),N($K422)&lt;0),"請求額より多く消し込んでいます",IF($F422="","消込先が未定","OK")))))))</f>
        <v/>
      </c>
      <c r="M422" s="19" t="n"/>
      <c r="N422" s="56" t="n"/>
      <c r="O422" s="32">
        <f>IF($F422="","",IFERROR(MATCH($F422,'請求台帳'!$A$5:$A$1004,0),"なし"))</f>
        <v/>
      </c>
      <c r="P422" s="37">
        <f>IF(NOT(OR($A422&lt;&gt;"",$E422&lt;&gt;"",$F422&lt;&gt;"",$G422&lt;&gt;"",$H422&lt;&gt;"",$I422&lt;&gt;"")),"",IF(ISNUMBER($O422),IF(INDEX('請求台帳'!$C$5:$C$1004,$O422)="","",INDEX('請求台帳'!$C$5:$C$1004,$O422)),IF($C422="","",$C422)))</f>
        <v/>
      </c>
      <c r="Q422" s="35">
        <f>IF(OR(NOT(OR($A422&lt;&gt;"",$E422&lt;&gt;"",$F422&lt;&gt;"",$G422&lt;&gt;"",$H422&lt;&gt;"",$I422&lt;&gt;"")),$P422="",$P422&lt;&gt;'売掛帳'!$B$3,NOT(ISNUMBER($A422)),N($G422)+N($H422)+N($I422)=0),"",IF(AND($A422&gt;='売掛帳'!$Q$3,$A422&lt;='売掛帳'!$Q$4),$A422+0.5+ROW()/10000000,""))</f>
        <v/>
      </c>
      <c r="R422" s="32">
        <f>IF(AND(OR($A422&lt;&gt;"",$E422&lt;&gt;"",$F422&lt;&gt;"",$G422&lt;&gt;"",$H422&lt;&gt;"",$I422&lt;&gt;""),NOT(ISNUMBER($O422))),1,"")</f>
        <v/>
      </c>
    </row>
    <row r="423" ht="18" customHeight="1">
      <c r="A423" s="26" t="n"/>
      <c r="B423" s="18" t="n"/>
      <c r="C423" s="18" t="n"/>
      <c r="D423" s="20">
        <f>IF($P423="","",IFERROR(INDEX('得意先'!$C$5:$C$104,MATCH($P423,'得意先'!$B$5:$B$104,0))&amp;"","※得意先にないコード"))</f>
        <v/>
      </c>
      <c r="E423" s="27" t="n"/>
      <c r="F423" s="18" t="n"/>
      <c r="G423" s="27" t="n"/>
      <c r="H423" s="27" t="n"/>
      <c r="I423" s="27" t="n"/>
      <c r="J423" s="28">
        <f>IF(NOT(OR($A423&lt;&gt;"",$E423&lt;&gt;"",$F423&lt;&gt;"",$G423&lt;&gt;"",$H423&lt;&gt;"",$I423&lt;&gt;"")),"",N($G423)+N($H423)+N($I423))</f>
        <v/>
      </c>
      <c r="K423" s="28">
        <f>IF(ISNUMBER($O423),INDEX('請求台帳'!$R$5:$R$1004,$O423),"")</f>
        <v/>
      </c>
      <c r="L423" s="20">
        <f>IF(NOT(OR($A423&lt;&gt;"",$E423&lt;&gt;"",$F423&lt;&gt;"",$G423&lt;&gt;"",$H423&lt;&gt;"",$I423&lt;&gt;"")),"",IF(NOT(ISNUMBER($A423)),"入金日がありません",IF(AND($F423&lt;&gt;"",$O423="なし"),"請求Noが請求台帳にありません",IF(AND(ISNUMBER($O423),$C423&lt;&gt;"",$C423&lt;&gt;$P423),"請求の得意先は "&amp;$P423&amp;" です",IF(ROUND(IF($B423&lt;&gt;"",SUMIF($B$5:$B$1004,$B423,$E$5:$E$1004)-SUMIF($B$5:$B$1004,$B423,$G$5:$G$1004),N($E423)-N($G423)),0)&lt;&gt;0,"通帳の額と当てた額の差 "&amp;TEXT(IF($B423&lt;&gt;"",SUMIF($B$5:$B$1004,$B423,$E$5:$E$1004)-SUMIF($B$5:$B$1004,$B423,$G$5:$G$1004),N($E423)-N($G423)),"#,##0"),IF(AND(ISNUMBER($O423),N($K423)&lt;0),"請求額より多く消し込んでいます",IF($F423="","消込先が未定","OK")))))))</f>
        <v/>
      </c>
      <c r="M423" s="19" t="n"/>
      <c r="N423" s="56" t="n"/>
      <c r="O423" s="32">
        <f>IF($F423="","",IFERROR(MATCH($F423,'請求台帳'!$A$5:$A$1004,0),"なし"))</f>
        <v/>
      </c>
      <c r="P423" s="37">
        <f>IF(NOT(OR($A423&lt;&gt;"",$E423&lt;&gt;"",$F423&lt;&gt;"",$G423&lt;&gt;"",$H423&lt;&gt;"",$I423&lt;&gt;"")),"",IF(ISNUMBER($O423),IF(INDEX('請求台帳'!$C$5:$C$1004,$O423)="","",INDEX('請求台帳'!$C$5:$C$1004,$O423)),IF($C423="","",$C423)))</f>
        <v/>
      </c>
      <c r="Q423" s="35">
        <f>IF(OR(NOT(OR($A423&lt;&gt;"",$E423&lt;&gt;"",$F423&lt;&gt;"",$G423&lt;&gt;"",$H423&lt;&gt;"",$I423&lt;&gt;"")),$P423="",$P423&lt;&gt;'売掛帳'!$B$3,NOT(ISNUMBER($A423)),N($G423)+N($H423)+N($I423)=0),"",IF(AND($A423&gt;='売掛帳'!$Q$3,$A423&lt;='売掛帳'!$Q$4),$A423+0.5+ROW()/10000000,""))</f>
        <v/>
      </c>
      <c r="R423" s="32">
        <f>IF(AND(OR($A423&lt;&gt;"",$E423&lt;&gt;"",$F423&lt;&gt;"",$G423&lt;&gt;"",$H423&lt;&gt;"",$I423&lt;&gt;""),NOT(ISNUMBER($O423))),1,"")</f>
        <v/>
      </c>
    </row>
    <row r="424" ht="18" customHeight="1">
      <c r="A424" s="26" t="n"/>
      <c r="B424" s="18" t="n"/>
      <c r="C424" s="18" t="n"/>
      <c r="D424" s="20">
        <f>IF($P424="","",IFERROR(INDEX('得意先'!$C$5:$C$104,MATCH($P424,'得意先'!$B$5:$B$104,0))&amp;"","※得意先にないコード"))</f>
        <v/>
      </c>
      <c r="E424" s="27" t="n"/>
      <c r="F424" s="18" t="n"/>
      <c r="G424" s="27" t="n"/>
      <c r="H424" s="27" t="n"/>
      <c r="I424" s="27" t="n"/>
      <c r="J424" s="28">
        <f>IF(NOT(OR($A424&lt;&gt;"",$E424&lt;&gt;"",$F424&lt;&gt;"",$G424&lt;&gt;"",$H424&lt;&gt;"",$I424&lt;&gt;"")),"",N($G424)+N($H424)+N($I424))</f>
        <v/>
      </c>
      <c r="K424" s="28">
        <f>IF(ISNUMBER($O424),INDEX('請求台帳'!$R$5:$R$1004,$O424),"")</f>
        <v/>
      </c>
      <c r="L424" s="20">
        <f>IF(NOT(OR($A424&lt;&gt;"",$E424&lt;&gt;"",$F424&lt;&gt;"",$G424&lt;&gt;"",$H424&lt;&gt;"",$I424&lt;&gt;"")),"",IF(NOT(ISNUMBER($A424)),"入金日がありません",IF(AND($F424&lt;&gt;"",$O424="なし"),"請求Noが請求台帳にありません",IF(AND(ISNUMBER($O424),$C424&lt;&gt;"",$C424&lt;&gt;$P424),"請求の得意先は "&amp;$P424&amp;" です",IF(ROUND(IF($B424&lt;&gt;"",SUMIF($B$5:$B$1004,$B424,$E$5:$E$1004)-SUMIF($B$5:$B$1004,$B424,$G$5:$G$1004),N($E424)-N($G424)),0)&lt;&gt;0,"通帳の額と当てた額の差 "&amp;TEXT(IF($B424&lt;&gt;"",SUMIF($B$5:$B$1004,$B424,$E$5:$E$1004)-SUMIF($B$5:$B$1004,$B424,$G$5:$G$1004),N($E424)-N($G424)),"#,##0"),IF(AND(ISNUMBER($O424),N($K424)&lt;0),"請求額より多く消し込んでいます",IF($F424="","消込先が未定","OK")))))))</f>
        <v/>
      </c>
      <c r="M424" s="19" t="n"/>
      <c r="N424" s="56" t="n"/>
      <c r="O424" s="32">
        <f>IF($F424="","",IFERROR(MATCH($F424,'請求台帳'!$A$5:$A$1004,0),"なし"))</f>
        <v/>
      </c>
      <c r="P424" s="37">
        <f>IF(NOT(OR($A424&lt;&gt;"",$E424&lt;&gt;"",$F424&lt;&gt;"",$G424&lt;&gt;"",$H424&lt;&gt;"",$I424&lt;&gt;"")),"",IF(ISNUMBER($O424),IF(INDEX('請求台帳'!$C$5:$C$1004,$O424)="","",INDEX('請求台帳'!$C$5:$C$1004,$O424)),IF($C424="","",$C424)))</f>
        <v/>
      </c>
      <c r="Q424" s="35">
        <f>IF(OR(NOT(OR($A424&lt;&gt;"",$E424&lt;&gt;"",$F424&lt;&gt;"",$G424&lt;&gt;"",$H424&lt;&gt;"",$I424&lt;&gt;"")),$P424="",$P424&lt;&gt;'売掛帳'!$B$3,NOT(ISNUMBER($A424)),N($G424)+N($H424)+N($I424)=0),"",IF(AND($A424&gt;='売掛帳'!$Q$3,$A424&lt;='売掛帳'!$Q$4),$A424+0.5+ROW()/10000000,""))</f>
        <v/>
      </c>
      <c r="R424" s="32">
        <f>IF(AND(OR($A424&lt;&gt;"",$E424&lt;&gt;"",$F424&lt;&gt;"",$G424&lt;&gt;"",$H424&lt;&gt;"",$I424&lt;&gt;""),NOT(ISNUMBER($O424))),1,"")</f>
        <v/>
      </c>
    </row>
    <row r="425" ht="18" customHeight="1">
      <c r="A425" s="26" t="n"/>
      <c r="B425" s="18" t="n"/>
      <c r="C425" s="18" t="n"/>
      <c r="D425" s="20">
        <f>IF($P425="","",IFERROR(INDEX('得意先'!$C$5:$C$104,MATCH($P425,'得意先'!$B$5:$B$104,0))&amp;"","※得意先にないコード"))</f>
        <v/>
      </c>
      <c r="E425" s="27" t="n"/>
      <c r="F425" s="18" t="n"/>
      <c r="G425" s="27" t="n"/>
      <c r="H425" s="27" t="n"/>
      <c r="I425" s="27" t="n"/>
      <c r="J425" s="28">
        <f>IF(NOT(OR($A425&lt;&gt;"",$E425&lt;&gt;"",$F425&lt;&gt;"",$G425&lt;&gt;"",$H425&lt;&gt;"",$I425&lt;&gt;"")),"",N($G425)+N($H425)+N($I425))</f>
        <v/>
      </c>
      <c r="K425" s="28">
        <f>IF(ISNUMBER($O425),INDEX('請求台帳'!$R$5:$R$1004,$O425),"")</f>
        <v/>
      </c>
      <c r="L425" s="20">
        <f>IF(NOT(OR($A425&lt;&gt;"",$E425&lt;&gt;"",$F425&lt;&gt;"",$G425&lt;&gt;"",$H425&lt;&gt;"",$I425&lt;&gt;"")),"",IF(NOT(ISNUMBER($A425)),"入金日がありません",IF(AND($F425&lt;&gt;"",$O425="なし"),"請求Noが請求台帳にありません",IF(AND(ISNUMBER($O425),$C425&lt;&gt;"",$C425&lt;&gt;$P425),"請求の得意先は "&amp;$P425&amp;" です",IF(ROUND(IF($B425&lt;&gt;"",SUMIF($B$5:$B$1004,$B425,$E$5:$E$1004)-SUMIF($B$5:$B$1004,$B425,$G$5:$G$1004),N($E425)-N($G425)),0)&lt;&gt;0,"通帳の額と当てた額の差 "&amp;TEXT(IF($B425&lt;&gt;"",SUMIF($B$5:$B$1004,$B425,$E$5:$E$1004)-SUMIF($B$5:$B$1004,$B425,$G$5:$G$1004),N($E425)-N($G425)),"#,##0"),IF(AND(ISNUMBER($O425),N($K425)&lt;0),"請求額より多く消し込んでいます",IF($F425="","消込先が未定","OK")))))))</f>
        <v/>
      </c>
      <c r="M425" s="19" t="n"/>
      <c r="N425" s="56" t="n"/>
      <c r="O425" s="32">
        <f>IF($F425="","",IFERROR(MATCH($F425,'請求台帳'!$A$5:$A$1004,0),"なし"))</f>
        <v/>
      </c>
      <c r="P425" s="37">
        <f>IF(NOT(OR($A425&lt;&gt;"",$E425&lt;&gt;"",$F425&lt;&gt;"",$G425&lt;&gt;"",$H425&lt;&gt;"",$I425&lt;&gt;"")),"",IF(ISNUMBER($O425),IF(INDEX('請求台帳'!$C$5:$C$1004,$O425)="","",INDEX('請求台帳'!$C$5:$C$1004,$O425)),IF($C425="","",$C425)))</f>
        <v/>
      </c>
      <c r="Q425" s="35">
        <f>IF(OR(NOT(OR($A425&lt;&gt;"",$E425&lt;&gt;"",$F425&lt;&gt;"",$G425&lt;&gt;"",$H425&lt;&gt;"",$I425&lt;&gt;"")),$P425="",$P425&lt;&gt;'売掛帳'!$B$3,NOT(ISNUMBER($A425)),N($G425)+N($H425)+N($I425)=0),"",IF(AND($A425&gt;='売掛帳'!$Q$3,$A425&lt;='売掛帳'!$Q$4),$A425+0.5+ROW()/10000000,""))</f>
        <v/>
      </c>
      <c r="R425" s="32">
        <f>IF(AND(OR($A425&lt;&gt;"",$E425&lt;&gt;"",$F425&lt;&gt;"",$G425&lt;&gt;"",$H425&lt;&gt;"",$I425&lt;&gt;""),NOT(ISNUMBER($O425))),1,"")</f>
        <v/>
      </c>
    </row>
    <row r="426" ht="18" customHeight="1">
      <c r="A426" s="26" t="n"/>
      <c r="B426" s="18" t="n"/>
      <c r="C426" s="18" t="n"/>
      <c r="D426" s="20">
        <f>IF($P426="","",IFERROR(INDEX('得意先'!$C$5:$C$104,MATCH($P426,'得意先'!$B$5:$B$104,0))&amp;"","※得意先にないコード"))</f>
        <v/>
      </c>
      <c r="E426" s="27" t="n"/>
      <c r="F426" s="18" t="n"/>
      <c r="G426" s="27" t="n"/>
      <c r="H426" s="27" t="n"/>
      <c r="I426" s="27" t="n"/>
      <c r="J426" s="28">
        <f>IF(NOT(OR($A426&lt;&gt;"",$E426&lt;&gt;"",$F426&lt;&gt;"",$G426&lt;&gt;"",$H426&lt;&gt;"",$I426&lt;&gt;"")),"",N($G426)+N($H426)+N($I426))</f>
        <v/>
      </c>
      <c r="K426" s="28">
        <f>IF(ISNUMBER($O426),INDEX('請求台帳'!$R$5:$R$1004,$O426),"")</f>
        <v/>
      </c>
      <c r="L426" s="20">
        <f>IF(NOT(OR($A426&lt;&gt;"",$E426&lt;&gt;"",$F426&lt;&gt;"",$G426&lt;&gt;"",$H426&lt;&gt;"",$I426&lt;&gt;"")),"",IF(NOT(ISNUMBER($A426)),"入金日がありません",IF(AND($F426&lt;&gt;"",$O426="なし"),"請求Noが請求台帳にありません",IF(AND(ISNUMBER($O426),$C426&lt;&gt;"",$C426&lt;&gt;$P426),"請求の得意先は "&amp;$P426&amp;" です",IF(ROUND(IF($B426&lt;&gt;"",SUMIF($B$5:$B$1004,$B426,$E$5:$E$1004)-SUMIF($B$5:$B$1004,$B426,$G$5:$G$1004),N($E426)-N($G426)),0)&lt;&gt;0,"通帳の額と当てた額の差 "&amp;TEXT(IF($B426&lt;&gt;"",SUMIF($B$5:$B$1004,$B426,$E$5:$E$1004)-SUMIF($B$5:$B$1004,$B426,$G$5:$G$1004),N($E426)-N($G426)),"#,##0"),IF(AND(ISNUMBER($O426),N($K426)&lt;0),"請求額より多く消し込んでいます",IF($F426="","消込先が未定","OK")))))))</f>
        <v/>
      </c>
      <c r="M426" s="19" t="n"/>
      <c r="N426" s="56" t="n"/>
      <c r="O426" s="32">
        <f>IF($F426="","",IFERROR(MATCH($F426,'請求台帳'!$A$5:$A$1004,0),"なし"))</f>
        <v/>
      </c>
      <c r="P426" s="37">
        <f>IF(NOT(OR($A426&lt;&gt;"",$E426&lt;&gt;"",$F426&lt;&gt;"",$G426&lt;&gt;"",$H426&lt;&gt;"",$I426&lt;&gt;"")),"",IF(ISNUMBER($O426),IF(INDEX('請求台帳'!$C$5:$C$1004,$O426)="","",INDEX('請求台帳'!$C$5:$C$1004,$O426)),IF($C426="","",$C426)))</f>
        <v/>
      </c>
      <c r="Q426" s="35">
        <f>IF(OR(NOT(OR($A426&lt;&gt;"",$E426&lt;&gt;"",$F426&lt;&gt;"",$G426&lt;&gt;"",$H426&lt;&gt;"",$I426&lt;&gt;"")),$P426="",$P426&lt;&gt;'売掛帳'!$B$3,NOT(ISNUMBER($A426)),N($G426)+N($H426)+N($I426)=0),"",IF(AND($A426&gt;='売掛帳'!$Q$3,$A426&lt;='売掛帳'!$Q$4),$A426+0.5+ROW()/10000000,""))</f>
        <v/>
      </c>
      <c r="R426" s="32">
        <f>IF(AND(OR($A426&lt;&gt;"",$E426&lt;&gt;"",$F426&lt;&gt;"",$G426&lt;&gt;"",$H426&lt;&gt;"",$I426&lt;&gt;""),NOT(ISNUMBER($O426))),1,"")</f>
        <v/>
      </c>
    </row>
    <row r="427" ht="18" customHeight="1">
      <c r="A427" s="26" t="n"/>
      <c r="B427" s="18" t="n"/>
      <c r="C427" s="18" t="n"/>
      <c r="D427" s="20">
        <f>IF($P427="","",IFERROR(INDEX('得意先'!$C$5:$C$104,MATCH($P427,'得意先'!$B$5:$B$104,0))&amp;"","※得意先にないコード"))</f>
        <v/>
      </c>
      <c r="E427" s="27" t="n"/>
      <c r="F427" s="18" t="n"/>
      <c r="G427" s="27" t="n"/>
      <c r="H427" s="27" t="n"/>
      <c r="I427" s="27" t="n"/>
      <c r="J427" s="28">
        <f>IF(NOT(OR($A427&lt;&gt;"",$E427&lt;&gt;"",$F427&lt;&gt;"",$G427&lt;&gt;"",$H427&lt;&gt;"",$I427&lt;&gt;"")),"",N($G427)+N($H427)+N($I427))</f>
        <v/>
      </c>
      <c r="K427" s="28">
        <f>IF(ISNUMBER($O427),INDEX('請求台帳'!$R$5:$R$1004,$O427),"")</f>
        <v/>
      </c>
      <c r="L427" s="20">
        <f>IF(NOT(OR($A427&lt;&gt;"",$E427&lt;&gt;"",$F427&lt;&gt;"",$G427&lt;&gt;"",$H427&lt;&gt;"",$I427&lt;&gt;"")),"",IF(NOT(ISNUMBER($A427)),"入金日がありません",IF(AND($F427&lt;&gt;"",$O427="なし"),"請求Noが請求台帳にありません",IF(AND(ISNUMBER($O427),$C427&lt;&gt;"",$C427&lt;&gt;$P427),"請求の得意先は "&amp;$P427&amp;" です",IF(ROUND(IF($B427&lt;&gt;"",SUMIF($B$5:$B$1004,$B427,$E$5:$E$1004)-SUMIF($B$5:$B$1004,$B427,$G$5:$G$1004),N($E427)-N($G427)),0)&lt;&gt;0,"通帳の額と当てた額の差 "&amp;TEXT(IF($B427&lt;&gt;"",SUMIF($B$5:$B$1004,$B427,$E$5:$E$1004)-SUMIF($B$5:$B$1004,$B427,$G$5:$G$1004),N($E427)-N($G427)),"#,##0"),IF(AND(ISNUMBER($O427),N($K427)&lt;0),"請求額より多く消し込んでいます",IF($F427="","消込先が未定","OK")))))))</f>
        <v/>
      </c>
      <c r="M427" s="19" t="n"/>
      <c r="N427" s="56" t="n"/>
      <c r="O427" s="32">
        <f>IF($F427="","",IFERROR(MATCH($F427,'請求台帳'!$A$5:$A$1004,0),"なし"))</f>
        <v/>
      </c>
      <c r="P427" s="37">
        <f>IF(NOT(OR($A427&lt;&gt;"",$E427&lt;&gt;"",$F427&lt;&gt;"",$G427&lt;&gt;"",$H427&lt;&gt;"",$I427&lt;&gt;"")),"",IF(ISNUMBER($O427),IF(INDEX('請求台帳'!$C$5:$C$1004,$O427)="","",INDEX('請求台帳'!$C$5:$C$1004,$O427)),IF($C427="","",$C427)))</f>
        <v/>
      </c>
      <c r="Q427" s="35">
        <f>IF(OR(NOT(OR($A427&lt;&gt;"",$E427&lt;&gt;"",$F427&lt;&gt;"",$G427&lt;&gt;"",$H427&lt;&gt;"",$I427&lt;&gt;"")),$P427="",$P427&lt;&gt;'売掛帳'!$B$3,NOT(ISNUMBER($A427)),N($G427)+N($H427)+N($I427)=0),"",IF(AND($A427&gt;='売掛帳'!$Q$3,$A427&lt;='売掛帳'!$Q$4),$A427+0.5+ROW()/10000000,""))</f>
        <v/>
      </c>
      <c r="R427" s="32">
        <f>IF(AND(OR($A427&lt;&gt;"",$E427&lt;&gt;"",$F427&lt;&gt;"",$G427&lt;&gt;"",$H427&lt;&gt;"",$I427&lt;&gt;""),NOT(ISNUMBER($O427))),1,"")</f>
        <v/>
      </c>
    </row>
    <row r="428" ht="18" customHeight="1">
      <c r="A428" s="26" t="n"/>
      <c r="B428" s="18" t="n"/>
      <c r="C428" s="18" t="n"/>
      <c r="D428" s="20">
        <f>IF($P428="","",IFERROR(INDEX('得意先'!$C$5:$C$104,MATCH($P428,'得意先'!$B$5:$B$104,0))&amp;"","※得意先にないコード"))</f>
        <v/>
      </c>
      <c r="E428" s="27" t="n"/>
      <c r="F428" s="18" t="n"/>
      <c r="G428" s="27" t="n"/>
      <c r="H428" s="27" t="n"/>
      <c r="I428" s="27" t="n"/>
      <c r="J428" s="28">
        <f>IF(NOT(OR($A428&lt;&gt;"",$E428&lt;&gt;"",$F428&lt;&gt;"",$G428&lt;&gt;"",$H428&lt;&gt;"",$I428&lt;&gt;"")),"",N($G428)+N($H428)+N($I428))</f>
        <v/>
      </c>
      <c r="K428" s="28">
        <f>IF(ISNUMBER($O428),INDEX('請求台帳'!$R$5:$R$1004,$O428),"")</f>
        <v/>
      </c>
      <c r="L428" s="20">
        <f>IF(NOT(OR($A428&lt;&gt;"",$E428&lt;&gt;"",$F428&lt;&gt;"",$G428&lt;&gt;"",$H428&lt;&gt;"",$I428&lt;&gt;"")),"",IF(NOT(ISNUMBER($A428)),"入金日がありません",IF(AND($F428&lt;&gt;"",$O428="なし"),"請求Noが請求台帳にありません",IF(AND(ISNUMBER($O428),$C428&lt;&gt;"",$C428&lt;&gt;$P428),"請求の得意先は "&amp;$P428&amp;" です",IF(ROUND(IF($B428&lt;&gt;"",SUMIF($B$5:$B$1004,$B428,$E$5:$E$1004)-SUMIF($B$5:$B$1004,$B428,$G$5:$G$1004),N($E428)-N($G428)),0)&lt;&gt;0,"通帳の額と当てた額の差 "&amp;TEXT(IF($B428&lt;&gt;"",SUMIF($B$5:$B$1004,$B428,$E$5:$E$1004)-SUMIF($B$5:$B$1004,$B428,$G$5:$G$1004),N($E428)-N($G428)),"#,##0"),IF(AND(ISNUMBER($O428),N($K428)&lt;0),"請求額より多く消し込んでいます",IF($F428="","消込先が未定","OK")))))))</f>
        <v/>
      </c>
      <c r="M428" s="19" t="n"/>
      <c r="N428" s="56" t="n"/>
      <c r="O428" s="32">
        <f>IF($F428="","",IFERROR(MATCH($F428,'請求台帳'!$A$5:$A$1004,0),"なし"))</f>
        <v/>
      </c>
      <c r="P428" s="37">
        <f>IF(NOT(OR($A428&lt;&gt;"",$E428&lt;&gt;"",$F428&lt;&gt;"",$G428&lt;&gt;"",$H428&lt;&gt;"",$I428&lt;&gt;"")),"",IF(ISNUMBER($O428),IF(INDEX('請求台帳'!$C$5:$C$1004,$O428)="","",INDEX('請求台帳'!$C$5:$C$1004,$O428)),IF($C428="","",$C428)))</f>
        <v/>
      </c>
      <c r="Q428" s="35">
        <f>IF(OR(NOT(OR($A428&lt;&gt;"",$E428&lt;&gt;"",$F428&lt;&gt;"",$G428&lt;&gt;"",$H428&lt;&gt;"",$I428&lt;&gt;"")),$P428="",$P428&lt;&gt;'売掛帳'!$B$3,NOT(ISNUMBER($A428)),N($G428)+N($H428)+N($I428)=0),"",IF(AND($A428&gt;='売掛帳'!$Q$3,$A428&lt;='売掛帳'!$Q$4),$A428+0.5+ROW()/10000000,""))</f>
        <v/>
      </c>
      <c r="R428" s="32">
        <f>IF(AND(OR($A428&lt;&gt;"",$E428&lt;&gt;"",$F428&lt;&gt;"",$G428&lt;&gt;"",$H428&lt;&gt;"",$I428&lt;&gt;""),NOT(ISNUMBER($O428))),1,"")</f>
        <v/>
      </c>
    </row>
    <row r="429" ht="18" customHeight="1">
      <c r="A429" s="26" t="n"/>
      <c r="B429" s="18" t="n"/>
      <c r="C429" s="18" t="n"/>
      <c r="D429" s="20">
        <f>IF($P429="","",IFERROR(INDEX('得意先'!$C$5:$C$104,MATCH($P429,'得意先'!$B$5:$B$104,0))&amp;"","※得意先にないコード"))</f>
        <v/>
      </c>
      <c r="E429" s="27" t="n"/>
      <c r="F429" s="18" t="n"/>
      <c r="G429" s="27" t="n"/>
      <c r="H429" s="27" t="n"/>
      <c r="I429" s="27" t="n"/>
      <c r="J429" s="28">
        <f>IF(NOT(OR($A429&lt;&gt;"",$E429&lt;&gt;"",$F429&lt;&gt;"",$G429&lt;&gt;"",$H429&lt;&gt;"",$I429&lt;&gt;"")),"",N($G429)+N($H429)+N($I429))</f>
        <v/>
      </c>
      <c r="K429" s="28">
        <f>IF(ISNUMBER($O429),INDEX('請求台帳'!$R$5:$R$1004,$O429),"")</f>
        <v/>
      </c>
      <c r="L429" s="20">
        <f>IF(NOT(OR($A429&lt;&gt;"",$E429&lt;&gt;"",$F429&lt;&gt;"",$G429&lt;&gt;"",$H429&lt;&gt;"",$I429&lt;&gt;"")),"",IF(NOT(ISNUMBER($A429)),"入金日がありません",IF(AND($F429&lt;&gt;"",$O429="なし"),"請求Noが請求台帳にありません",IF(AND(ISNUMBER($O429),$C429&lt;&gt;"",$C429&lt;&gt;$P429),"請求の得意先は "&amp;$P429&amp;" です",IF(ROUND(IF($B429&lt;&gt;"",SUMIF($B$5:$B$1004,$B429,$E$5:$E$1004)-SUMIF($B$5:$B$1004,$B429,$G$5:$G$1004),N($E429)-N($G429)),0)&lt;&gt;0,"通帳の額と当てた額の差 "&amp;TEXT(IF($B429&lt;&gt;"",SUMIF($B$5:$B$1004,$B429,$E$5:$E$1004)-SUMIF($B$5:$B$1004,$B429,$G$5:$G$1004),N($E429)-N($G429)),"#,##0"),IF(AND(ISNUMBER($O429),N($K429)&lt;0),"請求額より多く消し込んでいます",IF($F429="","消込先が未定","OK")))))))</f>
        <v/>
      </c>
      <c r="M429" s="19" t="n"/>
      <c r="N429" s="56" t="n"/>
      <c r="O429" s="32">
        <f>IF($F429="","",IFERROR(MATCH($F429,'請求台帳'!$A$5:$A$1004,0),"なし"))</f>
        <v/>
      </c>
      <c r="P429" s="37">
        <f>IF(NOT(OR($A429&lt;&gt;"",$E429&lt;&gt;"",$F429&lt;&gt;"",$G429&lt;&gt;"",$H429&lt;&gt;"",$I429&lt;&gt;"")),"",IF(ISNUMBER($O429),IF(INDEX('請求台帳'!$C$5:$C$1004,$O429)="","",INDEX('請求台帳'!$C$5:$C$1004,$O429)),IF($C429="","",$C429)))</f>
        <v/>
      </c>
      <c r="Q429" s="35">
        <f>IF(OR(NOT(OR($A429&lt;&gt;"",$E429&lt;&gt;"",$F429&lt;&gt;"",$G429&lt;&gt;"",$H429&lt;&gt;"",$I429&lt;&gt;"")),$P429="",$P429&lt;&gt;'売掛帳'!$B$3,NOT(ISNUMBER($A429)),N($G429)+N($H429)+N($I429)=0),"",IF(AND($A429&gt;='売掛帳'!$Q$3,$A429&lt;='売掛帳'!$Q$4),$A429+0.5+ROW()/10000000,""))</f>
        <v/>
      </c>
      <c r="R429" s="32">
        <f>IF(AND(OR($A429&lt;&gt;"",$E429&lt;&gt;"",$F429&lt;&gt;"",$G429&lt;&gt;"",$H429&lt;&gt;"",$I429&lt;&gt;""),NOT(ISNUMBER($O429))),1,"")</f>
        <v/>
      </c>
    </row>
    <row r="430" ht="18" customHeight="1">
      <c r="A430" s="26" t="n"/>
      <c r="B430" s="18" t="n"/>
      <c r="C430" s="18" t="n"/>
      <c r="D430" s="20">
        <f>IF($P430="","",IFERROR(INDEX('得意先'!$C$5:$C$104,MATCH($P430,'得意先'!$B$5:$B$104,0))&amp;"","※得意先にないコード"))</f>
        <v/>
      </c>
      <c r="E430" s="27" t="n"/>
      <c r="F430" s="18" t="n"/>
      <c r="G430" s="27" t="n"/>
      <c r="H430" s="27" t="n"/>
      <c r="I430" s="27" t="n"/>
      <c r="J430" s="28">
        <f>IF(NOT(OR($A430&lt;&gt;"",$E430&lt;&gt;"",$F430&lt;&gt;"",$G430&lt;&gt;"",$H430&lt;&gt;"",$I430&lt;&gt;"")),"",N($G430)+N($H430)+N($I430))</f>
        <v/>
      </c>
      <c r="K430" s="28">
        <f>IF(ISNUMBER($O430),INDEX('請求台帳'!$R$5:$R$1004,$O430),"")</f>
        <v/>
      </c>
      <c r="L430" s="20">
        <f>IF(NOT(OR($A430&lt;&gt;"",$E430&lt;&gt;"",$F430&lt;&gt;"",$G430&lt;&gt;"",$H430&lt;&gt;"",$I430&lt;&gt;"")),"",IF(NOT(ISNUMBER($A430)),"入金日がありません",IF(AND($F430&lt;&gt;"",$O430="なし"),"請求Noが請求台帳にありません",IF(AND(ISNUMBER($O430),$C430&lt;&gt;"",$C430&lt;&gt;$P430),"請求の得意先は "&amp;$P430&amp;" です",IF(ROUND(IF($B430&lt;&gt;"",SUMIF($B$5:$B$1004,$B430,$E$5:$E$1004)-SUMIF($B$5:$B$1004,$B430,$G$5:$G$1004),N($E430)-N($G430)),0)&lt;&gt;0,"通帳の額と当てた額の差 "&amp;TEXT(IF($B430&lt;&gt;"",SUMIF($B$5:$B$1004,$B430,$E$5:$E$1004)-SUMIF($B$5:$B$1004,$B430,$G$5:$G$1004),N($E430)-N($G430)),"#,##0"),IF(AND(ISNUMBER($O430),N($K430)&lt;0),"請求額より多く消し込んでいます",IF($F430="","消込先が未定","OK")))))))</f>
        <v/>
      </c>
      <c r="M430" s="19" t="n"/>
      <c r="N430" s="56" t="n"/>
      <c r="O430" s="32">
        <f>IF($F430="","",IFERROR(MATCH($F430,'請求台帳'!$A$5:$A$1004,0),"なし"))</f>
        <v/>
      </c>
      <c r="P430" s="37">
        <f>IF(NOT(OR($A430&lt;&gt;"",$E430&lt;&gt;"",$F430&lt;&gt;"",$G430&lt;&gt;"",$H430&lt;&gt;"",$I430&lt;&gt;"")),"",IF(ISNUMBER($O430),IF(INDEX('請求台帳'!$C$5:$C$1004,$O430)="","",INDEX('請求台帳'!$C$5:$C$1004,$O430)),IF($C430="","",$C430)))</f>
        <v/>
      </c>
      <c r="Q430" s="35">
        <f>IF(OR(NOT(OR($A430&lt;&gt;"",$E430&lt;&gt;"",$F430&lt;&gt;"",$G430&lt;&gt;"",$H430&lt;&gt;"",$I430&lt;&gt;"")),$P430="",$P430&lt;&gt;'売掛帳'!$B$3,NOT(ISNUMBER($A430)),N($G430)+N($H430)+N($I430)=0),"",IF(AND($A430&gt;='売掛帳'!$Q$3,$A430&lt;='売掛帳'!$Q$4),$A430+0.5+ROW()/10000000,""))</f>
        <v/>
      </c>
      <c r="R430" s="32">
        <f>IF(AND(OR($A430&lt;&gt;"",$E430&lt;&gt;"",$F430&lt;&gt;"",$G430&lt;&gt;"",$H430&lt;&gt;"",$I430&lt;&gt;""),NOT(ISNUMBER($O430))),1,"")</f>
        <v/>
      </c>
    </row>
    <row r="431" ht="18" customHeight="1">
      <c r="A431" s="26" t="n"/>
      <c r="B431" s="18" t="n"/>
      <c r="C431" s="18" t="n"/>
      <c r="D431" s="20">
        <f>IF($P431="","",IFERROR(INDEX('得意先'!$C$5:$C$104,MATCH($P431,'得意先'!$B$5:$B$104,0))&amp;"","※得意先にないコード"))</f>
        <v/>
      </c>
      <c r="E431" s="27" t="n"/>
      <c r="F431" s="18" t="n"/>
      <c r="G431" s="27" t="n"/>
      <c r="H431" s="27" t="n"/>
      <c r="I431" s="27" t="n"/>
      <c r="J431" s="28">
        <f>IF(NOT(OR($A431&lt;&gt;"",$E431&lt;&gt;"",$F431&lt;&gt;"",$G431&lt;&gt;"",$H431&lt;&gt;"",$I431&lt;&gt;"")),"",N($G431)+N($H431)+N($I431))</f>
        <v/>
      </c>
      <c r="K431" s="28">
        <f>IF(ISNUMBER($O431),INDEX('請求台帳'!$R$5:$R$1004,$O431),"")</f>
        <v/>
      </c>
      <c r="L431" s="20">
        <f>IF(NOT(OR($A431&lt;&gt;"",$E431&lt;&gt;"",$F431&lt;&gt;"",$G431&lt;&gt;"",$H431&lt;&gt;"",$I431&lt;&gt;"")),"",IF(NOT(ISNUMBER($A431)),"入金日がありません",IF(AND($F431&lt;&gt;"",$O431="なし"),"請求Noが請求台帳にありません",IF(AND(ISNUMBER($O431),$C431&lt;&gt;"",$C431&lt;&gt;$P431),"請求の得意先は "&amp;$P431&amp;" です",IF(ROUND(IF($B431&lt;&gt;"",SUMIF($B$5:$B$1004,$B431,$E$5:$E$1004)-SUMIF($B$5:$B$1004,$B431,$G$5:$G$1004),N($E431)-N($G431)),0)&lt;&gt;0,"通帳の額と当てた額の差 "&amp;TEXT(IF($B431&lt;&gt;"",SUMIF($B$5:$B$1004,$B431,$E$5:$E$1004)-SUMIF($B$5:$B$1004,$B431,$G$5:$G$1004),N($E431)-N($G431)),"#,##0"),IF(AND(ISNUMBER($O431),N($K431)&lt;0),"請求額より多く消し込んでいます",IF($F431="","消込先が未定","OK")))))))</f>
        <v/>
      </c>
      <c r="M431" s="19" t="n"/>
      <c r="N431" s="56" t="n"/>
      <c r="O431" s="32">
        <f>IF($F431="","",IFERROR(MATCH($F431,'請求台帳'!$A$5:$A$1004,0),"なし"))</f>
        <v/>
      </c>
      <c r="P431" s="37">
        <f>IF(NOT(OR($A431&lt;&gt;"",$E431&lt;&gt;"",$F431&lt;&gt;"",$G431&lt;&gt;"",$H431&lt;&gt;"",$I431&lt;&gt;"")),"",IF(ISNUMBER($O431),IF(INDEX('請求台帳'!$C$5:$C$1004,$O431)="","",INDEX('請求台帳'!$C$5:$C$1004,$O431)),IF($C431="","",$C431)))</f>
        <v/>
      </c>
      <c r="Q431" s="35">
        <f>IF(OR(NOT(OR($A431&lt;&gt;"",$E431&lt;&gt;"",$F431&lt;&gt;"",$G431&lt;&gt;"",$H431&lt;&gt;"",$I431&lt;&gt;"")),$P431="",$P431&lt;&gt;'売掛帳'!$B$3,NOT(ISNUMBER($A431)),N($G431)+N($H431)+N($I431)=0),"",IF(AND($A431&gt;='売掛帳'!$Q$3,$A431&lt;='売掛帳'!$Q$4),$A431+0.5+ROW()/10000000,""))</f>
        <v/>
      </c>
      <c r="R431" s="32">
        <f>IF(AND(OR($A431&lt;&gt;"",$E431&lt;&gt;"",$F431&lt;&gt;"",$G431&lt;&gt;"",$H431&lt;&gt;"",$I431&lt;&gt;""),NOT(ISNUMBER($O431))),1,"")</f>
        <v/>
      </c>
    </row>
    <row r="432" ht="18" customHeight="1">
      <c r="A432" s="26" t="n"/>
      <c r="B432" s="18" t="n"/>
      <c r="C432" s="18" t="n"/>
      <c r="D432" s="20">
        <f>IF($P432="","",IFERROR(INDEX('得意先'!$C$5:$C$104,MATCH($P432,'得意先'!$B$5:$B$104,0))&amp;"","※得意先にないコード"))</f>
        <v/>
      </c>
      <c r="E432" s="27" t="n"/>
      <c r="F432" s="18" t="n"/>
      <c r="G432" s="27" t="n"/>
      <c r="H432" s="27" t="n"/>
      <c r="I432" s="27" t="n"/>
      <c r="J432" s="28">
        <f>IF(NOT(OR($A432&lt;&gt;"",$E432&lt;&gt;"",$F432&lt;&gt;"",$G432&lt;&gt;"",$H432&lt;&gt;"",$I432&lt;&gt;"")),"",N($G432)+N($H432)+N($I432))</f>
        <v/>
      </c>
      <c r="K432" s="28">
        <f>IF(ISNUMBER($O432),INDEX('請求台帳'!$R$5:$R$1004,$O432),"")</f>
        <v/>
      </c>
      <c r="L432" s="20">
        <f>IF(NOT(OR($A432&lt;&gt;"",$E432&lt;&gt;"",$F432&lt;&gt;"",$G432&lt;&gt;"",$H432&lt;&gt;"",$I432&lt;&gt;"")),"",IF(NOT(ISNUMBER($A432)),"入金日がありません",IF(AND($F432&lt;&gt;"",$O432="なし"),"請求Noが請求台帳にありません",IF(AND(ISNUMBER($O432),$C432&lt;&gt;"",$C432&lt;&gt;$P432),"請求の得意先は "&amp;$P432&amp;" です",IF(ROUND(IF($B432&lt;&gt;"",SUMIF($B$5:$B$1004,$B432,$E$5:$E$1004)-SUMIF($B$5:$B$1004,$B432,$G$5:$G$1004),N($E432)-N($G432)),0)&lt;&gt;0,"通帳の額と当てた額の差 "&amp;TEXT(IF($B432&lt;&gt;"",SUMIF($B$5:$B$1004,$B432,$E$5:$E$1004)-SUMIF($B$5:$B$1004,$B432,$G$5:$G$1004),N($E432)-N($G432)),"#,##0"),IF(AND(ISNUMBER($O432),N($K432)&lt;0),"請求額より多く消し込んでいます",IF($F432="","消込先が未定","OK")))))))</f>
        <v/>
      </c>
      <c r="M432" s="19" t="n"/>
      <c r="N432" s="56" t="n"/>
      <c r="O432" s="32">
        <f>IF($F432="","",IFERROR(MATCH($F432,'請求台帳'!$A$5:$A$1004,0),"なし"))</f>
        <v/>
      </c>
      <c r="P432" s="37">
        <f>IF(NOT(OR($A432&lt;&gt;"",$E432&lt;&gt;"",$F432&lt;&gt;"",$G432&lt;&gt;"",$H432&lt;&gt;"",$I432&lt;&gt;"")),"",IF(ISNUMBER($O432),IF(INDEX('請求台帳'!$C$5:$C$1004,$O432)="","",INDEX('請求台帳'!$C$5:$C$1004,$O432)),IF($C432="","",$C432)))</f>
        <v/>
      </c>
      <c r="Q432" s="35">
        <f>IF(OR(NOT(OR($A432&lt;&gt;"",$E432&lt;&gt;"",$F432&lt;&gt;"",$G432&lt;&gt;"",$H432&lt;&gt;"",$I432&lt;&gt;"")),$P432="",$P432&lt;&gt;'売掛帳'!$B$3,NOT(ISNUMBER($A432)),N($G432)+N($H432)+N($I432)=0),"",IF(AND($A432&gt;='売掛帳'!$Q$3,$A432&lt;='売掛帳'!$Q$4),$A432+0.5+ROW()/10000000,""))</f>
        <v/>
      </c>
      <c r="R432" s="32">
        <f>IF(AND(OR($A432&lt;&gt;"",$E432&lt;&gt;"",$F432&lt;&gt;"",$G432&lt;&gt;"",$H432&lt;&gt;"",$I432&lt;&gt;""),NOT(ISNUMBER($O432))),1,"")</f>
        <v/>
      </c>
    </row>
    <row r="433" ht="18" customHeight="1">
      <c r="A433" s="26" t="n"/>
      <c r="B433" s="18" t="n"/>
      <c r="C433" s="18" t="n"/>
      <c r="D433" s="20">
        <f>IF($P433="","",IFERROR(INDEX('得意先'!$C$5:$C$104,MATCH($P433,'得意先'!$B$5:$B$104,0))&amp;"","※得意先にないコード"))</f>
        <v/>
      </c>
      <c r="E433" s="27" t="n"/>
      <c r="F433" s="18" t="n"/>
      <c r="G433" s="27" t="n"/>
      <c r="H433" s="27" t="n"/>
      <c r="I433" s="27" t="n"/>
      <c r="J433" s="28">
        <f>IF(NOT(OR($A433&lt;&gt;"",$E433&lt;&gt;"",$F433&lt;&gt;"",$G433&lt;&gt;"",$H433&lt;&gt;"",$I433&lt;&gt;"")),"",N($G433)+N($H433)+N($I433))</f>
        <v/>
      </c>
      <c r="K433" s="28">
        <f>IF(ISNUMBER($O433),INDEX('請求台帳'!$R$5:$R$1004,$O433),"")</f>
        <v/>
      </c>
      <c r="L433" s="20">
        <f>IF(NOT(OR($A433&lt;&gt;"",$E433&lt;&gt;"",$F433&lt;&gt;"",$G433&lt;&gt;"",$H433&lt;&gt;"",$I433&lt;&gt;"")),"",IF(NOT(ISNUMBER($A433)),"入金日がありません",IF(AND($F433&lt;&gt;"",$O433="なし"),"請求Noが請求台帳にありません",IF(AND(ISNUMBER($O433),$C433&lt;&gt;"",$C433&lt;&gt;$P433),"請求の得意先は "&amp;$P433&amp;" です",IF(ROUND(IF($B433&lt;&gt;"",SUMIF($B$5:$B$1004,$B433,$E$5:$E$1004)-SUMIF($B$5:$B$1004,$B433,$G$5:$G$1004),N($E433)-N($G433)),0)&lt;&gt;0,"通帳の額と当てた額の差 "&amp;TEXT(IF($B433&lt;&gt;"",SUMIF($B$5:$B$1004,$B433,$E$5:$E$1004)-SUMIF($B$5:$B$1004,$B433,$G$5:$G$1004),N($E433)-N($G433)),"#,##0"),IF(AND(ISNUMBER($O433),N($K433)&lt;0),"請求額より多く消し込んでいます",IF($F433="","消込先が未定","OK")))))))</f>
        <v/>
      </c>
      <c r="M433" s="19" t="n"/>
      <c r="N433" s="56" t="n"/>
      <c r="O433" s="32">
        <f>IF($F433="","",IFERROR(MATCH($F433,'請求台帳'!$A$5:$A$1004,0),"なし"))</f>
        <v/>
      </c>
      <c r="P433" s="37">
        <f>IF(NOT(OR($A433&lt;&gt;"",$E433&lt;&gt;"",$F433&lt;&gt;"",$G433&lt;&gt;"",$H433&lt;&gt;"",$I433&lt;&gt;"")),"",IF(ISNUMBER($O433),IF(INDEX('請求台帳'!$C$5:$C$1004,$O433)="","",INDEX('請求台帳'!$C$5:$C$1004,$O433)),IF($C433="","",$C433)))</f>
        <v/>
      </c>
      <c r="Q433" s="35">
        <f>IF(OR(NOT(OR($A433&lt;&gt;"",$E433&lt;&gt;"",$F433&lt;&gt;"",$G433&lt;&gt;"",$H433&lt;&gt;"",$I433&lt;&gt;"")),$P433="",$P433&lt;&gt;'売掛帳'!$B$3,NOT(ISNUMBER($A433)),N($G433)+N($H433)+N($I433)=0),"",IF(AND($A433&gt;='売掛帳'!$Q$3,$A433&lt;='売掛帳'!$Q$4),$A433+0.5+ROW()/10000000,""))</f>
        <v/>
      </c>
      <c r="R433" s="32">
        <f>IF(AND(OR($A433&lt;&gt;"",$E433&lt;&gt;"",$F433&lt;&gt;"",$G433&lt;&gt;"",$H433&lt;&gt;"",$I433&lt;&gt;""),NOT(ISNUMBER($O433))),1,"")</f>
        <v/>
      </c>
    </row>
    <row r="434" ht="18" customHeight="1">
      <c r="A434" s="26" t="n"/>
      <c r="B434" s="18" t="n"/>
      <c r="C434" s="18" t="n"/>
      <c r="D434" s="20">
        <f>IF($P434="","",IFERROR(INDEX('得意先'!$C$5:$C$104,MATCH($P434,'得意先'!$B$5:$B$104,0))&amp;"","※得意先にないコード"))</f>
        <v/>
      </c>
      <c r="E434" s="27" t="n"/>
      <c r="F434" s="18" t="n"/>
      <c r="G434" s="27" t="n"/>
      <c r="H434" s="27" t="n"/>
      <c r="I434" s="27" t="n"/>
      <c r="J434" s="28">
        <f>IF(NOT(OR($A434&lt;&gt;"",$E434&lt;&gt;"",$F434&lt;&gt;"",$G434&lt;&gt;"",$H434&lt;&gt;"",$I434&lt;&gt;"")),"",N($G434)+N($H434)+N($I434))</f>
        <v/>
      </c>
      <c r="K434" s="28">
        <f>IF(ISNUMBER($O434),INDEX('請求台帳'!$R$5:$R$1004,$O434),"")</f>
        <v/>
      </c>
      <c r="L434" s="20">
        <f>IF(NOT(OR($A434&lt;&gt;"",$E434&lt;&gt;"",$F434&lt;&gt;"",$G434&lt;&gt;"",$H434&lt;&gt;"",$I434&lt;&gt;"")),"",IF(NOT(ISNUMBER($A434)),"入金日がありません",IF(AND($F434&lt;&gt;"",$O434="なし"),"請求Noが請求台帳にありません",IF(AND(ISNUMBER($O434),$C434&lt;&gt;"",$C434&lt;&gt;$P434),"請求の得意先は "&amp;$P434&amp;" です",IF(ROUND(IF($B434&lt;&gt;"",SUMIF($B$5:$B$1004,$B434,$E$5:$E$1004)-SUMIF($B$5:$B$1004,$B434,$G$5:$G$1004),N($E434)-N($G434)),0)&lt;&gt;0,"通帳の額と当てた額の差 "&amp;TEXT(IF($B434&lt;&gt;"",SUMIF($B$5:$B$1004,$B434,$E$5:$E$1004)-SUMIF($B$5:$B$1004,$B434,$G$5:$G$1004),N($E434)-N($G434)),"#,##0"),IF(AND(ISNUMBER($O434),N($K434)&lt;0),"請求額より多く消し込んでいます",IF($F434="","消込先が未定","OK")))))))</f>
        <v/>
      </c>
      <c r="M434" s="19" t="n"/>
      <c r="N434" s="56" t="n"/>
      <c r="O434" s="32">
        <f>IF($F434="","",IFERROR(MATCH($F434,'請求台帳'!$A$5:$A$1004,0),"なし"))</f>
        <v/>
      </c>
      <c r="P434" s="37">
        <f>IF(NOT(OR($A434&lt;&gt;"",$E434&lt;&gt;"",$F434&lt;&gt;"",$G434&lt;&gt;"",$H434&lt;&gt;"",$I434&lt;&gt;"")),"",IF(ISNUMBER($O434),IF(INDEX('請求台帳'!$C$5:$C$1004,$O434)="","",INDEX('請求台帳'!$C$5:$C$1004,$O434)),IF($C434="","",$C434)))</f>
        <v/>
      </c>
      <c r="Q434" s="35">
        <f>IF(OR(NOT(OR($A434&lt;&gt;"",$E434&lt;&gt;"",$F434&lt;&gt;"",$G434&lt;&gt;"",$H434&lt;&gt;"",$I434&lt;&gt;"")),$P434="",$P434&lt;&gt;'売掛帳'!$B$3,NOT(ISNUMBER($A434)),N($G434)+N($H434)+N($I434)=0),"",IF(AND($A434&gt;='売掛帳'!$Q$3,$A434&lt;='売掛帳'!$Q$4),$A434+0.5+ROW()/10000000,""))</f>
        <v/>
      </c>
      <c r="R434" s="32">
        <f>IF(AND(OR($A434&lt;&gt;"",$E434&lt;&gt;"",$F434&lt;&gt;"",$G434&lt;&gt;"",$H434&lt;&gt;"",$I434&lt;&gt;""),NOT(ISNUMBER($O434))),1,"")</f>
        <v/>
      </c>
    </row>
    <row r="435" ht="18" customHeight="1">
      <c r="A435" s="26" t="n"/>
      <c r="B435" s="18" t="n"/>
      <c r="C435" s="18" t="n"/>
      <c r="D435" s="20">
        <f>IF($P435="","",IFERROR(INDEX('得意先'!$C$5:$C$104,MATCH($P435,'得意先'!$B$5:$B$104,0))&amp;"","※得意先にないコード"))</f>
        <v/>
      </c>
      <c r="E435" s="27" t="n"/>
      <c r="F435" s="18" t="n"/>
      <c r="G435" s="27" t="n"/>
      <c r="H435" s="27" t="n"/>
      <c r="I435" s="27" t="n"/>
      <c r="J435" s="28">
        <f>IF(NOT(OR($A435&lt;&gt;"",$E435&lt;&gt;"",$F435&lt;&gt;"",$G435&lt;&gt;"",$H435&lt;&gt;"",$I435&lt;&gt;"")),"",N($G435)+N($H435)+N($I435))</f>
        <v/>
      </c>
      <c r="K435" s="28">
        <f>IF(ISNUMBER($O435),INDEX('請求台帳'!$R$5:$R$1004,$O435),"")</f>
        <v/>
      </c>
      <c r="L435" s="20">
        <f>IF(NOT(OR($A435&lt;&gt;"",$E435&lt;&gt;"",$F435&lt;&gt;"",$G435&lt;&gt;"",$H435&lt;&gt;"",$I435&lt;&gt;"")),"",IF(NOT(ISNUMBER($A435)),"入金日がありません",IF(AND($F435&lt;&gt;"",$O435="なし"),"請求Noが請求台帳にありません",IF(AND(ISNUMBER($O435),$C435&lt;&gt;"",$C435&lt;&gt;$P435),"請求の得意先は "&amp;$P435&amp;" です",IF(ROUND(IF($B435&lt;&gt;"",SUMIF($B$5:$B$1004,$B435,$E$5:$E$1004)-SUMIF($B$5:$B$1004,$B435,$G$5:$G$1004),N($E435)-N($G435)),0)&lt;&gt;0,"通帳の額と当てた額の差 "&amp;TEXT(IF($B435&lt;&gt;"",SUMIF($B$5:$B$1004,$B435,$E$5:$E$1004)-SUMIF($B$5:$B$1004,$B435,$G$5:$G$1004),N($E435)-N($G435)),"#,##0"),IF(AND(ISNUMBER($O435),N($K435)&lt;0),"請求額より多く消し込んでいます",IF($F435="","消込先が未定","OK")))))))</f>
        <v/>
      </c>
      <c r="M435" s="19" t="n"/>
      <c r="N435" s="56" t="n"/>
      <c r="O435" s="32">
        <f>IF($F435="","",IFERROR(MATCH($F435,'請求台帳'!$A$5:$A$1004,0),"なし"))</f>
        <v/>
      </c>
      <c r="P435" s="37">
        <f>IF(NOT(OR($A435&lt;&gt;"",$E435&lt;&gt;"",$F435&lt;&gt;"",$G435&lt;&gt;"",$H435&lt;&gt;"",$I435&lt;&gt;"")),"",IF(ISNUMBER($O435),IF(INDEX('請求台帳'!$C$5:$C$1004,$O435)="","",INDEX('請求台帳'!$C$5:$C$1004,$O435)),IF($C435="","",$C435)))</f>
        <v/>
      </c>
      <c r="Q435" s="35">
        <f>IF(OR(NOT(OR($A435&lt;&gt;"",$E435&lt;&gt;"",$F435&lt;&gt;"",$G435&lt;&gt;"",$H435&lt;&gt;"",$I435&lt;&gt;"")),$P435="",$P435&lt;&gt;'売掛帳'!$B$3,NOT(ISNUMBER($A435)),N($G435)+N($H435)+N($I435)=0),"",IF(AND($A435&gt;='売掛帳'!$Q$3,$A435&lt;='売掛帳'!$Q$4),$A435+0.5+ROW()/10000000,""))</f>
        <v/>
      </c>
      <c r="R435" s="32">
        <f>IF(AND(OR($A435&lt;&gt;"",$E435&lt;&gt;"",$F435&lt;&gt;"",$G435&lt;&gt;"",$H435&lt;&gt;"",$I435&lt;&gt;""),NOT(ISNUMBER($O435))),1,"")</f>
        <v/>
      </c>
    </row>
    <row r="436" ht="18" customHeight="1">
      <c r="A436" s="26" t="n"/>
      <c r="B436" s="18" t="n"/>
      <c r="C436" s="18" t="n"/>
      <c r="D436" s="20">
        <f>IF($P436="","",IFERROR(INDEX('得意先'!$C$5:$C$104,MATCH($P436,'得意先'!$B$5:$B$104,0))&amp;"","※得意先にないコード"))</f>
        <v/>
      </c>
      <c r="E436" s="27" t="n"/>
      <c r="F436" s="18" t="n"/>
      <c r="G436" s="27" t="n"/>
      <c r="H436" s="27" t="n"/>
      <c r="I436" s="27" t="n"/>
      <c r="J436" s="28">
        <f>IF(NOT(OR($A436&lt;&gt;"",$E436&lt;&gt;"",$F436&lt;&gt;"",$G436&lt;&gt;"",$H436&lt;&gt;"",$I436&lt;&gt;"")),"",N($G436)+N($H436)+N($I436))</f>
        <v/>
      </c>
      <c r="K436" s="28">
        <f>IF(ISNUMBER($O436),INDEX('請求台帳'!$R$5:$R$1004,$O436),"")</f>
        <v/>
      </c>
      <c r="L436" s="20">
        <f>IF(NOT(OR($A436&lt;&gt;"",$E436&lt;&gt;"",$F436&lt;&gt;"",$G436&lt;&gt;"",$H436&lt;&gt;"",$I436&lt;&gt;"")),"",IF(NOT(ISNUMBER($A436)),"入金日がありません",IF(AND($F436&lt;&gt;"",$O436="なし"),"請求Noが請求台帳にありません",IF(AND(ISNUMBER($O436),$C436&lt;&gt;"",$C436&lt;&gt;$P436),"請求の得意先は "&amp;$P436&amp;" です",IF(ROUND(IF($B436&lt;&gt;"",SUMIF($B$5:$B$1004,$B436,$E$5:$E$1004)-SUMIF($B$5:$B$1004,$B436,$G$5:$G$1004),N($E436)-N($G436)),0)&lt;&gt;0,"通帳の額と当てた額の差 "&amp;TEXT(IF($B436&lt;&gt;"",SUMIF($B$5:$B$1004,$B436,$E$5:$E$1004)-SUMIF($B$5:$B$1004,$B436,$G$5:$G$1004),N($E436)-N($G436)),"#,##0"),IF(AND(ISNUMBER($O436),N($K436)&lt;0),"請求額より多く消し込んでいます",IF($F436="","消込先が未定","OK")))))))</f>
        <v/>
      </c>
      <c r="M436" s="19" t="n"/>
      <c r="N436" s="56" t="n"/>
      <c r="O436" s="32">
        <f>IF($F436="","",IFERROR(MATCH($F436,'請求台帳'!$A$5:$A$1004,0),"なし"))</f>
        <v/>
      </c>
      <c r="P436" s="37">
        <f>IF(NOT(OR($A436&lt;&gt;"",$E436&lt;&gt;"",$F436&lt;&gt;"",$G436&lt;&gt;"",$H436&lt;&gt;"",$I436&lt;&gt;"")),"",IF(ISNUMBER($O436),IF(INDEX('請求台帳'!$C$5:$C$1004,$O436)="","",INDEX('請求台帳'!$C$5:$C$1004,$O436)),IF($C436="","",$C436)))</f>
        <v/>
      </c>
      <c r="Q436" s="35">
        <f>IF(OR(NOT(OR($A436&lt;&gt;"",$E436&lt;&gt;"",$F436&lt;&gt;"",$G436&lt;&gt;"",$H436&lt;&gt;"",$I436&lt;&gt;"")),$P436="",$P436&lt;&gt;'売掛帳'!$B$3,NOT(ISNUMBER($A436)),N($G436)+N($H436)+N($I436)=0),"",IF(AND($A436&gt;='売掛帳'!$Q$3,$A436&lt;='売掛帳'!$Q$4),$A436+0.5+ROW()/10000000,""))</f>
        <v/>
      </c>
      <c r="R436" s="32">
        <f>IF(AND(OR($A436&lt;&gt;"",$E436&lt;&gt;"",$F436&lt;&gt;"",$G436&lt;&gt;"",$H436&lt;&gt;"",$I436&lt;&gt;""),NOT(ISNUMBER($O436))),1,"")</f>
        <v/>
      </c>
    </row>
    <row r="437" ht="18" customHeight="1">
      <c r="A437" s="26" t="n"/>
      <c r="B437" s="18" t="n"/>
      <c r="C437" s="18" t="n"/>
      <c r="D437" s="20">
        <f>IF($P437="","",IFERROR(INDEX('得意先'!$C$5:$C$104,MATCH($P437,'得意先'!$B$5:$B$104,0))&amp;"","※得意先にないコード"))</f>
        <v/>
      </c>
      <c r="E437" s="27" t="n"/>
      <c r="F437" s="18" t="n"/>
      <c r="G437" s="27" t="n"/>
      <c r="H437" s="27" t="n"/>
      <c r="I437" s="27" t="n"/>
      <c r="J437" s="28">
        <f>IF(NOT(OR($A437&lt;&gt;"",$E437&lt;&gt;"",$F437&lt;&gt;"",$G437&lt;&gt;"",$H437&lt;&gt;"",$I437&lt;&gt;"")),"",N($G437)+N($H437)+N($I437))</f>
        <v/>
      </c>
      <c r="K437" s="28">
        <f>IF(ISNUMBER($O437),INDEX('請求台帳'!$R$5:$R$1004,$O437),"")</f>
        <v/>
      </c>
      <c r="L437" s="20">
        <f>IF(NOT(OR($A437&lt;&gt;"",$E437&lt;&gt;"",$F437&lt;&gt;"",$G437&lt;&gt;"",$H437&lt;&gt;"",$I437&lt;&gt;"")),"",IF(NOT(ISNUMBER($A437)),"入金日がありません",IF(AND($F437&lt;&gt;"",$O437="なし"),"請求Noが請求台帳にありません",IF(AND(ISNUMBER($O437),$C437&lt;&gt;"",$C437&lt;&gt;$P437),"請求の得意先は "&amp;$P437&amp;" です",IF(ROUND(IF($B437&lt;&gt;"",SUMIF($B$5:$B$1004,$B437,$E$5:$E$1004)-SUMIF($B$5:$B$1004,$B437,$G$5:$G$1004),N($E437)-N($G437)),0)&lt;&gt;0,"通帳の額と当てた額の差 "&amp;TEXT(IF($B437&lt;&gt;"",SUMIF($B$5:$B$1004,$B437,$E$5:$E$1004)-SUMIF($B$5:$B$1004,$B437,$G$5:$G$1004),N($E437)-N($G437)),"#,##0"),IF(AND(ISNUMBER($O437),N($K437)&lt;0),"請求額より多く消し込んでいます",IF($F437="","消込先が未定","OK")))))))</f>
        <v/>
      </c>
      <c r="M437" s="19" t="n"/>
      <c r="N437" s="56" t="n"/>
      <c r="O437" s="32">
        <f>IF($F437="","",IFERROR(MATCH($F437,'請求台帳'!$A$5:$A$1004,0),"なし"))</f>
        <v/>
      </c>
      <c r="P437" s="37">
        <f>IF(NOT(OR($A437&lt;&gt;"",$E437&lt;&gt;"",$F437&lt;&gt;"",$G437&lt;&gt;"",$H437&lt;&gt;"",$I437&lt;&gt;"")),"",IF(ISNUMBER($O437),IF(INDEX('請求台帳'!$C$5:$C$1004,$O437)="","",INDEX('請求台帳'!$C$5:$C$1004,$O437)),IF($C437="","",$C437)))</f>
        <v/>
      </c>
      <c r="Q437" s="35">
        <f>IF(OR(NOT(OR($A437&lt;&gt;"",$E437&lt;&gt;"",$F437&lt;&gt;"",$G437&lt;&gt;"",$H437&lt;&gt;"",$I437&lt;&gt;"")),$P437="",$P437&lt;&gt;'売掛帳'!$B$3,NOT(ISNUMBER($A437)),N($G437)+N($H437)+N($I437)=0),"",IF(AND($A437&gt;='売掛帳'!$Q$3,$A437&lt;='売掛帳'!$Q$4),$A437+0.5+ROW()/10000000,""))</f>
        <v/>
      </c>
      <c r="R437" s="32">
        <f>IF(AND(OR($A437&lt;&gt;"",$E437&lt;&gt;"",$F437&lt;&gt;"",$G437&lt;&gt;"",$H437&lt;&gt;"",$I437&lt;&gt;""),NOT(ISNUMBER($O437))),1,"")</f>
        <v/>
      </c>
    </row>
    <row r="438" ht="18" customHeight="1">
      <c r="A438" s="26" t="n"/>
      <c r="B438" s="18" t="n"/>
      <c r="C438" s="18" t="n"/>
      <c r="D438" s="20">
        <f>IF($P438="","",IFERROR(INDEX('得意先'!$C$5:$C$104,MATCH($P438,'得意先'!$B$5:$B$104,0))&amp;"","※得意先にないコード"))</f>
        <v/>
      </c>
      <c r="E438" s="27" t="n"/>
      <c r="F438" s="18" t="n"/>
      <c r="G438" s="27" t="n"/>
      <c r="H438" s="27" t="n"/>
      <c r="I438" s="27" t="n"/>
      <c r="J438" s="28">
        <f>IF(NOT(OR($A438&lt;&gt;"",$E438&lt;&gt;"",$F438&lt;&gt;"",$G438&lt;&gt;"",$H438&lt;&gt;"",$I438&lt;&gt;"")),"",N($G438)+N($H438)+N($I438))</f>
        <v/>
      </c>
      <c r="K438" s="28">
        <f>IF(ISNUMBER($O438),INDEX('請求台帳'!$R$5:$R$1004,$O438),"")</f>
        <v/>
      </c>
      <c r="L438" s="20">
        <f>IF(NOT(OR($A438&lt;&gt;"",$E438&lt;&gt;"",$F438&lt;&gt;"",$G438&lt;&gt;"",$H438&lt;&gt;"",$I438&lt;&gt;"")),"",IF(NOT(ISNUMBER($A438)),"入金日がありません",IF(AND($F438&lt;&gt;"",$O438="なし"),"請求Noが請求台帳にありません",IF(AND(ISNUMBER($O438),$C438&lt;&gt;"",$C438&lt;&gt;$P438),"請求の得意先は "&amp;$P438&amp;" です",IF(ROUND(IF($B438&lt;&gt;"",SUMIF($B$5:$B$1004,$B438,$E$5:$E$1004)-SUMIF($B$5:$B$1004,$B438,$G$5:$G$1004),N($E438)-N($G438)),0)&lt;&gt;0,"通帳の額と当てた額の差 "&amp;TEXT(IF($B438&lt;&gt;"",SUMIF($B$5:$B$1004,$B438,$E$5:$E$1004)-SUMIF($B$5:$B$1004,$B438,$G$5:$G$1004),N($E438)-N($G438)),"#,##0"),IF(AND(ISNUMBER($O438),N($K438)&lt;0),"請求額より多く消し込んでいます",IF($F438="","消込先が未定","OK")))))))</f>
        <v/>
      </c>
      <c r="M438" s="19" t="n"/>
      <c r="N438" s="56" t="n"/>
      <c r="O438" s="32">
        <f>IF($F438="","",IFERROR(MATCH($F438,'請求台帳'!$A$5:$A$1004,0),"なし"))</f>
        <v/>
      </c>
      <c r="P438" s="37">
        <f>IF(NOT(OR($A438&lt;&gt;"",$E438&lt;&gt;"",$F438&lt;&gt;"",$G438&lt;&gt;"",$H438&lt;&gt;"",$I438&lt;&gt;"")),"",IF(ISNUMBER($O438),IF(INDEX('請求台帳'!$C$5:$C$1004,$O438)="","",INDEX('請求台帳'!$C$5:$C$1004,$O438)),IF($C438="","",$C438)))</f>
        <v/>
      </c>
      <c r="Q438" s="35">
        <f>IF(OR(NOT(OR($A438&lt;&gt;"",$E438&lt;&gt;"",$F438&lt;&gt;"",$G438&lt;&gt;"",$H438&lt;&gt;"",$I438&lt;&gt;"")),$P438="",$P438&lt;&gt;'売掛帳'!$B$3,NOT(ISNUMBER($A438)),N($G438)+N($H438)+N($I438)=0),"",IF(AND($A438&gt;='売掛帳'!$Q$3,$A438&lt;='売掛帳'!$Q$4),$A438+0.5+ROW()/10000000,""))</f>
        <v/>
      </c>
      <c r="R438" s="32">
        <f>IF(AND(OR($A438&lt;&gt;"",$E438&lt;&gt;"",$F438&lt;&gt;"",$G438&lt;&gt;"",$H438&lt;&gt;"",$I438&lt;&gt;""),NOT(ISNUMBER($O438))),1,"")</f>
        <v/>
      </c>
    </row>
    <row r="439" ht="18" customHeight="1">
      <c r="A439" s="26" t="n"/>
      <c r="B439" s="18" t="n"/>
      <c r="C439" s="18" t="n"/>
      <c r="D439" s="20">
        <f>IF($P439="","",IFERROR(INDEX('得意先'!$C$5:$C$104,MATCH($P439,'得意先'!$B$5:$B$104,0))&amp;"","※得意先にないコード"))</f>
        <v/>
      </c>
      <c r="E439" s="27" t="n"/>
      <c r="F439" s="18" t="n"/>
      <c r="G439" s="27" t="n"/>
      <c r="H439" s="27" t="n"/>
      <c r="I439" s="27" t="n"/>
      <c r="J439" s="28">
        <f>IF(NOT(OR($A439&lt;&gt;"",$E439&lt;&gt;"",$F439&lt;&gt;"",$G439&lt;&gt;"",$H439&lt;&gt;"",$I439&lt;&gt;"")),"",N($G439)+N($H439)+N($I439))</f>
        <v/>
      </c>
      <c r="K439" s="28">
        <f>IF(ISNUMBER($O439),INDEX('請求台帳'!$R$5:$R$1004,$O439),"")</f>
        <v/>
      </c>
      <c r="L439" s="20">
        <f>IF(NOT(OR($A439&lt;&gt;"",$E439&lt;&gt;"",$F439&lt;&gt;"",$G439&lt;&gt;"",$H439&lt;&gt;"",$I439&lt;&gt;"")),"",IF(NOT(ISNUMBER($A439)),"入金日がありません",IF(AND($F439&lt;&gt;"",$O439="なし"),"請求Noが請求台帳にありません",IF(AND(ISNUMBER($O439),$C439&lt;&gt;"",$C439&lt;&gt;$P439),"請求の得意先は "&amp;$P439&amp;" です",IF(ROUND(IF($B439&lt;&gt;"",SUMIF($B$5:$B$1004,$B439,$E$5:$E$1004)-SUMIF($B$5:$B$1004,$B439,$G$5:$G$1004),N($E439)-N($G439)),0)&lt;&gt;0,"通帳の額と当てた額の差 "&amp;TEXT(IF($B439&lt;&gt;"",SUMIF($B$5:$B$1004,$B439,$E$5:$E$1004)-SUMIF($B$5:$B$1004,$B439,$G$5:$G$1004),N($E439)-N($G439)),"#,##0"),IF(AND(ISNUMBER($O439),N($K439)&lt;0),"請求額より多く消し込んでいます",IF($F439="","消込先が未定","OK")))))))</f>
        <v/>
      </c>
      <c r="M439" s="19" t="n"/>
      <c r="N439" s="56" t="n"/>
      <c r="O439" s="32">
        <f>IF($F439="","",IFERROR(MATCH($F439,'請求台帳'!$A$5:$A$1004,0),"なし"))</f>
        <v/>
      </c>
      <c r="P439" s="37">
        <f>IF(NOT(OR($A439&lt;&gt;"",$E439&lt;&gt;"",$F439&lt;&gt;"",$G439&lt;&gt;"",$H439&lt;&gt;"",$I439&lt;&gt;"")),"",IF(ISNUMBER($O439),IF(INDEX('請求台帳'!$C$5:$C$1004,$O439)="","",INDEX('請求台帳'!$C$5:$C$1004,$O439)),IF($C439="","",$C439)))</f>
        <v/>
      </c>
      <c r="Q439" s="35">
        <f>IF(OR(NOT(OR($A439&lt;&gt;"",$E439&lt;&gt;"",$F439&lt;&gt;"",$G439&lt;&gt;"",$H439&lt;&gt;"",$I439&lt;&gt;"")),$P439="",$P439&lt;&gt;'売掛帳'!$B$3,NOT(ISNUMBER($A439)),N($G439)+N($H439)+N($I439)=0),"",IF(AND($A439&gt;='売掛帳'!$Q$3,$A439&lt;='売掛帳'!$Q$4),$A439+0.5+ROW()/10000000,""))</f>
        <v/>
      </c>
      <c r="R439" s="32">
        <f>IF(AND(OR($A439&lt;&gt;"",$E439&lt;&gt;"",$F439&lt;&gt;"",$G439&lt;&gt;"",$H439&lt;&gt;"",$I439&lt;&gt;""),NOT(ISNUMBER($O439))),1,"")</f>
        <v/>
      </c>
    </row>
    <row r="440" ht="18" customHeight="1">
      <c r="A440" s="26" t="n"/>
      <c r="B440" s="18" t="n"/>
      <c r="C440" s="18" t="n"/>
      <c r="D440" s="20">
        <f>IF($P440="","",IFERROR(INDEX('得意先'!$C$5:$C$104,MATCH($P440,'得意先'!$B$5:$B$104,0))&amp;"","※得意先にないコード"))</f>
        <v/>
      </c>
      <c r="E440" s="27" t="n"/>
      <c r="F440" s="18" t="n"/>
      <c r="G440" s="27" t="n"/>
      <c r="H440" s="27" t="n"/>
      <c r="I440" s="27" t="n"/>
      <c r="J440" s="28">
        <f>IF(NOT(OR($A440&lt;&gt;"",$E440&lt;&gt;"",$F440&lt;&gt;"",$G440&lt;&gt;"",$H440&lt;&gt;"",$I440&lt;&gt;"")),"",N($G440)+N($H440)+N($I440))</f>
        <v/>
      </c>
      <c r="K440" s="28">
        <f>IF(ISNUMBER($O440),INDEX('請求台帳'!$R$5:$R$1004,$O440),"")</f>
        <v/>
      </c>
      <c r="L440" s="20">
        <f>IF(NOT(OR($A440&lt;&gt;"",$E440&lt;&gt;"",$F440&lt;&gt;"",$G440&lt;&gt;"",$H440&lt;&gt;"",$I440&lt;&gt;"")),"",IF(NOT(ISNUMBER($A440)),"入金日がありません",IF(AND($F440&lt;&gt;"",$O440="なし"),"請求Noが請求台帳にありません",IF(AND(ISNUMBER($O440),$C440&lt;&gt;"",$C440&lt;&gt;$P440),"請求の得意先は "&amp;$P440&amp;" です",IF(ROUND(IF($B440&lt;&gt;"",SUMIF($B$5:$B$1004,$B440,$E$5:$E$1004)-SUMIF($B$5:$B$1004,$B440,$G$5:$G$1004),N($E440)-N($G440)),0)&lt;&gt;0,"通帳の額と当てた額の差 "&amp;TEXT(IF($B440&lt;&gt;"",SUMIF($B$5:$B$1004,$B440,$E$5:$E$1004)-SUMIF($B$5:$B$1004,$B440,$G$5:$G$1004),N($E440)-N($G440)),"#,##0"),IF(AND(ISNUMBER($O440),N($K440)&lt;0),"請求額より多く消し込んでいます",IF($F440="","消込先が未定","OK")))))))</f>
        <v/>
      </c>
      <c r="M440" s="19" t="n"/>
      <c r="N440" s="56" t="n"/>
      <c r="O440" s="32">
        <f>IF($F440="","",IFERROR(MATCH($F440,'請求台帳'!$A$5:$A$1004,0),"なし"))</f>
        <v/>
      </c>
      <c r="P440" s="37">
        <f>IF(NOT(OR($A440&lt;&gt;"",$E440&lt;&gt;"",$F440&lt;&gt;"",$G440&lt;&gt;"",$H440&lt;&gt;"",$I440&lt;&gt;"")),"",IF(ISNUMBER($O440),IF(INDEX('請求台帳'!$C$5:$C$1004,$O440)="","",INDEX('請求台帳'!$C$5:$C$1004,$O440)),IF($C440="","",$C440)))</f>
        <v/>
      </c>
      <c r="Q440" s="35">
        <f>IF(OR(NOT(OR($A440&lt;&gt;"",$E440&lt;&gt;"",$F440&lt;&gt;"",$G440&lt;&gt;"",$H440&lt;&gt;"",$I440&lt;&gt;"")),$P440="",$P440&lt;&gt;'売掛帳'!$B$3,NOT(ISNUMBER($A440)),N($G440)+N($H440)+N($I440)=0),"",IF(AND($A440&gt;='売掛帳'!$Q$3,$A440&lt;='売掛帳'!$Q$4),$A440+0.5+ROW()/10000000,""))</f>
        <v/>
      </c>
      <c r="R440" s="32">
        <f>IF(AND(OR($A440&lt;&gt;"",$E440&lt;&gt;"",$F440&lt;&gt;"",$G440&lt;&gt;"",$H440&lt;&gt;"",$I440&lt;&gt;""),NOT(ISNUMBER($O440))),1,"")</f>
        <v/>
      </c>
    </row>
    <row r="441" ht="18" customHeight="1">
      <c r="A441" s="26" t="n"/>
      <c r="B441" s="18" t="n"/>
      <c r="C441" s="18" t="n"/>
      <c r="D441" s="20">
        <f>IF($P441="","",IFERROR(INDEX('得意先'!$C$5:$C$104,MATCH($P441,'得意先'!$B$5:$B$104,0))&amp;"","※得意先にないコード"))</f>
        <v/>
      </c>
      <c r="E441" s="27" t="n"/>
      <c r="F441" s="18" t="n"/>
      <c r="G441" s="27" t="n"/>
      <c r="H441" s="27" t="n"/>
      <c r="I441" s="27" t="n"/>
      <c r="J441" s="28">
        <f>IF(NOT(OR($A441&lt;&gt;"",$E441&lt;&gt;"",$F441&lt;&gt;"",$G441&lt;&gt;"",$H441&lt;&gt;"",$I441&lt;&gt;"")),"",N($G441)+N($H441)+N($I441))</f>
        <v/>
      </c>
      <c r="K441" s="28">
        <f>IF(ISNUMBER($O441),INDEX('請求台帳'!$R$5:$R$1004,$O441),"")</f>
        <v/>
      </c>
      <c r="L441" s="20">
        <f>IF(NOT(OR($A441&lt;&gt;"",$E441&lt;&gt;"",$F441&lt;&gt;"",$G441&lt;&gt;"",$H441&lt;&gt;"",$I441&lt;&gt;"")),"",IF(NOT(ISNUMBER($A441)),"入金日がありません",IF(AND($F441&lt;&gt;"",$O441="なし"),"請求Noが請求台帳にありません",IF(AND(ISNUMBER($O441),$C441&lt;&gt;"",$C441&lt;&gt;$P441),"請求の得意先は "&amp;$P441&amp;" です",IF(ROUND(IF($B441&lt;&gt;"",SUMIF($B$5:$B$1004,$B441,$E$5:$E$1004)-SUMIF($B$5:$B$1004,$B441,$G$5:$G$1004),N($E441)-N($G441)),0)&lt;&gt;0,"通帳の額と当てた額の差 "&amp;TEXT(IF($B441&lt;&gt;"",SUMIF($B$5:$B$1004,$B441,$E$5:$E$1004)-SUMIF($B$5:$B$1004,$B441,$G$5:$G$1004),N($E441)-N($G441)),"#,##0"),IF(AND(ISNUMBER($O441),N($K441)&lt;0),"請求額より多く消し込んでいます",IF($F441="","消込先が未定","OK")))))))</f>
        <v/>
      </c>
      <c r="M441" s="19" t="n"/>
      <c r="N441" s="56" t="n"/>
      <c r="O441" s="32">
        <f>IF($F441="","",IFERROR(MATCH($F441,'請求台帳'!$A$5:$A$1004,0),"なし"))</f>
        <v/>
      </c>
      <c r="P441" s="37">
        <f>IF(NOT(OR($A441&lt;&gt;"",$E441&lt;&gt;"",$F441&lt;&gt;"",$G441&lt;&gt;"",$H441&lt;&gt;"",$I441&lt;&gt;"")),"",IF(ISNUMBER($O441),IF(INDEX('請求台帳'!$C$5:$C$1004,$O441)="","",INDEX('請求台帳'!$C$5:$C$1004,$O441)),IF($C441="","",$C441)))</f>
        <v/>
      </c>
      <c r="Q441" s="35">
        <f>IF(OR(NOT(OR($A441&lt;&gt;"",$E441&lt;&gt;"",$F441&lt;&gt;"",$G441&lt;&gt;"",$H441&lt;&gt;"",$I441&lt;&gt;"")),$P441="",$P441&lt;&gt;'売掛帳'!$B$3,NOT(ISNUMBER($A441)),N($G441)+N($H441)+N($I441)=0),"",IF(AND($A441&gt;='売掛帳'!$Q$3,$A441&lt;='売掛帳'!$Q$4),$A441+0.5+ROW()/10000000,""))</f>
        <v/>
      </c>
      <c r="R441" s="32">
        <f>IF(AND(OR($A441&lt;&gt;"",$E441&lt;&gt;"",$F441&lt;&gt;"",$G441&lt;&gt;"",$H441&lt;&gt;"",$I441&lt;&gt;""),NOT(ISNUMBER($O441))),1,"")</f>
        <v/>
      </c>
    </row>
    <row r="442" ht="18" customHeight="1">
      <c r="A442" s="26" t="n"/>
      <c r="B442" s="18" t="n"/>
      <c r="C442" s="18" t="n"/>
      <c r="D442" s="20">
        <f>IF($P442="","",IFERROR(INDEX('得意先'!$C$5:$C$104,MATCH($P442,'得意先'!$B$5:$B$104,0))&amp;"","※得意先にないコード"))</f>
        <v/>
      </c>
      <c r="E442" s="27" t="n"/>
      <c r="F442" s="18" t="n"/>
      <c r="G442" s="27" t="n"/>
      <c r="H442" s="27" t="n"/>
      <c r="I442" s="27" t="n"/>
      <c r="J442" s="28">
        <f>IF(NOT(OR($A442&lt;&gt;"",$E442&lt;&gt;"",$F442&lt;&gt;"",$G442&lt;&gt;"",$H442&lt;&gt;"",$I442&lt;&gt;"")),"",N($G442)+N($H442)+N($I442))</f>
        <v/>
      </c>
      <c r="K442" s="28">
        <f>IF(ISNUMBER($O442),INDEX('請求台帳'!$R$5:$R$1004,$O442),"")</f>
        <v/>
      </c>
      <c r="L442" s="20">
        <f>IF(NOT(OR($A442&lt;&gt;"",$E442&lt;&gt;"",$F442&lt;&gt;"",$G442&lt;&gt;"",$H442&lt;&gt;"",$I442&lt;&gt;"")),"",IF(NOT(ISNUMBER($A442)),"入金日がありません",IF(AND($F442&lt;&gt;"",$O442="なし"),"請求Noが請求台帳にありません",IF(AND(ISNUMBER($O442),$C442&lt;&gt;"",$C442&lt;&gt;$P442),"請求の得意先は "&amp;$P442&amp;" です",IF(ROUND(IF($B442&lt;&gt;"",SUMIF($B$5:$B$1004,$B442,$E$5:$E$1004)-SUMIF($B$5:$B$1004,$B442,$G$5:$G$1004),N($E442)-N($G442)),0)&lt;&gt;0,"通帳の額と当てた額の差 "&amp;TEXT(IF($B442&lt;&gt;"",SUMIF($B$5:$B$1004,$B442,$E$5:$E$1004)-SUMIF($B$5:$B$1004,$B442,$G$5:$G$1004),N($E442)-N($G442)),"#,##0"),IF(AND(ISNUMBER($O442),N($K442)&lt;0),"請求額より多く消し込んでいます",IF($F442="","消込先が未定","OK")))))))</f>
        <v/>
      </c>
      <c r="M442" s="19" t="n"/>
      <c r="N442" s="56" t="n"/>
      <c r="O442" s="32">
        <f>IF($F442="","",IFERROR(MATCH($F442,'請求台帳'!$A$5:$A$1004,0),"なし"))</f>
        <v/>
      </c>
      <c r="P442" s="37">
        <f>IF(NOT(OR($A442&lt;&gt;"",$E442&lt;&gt;"",$F442&lt;&gt;"",$G442&lt;&gt;"",$H442&lt;&gt;"",$I442&lt;&gt;"")),"",IF(ISNUMBER($O442),IF(INDEX('請求台帳'!$C$5:$C$1004,$O442)="","",INDEX('請求台帳'!$C$5:$C$1004,$O442)),IF($C442="","",$C442)))</f>
        <v/>
      </c>
      <c r="Q442" s="35">
        <f>IF(OR(NOT(OR($A442&lt;&gt;"",$E442&lt;&gt;"",$F442&lt;&gt;"",$G442&lt;&gt;"",$H442&lt;&gt;"",$I442&lt;&gt;"")),$P442="",$P442&lt;&gt;'売掛帳'!$B$3,NOT(ISNUMBER($A442)),N($G442)+N($H442)+N($I442)=0),"",IF(AND($A442&gt;='売掛帳'!$Q$3,$A442&lt;='売掛帳'!$Q$4),$A442+0.5+ROW()/10000000,""))</f>
        <v/>
      </c>
      <c r="R442" s="32">
        <f>IF(AND(OR($A442&lt;&gt;"",$E442&lt;&gt;"",$F442&lt;&gt;"",$G442&lt;&gt;"",$H442&lt;&gt;"",$I442&lt;&gt;""),NOT(ISNUMBER($O442))),1,"")</f>
        <v/>
      </c>
    </row>
    <row r="443" ht="18" customHeight="1">
      <c r="A443" s="26" t="n"/>
      <c r="B443" s="18" t="n"/>
      <c r="C443" s="18" t="n"/>
      <c r="D443" s="20">
        <f>IF($P443="","",IFERROR(INDEX('得意先'!$C$5:$C$104,MATCH($P443,'得意先'!$B$5:$B$104,0))&amp;"","※得意先にないコード"))</f>
        <v/>
      </c>
      <c r="E443" s="27" t="n"/>
      <c r="F443" s="18" t="n"/>
      <c r="G443" s="27" t="n"/>
      <c r="H443" s="27" t="n"/>
      <c r="I443" s="27" t="n"/>
      <c r="J443" s="28">
        <f>IF(NOT(OR($A443&lt;&gt;"",$E443&lt;&gt;"",$F443&lt;&gt;"",$G443&lt;&gt;"",$H443&lt;&gt;"",$I443&lt;&gt;"")),"",N($G443)+N($H443)+N($I443))</f>
        <v/>
      </c>
      <c r="K443" s="28">
        <f>IF(ISNUMBER($O443),INDEX('請求台帳'!$R$5:$R$1004,$O443),"")</f>
        <v/>
      </c>
      <c r="L443" s="20">
        <f>IF(NOT(OR($A443&lt;&gt;"",$E443&lt;&gt;"",$F443&lt;&gt;"",$G443&lt;&gt;"",$H443&lt;&gt;"",$I443&lt;&gt;"")),"",IF(NOT(ISNUMBER($A443)),"入金日がありません",IF(AND($F443&lt;&gt;"",$O443="なし"),"請求Noが請求台帳にありません",IF(AND(ISNUMBER($O443),$C443&lt;&gt;"",$C443&lt;&gt;$P443),"請求の得意先は "&amp;$P443&amp;" です",IF(ROUND(IF($B443&lt;&gt;"",SUMIF($B$5:$B$1004,$B443,$E$5:$E$1004)-SUMIF($B$5:$B$1004,$B443,$G$5:$G$1004),N($E443)-N($G443)),0)&lt;&gt;0,"通帳の額と当てた額の差 "&amp;TEXT(IF($B443&lt;&gt;"",SUMIF($B$5:$B$1004,$B443,$E$5:$E$1004)-SUMIF($B$5:$B$1004,$B443,$G$5:$G$1004),N($E443)-N($G443)),"#,##0"),IF(AND(ISNUMBER($O443),N($K443)&lt;0),"請求額より多く消し込んでいます",IF($F443="","消込先が未定","OK")))))))</f>
        <v/>
      </c>
      <c r="M443" s="19" t="n"/>
      <c r="N443" s="56" t="n"/>
      <c r="O443" s="32">
        <f>IF($F443="","",IFERROR(MATCH($F443,'請求台帳'!$A$5:$A$1004,0),"なし"))</f>
        <v/>
      </c>
      <c r="P443" s="37">
        <f>IF(NOT(OR($A443&lt;&gt;"",$E443&lt;&gt;"",$F443&lt;&gt;"",$G443&lt;&gt;"",$H443&lt;&gt;"",$I443&lt;&gt;"")),"",IF(ISNUMBER($O443),IF(INDEX('請求台帳'!$C$5:$C$1004,$O443)="","",INDEX('請求台帳'!$C$5:$C$1004,$O443)),IF($C443="","",$C443)))</f>
        <v/>
      </c>
      <c r="Q443" s="35">
        <f>IF(OR(NOT(OR($A443&lt;&gt;"",$E443&lt;&gt;"",$F443&lt;&gt;"",$G443&lt;&gt;"",$H443&lt;&gt;"",$I443&lt;&gt;"")),$P443="",$P443&lt;&gt;'売掛帳'!$B$3,NOT(ISNUMBER($A443)),N($G443)+N($H443)+N($I443)=0),"",IF(AND($A443&gt;='売掛帳'!$Q$3,$A443&lt;='売掛帳'!$Q$4),$A443+0.5+ROW()/10000000,""))</f>
        <v/>
      </c>
      <c r="R443" s="32">
        <f>IF(AND(OR($A443&lt;&gt;"",$E443&lt;&gt;"",$F443&lt;&gt;"",$G443&lt;&gt;"",$H443&lt;&gt;"",$I443&lt;&gt;""),NOT(ISNUMBER($O443))),1,"")</f>
        <v/>
      </c>
    </row>
    <row r="444" ht="18" customHeight="1">
      <c r="A444" s="26" t="n"/>
      <c r="B444" s="18" t="n"/>
      <c r="C444" s="18" t="n"/>
      <c r="D444" s="20">
        <f>IF($P444="","",IFERROR(INDEX('得意先'!$C$5:$C$104,MATCH($P444,'得意先'!$B$5:$B$104,0))&amp;"","※得意先にないコード"))</f>
        <v/>
      </c>
      <c r="E444" s="27" t="n"/>
      <c r="F444" s="18" t="n"/>
      <c r="G444" s="27" t="n"/>
      <c r="H444" s="27" t="n"/>
      <c r="I444" s="27" t="n"/>
      <c r="J444" s="28">
        <f>IF(NOT(OR($A444&lt;&gt;"",$E444&lt;&gt;"",$F444&lt;&gt;"",$G444&lt;&gt;"",$H444&lt;&gt;"",$I444&lt;&gt;"")),"",N($G444)+N($H444)+N($I444))</f>
        <v/>
      </c>
      <c r="K444" s="28">
        <f>IF(ISNUMBER($O444),INDEX('請求台帳'!$R$5:$R$1004,$O444),"")</f>
        <v/>
      </c>
      <c r="L444" s="20">
        <f>IF(NOT(OR($A444&lt;&gt;"",$E444&lt;&gt;"",$F444&lt;&gt;"",$G444&lt;&gt;"",$H444&lt;&gt;"",$I444&lt;&gt;"")),"",IF(NOT(ISNUMBER($A444)),"入金日がありません",IF(AND($F444&lt;&gt;"",$O444="なし"),"請求Noが請求台帳にありません",IF(AND(ISNUMBER($O444),$C444&lt;&gt;"",$C444&lt;&gt;$P444),"請求の得意先は "&amp;$P444&amp;" です",IF(ROUND(IF($B444&lt;&gt;"",SUMIF($B$5:$B$1004,$B444,$E$5:$E$1004)-SUMIF($B$5:$B$1004,$B444,$G$5:$G$1004),N($E444)-N($G444)),0)&lt;&gt;0,"通帳の額と当てた額の差 "&amp;TEXT(IF($B444&lt;&gt;"",SUMIF($B$5:$B$1004,$B444,$E$5:$E$1004)-SUMIF($B$5:$B$1004,$B444,$G$5:$G$1004),N($E444)-N($G444)),"#,##0"),IF(AND(ISNUMBER($O444),N($K444)&lt;0),"請求額より多く消し込んでいます",IF($F444="","消込先が未定","OK")))))))</f>
        <v/>
      </c>
      <c r="M444" s="19" t="n"/>
      <c r="N444" s="56" t="n"/>
      <c r="O444" s="32">
        <f>IF($F444="","",IFERROR(MATCH($F444,'請求台帳'!$A$5:$A$1004,0),"なし"))</f>
        <v/>
      </c>
      <c r="P444" s="37">
        <f>IF(NOT(OR($A444&lt;&gt;"",$E444&lt;&gt;"",$F444&lt;&gt;"",$G444&lt;&gt;"",$H444&lt;&gt;"",$I444&lt;&gt;"")),"",IF(ISNUMBER($O444),IF(INDEX('請求台帳'!$C$5:$C$1004,$O444)="","",INDEX('請求台帳'!$C$5:$C$1004,$O444)),IF($C444="","",$C444)))</f>
        <v/>
      </c>
      <c r="Q444" s="35">
        <f>IF(OR(NOT(OR($A444&lt;&gt;"",$E444&lt;&gt;"",$F444&lt;&gt;"",$G444&lt;&gt;"",$H444&lt;&gt;"",$I444&lt;&gt;"")),$P444="",$P444&lt;&gt;'売掛帳'!$B$3,NOT(ISNUMBER($A444)),N($G444)+N($H444)+N($I444)=0),"",IF(AND($A444&gt;='売掛帳'!$Q$3,$A444&lt;='売掛帳'!$Q$4),$A444+0.5+ROW()/10000000,""))</f>
        <v/>
      </c>
      <c r="R444" s="32">
        <f>IF(AND(OR($A444&lt;&gt;"",$E444&lt;&gt;"",$F444&lt;&gt;"",$G444&lt;&gt;"",$H444&lt;&gt;"",$I444&lt;&gt;""),NOT(ISNUMBER($O444))),1,"")</f>
        <v/>
      </c>
    </row>
    <row r="445" ht="18" customHeight="1">
      <c r="A445" s="26" t="n"/>
      <c r="B445" s="18" t="n"/>
      <c r="C445" s="18" t="n"/>
      <c r="D445" s="20">
        <f>IF($P445="","",IFERROR(INDEX('得意先'!$C$5:$C$104,MATCH($P445,'得意先'!$B$5:$B$104,0))&amp;"","※得意先にないコード"))</f>
        <v/>
      </c>
      <c r="E445" s="27" t="n"/>
      <c r="F445" s="18" t="n"/>
      <c r="G445" s="27" t="n"/>
      <c r="H445" s="27" t="n"/>
      <c r="I445" s="27" t="n"/>
      <c r="J445" s="28">
        <f>IF(NOT(OR($A445&lt;&gt;"",$E445&lt;&gt;"",$F445&lt;&gt;"",$G445&lt;&gt;"",$H445&lt;&gt;"",$I445&lt;&gt;"")),"",N($G445)+N($H445)+N($I445))</f>
        <v/>
      </c>
      <c r="K445" s="28">
        <f>IF(ISNUMBER($O445),INDEX('請求台帳'!$R$5:$R$1004,$O445),"")</f>
        <v/>
      </c>
      <c r="L445" s="20">
        <f>IF(NOT(OR($A445&lt;&gt;"",$E445&lt;&gt;"",$F445&lt;&gt;"",$G445&lt;&gt;"",$H445&lt;&gt;"",$I445&lt;&gt;"")),"",IF(NOT(ISNUMBER($A445)),"入金日がありません",IF(AND($F445&lt;&gt;"",$O445="なし"),"請求Noが請求台帳にありません",IF(AND(ISNUMBER($O445),$C445&lt;&gt;"",$C445&lt;&gt;$P445),"請求の得意先は "&amp;$P445&amp;" です",IF(ROUND(IF($B445&lt;&gt;"",SUMIF($B$5:$B$1004,$B445,$E$5:$E$1004)-SUMIF($B$5:$B$1004,$B445,$G$5:$G$1004),N($E445)-N($G445)),0)&lt;&gt;0,"通帳の額と当てた額の差 "&amp;TEXT(IF($B445&lt;&gt;"",SUMIF($B$5:$B$1004,$B445,$E$5:$E$1004)-SUMIF($B$5:$B$1004,$B445,$G$5:$G$1004),N($E445)-N($G445)),"#,##0"),IF(AND(ISNUMBER($O445),N($K445)&lt;0),"請求額より多く消し込んでいます",IF($F445="","消込先が未定","OK")))))))</f>
        <v/>
      </c>
      <c r="M445" s="19" t="n"/>
      <c r="N445" s="56" t="n"/>
      <c r="O445" s="32">
        <f>IF($F445="","",IFERROR(MATCH($F445,'請求台帳'!$A$5:$A$1004,0),"なし"))</f>
        <v/>
      </c>
      <c r="P445" s="37">
        <f>IF(NOT(OR($A445&lt;&gt;"",$E445&lt;&gt;"",$F445&lt;&gt;"",$G445&lt;&gt;"",$H445&lt;&gt;"",$I445&lt;&gt;"")),"",IF(ISNUMBER($O445),IF(INDEX('請求台帳'!$C$5:$C$1004,$O445)="","",INDEX('請求台帳'!$C$5:$C$1004,$O445)),IF($C445="","",$C445)))</f>
        <v/>
      </c>
      <c r="Q445" s="35">
        <f>IF(OR(NOT(OR($A445&lt;&gt;"",$E445&lt;&gt;"",$F445&lt;&gt;"",$G445&lt;&gt;"",$H445&lt;&gt;"",$I445&lt;&gt;"")),$P445="",$P445&lt;&gt;'売掛帳'!$B$3,NOT(ISNUMBER($A445)),N($G445)+N($H445)+N($I445)=0),"",IF(AND($A445&gt;='売掛帳'!$Q$3,$A445&lt;='売掛帳'!$Q$4),$A445+0.5+ROW()/10000000,""))</f>
        <v/>
      </c>
      <c r="R445" s="32">
        <f>IF(AND(OR($A445&lt;&gt;"",$E445&lt;&gt;"",$F445&lt;&gt;"",$G445&lt;&gt;"",$H445&lt;&gt;"",$I445&lt;&gt;""),NOT(ISNUMBER($O445))),1,"")</f>
        <v/>
      </c>
    </row>
    <row r="446" ht="18" customHeight="1">
      <c r="A446" s="26" t="n"/>
      <c r="B446" s="18" t="n"/>
      <c r="C446" s="18" t="n"/>
      <c r="D446" s="20">
        <f>IF($P446="","",IFERROR(INDEX('得意先'!$C$5:$C$104,MATCH($P446,'得意先'!$B$5:$B$104,0))&amp;"","※得意先にないコード"))</f>
        <v/>
      </c>
      <c r="E446" s="27" t="n"/>
      <c r="F446" s="18" t="n"/>
      <c r="G446" s="27" t="n"/>
      <c r="H446" s="27" t="n"/>
      <c r="I446" s="27" t="n"/>
      <c r="J446" s="28">
        <f>IF(NOT(OR($A446&lt;&gt;"",$E446&lt;&gt;"",$F446&lt;&gt;"",$G446&lt;&gt;"",$H446&lt;&gt;"",$I446&lt;&gt;"")),"",N($G446)+N($H446)+N($I446))</f>
        <v/>
      </c>
      <c r="K446" s="28">
        <f>IF(ISNUMBER($O446),INDEX('請求台帳'!$R$5:$R$1004,$O446),"")</f>
        <v/>
      </c>
      <c r="L446" s="20">
        <f>IF(NOT(OR($A446&lt;&gt;"",$E446&lt;&gt;"",$F446&lt;&gt;"",$G446&lt;&gt;"",$H446&lt;&gt;"",$I446&lt;&gt;"")),"",IF(NOT(ISNUMBER($A446)),"入金日がありません",IF(AND($F446&lt;&gt;"",$O446="なし"),"請求Noが請求台帳にありません",IF(AND(ISNUMBER($O446),$C446&lt;&gt;"",$C446&lt;&gt;$P446),"請求の得意先は "&amp;$P446&amp;" です",IF(ROUND(IF($B446&lt;&gt;"",SUMIF($B$5:$B$1004,$B446,$E$5:$E$1004)-SUMIF($B$5:$B$1004,$B446,$G$5:$G$1004),N($E446)-N($G446)),0)&lt;&gt;0,"通帳の額と当てた額の差 "&amp;TEXT(IF($B446&lt;&gt;"",SUMIF($B$5:$B$1004,$B446,$E$5:$E$1004)-SUMIF($B$5:$B$1004,$B446,$G$5:$G$1004),N($E446)-N($G446)),"#,##0"),IF(AND(ISNUMBER($O446),N($K446)&lt;0),"請求額より多く消し込んでいます",IF($F446="","消込先が未定","OK")))))))</f>
        <v/>
      </c>
      <c r="M446" s="19" t="n"/>
      <c r="N446" s="56" t="n"/>
      <c r="O446" s="32">
        <f>IF($F446="","",IFERROR(MATCH($F446,'請求台帳'!$A$5:$A$1004,0),"なし"))</f>
        <v/>
      </c>
      <c r="P446" s="37">
        <f>IF(NOT(OR($A446&lt;&gt;"",$E446&lt;&gt;"",$F446&lt;&gt;"",$G446&lt;&gt;"",$H446&lt;&gt;"",$I446&lt;&gt;"")),"",IF(ISNUMBER($O446),IF(INDEX('請求台帳'!$C$5:$C$1004,$O446)="","",INDEX('請求台帳'!$C$5:$C$1004,$O446)),IF($C446="","",$C446)))</f>
        <v/>
      </c>
      <c r="Q446" s="35">
        <f>IF(OR(NOT(OR($A446&lt;&gt;"",$E446&lt;&gt;"",$F446&lt;&gt;"",$G446&lt;&gt;"",$H446&lt;&gt;"",$I446&lt;&gt;"")),$P446="",$P446&lt;&gt;'売掛帳'!$B$3,NOT(ISNUMBER($A446)),N($G446)+N($H446)+N($I446)=0),"",IF(AND($A446&gt;='売掛帳'!$Q$3,$A446&lt;='売掛帳'!$Q$4),$A446+0.5+ROW()/10000000,""))</f>
        <v/>
      </c>
      <c r="R446" s="32">
        <f>IF(AND(OR($A446&lt;&gt;"",$E446&lt;&gt;"",$F446&lt;&gt;"",$G446&lt;&gt;"",$H446&lt;&gt;"",$I446&lt;&gt;""),NOT(ISNUMBER($O446))),1,"")</f>
        <v/>
      </c>
    </row>
    <row r="447" ht="18" customHeight="1">
      <c r="A447" s="26" t="n"/>
      <c r="B447" s="18" t="n"/>
      <c r="C447" s="18" t="n"/>
      <c r="D447" s="20">
        <f>IF($P447="","",IFERROR(INDEX('得意先'!$C$5:$C$104,MATCH($P447,'得意先'!$B$5:$B$104,0))&amp;"","※得意先にないコード"))</f>
        <v/>
      </c>
      <c r="E447" s="27" t="n"/>
      <c r="F447" s="18" t="n"/>
      <c r="G447" s="27" t="n"/>
      <c r="H447" s="27" t="n"/>
      <c r="I447" s="27" t="n"/>
      <c r="J447" s="28">
        <f>IF(NOT(OR($A447&lt;&gt;"",$E447&lt;&gt;"",$F447&lt;&gt;"",$G447&lt;&gt;"",$H447&lt;&gt;"",$I447&lt;&gt;"")),"",N($G447)+N($H447)+N($I447))</f>
        <v/>
      </c>
      <c r="K447" s="28">
        <f>IF(ISNUMBER($O447),INDEX('請求台帳'!$R$5:$R$1004,$O447),"")</f>
        <v/>
      </c>
      <c r="L447" s="20">
        <f>IF(NOT(OR($A447&lt;&gt;"",$E447&lt;&gt;"",$F447&lt;&gt;"",$G447&lt;&gt;"",$H447&lt;&gt;"",$I447&lt;&gt;"")),"",IF(NOT(ISNUMBER($A447)),"入金日がありません",IF(AND($F447&lt;&gt;"",$O447="なし"),"請求Noが請求台帳にありません",IF(AND(ISNUMBER($O447),$C447&lt;&gt;"",$C447&lt;&gt;$P447),"請求の得意先は "&amp;$P447&amp;" です",IF(ROUND(IF($B447&lt;&gt;"",SUMIF($B$5:$B$1004,$B447,$E$5:$E$1004)-SUMIF($B$5:$B$1004,$B447,$G$5:$G$1004),N($E447)-N($G447)),0)&lt;&gt;0,"通帳の額と当てた額の差 "&amp;TEXT(IF($B447&lt;&gt;"",SUMIF($B$5:$B$1004,$B447,$E$5:$E$1004)-SUMIF($B$5:$B$1004,$B447,$G$5:$G$1004),N($E447)-N($G447)),"#,##0"),IF(AND(ISNUMBER($O447),N($K447)&lt;0),"請求額より多く消し込んでいます",IF($F447="","消込先が未定","OK")))))))</f>
        <v/>
      </c>
      <c r="M447" s="19" t="n"/>
      <c r="N447" s="56" t="n"/>
      <c r="O447" s="32">
        <f>IF($F447="","",IFERROR(MATCH($F447,'請求台帳'!$A$5:$A$1004,0),"なし"))</f>
        <v/>
      </c>
      <c r="P447" s="37">
        <f>IF(NOT(OR($A447&lt;&gt;"",$E447&lt;&gt;"",$F447&lt;&gt;"",$G447&lt;&gt;"",$H447&lt;&gt;"",$I447&lt;&gt;"")),"",IF(ISNUMBER($O447),IF(INDEX('請求台帳'!$C$5:$C$1004,$O447)="","",INDEX('請求台帳'!$C$5:$C$1004,$O447)),IF($C447="","",$C447)))</f>
        <v/>
      </c>
      <c r="Q447" s="35">
        <f>IF(OR(NOT(OR($A447&lt;&gt;"",$E447&lt;&gt;"",$F447&lt;&gt;"",$G447&lt;&gt;"",$H447&lt;&gt;"",$I447&lt;&gt;"")),$P447="",$P447&lt;&gt;'売掛帳'!$B$3,NOT(ISNUMBER($A447)),N($G447)+N($H447)+N($I447)=0),"",IF(AND($A447&gt;='売掛帳'!$Q$3,$A447&lt;='売掛帳'!$Q$4),$A447+0.5+ROW()/10000000,""))</f>
        <v/>
      </c>
      <c r="R447" s="32">
        <f>IF(AND(OR($A447&lt;&gt;"",$E447&lt;&gt;"",$F447&lt;&gt;"",$G447&lt;&gt;"",$H447&lt;&gt;"",$I447&lt;&gt;""),NOT(ISNUMBER($O447))),1,"")</f>
        <v/>
      </c>
    </row>
    <row r="448" ht="18" customHeight="1">
      <c r="A448" s="26" t="n"/>
      <c r="B448" s="18" t="n"/>
      <c r="C448" s="18" t="n"/>
      <c r="D448" s="20">
        <f>IF($P448="","",IFERROR(INDEX('得意先'!$C$5:$C$104,MATCH($P448,'得意先'!$B$5:$B$104,0))&amp;"","※得意先にないコード"))</f>
        <v/>
      </c>
      <c r="E448" s="27" t="n"/>
      <c r="F448" s="18" t="n"/>
      <c r="G448" s="27" t="n"/>
      <c r="H448" s="27" t="n"/>
      <c r="I448" s="27" t="n"/>
      <c r="J448" s="28">
        <f>IF(NOT(OR($A448&lt;&gt;"",$E448&lt;&gt;"",$F448&lt;&gt;"",$G448&lt;&gt;"",$H448&lt;&gt;"",$I448&lt;&gt;"")),"",N($G448)+N($H448)+N($I448))</f>
        <v/>
      </c>
      <c r="K448" s="28">
        <f>IF(ISNUMBER($O448),INDEX('請求台帳'!$R$5:$R$1004,$O448),"")</f>
        <v/>
      </c>
      <c r="L448" s="20">
        <f>IF(NOT(OR($A448&lt;&gt;"",$E448&lt;&gt;"",$F448&lt;&gt;"",$G448&lt;&gt;"",$H448&lt;&gt;"",$I448&lt;&gt;"")),"",IF(NOT(ISNUMBER($A448)),"入金日がありません",IF(AND($F448&lt;&gt;"",$O448="なし"),"請求Noが請求台帳にありません",IF(AND(ISNUMBER($O448),$C448&lt;&gt;"",$C448&lt;&gt;$P448),"請求の得意先は "&amp;$P448&amp;" です",IF(ROUND(IF($B448&lt;&gt;"",SUMIF($B$5:$B$1004,$B448,$E$5:$E$1004)-SUMIF($B$5:$B$1004,$B448,$G$5:$G$1004),N($E448)-N($G448)),0)&lt;&gt;0,"通帳の額と当てた額の差 "&amp;TEXT(IF($B448&lt;&gt;"",SUMIF($B$5:$B$1004,$B448,$E$5:$E$1004)-SUMIF($B$5:$B$1004,$B448,$G$5:$G$1004),N($E448)-N($G448)),"#,##0"),IF(AND(ISNUMBER($O448),N($K448)&lt;0),"請求額より多く消し込んでいます",IF($F448="","消込先が未定","OK")))))))</f>
        <v/>
      </c>
      <c r="M448" s="19" t="n"/>
      <c r="N448" s="56" t="n"/>
      <c r="O448" s="32">
        <f>IF($F448="","",IFERROR(MATCH($F448,'請求台帳'!$A$5:$A$1004,0),"なし"))</f>
        <v/>
      </c>
      <c r="P448" s="37">
        <f>IF(NOT(OR($A448&lt;&gt;"",$E448&lt;&gt;"",$F448&lt;&gt;"",$G448&lt;&gt;"",$H448&lt;&gt;"",$I448&lt;&gt;"")),"",IF(ISNUMBER($O448),IF(INDEX('請求台帳'!$C$5:$C$1004,$O448)="","",INDEX('請求台帳'!$C$5:$C$1004,$O448)),IF($C448="","",$C448)))</f>
        <v/>
      </c>
      <c r="Q448" s="35">
        <f>IF(OR(NOT(OR($A448&lt;&gt;"",$E448&lt;&gt;"",$F448&lt;&gt;"",$G448&lt;&gt;"",$H448&lt;&gt;"",$I448&lt;&gt;"")),$P448="",$P448&lt;&gt;'売掛帳'!$B$3,NOT(ISNUMBER($A448)),N($G448)+N($H448)+N($I448)=0),"",IF(AND($A448&gt;='売掛帳'!$Q$3,$A448&lt;='売掛帳'!$Q$4),$A448+0.5+ROW()/10000000,""))</f>
        <v/>
      </c>
      <c r="R448" s="32">
        <f>IF(AND(OR($A448&lt;&gt;"",$E448&lt;&gt;"",$F448&lt;&gt;"",$G448&lt;&gt;"",$H448&lt;&gt;"",$I448&lt;&gt;""),NOT(ISNUMBER($O448))),1,"")</f>
        <v/>
      </c>
    </row>
    <row r="449" ht="18" customHeight="1">
      <c r="A449" s="26" t="n"/>
      <c r="B449" s="18" t="n"/>
      <c r="C449" s="18" t="n"/>
      <c r="D449" s="20">
        <f>IF($P449="","",IFERROR(INDEX('得意先'!$C$5:$C$104,MATCH($P449,'得意先'!$B$5:$B$104,0))&amp;"","※得意先にないコード"))</f>
        <v/>
      </c>
      <c r="E449" s="27" t="n"/>
      <c r="F449" s="18" t="n"/>
      <c r="G449" s="27" t="n"/>
      <c r="H449" s="27" t="n"/>
      <c r="I449" s="27" t="n"/>
      <c r="J449" s="28">
        <f>IF(NOT(OR($A449&lt;&gt;"",$E449&lt;&gt;"",$F449&lt;&gt;"",$G449&lt;&gt;"",$H449&lt;&gt;"",$I449&lt;&gt;"")),"",N($G449)+N($H449)+N($I449))</f>
        <v/>
      </c>
      <c r="K449" s="28">
        <f>IF(ISNUMBER($O449),INDEX('請求台帳'!$R$5:$R$1004,$O449),"")</f>
        <v/>
      </c>
      <c r="L449" s="20">
        <f>IF(NOT(OR($A449&lt;&gt;"",$E449&lt;&gt;"",$F449&lt;&gt;"",$G449&lt;&gt;"",$H449&lt;&gt;"",$I449&lt;&gt;"")),"",IF(NOT(ISNUMBER($A449)),"入金日がありません",IF(AND($F449&lt;&gt;"",$O449="なし"),"請求Noが請求台帳にありません",IF(AND(ISNUMBER($O449),$C449&lt;&gt;"",$C449&lt;&gt;$P449),"請求の得意先は "&amp;$P449&amp;" です",IF(ROUND(IF($B449&lt;&gt;"",SUMIF($B$5:$B$1004,$B449,$E$5:$E$1004)-SUMIF($B$5:$B$1004,$B449,$G$5:$G$1004),N($E449)-N($G449)),0)&lt;&gt;0,"通帳の額と当てた額の差 "&amp;TEXT(IF($B449&lt;&gt;"",SUMIF($B$5:$B$1004,$B449,$E$5:$E$1004)-SUMIF($B$5:$B$1004,$B449,$G$5:$G$1004),N($E449)-N($G449)),"#,##0"),IF(AND(ISNUMBER($O449),N($K449)&lt;0),"請求額より多く消し込んでいます",IF($F449="","消込先が未定","OK")))))))</f>
        <v/>
      </c>
      <c r="M449" s="19" t="n"/>
      <c r="N449" s="56" t="n"/>
      <c r="O449" s="32">
        <f>IF($F449="","",IFERROR(MATCH($F449,'請求台帳'!$A$5:$A$1004,0),"なし"))</f>
        <v/>
      </c>
      <c r="P449" s="37">
        <f>IF(NOT(OR($A449&lt;&gt;"",$E449&lt;&gt;"",$F449&lt;&gt;"",$G449&lt;&gt;"",$H449&lt;&gt;"",$I449&lt;&gt;"")),"",IF(ISNUMBER($O449),IF(INDEX('請求台帳'!$C$5:$C$1004,$O449)="","",INDEX('請求台帳'!$C$5:$C$1004,$O449)),IF($C449="","",$C449)))</f>
        <v/>
      </c>
      <c r="Q449" s="35">
        <f>IF(OR(NOT(OR($A449&lt;&gt;"",$E449&lt;&gt;"",$F449&lt;&gt;"",$G449&lt;&gt;"",$H449&lt;&gt;"",$I449&lt;&gt;"")),$P449="",$P449&lt;&gt;'売掛帳'!$B$3,NOT(ISNUMBER($A449)),N($G449)+N($H449)+N($I449)=0),"",IF(AND($A449&gt;='売掛帳'!$Q$3,$A449&lt;='売掛帳'!$Q$4),$A449+0.5+ROW()/10000000,""))</f>
        <v/>
      </c>
      <c r="R449" s="32">
        <f>IF(AND(OR($A449&lt;&gt;"",$E449&lt;&gt;"",$F449&lt;&gt;"",$G449&lt;&gt;"",$H449&lt;&gt;"",$I449&lt;&gt;""),NOT(ISNUMBER($O449))),1,"")</f>
        <v/>
      </c>
    </row>
    <row r="450" ht="18" customHeight="1">
      <c r="A450" s="26" t="n"/>
      <c r="B450" s="18" t="n"/>
      <c r="C450" s="18" t="n"/>
      <c r="D450" s="20">
        <f>IF($P450="","",IFERROR(INDEX('得意先'!$C$5:$C$104,MATCH($P450,'得意先'!$B$5:$B$104,0))&amp;"","※得意先にないコード"))</f>
        <v/>
      </c>
      <c r="E450" s="27" t="n"/>
      <c r="F450" s="18" t="n"/>
      <c r="G450" s="27" t="n"/>
      <c r="H450" s="27" t="n"/>
      <c r="I450" s="27" t="n"/>
      <c r="J450" s="28">
        <f>IF(NOT(OR($A450&lt;&gt;"",$E450&lt;&gt;"",$F450&lt;&gt;"",$G450&lt;&gt;"",$H450&lt;&gt;"",$I450&lt;&gt;"")),"",N($G450)+N($H450)+N($I450))</f>
        <v/>
      </c>
      <c r="K450" s="28">
        <f>IF(ISNUMBER($O450),INDEX('請求台帳'!$R$5:$R$1004,$O450),"")</f>
        <v/>
      </c>
      <c r="L450" s="20">
        <f>IF(NOT(OR($A450&lt;&gt;"",$E450&lt;&gt;"",$F450&lt;&gt;"",$G450&lt;&gt;"",$H450&lt;&gt;"",$I450&lt;&gt;"")),"",IF(NOT(ISNUMBER($A450)),"入金日がありません",IF(AND($F450&lt;&gt;"",$O450="なし"),"請求Noが請求台帳にありません",IF(AND(ISNUMBER($O450),$C450&lt;&gt;"",$C450&lt;&gt;$P450),"請求の得意先は "&amp;$P450&amp;" です",IF(ROUND(IF($B450&lt;&gt;"",SUMIF($B$5:$B$1004,$B450,$E$5:$E$1004)-SUMIF($B$5:$B$1004,$B450,$G$5:$G$1004),N($E450)-N($G450)),0)&lt;&gt;0,"通帳の額と当てた額の差 "&amp;TEXT(IF($B450&lt;&gt;"",SUMIF($B$5:$B$1004,$B450,$E$5:$E$1004)-SUMIF($B$5:$B$1004,$B450,$G$5:$G$1004),N($E450)-N($G450)),"#,##0"),IF(AND(ISNUMBER($O450),N($K450)&lt;0),"請求額より多く消し込んでいます",IF($F450="","消込先が未定","OK")))))))</f>
        <v/>
      </c>
      <c r="M450" s="19" t="n"/>
      <c r="N450" s="56" t="n"/>
      <c r="O450" s="32">
        <f>IF($F450="","",IFERROR(MATCH($F450,'請求台帳'!$A$5:$A$1004,0),"なし"))</f>
        <v/>
      </c>
      <c r="P450" s="37">
        <f>IF(NOT(OR($A450&lt;&gt;"",$E450&lt;&gt;"",$F450&lt;&gt;"",$G450&lt;&gt;"",$H450&lt;&gt;"",$I450&lt;&gt;"")),"",IF(ISNUMBER($O450),IF(INDEX('請求台帳'!$C$5:$C$1004,$O450)="","",INDEX('請求台帳'!$C$5:$C$1004,$O450)),IF($C450="","",$C450)))</f>
        <v/>
      </c>
      <c r="Q450" s="35">
        <f>IF(OR(NOT(OR($A450&lt;&gt;"",$E450&lt;&gt;"",$F450&lt;&gt;"",$G450&lt;&gt;"",$H450&lt;&gt;"",$I450&lt;&gt;"")),$P450="",$P450&lt;&gt;'売掛帳'!$B$3,NOT(ISNUMBER($A450)),N($G450)+N($H450)+N($I450)=0),"",IF(AND($A450&gt;='売掛帳'!$Q$3,$A450&lt;='売掛帳'!$Q$4),$A450+0.5+ROW()/10000000,""))</f>
        <v/>
      </c>
      <c r="R450" s="32">
        <f>IF(AND(OR($A450&lt;&gt;"",$E450&lt;&gt;"",$F450&lt;&gt;"",$G450&lt;&gt;"",$H450&lt;&gt;"",$I450&lt;&gt;""),NOT(ISNUMBER($O450))),1,"")</f>
        <v/>
      </c>
    </row>
    <row r="451" ht="18" customHeight="1">
      <c r="A451" s="26" t="n"/>
      <c r="B451" s="18" t="n"/>
      <c r="C451" s="18" t="n"/>
      <c r="D451" s="20">
        <f>IF($P451="","",IFERROR(INDEX('得意先'!$C$5:$C$104,MATCH($P451,'得意先'!$B$5:$B$104,0))&amp;"","※得意先にないコード"))</f>
        <v/>
      </c>
      <c r="E451" s="27" t="n"/>
      <c r="F451" s="18" t="n"/>
      <c r="G451" s="27" t="n"/>
      <c r="H451" s="27" t="n"/>
      <c r="I451" s="27" t="n"/>
      <c r="J451" s="28">
        <f>IF(NOT(OR($A451&lt;&gt;"",$E451&lt;&gt;"",$F451&lt;&gt;"",$G451&lt;&gt;"",$H451&lt;&gt;"",$I451&lt;&gt;"")),"",N($G451)+N($H451)+N($I451))</f>
        <v/>
      </c>
      <c r="K451" s="28">
        <f>IF(ISNUMBER($O451),INDEX('請求台帳'!$R$5:$R$1004,$O451),"")</f>
        <v/>
      </c>
      <c r="L451" s="20">
        <f>IF(NOT(OR($A451&lt;&gt;"",$E451&lt;&gt;"",$F451&lt;&gt;"",$G451&lt;&gt;"",$H451&lt;&gt;"",$I451&lt;&gt;"")),"",IF(NOT(ISNUMBER($A451)),"入金日がありません",IF(AND($F451&lt;&gt;"",$O451="なし"),"請求Noが請求台帳にありません",IF(AND(ISNUMBER($O451),$C451&lt;&gt;"",$C451&lt;&gt;$P451),"請求の得意先は "&amp;$P451&amp;" です",IF(ROUND(IF($B451&lt;&gt;"",SUMIF($B$5:$B$1004,$B451,$E$5:$E$1004)-SUMIF($B$5:$B$1004,$B451,$G$5:$G$1004),N($E451)-N($G451)),0)&lt;&gt;0,"通帳の額と当てた額の差 "&amp;TEXT(IF($B451&lt;&gt;"",SUMIF($B$5:$B$1004,$B451,$E$5:$E$1004)-SUMIF($B$5:$B$1004,$B451,$G$5:$G$1004),N($E451)-N($G451)),"#,##0"),IF(AND(ISNUMBER($O451),N($K451)&lt;0),"請求額より多く消し込んでいます",IF($F451="","消込先が未定","OK")))))))</f>
        <v/>
      </c>
      <c r="M451" s="19" t="n"/>
      <c r="N451" s="56" t="n"/>
      <c r="O451" s="32">
        <f>IF($F451="","",IFERROR(MATCH($F451,'請求台帳'!$A$5:$A$1004,0),"なし"))</f>
        <v/>
      </c>
      <c r="P451" s="37">
        <f>IF(NOT(OR($A451&lt;&gt;"",$E451&lt;&gt;"",$F451&lt;&gt;"",$G451&lt;&gt;"",$H451&lt;&gt;"",$I451&lt;&gt;"")),"",IF(ISNUMBER($O451),IF(INDEX('請求台帳'!$C$5:$C$1004,$O451)="","",INDEX('請求台帳'!$C$5:$C$1004,$O451)),IF($C451="","",$C451)))</f>
        <v/>
      </c>
      <c r="Q451" s="35">
        <f>IF(OR(NOT(OR($A451&lt;&gt;"",$E451&lt;&gt;"",$F451&lt;&gt;"",$G451&lt;&gt;"",$H451&lt;&gt;"",$I451&lt;&gt;"")),$P451="",$P451&lt;&gt;'売掛帳'!$B$3,NOT(ISNUMBER($A451)),N($G451)+N($H451)+N($I451)=0),"",IF(AND($A451&gt;='売掛帳'!$Q$3,$A451&lt;='売掛帳'!$Q$4),$A451+0.5+ROW()/10000000,""))</f>
        <v/>
      </c>
      <c r="R451" s="32">
        <f>IF(AND(OR($A451&lt;&gt;"",$E451&lt;&gt;"",$F451&lt;&gt;"",$G451&lt;&gt;"",$H451&lt;&gt;"",$I451&lt;&gt;""),NOT(ISNUMBER($O451))),1,"")</f>
        <v/>
      </c>
    </row>
    <row r="452" ht="18" customHeight="1">
      <c r="A452" s="26" t="n"/>
      <c r="B452" s="18" t="n"/>
      <c r="C452" s="18" t="n"/>
      <c r="D452" s="20">
        <f>IF($P452="","",IFERROR(INDEX('得意先'!$C$5:$C$104,MATCH($P452,'得意先'!$B$5:$B$104,0))&amp;"","※得意先にないコード"))</f>
        <v/>
      </c>
      <c r="E452" s="27" t="n"/>
      <c r="F452" s="18" t="n"/>
      <c r="G452" s="27" t="n"/>
      <c r="H452" s="27" t="n"/>
      <c r="I452" s="27" t="n"/>
      <c r="J452" s="28">
        <f>IF(NOT(OR($A452&lt;&gt;"",$E452&lt;&gt;"",$F452&lt;&gt;"",$G452&lt;&gt;"",$H452&lt;&gt;"",$I452&lt;&gt;"")),"",N($G452)+N($H452)+N($I452))</f>
        <v/>
      </c>
      <c r="K452" s="28">
        <f>IF(ISNUMBER($O452),INDEX('請求台帳'!$R$5:$R$1004,$O452),"")</f>
        <v/>
      </c>
      <c r="L452" s="20">
        <f>IF(NOT(OR($A452&lt;&gt;"",$E452&lt;&gt;"",$F452&lt;&gt;"",$G452&lt;&gt;"",$H452&lt;&gt;"",$I452&lt;&gt;"")),"",IF(NOT(ISNUMBER($A452)),"入金日がありません",IF(AND($F452&lt;&gt;"",$O452="なし"),"請求Noが請求台帳にありません",IF(AND(ISNUMBER($O452),$C452&lt;&gt;"",$C452&lt;&gt;$P452),"請求の得意先は "&amp;$P452&amp;" です",IF(ROUND(IF($B452&lt;&gt;"",SUMIF($B$5:$B$1004,$B452,$E$5:$E$1004)-SUMIF($B$5:$B$1004,$B452,$G$5:$G$1004),N($E452)-N($G452)),0)&lt;&gt;0,"通帳の額と当てた額の差 "&amp;TEXT(IF($B452&lt;&gt;"",SUMIF($B$5:$B$1004,$B452,$E$5:$E$1004)-SUMIF($B$5:$B$1004,$B452,$G$5:$G$1004),N($E452)-N($G452)),"#,##0"),IF(AND(ISNUMBER($O452),N($K452)&lt;0),"請求額より多く消し込んでいます",IF($F452="","消込先が未定","OK")))))))</f>
        <v/>
      </c>
      <c r="M452" s="19" t="n"/>
      <c r="N452" s="56" t="n"/>
      <c r="O452" s="32">
        <f>IF($F452="","",IFERROR(MATCH($F452,'請求台帳'!$A$5:$A$1004,0),"なし"))</f>
        <v/>
      </c>
      <c r="P452" s="37">
        <f>IF(NOT(OR($A452&lt;&gt;"",$E452&lt;&gt;"",$F452&lt;&gt;"",$G452&lt;&gt;"",$H452&lt;&gt;"",$I452&lt;&gt;"")),"",IF(ISNUMBER($O452),IF(INDEX('請求台帳'!$C$5:$C$1004,$O452)="","",INDEX('請求台帳'!$C$5:$C$1004,$O452)),IF($C452="","",$C452)))</f>
        <v/>
      </c>
      <c r="Q452" s="35">
        <f>IF(OR(NOT(OR($A452&lt;&gt;"",$E452&lt;&gt;"",$F452&lt;&gt;"",$G452&lt;&gt;"",$H452&lt;&gt;"",$I452&lt;&gt;"")),$P452="",$P452&lt;&gt;'売掛帳'!$B$3,NOT(ISNUMBER($A452)),N($G452)+N($H452)+N($I452)=0),"",IF(AND($A452&gt;='売掛帳'!$Q$3,$A452&lt;='売掛帳'!$Q$4),$A452+0.5+ROW()/10000000,""))</f>
        <v/>
      </c>
      <c r="R452" s="32">
        <f>IF(AND(OR($A452&lt;&gt;"",$E452&lt;&gt;"",$F452&lt;&gt;"",$G452&lt;&gt;"",$H452&lt;&gt;"",$I452&lt;&gt;""),NOT(ISNUMBER($O452))),1,"")</f>
        <v/>
      </c>
    </row>
    <row r="453" ht="18" customHeight="1">
      <c r="A453" s="26" t="n"/>
      <c r="B453" s="18" t="n"/>
      <c r="C453" s="18" t="n"/>
      <c r="D453" s="20">
        <f>IF($P453="","",IFERROR(INDEX('得意先'!$C$5:$C$104,MATCH($P453,'得意先'!$B$5:$B$104,0))&amp;"","※得意先にないコード"))</f>
        <v/>
      </c>
      <c r="E453" s="27" t="n"/>
      <c r="F453" s="18" t="n"/>
      <c r="G453" s="27" t="n"/>
      <c r="H453" s="27" t="n"/>
      <c r="I453" s="27" t="n"/>
      <c r="J453" s="28">
        <f>IF(NOT(OR($A453&lt;&gt;"",$E453&lt;&gt;"",$F453&lt;&gt;"",$G453&lt;&gt;"",$H453&lt;&gt;"",$I453&lt;&gt;"")),"",N($G453)+N($H453)+N($I453))</f>
        <v/>
      </c>
      <c r="K453" s="28">
        <f>IF(ISNUMBER($O453),INDEX('請求台帳'!$R$5:$R$1004,$O453),"")</f>
        <v/>
      </c>
      <c r="L453" s="20">
        <f>IF(NOT(OR($A453&lt;&gt;"",$E453&lt;&gt;"",$F453&lt;&gt;"",$G453&lt;&gt;"",$H453&lt;&gt;"",$I453&lt;&gt;"")),"",IF(NOT(ISNUMBER($A453)),"入金日がありません",IF(AND($F453&lt;&gt;"",$O453="なし"),"請求Noが請求台帳にありません",IF(AND(ISNUMBER($O453),$C453&lt;&gt;"",$C453&lt;&gt;$P453),"請求の得意先は "&amp;$P453&amp;" です",IF(ROUND(IF($B453&lt;&gt;"",SUMIF($B$5:$B$1004,$B453,$E$5:$E$1004)-SUMIF($B$5:$B$1004,$B453,$G$5:$G$1004),N($E453)-N($G453)),0)&lt;&gt;0,"通帳の額と当てた額の差 "&amp;TEXT(IF($B453&lt;&gt;"",SUMIF($B$5:$B$1004,$B453,$E$5:$E$1004)-SUMIF($B$5:$B$1004,$B453,$G$5:$G$1004),N($E453)-N($G453)),"#,##0"),IF(AND(ISNUMBER($O453),N($K453)&lt;0),"請求額より多く消し込んでいます",IF($F453="","消込先が未定","OK")))))))</f>
        <v/>
      </c>
      <c r="M453" s="19" t="n"/>
      <c r="N453" s="56" t="n"/>
      <c r="O453" s="32">
        <f>IF($F453="","",IFERROR(MATCH($F453,'請求台帳'!$A$5:$A$1004,0),"なし"))</f>
        <v/>
      </c>
      <c r="P453" s="37">
        <f>IF(NOT(OR($A453&lt;&gt;"",$E453&lt;&gt;"",$F453&lt;&gt;"",$G453&lt;&gt;"",$H453&lt;&gt;"",$I453&lt;&gt;"")),"",IF(ISNUMBER($O453),IF(INDEX('請求台帳'!$C$5:$C$1004,$O453)="","",INDEX('請求台帳'!$C$5:$C$1004,$O453)),IF($C453="","",$C453)))</f>
        <v/>
      </c>
      <c r="Q453" s="35">
        <f>IF(OR(NOT(OR($A453&lt;&gt;"",$E453&lt;&gt;"",$F453&lt;&gt;"",$G453&lt;&gt;"",$H453&lt;&gt;"",$I453&lt;&gt;"")),$P453="",$P453&lt;&gt;'売掛帳'!$B$3,NOT(ISNUMBER($A453)),N($G453)+N($H453)+N($I453)=0),"",IF(AND($A453&gt;='売掛帳'!$Q$3,$A453&lt;='売掛帳'!$Q$4),$A453+0.5+ROW()/10000000,""))</f>
        <v/>
      </c>
      <c r="R453" s="32">
        <f>IF(AND(OR($A453&lt;&gt;"",$E453&lt;&gt;"",$F453&lt;&gt;"",$G453&lt;&gt;"",$H453&lt;&gt;"",$I453&lt;&gt;""),NOT(ISNUMBER($O453))),1,"")</f>
        <v/>
      </c>
    </row>
    <row r="454" ht="18" customHeight="1">
      <c r="A454" s="26" t="n"/>
      <c r="B454" s="18" t="n"/>
      <c r="C454" s="18" t="n"/>
      <c r="D454" s="20">
        <f>IF($P454="","",IFERROR(INDEX('得意先'!$C$5:$C$104,MATCH($P454,'得意先'!$B$5:$B$104,0))&amp;"","※得意先にないコード"))</f>
        <v/>
      </c>
      <c r="E454" s="27" t="n"/>
      <c r="F454" s="18" t="n"/>
      <c r="G454" s="27" t="n"/>
      <c r="H454" s="27" t="n"/>
      <c r="I454" s="27" t="n"/>
      <c r="J454" s="28">
        <f>IF(NOT(OR($A454&lt;&gt;"",$E454&lt;&gt;"",$F454&lt;&gt;"",$G454&lt;&gt;"",$H454&lt;&gt;"",$I454&lt;&gt;"")),"",N($G454)+N($H454)+N($I454))</f>
        <v/>
      </c>
      <c r="K454" s="28">
        <f>IF(ISNUMBER($O454),INDEX('請求台帳'!$R$5:$R$1004,$O454),"")</f>
        <v/>
      </c>
      <c r="L454" s="20">
        <f>IF(NOT(OR($A454&lt;&gt;"",$E454&lt;&gt;"",$F454&lt;&gt;"",$G454&lt;&gt;"",$H454&lt;&gt;"",$I454&lt;&gt;"")),"",IF(NOT(ISNUMBER($A454)),"入金日がありません",IF(AND($F454&lt;&gt;"",$O454="なし"),"請求Noが請求台帳にありません",IF(AND(ISNUMBER($O454),$C454&lt;&gt;"",$C454&lt;&gt;$P454),"請求の得意先は "&amp;$P454&amp;" です",IF(ROUND(IF($B454&lt;&gt;"",SUMIF($B$5:$B$1004,$B454,$E$5:$E$1004)-SUMIF($B$5:$B$1004,$B454,$G$5:$G$1004),N($E454)-N($G454)),0)&lt;&gt;0,"通帳の額と当てた額の差 "&amp;TEXT(IF($B454&lt;&gt;"",SUMIF($B$5:$B$1004,$B454,$E$5:$E$1004)-SUMIF($B$5:$B$1004,$B454,$G$5:$G$1004),N($E454)-N($G454)),"#,##0"),IF(AND(ISNUMBER($O454),N($K454)&lt;0),"請求額より多く消し込んでいます",IF($F454="","消込先が未定","OK")))))))</f>
        <v/>
      </c>
      <c r="M454" s="19" t="n"/>
      <c r="N454" s="56" t="n"/>
      <c r="O454" s="32">
        <f>IF($F454="","",IFERROR(MATCH($F454,'請求台帳'!$A$5:$A$1004,0),"なし"))</f>
        <v/>
      </c>
      <c r="P454" s="37">
        <f>IF(NOT(OR($A454&lt;&gt;"",$E454&lt;&gt;"",$F454&lt;&gt;"",$G454&lt;&gt;"",$H454&lt;&gt;"",$I454&lt;&gt;"")),"",IF(ISNUMBER($O454),IF(INDEX('請求台帳'!$C$5:$C$1004,$O454)="","",INDEX('請求台帳'!$C$5:$C$1004,$O454)),IF($C454="","",$C454)))</f>
        <v/>
      </c>
      <c r="Q454" s="35">
        <f>IF(OR(NOT(OR($A454&lt;&gt;"",$E454&lt;&gt;"",$F454&lt;&gt;"",$G454&lt;&gt;"",$H454&lt;&gt;"",$I454&lt;&gt;"")),$P454="",$P454&lt;&gt;'売掛帳'!$B$3,NOT(ISNUMBER($A454)),N($G454)+N($H454)+N($I454)=0),"",IF(AND($A454&gt;='売掛帳'!$Q$3,$A454&lt;='売掛帳'!$Q$4),$A454+0.5+ROW()/10000000,""))</f>
        <v/>
      </c>
      <c r="R454" s="32">
        <f>IF(AND(OR($A454&lt;&gt;"",$E454&lt;&gt;"",$F454&lt;&gt;"",$G454&lt;&gt;"",$H454&lt;&gt;"",$I454&lt;&gt;""),NOT(ISNUMBER($O454))),1,"")</f>
        <v/>
      </c>
    </row>
    <row r="455" ht="18" customHeight="1">
      <c r="A455" s="26" t="n"/>
      <c r="B455" s="18" t="n"/>
      <c r="C455" s="18" t="n"/>
      <c r="D455" s="20">
        <f>IF($P455="","",IFERROR(INDEX('得意先'!$C$5:$C$104,MATCH($P455,'得意先'!$B$5:$B$104,0))&amp;"","※得意先にないコード"))</f>
        <v/>
      </c>
      <c r="E455" s="27" t="n"/>
      <c r="F455" s="18" t="n"/>
      <c r="G455" s="27" t="n"/>
      <c r="H455" s="27" t="n"/>
      <c r="I455" s="27" t="n"/>
      <c r="J455" s="28">
        <f>IF(NOT(OR($A455&lt;&gt;"",$E455&lt;&gt;"",$F455&lt;&gt;"",$G455&lt;&gt;"",$H455&lt;&gt;"",$I455&lt;&gt;"")),"",N($G455)+N($H455)+N($I455))</f>
        <v/>
      </c>
      <c r="K455" s="28">
        <f>IF(ISNUMBER($O455),INDEX('請求台帳'!$R$5:$R$1004,$O455),"")</f>
        <v/>
      </c>
      <c r="L455" s="20">
        <f>IF(NOT(OR($A455&lt;&gt;"",$E455&lt;&gt;"",$F455&lt;&gt;"",$G455&lt;&gt;"",$H455&lt;&gt;"",$I455&lt;&gt;"")),"",IF(NOT(ISNUMBER($A455)),"入金日がありません",IF(AND($F455&lt;&gt;"",$O455="なし"),"請求Noが請求台帳にありません",IF(AND(ISNUMBER($O455),$C455&lt;&gt;"",$C455&lt;&gt;$P455),"請求の得意先は "&amp;$P455&amp;" です",IF(ROUND(IF($B455&lt;&gt;"",SUMIF($B$5:$B$1004,$B455,$E$5:$E$1004)-SUMIF($B$5:$B$1004,$B455,$G$5:$G$1004),N($E455)-N($G455)),0)&lt;&gt;0,"通帳の額と当てた額の差 "&amp;TEXT(IF($B455&lt;&gt;"",SUMIF($B$5:$B$1004,$B455,$E$5:$E$1004)-SUMIF($B$5:$B$1004,$B455,$G$5:$G$1004),N($E455)-N($G455)),"#,##0"),IF(AND(ISNUMBER($O455),N($K455)&lt;0),"請求額より多く消し込んでいます",IF($F455="","消込先が未定","OK")))))))</f>
        <v/>
      </c>
      <c r="M455" s="19" t="n"/>
      <c r="N455" s="56" t="n"/>
      <c r="O455" s="32">
        <f>IF($F455="","",IFERROR(MATCH($F455,'請求台帳'!$A$5:$A$1004,0),"なし"))</f>
        <v/>
      </c>
      <c r="P455" s="37">
        <f>IF(NOT(OR($A455&lt;&gt;"",$E455&lt;&gt;"",$F455&lt;&gt;"",$G455&lt;&gt;"",$H455&lt;&gt;"",$I455&lt;&gt;"")),"",IF(ISNUMBER($O455),IF(INDEX('請求台帳'!$C$5:$C$1004,$O455)="","",INDEX('請求台帳'!$C$5:$C$1004,$O455)),IF($C455="","",$C455)))</f>
        <v/>
      </c>
      <c r="Q455" s="35">
        <f>IF(OR(NOT(OR($A455&lt;&gt;"",$E455&lt;&gt;"",$F455&lt;&gt;"",$G455&lt;&gt;"",$H455&lt;&gt;"",$I455&lt;&gt;"")),$P455="",$P455&lt;&gt;'売掛帳'!$B$3,NOT(ISNUMBER($A455)),N($G455)+N($H455)+N($I455)=0),"",IF(AND($A455&gt;='売掛帳'!$Q$3,$A455&lt;='売掛帳'!$Q$4),$A455+0.5+ROW()/10000000,""))</f>
        <v/>
      </c>
      <c r="R455" s="32">
        <f>IF(AND(OR($A455&lt;&gt;"",$E455&lt;&gt;"",$F455&lt;&gt;"",$G455&lt;&gt;"",$H455&lt;&gt;"",$I455&lt;&gt;""),NOT(ISNUMBER($O455))),1,"")</f>
        <v/>
      </c>
    </row>
    <row r="456" ht="18" customHeight="1">
      <c r="A456" s="26" t="n"/>
      <c r="B456" s="18" t="n"/>
      <c r="C456" s="18" t="n"/>
      <c r="D456" s="20">
        <f>IF($P456="","",IFERROR(INDEX('得意先'!$C$5:$C$104,MATCH($P456,'得意先'!$B$5:$B$104,0))&amp;"","※得意先にないコード"))</f>
        <v/>
      </c>
      <c r="E456" s="27" t="n"/>
      <c r="F456" s="18" t="n"/>
      <c r="G456" s="27" t="n"/>
      <c r="H456" s="27" t="n"/>
      <c r="I456" s="27" t="n"/>
      <c r="J456" s="28">
        <f>IF(NOT(OR($A456&lt;&gt;"",$E456&lt;&gt;"",$F456&lt;&gt;"",$G456&lt;&gt;"",$H456&lt;&gt;"",$I456&lt;&gt;"")),"",N($G456)+N($H456)+N($I456))</f>
        <v/>
      </c>
      <c r="K456" s="28">
        <f>IF(ISNUMBER($O456),INDEX('請求台帳'!$R$5:$R$1004,$O456),"")</f>
        <v/>
      </c>
      <c r="L456" s="20">
        <f>IF(NOT(OR($A456&lt;&gt;"",$E456&lt;&gt;"",$F456&lt;&gt;"",$G456&lt;&gt;"",$H456&lt;&gt;"",$I456&lt;&gt;"")),"",IF(NOT(ISNUMBER($A456)),"入金日がありません",IF(AND($F456&lt;&gt;"",$O456="なし"),"請求Noが請求台帳にありません",IF(AND(ISNUMBER($O456),$C456&lt;&gt;"",$C456&lt;&gt;$P456),"請求の得意先は "&amp;$P456&amp;" です",IF(ROUND(IF($B456&lt;&gt;"",SUMIF($B$5:$B$1004,$B456,$E$5:$E$1004)-SUMIF($B$5:$B$1004,$B456,$G$5:$G$1004),N($E456)-N($G456)),0)&lt;&gt;0,"通帳の額と当てた額の差 "&amp;TEXT(IF($B456&lt;&gt;"",SUMIF($B$5:$B$1004,$B456,$E$5:$E$1004)-SUMIF($B$5:$B$1004,$B456,$G$5:$G$1004),N($E456)-N($G456)),"#,##0"),IF(AND(ISNUMBER($O456),N($K456)&lt;0),"請求額より多く消し込んでいます",IF($F456="","消込先が未定","OK")))))))</f>
        <v/>
      </c>
      <c r="M456" s="19" t="n"/>
      <c r="N456" s="56" t="n"/>
      <c r="O456" s="32">
        <f>IF($F456="","",IFERROR(MATCH($F456,'請求台帳'!$A$5:$A$1004,0),"なし"))</f>
        <v/>
      </c>
      <c r="P456" s="37">
        <f>IF(NOT(OR($A456&lt;&gt;"",$E456&lt;&gt;"",$F456&lt;&gt;"",$G456&lt;&gt;"",$H456&lt;&gt;"",$I456&lt;&gt;"")),"",IF(ISNUMBER($O456),IF(INDEX('請求台帳'!$C$5:$C$1004,$O456)="","",INDEX('請求台帳'!$C$5:$C$1004,$O456)),IF($C456="","",$C456)))</f>
        <v/>
      </c>
      <c r="Q456" s="35">
        <f>IF(OR(NOT(OR($A456&lt;&gt;"",$E456&lt;&gt;"",$F456&lt;&gt;"",$G456&lt;&gt;"",$H456&lt;&gt;"",$I456&lt;&gt;"")),$P456="",$P456&lt;&gt;'売掛帳'!$B$3,NOT(ISNUMBER($A456)),N($G456)+N($H456)+N($I456)=0),"",IF(AND($A456&gt;='売掛帳'!$Q$3,$A456&lt;='売掛帳'!$Q$4),$A456+0.5+ROW()/10000000,""))</f>
        <v/>
      </c>
      <c r="R456" s="32">
        <f>IF(AND(OR($A456&lt;&gt;"",$E456&lt;&gt;"",$F456&lt;&gt;"",$G456&lt;&gt;"",$H456&lt;&gt;"",$I456&lt;&gt;""),NOT(ISNUMBER($O456))),1,"")</f>
        <v/>
      </c>
    </row>
    <row r="457" ht="18" customHeight="1">
      <c r="A457" s="26" t="n"/>
      <c r="B457" s="18" t="n"/>
      <c r="C457" s="18" t="n"/>
      <c r="D457" s="20">
        <f>IF($P457="","",IFERROR(INDEX('得意先'!$C$5:$C$104,MATCH($P457,'得意先'!$B$5:$B$104,0))&amp;"","※得意先にないコード"))</f>
        <v/>
      </c>
      <c r="E457" s="27" t="n"/>
      <c r="F457" s="18" t="n"/>
      <c r="G457" s="27" t="n"/>
      <c r="H457" s="27" t="n"/>
      <c r="I457" s="27" t="n"/>
      <c r="J457" s="28">
        <f>IF(NOT(OR($A457&lt;&gt;"",$E457&lt;&gt;"",$F457&lt;&gt;"",$G457&lt;&gt;"",$H457&lt;&gt;"",$I457&lt;&gt;"")),"",N($G457)+N($H457)+N($I457))</f>
        <v/>
      </c>
      <c r="K457" s="28">
        <f>IF(ISNUMBER($O457),INDEX('請求台帳'!$R$5:$R$1004,$O457),"")</f>
        <v/>
      </c>
      <c r="L457" s="20">
        <f>IF(NOT(OR($A457&lt;&gt;"",$E457&lt;&gt;"",$F457&lt;&gt;"",$G457&lt;&gt;"",$H457&lt;&gt;"",$I457&lt;&gt;"")),"",IF(NOT(ISNUMBER($A457)),"入金日がありません",IF(AND($F457&lt;&gt;"",$O457="なし"),"請求Noが請求台帳にありません",IF(AND(ISNUMBER($O457),$C457&lt;&gt;"",$C457&lt;&gt;$P457),"請求の得意先は "&amp;$P457&amp;" です",IF(ROUND(IF($B457&lt;&gt;"",SUMIF($B$5:$B$1004,$B457,$E$5:$E$1004)-SUMIF($B$5:$B$1004,$B457,$G$5:$G$1004),N($E457)-N($G457)),0)&lt;&gt;0,"通帳の額と当てた額の差 "&amp;TEXT(IF($B457&lt;&gt;"",SUMIF($B$5:$B$1004,$B457,$E$5:$E$1004)-SUMIF($B$5:$B$1004,$B457,$G$5:$G$1004),N($E457)-N($G457)),"#,##0"),IF(AND(ISNUMBER($O457),N($K457)&lt;0),"請求額より多く消し込んでいます",IF($F457="","消込先が未定","OK")))))))</f>
        <v/>
      </c>
      <c r="M457" s="19" t="n"/>
      <c r="N457" s="56" t="n"/>
      <c r="O457" s="32">
        <f>IF($F457="","",IFERROR(MATCH($F457,'請求台帳'!$A$5:$A$1004,0),"なし"))</f>
        <v/>
      </c>
      <c r="P457" s="37">
        <f>IF(NOT(OR($A457&lt;&gt;"",$E457&lt;&gt;"",$F457&lt;&gt;"",$G457&lt;&gt;"",$H457&lt;&gt;"",$I457&lt;&gt;"")),"",IF(ISNUMBER($O457),IF(INDEX('請求台帳'!$C$5:$C$1004,$O457)="","",INDEX('請求台帳'!$C$5:$C$1004,$O457)),IF($C457="","",$C457)))</f>
        <v/>
      </c>
      <c r="Q457" s="35">
        <f>IF(OR(NOT(OR($A457&lt;&gt;"",$E457&lt;&gt;"",$F457&lt;&gt;"",$G457&lt;&gt;"",$H457&lt;&gt;"",$I457&lt;&gt;"")),$P457="",$P457&lt;&gt;'売掛帳'!$B$3,NOT(ISNUMBER($A457)),N($G457)+N($H457)+N($I457)=0),"",IF(AND($A457&gt;='売掛帳'!$Q$3,$A457&lt;='売掛帳'!$Q$4),$A457+0.5+ROW()/10000000,""))</f>
        <v/>
      </c>
      <c r="R457" s="32">
        <f>IF(AND(OR($A457&lt;&gt;"",$E457&lt;&gt;"",$F457&lt;&gt;"",$G457&lt;&gt;"",$H457&lt;&gt;"",$I457&lt;&gt;""),NOT(ISNUMBER($O457))),1,"")</f>
        <v/>
      </c>
    </row>
    <row r="458" ht="18" customHeight="1">
      <c r="A458" s="26" t="n"/>
      <c r="B458" s="18" t="n"/>
      <c r="C458" s="18" t="n"/>
      <c r="D458" s="20">
        <f>IF($P458="","",IFERROR(INDEX('得意先'!$C$5:$C$104,MATCH($P458,'得意先'!$B$5:$B$104,0))&amp;"","※得意先にないコード"))</f>
        <v/>
      </c>
      <c r="E458" s="27" t="n"/>
      <c r="F458" s="18" t="n"/>
      <c r="G458" s="27" t="n"/>
      <c r="H458" s="27" t="n"/>
      <c r="I458" s="27" t="n"/>
      <c r="J458" s="28">
        <f>IF(NOT(OR($A458&lt;&gt;"",$E458&lt;&gt;"",$F458&lt;&gt;"",$G458&lt;&gt;"",$H458&lt;&gt;"",$I458&lt;&gt;"")),"",N($G458)+N($H458)+N($I458))</f>
        <v/>
      </c>
      <c r="K458" s="28">
        <f>IF(ISNUMBER($O458),INDEX('請求台帳'!$R$5:$R$1004,$O458),"")</f>
        <v/>
      </c>
      <c r="L458" s="20">
        <f>IF(NOT(OR($A458&lt;&gt;"",$E458&lt;&gt;"",$F458&lt;&gt;"",$G458&lt;&gt;"",$H458&lt;&gt;"",$I458&lt;&gt;"")),"",IF(NOT(ISNUMBER($A458)),"入金日がありません",IF(AND($F458&lt;&gt;"",$O458="なし"),"請求Noが請求台帳にありません",IF(AND(ISNUMBER($O458),$C458&lt;&gt;"",$C458&lt;&gt;$P458),"請求の得意先は "&amp;$P458&amp;" です",IF(ROUND(IF($B458&lt;&gt;"",SUMIF($B$5:$B$1004,$B458,$E$5:$E$1004)-SUMIF($B$5:$B$1004,$B458,$G$5:$G$1004),N($E458)-N($G458)),0)&lt;&gt;0,"通帳の額と当てた額の差 "&amp;TEXT(IF($B458&lt;&gt;"",SUMIF($B$5:$B$1004,$B458,$E$5:$E$1004)-SUMIF($B$5:$B$1004,$B458,$G$5:$G$1004),N($E458)-N($G458)),"#,##0"),IF(AND(ISNUMBER($O458),N($K458)&lt;0),"請求額より多く消し込んでいます",IF($F458="","消込先が未定","OK")))))))</f>
        <v/>
      </c>
      <c r="M458" s="19" t="n"/>
      <c r="N458" s="56" t="n"/>
      <c r="O458" s="32">
        <f>IF($F458="","",IFERROR(MATCH($F458,'請求台帳'!$A$5:$A$1004,0),"なし"))</f>
        <v/>
      </c>
      <c r="P458" s="37">
        <f>IF(NOT(OR($A458&lt;&gt;"",$E458&lt;&gt;"",$F458&lt;&gt;"",$G458&lt;&gt;"",$H458&lt;&gt;"",$I458&lt;&gt;"")),"",IF(ISNUMBER($O458),IF(INDEX('請求台帳'!$C$5:$C$1004,$O458)="","",INDEX('請求台帳'!$C$5:$C$1004,$O458)),IF($C458="","",$C458)))</f>
        <v/>
      </c>
      <c r="Q458" s="35">
        <f>IF(OR(NOT(OR($A458&lt;&gt;"",$E458&lt;&gt;"",$F458&lt;&gt;"",$G458&lt;&gt;"",$H458&lt;&gt;"",$I458&lt;&gt;"")),$P458="",$P458&lt;&gt;'売掛帳'!$B$3,NOT(ISNUMBER($A458)),N($G458)+N($H458)+N($I458)=0),"",IF(AND($A458&gt;='売掛帳'!$Q$3,$A458&lt;='売掛帳'!$Q$4),$A458+0.5+ROW()/10000000,""))</f>
        <v/>
      </c>
      <c r="R458" s="32">
        <f>IF(AND(OR($A458&lt;&gt;"",$E458&lt;&gt;"",$F458&lt;&gt;"",$G458&lt;&gt;"",$H458&lt;&gt;"",$I458&lt;&gt;""),NOT(ISNUMBER($O458))),1,"")</f>
        <v/>
      </c>
    </row>
    <row r="459" ht="18" customHeight="1">
      <c r="A459" s="26" t="n"/>
      <c r="B459" s="18" t="n"/>
      <c r="C459" s="18" t="n"/>
      <c r="D459" s="20">
        <f>IF($P459="","",IFERROR(INDEX('得意先'!$C$5:$C$104,MATCH($P459,'得意先'!$B$5:$B$104,0))&amp;"","※得意先にないコード"))</f>
        <v/>
      </c>
      <c r="E459" s="27" t="n"/>
      <c r="F459" s="18" t="n"/>
      <c r="G459" s="27" t="n"/>
      <c r="H459" s="27" t="n"/>
      <c r="I459" s="27" t="n"/>
      <c r="J459" s="28">
        <f>IF(NOT(OR($A459&lt;&gt;"",$E459&lt;&gt;"",$F459&lt;&gt;"",$G459&lt;&gt;"",$H459&lt;&gt;"",$I459&lt;&gt;"")),"",N($G459)+N($H459)+N($I459))</f>
        <v/>
      </c>
      <c r="K459" s="28">
        <f>IF(ISNUMBER($O459),INDEX('請求台帳'!$R$5:$R$1004,$O459),"")</f>
        <v/>
      </c>
      <c r="L459" s="20">
        <f>IF(NOT(OR($A459&lt;&gt;"",$E459&lt;&gt;"",$F459&lt;&gt;"",$G459&lt;&gt;"",$H459&lt;&gt;"",$I459&lt;&gt;"")),"",IF(NOT(ISNUMBER($A459)),"入金日がありません",IF(AND($F459&lt;&gt;"",$O459="なし"),"請求Noが請求台帳にありません",IF(AND(ISNUMBER($O459),$C459&lt;&gt;"",$C459&lt;&gt;$P459),"請求の得意先は "&amp;$P459&amp;" です",IF(ROUND(IF($B459&lt;&gt;"",SUMIF($B$5:$B$1004,$B459,$E$5:$E$1004)-SUMIF($B$5:$B$1004,$B459,$G$5:$G$1004),N($E459)-N($G459)),0)&lt;&gt;0,"通帳の額と当てた額の差 "&amp;TEXT(IF($B459&lt;&gt;"",SUMIF($B$5:$B$1004,$B459,$E$5:$E$1004)-SUMIF($B$5:$B$1004,$B459,$G$5:$G$1004),N($E459)-N($G459)),"#,##0"),IF(AND(ISNUMBER($O459),N($K459)&lt;0),"請求額より多く消し込んでいます",IF($F459="","消込先が未定","OK")))))))</f>
        <v/>
      </c>
      <c r="M459" s="19" t="n"/>
      <c r="N459" s="56" t="n"/>
      <c r="O459" s="32">
        <f>IF($F459="","",IFERROR(MATCH($F459,'請求台帳'!$A$5:$A$1004,0),"なし"))</f>
        <v/>
      </c>
      <c r="P459" s="37">
        <f>IF(NOT(OR($A459&lt;&gt;"",$E459&lt;&gt;"",$F459&lt;&gt;"",$G459&lt;&gt;"",$H459&lt;&gt;"",$I459&lt;&gt;"")),"",IF(ISNUMBER($O459),IF(INDEX('請求台帳'!$C$5:$C$1004,$O459)="","",INDEX('請求台帳'!$C$5:$C$1004,$O459)),IF($C459="","",$C459)))</f>
        <v/>
      </c>
      <c r="Q459" s="35">
        <f>IF(OR(NOT(OR($A459&lt;&gt;"",$E459&lt;&gt;"",$F459&lt;&gt;"",$G459&lt;&gt;"",$H459&lt;&gt;"",$I459&lt;&gt;"")),$P459="",$P459&lt;&gt;'売掛帳'!$B$3,NOT(ISNUMBER($A459)),N($G459)+N($H459)+N($I459)=0),"",IF(AND($A459&gt;='売掛帳'!$Q$3,$A459&lt;='売掛帳'!$Q$4),$A459+0.5+ROW()/10000000,""))</f>
        <v/>
      </c>
      <c r="R459" s="32">
        <f>IF(AND(OR($A459&lt;&gt;"",$E459&lt;&gt;"",$F459&lt;&gt;"",$G459&lt;&gt;"",$H459&lt;&gt;"",$I459&lt;&gt;""),NOT(ISNUMBER($O459))),1,"")</f>
        <v/>
      </c>
    </row>
    <row r="460" ht="18" customHeight="1">
      <c r="A460" s="26" t="n"/>
      <c r="B460" s="18" t="n"/>
      <c r="C460" s="18" t="n"/>
      <c r="D460" s="20">
        <f>IF($P460="","",IFERROR(INDEX('得意先'!$C$5:$C$104,MATCH($P460,'得意先'!$B$5:$B$104,0))&amp;"","※得意先にないコード"))</f>
        <v/>
      </c>
      <c r="E460" s="27" t="n"/>
      <c r="F460" s="18" t="n"/>
      <c r="G460" s="27" t="n"/>
      <c r="H460" s="27" t="n"/>
      <c r="I460" s="27" t="n"/>
      <c r="J460" s="28">
        <f>IF(NOT(OR($A460&lt;&gt;"",$E460&lt;&gt;"",$F460&lt;&gt;"",$G460&lt;&gt;"",$H460&lt;&gt;"",$I460&lt;&gt;"")),"",N($G460)+N($H460)+N($I460))</f>
        <v/>
      </c>
      <c r="K460" s="28">
        <f>IF(ISNUMBER($O460),INDEX('請求台帳'!$R$5:$R$1004,$O460),"")</f>
        <v/>
      </c>
      <c r="L460" s="20">
        <f>IF(NOT(OR($A460&lt;&gt;"",$E460&lt;&gt;"",$F460&lt;&gt;"",$G460&lt;&gt;"",$H460&lt;&gt;"",$I460&lt;&gt;"")),"",IF(NOT(ISNUMBER($A460)),"入金日がありません",IF(AND($F460&lt;&gt;"",$O460="なし"),"請求Noが請求台帳にありません",IF(AND(ISNUMBER($O460),$C460&lt;&gt;"",$C460&lt;&gt;$P460),"請求の得意先は "&amp;$P460&amp;" です",IF(ROUND(IF($B460&lt;&gt;"",SUMIF($B$5:$B$1004,$B460,$E$5:$E$1004)-SUMIF($B$5:$B$1004,$B460,$G$5:$G$1004),N($E460)-N($G460)),0)&lt;&gt;0,"通帳の額と当てた額の差 "&amp;TEXT(IF($B460&lt;&gt;"",SUMIF($B$5:$B$1004,$B460,$E$5:$E$1004)-SUMIF($B$5:$B$1004,$B460,$G$5:$G$1004),N($E460)-N($G460)),"#,##0"),IF(AND(ISNUMBER($O460),N($K460)&lt;0),"請求額より多く消し込んでいます",IF($F460="","消込先が未定","OK")))))))</f>
        <v/>
      </c>
      <c r="M460" s="19" t="n"/>
      <c r="N460" s="56" t="n"/>
      <c r="O460" s="32">
        <f>IF($F460="","",IFERROR(MATCH($F460,'請求台帳'!$A$5:$A$1004,0),"なし"))</f>
        <v/>
      </c>
      <c r="P460" s="37">
        <f>IF(NOT(OR($A460&lt;&gt;"",$E460&lt;&gt;"",$F460&lt;&gt;"",$G460&lt;&gt;"",$H460&lt;&gt;"",$I460&lt;&gt;"")),"",IF(ISNUMBER($O460),IF(INDEX('請求台帳'!$C$5:$C$1004,$O460)="","",INDEX('請求台帳'!$C$5:$C$1004,$O460)),IF($C460="","",$C460)))</f>
        <v/>
      </c>
      <c r="Q460" s="35">
        <f>IF(OR(NOT(OR($A460&lt;&gt;"",$E460&lt;&gt;"",$F460&lt;&gt;"",$G460&lt;&gt;"",$H460&lt;&gt;"",$I460&lt;&gt;"")),$P460="",$P460&lt;&gt;'売掛帳'!$B$3,NOT(ISNUMBER($A460)),N($G460)+N($H460)+N($I460)=0),"",IF(AND($A460&gt;='売掛帳'!$Q$3,$A460&lt;='売掛帳'!$Q$4),$A460+0.5+ROW()/10000000,""))</f>
        <v/>
      </c>
      <c r="R460" s="32">
        <f>IF(AND(OR($A460&lt;&gt;"",$E460&lt;&gt;"",$F460&lt;&gt;"",$G460&lt;&gt;"",$H460&lt;&gt;"",$I460&lt;&gt;""),NOT(ISNUMBER($O460))),1,"")</f>
        <v/>
      </c>
    </row>
    <row r="461" ht="18" customHeight="1">
      <c r="A461" s="26" t="n"/>
      <c r="B461" s="18" t="n"/>
      <c r="C461" s="18" t="n"/>
      <c r="D461" s="20">
        <f>IF($P461="","",IFERROR(INDEX('得意先'!$C$5:$C$104,MATCH($P461,'得意先'!$B$5:$B$104,0))&amp;"","※得意先にないコード"))</f>
        <v/>
      </c>
      <c r="E461" s="27" t="n"/>
      <c r="F461" s="18" t="n"/>
      <c r="G461" s="27" t="n"/>
      <c r="H461" s="27" t="n"/>
      <c r="I461" s="27" t="n"/>
      <c r="J461" s="28">
        <f>IF(NOT(OR($A461&lt;&gt;"",$E461&lt;&gt;"",$F461&lt;&gt;"",$G461&lt;&gt;"",$H461&lt;&gt;"",$I461&lt;&gt;"")),"",N($G461)+N($H461)+N($I461))</f>
        <v/>
      </c>
      <c r="K461" s="28">
        <f>IF(ISNUMBER($O461),INDEX('請求台帳'!$R$5:$R$1004,$O461),"")</f>
        <v/>
      </c>
      <c r="L461" s="20">
        <f>IF(NOT(OR($A461&lt;&gt;"",$E461&lt;&gt;"",$F461&lt;&gt;"",$G461&lt;&gt;"",$H461&lt;&gt;"",$I461&lt;&gt;"")),"",IF(NOT(ISNUMBER($A461)),"入金日がありません",IF(AND($F461&lt;&gt;"",$O461="なし"),"請求Noが請求台帳にありません",IF(AND(ISNUMBER($O461),$C461&lt;&gt;"",$C461&lt;&gt;$P461),"請求の得意先は "&amp;$P461&amp;" です",IF(ROUND(IF($B461&lt;&gt;"",SUMIF($B$5:$B$1004,$B461,$E$5:$E$1004)-SUMIF($B$5:$B$1004,$B461,$G$5:$G$1004),N($E461)-N($G461)),0)&lt;&gt;0,"通帳の額と当てた額の差 "&amp;TEXT(IF($B461&lt;&gt;"",SUMIF($B$5:$B$1004,$B461,$E$5:$E$1004)-SUMIF($B$5:$B$1004,$B461,$G$5:$G$1004),N($E461)-N($G461)),"#,##0"),IF(AND(ISNUMBER($O461),N($K461)&lt;0),"請求額より多く消し込んでいます",IF($F461="","消込先が未定","OK")))))))</f>
        <v/>
      </c>
      <c r="M461" s="19" t="n"/>
      <c r="N461" s="56" t="n"/>
      <c r="O461" s="32">
        <f>IF($F461="","",IFERROR(MATCH($F461,'請求台帳'!$A$5:$A$1004,0),"なし"))</f>
        <v/>
      </c>
      <c r="P461" s="37">
        <f>IF(NOT(OR($A461&lt;&gt;"",$E461&lt;&gt;"",$F461&lt;&gt;"",$G461&lt;&gt;"",$H461&lt;&gt;"",$I461&lt;&gt;"")),"",IF(ISNUMBER($O461),IF(INDEX('請求台帳'!$C$5:$C$1004,$O461)="","",INDEX('請求台帳'!$C$5:$C$1004,$O461)),IF($C461="","",$C461)))</f>
        <v/>
      </c>
      <c r="Q461" s="35">
        <f>IF(OR(NOT(OR($A461&lt;&gt;"",$E461&lt;&gt;"",$F461&lt;&gt;"",$G461&lt;&gt;"",$H461&lt;&gt;"",$I461&lt;&gt;"")),$P461="",$P461&lt;&gt;'売掛帳'!$B$3,NOT(ISNUMBER($A461)),N($G461)+N($H461)+N($I461)=0),"",IF(AND($A461&gt;='売掛帳'!$Q$3,$A461&lt;='売掛帳'!$Q$4),$A461+0.5+ROW()/10000000,""))</f>
        <v/>
      </c>
      <c r="R461" s="32">
        <f>IF(AND(OR($A461&lt;&gt;"",$E461&lt;&gt;"",$F461&lt;&gt;"",$G461&lt;&gt;"",$H461&lt;&gt;"",$I461&lt;&gt;""),NOT(ISNUMBER($O461))),1,"")</f>
        <v/>
      </c>
    </row>
    <row r="462" ht="18" customHeight="1">
      <c r="A462" s="26" t="n"/>
      <c r="B462" s="18" t="n"/>
      <c r="C462" s="18" t="n"/>
      <c r="D462" s="20">
        <f>IF($P462="","",IFERROR(INDEX('得意先'!$C$5:$C$104,MATCH($P462,'得意先'!$B$5:$B$104,0))&amp;"","※得意先にないコード"))</f>
        <v/>
      </c>
      <c r="E462" s="27" t="n"/>
      <c r="F462" s="18" t="n"/>
      <c r="G462" s="27" t="n"/>
      <c r="H462" s="27" t="n"/>
      <c r="I462" s="27" t="n"/>
      <c r="J462" s="28">
        <f>IF(NOT(OR($A462&lt;&gt;"",$E462&lt;&gt;"",$F462&lt;&gt;"",$G462&lt;&gt;"",$H462&lt;&gt;"",$I462&lt;&gt;"")),"",N($G462)+N($H462)+N($I462))</f>
        <v/>
      </c>
      <c r="K462" s="28">
        <f>IF(ISNUMBER($O462),INDEX('請求台帳'!$R$5:$R$1004,$O462),"")</f>
        <v/>
      </c>
      <c r="L462" s="20">
        <f>IF(NOT(OR($A462&lt;&gt;"",$E462&lt;&gt;"",$F462&lt;&gt;"",$G462&lt;&gt;"",$H462&lt;&gt;"",$I462&lt;&gt;"")),"",IF(NOT(ISNUMBER($A462)),"入金日がありません",IF(AND($F462&lt;&gt;"",$O462="なし"),"請求Noが請求台帳にありません",IF(AND(ISNUMBER($O462),$C462&lt;&gt;"",$C462&lt;&gt;$P462),"請求の得意先は "&amp;$P462&amp;" です",IF(ROUND(IF($B462&lt;&gt;"",SUMIF($B$5:$B$1004,$B462,$E$5:$E$1004)-SUMIF($B$5:$B$1004,$B462,$G$5:$G$1004),N($E462)-N($G462)),0)&lt;&gt;0,"通帳の額と当てた額の差 "&amp;TEXT(IF($B462&lt;&gt;"",SUMIF($B$5:$B$1004,$B462,$E$5:$E$1004)-SUMIF($B$5:$B$1004,$B462,$G$5:$G$1004),N($E462)-N($G462)),"#,##0"),IF(AND(ISNUMBER($O462),N($K462)&lt;0),"請求額より多く消し込んでいます",IF($F462="","消込先が未定","OK")))))))</f>
        <v/>
      </c>
      <c r="M462" s="19" t="n"/>
      <c r="N462" s="56" t="n"/>
      <c r="O462" s="32">
        <f>IF($F462="","",IFERROR(MATCH($F462,'請求台帳'!$A$5:$A$1004,0),"なし"))</f>
        <v/>
      </c>
      <c r="P462" s="37">
        <f>IF(NOT(OR($A462&lt;&gt;"",$E462&lt;&gt;"",$F462&lt;&gt;"",$G462&lt;&gt;"",$H462&lt;&gt;"",$I462&lt;&gt;"")),"",IF(ISNUMBER($O462),IF(INDEX('請求台帳'!$C$5:$C$1004,$O462)="","",INDEX('請求台帳'!$C$5:$C$1004,$O462)),IF($C462="","",$C462)))</f>
        <v/>
      </c>
      <c r="Q462" s="35">
        <f>IF(OR(NOT(OR($A462&lt;&gt;"",$E462&lt;&gt;"",$F462&lt;&gt;"",$G462&lt;&gt;"",$H462&lt;&gt;"",$I462&lt;&gt;"")),$P462="",$P462&lt;&gt;'売掛帳'!$B$3,NOT(ISNUMBER($A462)),N($G462)+N($H462)+N($I462)=0),"",IF(AND($A462&gt;='売掛帳'!$Q$3,$A462&lt;='売掛帳'!$Q$4),$A462+0.5+ROW()/10000000,""))</f>
        <v/>
      </c>
      <c r="R462" s="32">
        <f>IF(AND(OR($A462&lt;&gt;"",$E462&lt;&gt;"",$F462&lt;&gt;"",$G462&lt;&gt;"",$H462&lt;&gt;"",$I462&lt;&gt;""),NOT(ISNUMBER($O462))),1,"")</f>
        <v/>
      </c>
    </row>
    <row r="463" ht="18" customHeight="1">
      <c r="A463" s="26" t="n"/>
      <c r="B463" s="18" t="n"/>
      <c r="C463" s="18" t="n"/>
      <c r="D463" s="20">
        <f>IF($P463="","",IFERROR(INDEX('得意先'!$C$5:$C$104,MATCH($P463,'得意先'!$B$5:$B$104,0))&amp;"","※得意先にないコード"))</f>
        <v/>
      </c>
      <c r="E463" s="27" t="n"/>
      <c r="F463" s="18" t="n"/>
      <c r="G463" s="27" t="n"/>
      <c r="H463" s="27" t="n"/>
      <c r="I463" s="27" t="n"/>
      <c r="J463" s="28">
        <f>IF(NOT(OR($A463&lt;&gt;"",$E463&lt;&gt;"",$F463&lt;&gt;"",$G463&lt;&gt;"",$H463&lt;&gt;"",$I463&lt;&gt;"")),"",N($G463)+N($H463)+N($I463))</f>
        <v/>
      </c>
      <c r="K463" s="28">
        <f>IF(ISNUMBER($O463),INDEX('請求台帳'!$R$5:$R$1004,$O463),"")</f>
        <v/>
      </c>
      <c r="L463" s="20">
        <f>IF(NOT(OR($A463&lt;&gt;"",$E463&lt;&gt;"",$F463&lt;&gt;"",$G463&lt;&gt;"",$H463&lt;&gt;"",$I463&lt;&gt;"")),"",IF(NOT(ISNUMBER($A463)),"入金日がありません",IF(AND($F463&lt;&gt;"",$O463="なし"),"請求Noが請求台帳にありません",IF(AND(ISNUMBER($O463),$C463&lt;&gt;"",$C463&lt;&gt;$P463),"請求の得意先は "&amp;$P463&amp;" です",IF(ROUND(IF($B463&lt;&gt;"",SUMIF($B$5:$B$1004,$B463,$E$5:$E$1004)-SUMIF($B$5:$B$1004,$B463,$G$5:$G$1004),N($E463)-N($G463)),0)&lt;&gt;0,"通帳の額と当てた額の差 "&amp;TEXT(IF($B463&lt;&gt;"",SUMIF($B$5:$B$1004,$B463,$E$5:$E$1004)-SUMIF($B$5:$B$1004,$B463,$G$5:$G$1004),N($E463)-N($G463)),"#,##0"),IF(AND(ISNUMBER($O463),N($K463)&lt;0),"請求額より多く消し込んでいます",IF($F463="","消込先が未定","OK")))))))</f>
        <v/>
      </c>
      <c r="M463" s="19" t="n"/>
      <c r="N463" s="56" t="n"/>
      <c r="O463" s="32">
        <f>IF($F463="","",IFERROR(MATCH($F463,'請求台帳'!$A$5:$A$1004,0),"なし"))</f>
        <v/>
      </c>
      <c r="P463" s="37">
        <f>IF(NOT(OR($A463&lt;&gt;"",$E463&lt;&gt;"",$F463&lt;&gt;"",$G463&lt;&gt;"",$H463&lt;&gt;"",$I463&lt;&gt;"")),"",IF(ISNUMBER($O463),IF(INDEX('請求台帳'!$C$5:$C$1004,$O463)="","",INDEX('請求台帳'!$C$5:$C$1004,$O463)),IF($C463="","",$C463)))</f>
        <v/>
      </c>
      <c r="Q463" s="35">
        <f>IF(OR(NOT(OR($A463&lt;&gt;"",$E463&lt;&gt;"",$F463&lt;&gt;"",$G463&lt;&gt;"",$H463&lt;&gt;"",$I463&lt;&gt;"")),$P463="",$P463&lt;&gt;'売掛帳'!$B$3,NOT(ISNUMBER($A463)),N($G463)+N($H463)+N($I463)=0),"",IF(AND($A463&gt;='売掛帳'!$Q$3,$A463&lt;='売掛帳'!$Q$4),$A463+0.5+ROW()/10000000,""))</f>
        <v/>
      </c>
      <c r="R463" s="32">
        <f>IF(AND(OR($A463&lt;&gt;"",$E463&lt;&gt;"",$F463&lt;&gt;"",$G463&lt;&gt;"",$H463&lt;&gt;"",$I463&lt;&gt;""),NOT(ISNUMBER($O463))),1,"")</f>
        <v/>
      </c>
    </row>
    <row r="464" ht="18" customHeight="1">
      <c r="A464" s="26" t="n"/>
      <c r="B464" s="18" t="n"/>
      <c r="C464" s="18" t="n"/>
      <c r="D464" s="20">
        <f>IF($P464="","",IFERROR(INDEX('得意先'!$C$5:$C$104,MATCH($P464,'得意先'!$B$5:$B$104,0))&amp;"","※得意先にないコード"))</f>
        <v/>
      </c>
      <c r="E464" s="27" t="n"/>
      <c r="F464" s="18" t="n"/>
      <c r="G464" s="27" t="n"/>
      <c r="H464" s="27" t="n"/>
      <c r="I464" s="27" t="n"/>
      <c r="J464" s="28">
        <f>IF(NOT(OR($A464&lt;&gt;"",$E464&lt;&gt;"",$F464&lt;&gt;"",$G464&lt;&gt;"",$H464&lt;&gt;"",$I464&lt;&gt;"")),"",N($G464)+N($H464)+N($I464))</f>
        <v/>
      </c>
      <c r="K464" s="28">
        <f>IF(ISNUMBER($O464),INDEX('請求台帳'!$R$5:$R$1004,$O464),"")</f>
        <v/>
      </c>
      <c r="L464" s="20">
        <f>IF(NOT(OR($A464&lt;&gt;"",$E464&lt;&gt;"",$F464&lt;&gt;"",$G464&lt;&gt;"",$H464&lt;&gt;"",$I464&lt;&gt;"")),"",IF(NOT(ISNUMBER($A464)),"入金日がありません",IF(AND($F464&lt;&gt;"",$O464="なし"),"請求Noが請求台帳にありません",IF(AND(ISNUMBER($O464),$C464&lt;&gt;"",$C464&lt;&gt;$P464),"請求の得意先は "&amp;$P464&amp;" です",IF(ROUND(IF($B464&lt;&gt;"",SUMIF($B$5:$B$1004,$B464,$E$5:$E$1004)-SUMIF($B$5:$B$1004,$B464,$G$5:$G$1004),N($E464)-N($G464)),0)&lt;&gt;0,"通帳の額と当てた額の差 "&amp;TEXT(IF($B464&lt;&gt;"",SUMIF($B$5:$B$1004,$B464,$E$5:$E$1004)-SUMIF($B$5:$B$1004,$B464,$G$5:$G$1004),N($E464)-N($G464)),"#,##0"),IF(AND(ISNUMBER($O464),N($K464)&lt;0),"請求額より多く消し込んでいます",IF($F464="","消込先が未定","OK")))))))</f>
        <v/>
      </c>
      <c r="M464" s="19" t="n"/>
      <c r="N464" s="56" t="n"/>
      <c r="O464" s="32">
        <f>IF($F464="","",IFERROR(MATCH($F464,'請求台帳'!$A$5:$A$1004,0),"なし"))</f>
        <v/>
      </c>
      <c r="P464" s="37">
        <f>IF(NOT(OR($A464&lt;&gt;"",$E464&lt;&gt;"",$F464&lt;&gt;"",$G464&lt;&gt;"",$H464&lt;&gt;"",$I464&lt;&gt;"")),"",IF(ISNUMBER($O464),IF(INDEX('請求台帳'!$C$5:$C$1004,$O464)="","",INDEX('請求台帳'!$C$5:$C$1004,$O464)),IF($C464="","",$C464)))</f>
        <v/>
      </c>
      <c r="Q464" s="35">
        <f>IF(OR(NOT(OR($A464&lt;&gt;"",$E464&lt;&gt;"",$F464&lt;&gt;"",$G464&lt;&gt;"",$H464&lt;&gt;"",$I464&lt;&gt;"")),$P464="",$P464&lt;&gt;'売掛帳'!$B$3,NOT(ISNUMBER($A464)),N($G464)+N($H464)+N($I464)=0),"",IF(AND($A464&gt;='売掛帳'!$Q$3,$A464&lt;='売掛帳'!$Q$4),$A464+0.5+ROW()/10000000,""))</f>
        <v/>
      </c>
      <c r="R464" s="32">
        <f>IF(AND(OR($A464&lt;&gt;"",$E464&lt;&gt;"",$F464&lt;&gt;"",$G464&lt;&gt;"",$H464&lt;&gt;"",$I464&lt;&gt;""),NOT(ISNUMBER($O464))),1,"")</f>
        <v/>
      </c>
    </row>
    <row r="465" ht="18" customHeight="1">
      <c r="A465" s="26" t="n"/>
      <c r="B465" s="18" t="n"/>
      <c r="C465" s="18" t="n"/>
      <c r="D465" s="20">
        <f>IF($P465="","",IFERROR(INDEX('得意先'!$C$5:$C$104,MATCH($P465,'得意先'!$B$5:$B$104,0))&amp;"","※得意先にないコード"))</f>
        <v/>
      </c>
      <c r="E465" s="27" t="n"/>
      <c r="F465" s="18" t="n"/>
      <c r="G465" s="27" t="n"/>
      <c r="H465" s="27" t="n"/>
      <c r="I465" s="27" t="n"/>
      <c r="J465" s="28">
        <f>IF(NOT(OR($A465&lt;&gt;"",$E465&lt;&gt;"",$F465&lt;&gt;"",$G465&lt;&gt;"",$H465&lt;&gt;"",$I465&lt;&gt;"")),"",N($G465)+N($H465)+N($I465))</f>
        <v/>
      </c>
      <c r="K465" s="28">
        <f>IF(ISNUMBER($O465),INDEX('請求台帳'!$R$5:$R$1004,$O465),"")</f>
        <v/>
      </c>
      <c r="L465" s="20">
        <f>IF(NOT(OR($A465&lt;&gt;"",$E465&lt;&gt;"",$F465&lt;&gt;"",$G465&lt;&gt;"",$H465&lt;&gt;"",$I465&lt;&gt;"")),"",IF(NOT(ISNUMBER($A465)),"入金日がありません",IF(AND($F465&lt;&gt;"",$O465="なし"),"請求Noが請求台帳にありません",IF(AND(ISNUMBER($O465),$C465&lt;&gt;"",$C465&lt;&gt;$P465),"請求の得意先は "&amp;$P465&amp;" です",IF(ROUND(IF($B465&lt;&gt;"",SUMIF($B$5:$B$1004,$B465,$E$5:$E$1004)-SUMIF($B$5:$B$1004,$B465,$G$5:$G$1004),N($E465)-N($G465)),0)&lt;&gt;0,"通帳の額と当てた額の差 "&amp;TEXT(IF($B465&lt;&gt;"",SUMIF($B$5:$B$1004,$B465,$E$5:$E$1004)-SUMIF($B$5:$B$1004,$B465,$G$5:$G$1004),N($E465)-N($G465)),"#,##0"),IF(AND(ISNUMBER($O465),N($K465)&lt;0),"請求額より多く消し込んでいます",IF($F465="","消込先が未定","OK")))))))</f>
        <v/>
      </c>
      <c r="M465" s="19" t="n"/>
      <c r="N465" s="56" t="n"/>
      <c r="O465" s="32">
        <f>IF($F465="","",IFERROR(MATCH($F465,'請求台帳'!$A$5:$A$1004,0),"なし"))</f>
        <v/>
      </c>
      <c r="P465" s="37">
        <f>IF(NOT(OR($A465&lt;&gt;"",$E465&lt;&gt;"",$F465&lt;&gt;"",$G465&lt;&gt;"",$H465&lt;&gt;"",$I465&lt;&gt;"")),"",IF(ISNUMBER($O465),IF(INDEX('請求台帳'!$C$5:$C$1004,$O465)="","",INDEX('請求台帳'!$C$5:$C$1004,$O465)),IF($C465="","",$C465)))</f>
        <v/>
      </c>
      <c r="Q465" s="35">
        <f>IF(OR(NOT(OR($A465&lt;&gt;"",$E465&lt;&gt;"",$F465&lt;&gt;"",$G465&lt;&gt;"",$H465&lt;&gt;"",$I465&lt;&gt;"")),$P465="",$P465&lt;&gt;'売掛帳'!$B$3,NOT(ISNUMBER($A465)),N($G465)+N($H465)+N($I465)=0),"",IF(AND($A465&gt;='売掛帳'!$Q$3,$A465&lt;='売掛帳'!$Q$4),$A465+0.5+ROW()/10000000,""))</f>
        <v/>
      </c>
      <c r="R465" s="32">
        <f>IF(AND(OR($A465&lt;&gt;"",$E465&lt;&gt;"",$F465&lt;&gt;"",$G465&lt;&gt;"",$H465&lt;&gt;"",$I465&lt;&gt;""),NOT(ISNUMBER($O465))),1,"")</f>
        <v/>
      </c>
    </row>
    <row r="466" ht="18" customHeight="1">
      <c r="A466" s="26" t="n"/>
      <c r="B466" s="18" t="n"/>
      <c r="C466" s="18" t="n"/>
      <c r="D466" s="20">
        <f>IF($P466="","",IFERROR(INDEX('得意先'!$C$5:$C$104,MATCH($P466,'得意先'!$B$5:$B$104,0))&amp;"","※得意先にないコード"))</f>
        <v/>
      </c>
      <c r="E466" s="27" t="n"/>
      <c r="F466" s="18" t="n"/>
      <c r="G466" s="27" t="n"/>
      <c r="H466" s="27" t="n"/>
      <c r="I466" s="27" t="n"/>
      <c r="J466" s="28">
        <f>IF(NOT(OR($A466&lt;&gt;"",$E466&lt;&gt;"",$F466&lt;&gt;"",$G466&lt;&gt;"",$H466&lt;&gt;"",$I466&lt;&gt;"")),"",N($G466)+N($H466)+N($I466))</f>
        <v/>
      </c>
      <c r="K466" s="28">
        <f>IF(ISNUMBER($O466),INDEX('請求台帳'!$R$5:$R$1004,$O466),"")</f>
        <v/>
      </c>
      <c r="L466" s="20">
        <f>IF(NOT(OR($A466&lt;&gt;"",$E466&lt;&gt;"",$F466&lt;&gt;"",$G466&lt;&gt;"",$H466&lt;&gt;"",$I466&lt;&gt;"")),"",IF(NOT(ISNUMBER($A466)),"入金日がありません",IF(AND($F466&lt;&gt;"",$O466="なし"),"請求Noが請求台帳にありません",IF(AND(ISNUMBER($O466),$C466&lt;&gt;"",$C466&lt;&gt;$P466),"請求の得意先は "&amp;$P466&amp;" です",IF(ROUND(IF($B466&lt;&gt;"",SUMIF($B$5:$B$1004,$B466,$E$5:$E$1004)-SUMIF($B$5:$B$1004,$B466,$G$5:$G$1004),N($E466)-N($G466)),0)&lt;&gt;0,"通帳の額と当てた額の差 "&amp;TEXT(IF($B466&lt;&gt;"",SUMIF($B$5:$B$1004,$B466,$E$5:$E$1004)-SUMIF($B$5:$B$1004,$B466,$G$5:$G$1004),N($E466)-N($G466)),"#,##0"),IF(AND(ISNUMBER($O466),N($K466)&lt;0),"請求額より多く消し込んでいます",IF($F466="","消込先が未定","OK")))))))</f>
        <v/>
      </c>
      <c r="M466" s="19" t="n"/>
      <c r="N466" s="56" t="n"/>
      <c r="O466" s="32">
        <f>IF($F466="","",IFERROR(MATCH($F466,'請求台帳'!$A$5:$A$1004,0),"なし"))</f>
        <v/>
      </c>
      <c r="P466" s="37">
        <f>IF(NOT(OR($A466&lt;&gt;"",$E466&lt;&gt;"",$F466&lt;&gt;"",$G466&lt;&gt;"",$H466&lt;&gt;"",$I466&lt;&gt;"")),"",IF(ISNUMBER($O466),IF(INDEX('請求台帳'!$C$5:$C$1004,$O466)="","",INDEX('請求台帳'!$C$5:$C$1004,$O466)),IF($C466="","",$C466)))</f>
        <v/>
      </c>
      <c r="Q466" s="35">
        <f>IF(OR(NOT(OR($A466&lt;&gt;"",$E466&lt;&gt;"",$F466&lt;&gt;"",$G466&lt;&gt;"",$H466&lt;&gt;"",$I466&lt;&gt;"")),$P466="",$P466&lt;&gt;'売掛帳'!$B$3,NOT(ISNUMBER($A466)),N($G466)+N($H466)+N($I466)=0),"",IF(AND($A466&gt;='売掛帳'!$Q$3,$A466&lt;='売掛帳'!$Q$4),$A466+0.5+ROW()/10000000,""))</f>
        <v/>
      </c>
      <c r="R466" s="32">
        <f>IF(AND(OR($A466&lt;&gt;"",$E466&lt;&gt;"",$F466&lt;&gt;"",$G466&lt;&gt;"",$H466&lt;&gt;"",$I466&lt;&gt;""),NOT(ISNUMBER($O466))),1,"")</f>
        <v/>
      </c>
    </row>
    <row r="467" ht="18" customHeight="1">
      <c r="A467" s="26" t="n"/>
      <c r="B467" s="18" t="n"/>
      <c r="C467" s="18" t="n"/>
      <c r="D467" s="20">
        <f>IF($P467="","",IFERROR(INDEX('得意先'!$C$5:$C$104,MATCH($P467,'得意先'!$B$5:$B$104,0))&amp;"","※得意先にないコード"))</f>
        <v/>
      </c>
      <c r="E467" s="27" t="n"/>
      <c r="F467" s="18" t="n"/>
      <c r="G467" s="27" t="n"/>
      <c r="H467" s="27" t="n"/>
      <c r="I467" s="27" t="n"/>
      <c r="J467" s="28">
        <f>IF(NOT(OR($A467&lt;&gt;"",$E467&lt;&gt;"",$F467&lt;&gt;"",$G467&lt;&gt;"",$H467&lt;&gt;"",$I467&lt;&gt;"")),"",N($G467)+N($H467)+N($I467))</f>
        <v/>
      </c>
      <c r="K467" s="28">
        <f>IF(ISNUMBER($O467),INDEX('請求台帳'!$R$5:$R$1004,$O467),"")</f>
        <v/>
      </c>
      <c r="L467" s="20">
        <f>IF(NOT(OR($A467&lt;&gt;"",$E467&lt;&gt;"",$F467&lt;&gt;"",$G467&lt;&gt;"",$H467&lt;&gt;"",$I467&lt;&gt;"")),"",IF(NOT(ISNUMBER($A467)),"入金日がありません",IF(AND($F467&lt;&gt;"",$O467="なし"),"請求Noが請求台帳にありません",IF(AND(ISNUMBER($O467),$C467&lt;&gt;"",$C467&lt;&gt;$P467),"請求の得意先は "&amp;$P467&amp;" です",IF(ROUND(IF($B467&lt;&gt;"",SUMIF($B$5:$B$1004,$B467,$E$5:$E$1004)-SUMIF($B$5:$B$1004,$B467,$G$5:$G$1004),N($E467)-N($G467)),0)&lt;&gt;0,"通帳の額と当てた額の差 "&amp;TEXT(IF($B467&lt;&gt;"",SUMIF($B$5:$B$1004,$B467,$E$5:$E$1004)-SUMIF($B$5:$B$1004,$B467,$G$5:$G$1004),N($E467)-N($G467)),"#,##0"),IF(AND(ISNUMBER($O467),N($K467)&lt;0),"請求額より多く消し込んでいます",IF($F467="","消込先が未定","OK")))))))</f>
        <v/>
      </c>
      <c r="M467" s="19" t="n"/>
      <c r="N467" s="56" t="n"/>
      <c r="O467" s="32">
        <f>IF($F467="","",IFERROR(MATCH($F467,'請求台帳'!$A$5:$A$1004,0),"なし"))</f>
        <v/>
      </c>
      <c r="P467" s="37">
        <f>IF(NOT(OR($A467&lt;&gt;"",$E467&lt;&gt;"",$F467&lt;&gt;"",$G467&lt;&gt;"",$H467&lt;&gt;"",$I467&lt;&gt;"")),"",IF(ISNUMBER($O467),IF(INDEX('請求台帳'!$C$5:$C$1004,$O467)="","",INDEX('請求台帳'!$C$5:$C$1004,$O467)),IF($C467="","",$C467)))</f>
        <v/>
      </c>
      <c r="Q467" s="35">
        <f>IF(OR(NOT(OR($A467&lt;&gt;"",$E467&lt;&gt;"",$F467&lt;&gt;"",$G467&lt;&gt;"",$H467&lt;&gt;"",$I467&lt;&gt;"")),$P467="",$P467&lt;&gt;'売掛帳'!$B$3,NOT(ISNUMBER($A467)),N($G467)+N($H467)+N($I467)=0),"",IF(AND($A467&gt;='売掛帳'!$Q$3,$A467&lt;='売掛帳'!$Q$4),$A467+0.5+ROW()/10000000,""))</f>
        <v/>
      </c>
      <c r="R467" s="32">
        <f>IF(AND(OR($A467&lt;&gt;"",$E467&lt;&gt;"",$F467&lt;&gt;"",$G467&lt;&gt;"",$H467&lt;&gt;"",$I467&lt;&gt;""),NOT(ISNUMBER($O467))),1,"")</f>
        <v/>
      </c>
    </row>
    <row r="468" ht="18" customHeight="1">
      <c r="A468" s="26" t="n"/>
      <c r="B468" s="18" t="n"/>
      <c r="C468" s="18" t="n"/>
      <c r="D468" s="20">
        <f>IF($P468="","",IFERROR(INDEX('得意先'!$C$5:$C$104,MATCH($P468,'得意先'!$B$5:$B$104,0))&amp;"","※得意先にないコード"))</f>
        <v/>
      </c>
      <c r="E468" s="27" t="n"/>
      <c r="F468" s="18" t="n"/>
      <c r="G468" s="27" t="n"/>
      <c r="H468" s="27" t="n"/>
      <c r="I468" s="27" t="n"/>
      <c r="J468" s="28">
        <f>IF(NOT(OR($A468&lt;&gt;"",$E468&lt;&gt;"",$F468&lt;&gt;"",$G468&lt;&gt;"",$H468&lt;&gt;"",$I468&lt;&gt;"")),"",N($G468)+N($H468)+N($I468))</f>
        <v/>
      </c>
      <c r="K468" s="28">
        <f>IF(ISNUMBER($O468),INDEX('請求台帳'!$R$5:$R$1004,$O468),"")</f>
        <v/>
      </c>
      <c r="L468" s="20">
        <f>IF(NOT(OR($A468&lt;&gt;"",$E468&lt;&gt;"",$F468&lt;&gt;"",$G468&lt;&gt;"",$H468&lt;&gt;"",$I468&lt;&gt;"")),"",IF(NOT(ISNUMBER($A468)),"入金日がありません",IF(AND($F468&lt;&gt;"",$O468="なし"),"請求Noが請求台帳にありません",IF(AND(ISNUMBER($O468),$C468&lt;&gt;"",$C468&lt;&gt;$P468),"請求の得意先は "&amp;$P468&amp;" です",IF(ROUND(IF($B468&lt;&gt;"",SUMIF($B$5:$B$1004,$B468,$E$5:$E$1004)-SUMIF($B$5:$B$1004,$B468,$G$5:$G$1004),N($E468)-N($G468)),0)&lt;&gt;0,"通帳の額と当てた額の差 "&amp;TEXT(IF($B468&lt;&gt;"",SUMIF($B$5:$B$1004,$B468,$E$5:$E$1004)-SUMIF($B$5:$B$1004,$B468,$G$5:$G$1004),N($E468)-N($G468)),"#,##0"),IF(AND(ISNUMBER($O468),N($K468)&lt;0),"請求額より多く消し込んでいます",IF($F468="","消込先が未定","OK")))))))</f>
        <v/>
      </c>
      <c r="M468" s="19" t="n"/>
      <c r="N468" s="56" t="n"/>
      <c r="O468" s="32">
        <f>IF($F468="","",IFERROR(MATCH($F468,'請求台帳'!$A$5:$A$1004,0),"なし"))</f>
        <v/>
      </c>
      <c r="P468" s="37">
        <f>IF(NOT(OR($A468&lt;&gt;"",$E468&lt;&gt;"",$F468&lt;&gt;"",$G468&lt;&gt;"",$H468&lt;&gt;"",$I468&lt;&gt;"")),"",IF(ISNUMBER($O468),IF(INDEX('請求台帳'!$C$5:$C$1004,$O468)="","",INDEX('請求台帳'!$C$5:$C$1004,$O468)),IF($C468="","",$C468)))</f>
        <v/>
      </c>
      <c r="Q468" s="35">
        <f>IF(OR(NOT(OR($A468&lt;&gt;"",$E468&lt;&gt;"",$F468&lt;&gt;"",$G468&lt;&gt;"",$H468&lt;&gt;"",$I468&lt;&gt;"")),$P468="",$P468&lt;&gt;'売掛帳'!$B$3,NOT(ISNUMBER($A468)),N($G468)+N($H468)+N($I468)=0),"",IF(AND($A468&gt;='売掛帳'!$Q$3,$A468&lt;='売掛帳'!$Q$4),$A468+0.5+ROW()/10000000,""))</f>
        <v/>
      </c>
      <c r="R468" s="32">
        <f>IF(AND(OR($A468&lt;&gt;"",$E468&lt;&gt;"",$F468&lt;&gt;"",$G468&lt;&gt;"",$H468&lt;&gt;"",$I468&lt;&gt;""),NOT(ISNUMBER($O468))),1,"")</f>
        <v/>
      </c>
    </row>
    <row r="469" ht="18" customHeight="1">
      <c r="A469" s="26" t="n"/>
      <c r="B469" s="18" t="n"/>
      <c r="C469" s="18" t="n"/>
      <c r="D469" s="20">
        <f>IF($P469="","",IFERROR(INDEX('得意先'!$C$5:$C$104,MATCH($P469,'得意先'!$B$5:$B$104,0))&amp;"","※得意先にないコード"))</f>
        <v/>
      </c>
      <c r="E469" s="27" t="n"/>
      <c r="F469" s="18" t="n"/>
      <c r="G469" s="27" t="n"/>
      <c r="H469" s="27" t="n"/>
      <c r="I469" s="27" t="n"/>
      <c r="J469" s="28">
        <f>IF(NOT(OR($A469&lt;&gt;"",$E469&lt;&gt;"",$F469&lt;&gt;"",$G469&lt;&gt;"",$H469&lt;&gt;"",$I469&lt;&gt;"")),"",N($G469)+N($H469)+N($I469))</f>
        <v/>
      </c>
      <c r="K469" s="28">
        <f>IF(ISNUMBER($O469),INDEX('請求台帳'!$R$5:$R$1004,$O469),"")</f>
        <v/>
      </c>
      <c r="L469" s="20">
        <f>IF(NOT(OR($A469&lt;&gt;"",$E469&lt;&gt;"",$F469&lt;&gt;"",$G469&lt;&gt;"",$H469&lt;&gt;"",$I469&lt;&gt;"")),"",IF(NOT(ISNUMBER($A469)),"入金日がありません",IF(AND($F469&lt;&gt;"",$O469="なし"),"請求Noが請求台帳にありません",IF(AND(ISNUMBER($O469),$C469&lt;&gt;"",$C469&lt;&gt;$P469),"請求の得意先は "&amp;$P469&amp;" です",IF(ROUND(IF($B469&lt;&gt;"",SUMIF($B$5:$B$1004,$B469,$E$5:$E$1004)-SUMIF($B$5:$B$1004,$B469,$G$5:$G$1004),N($E469)-N($G469)),0)&lt;&gt;0,"通帳の額と当てた額の差 "&amp;TEXT(IF($B469&lt;&gt;"",SUMIF($B$5:$B$1004,$B469,$E$5:$E$1004)-SUMIF($B$5:$B$1004,$B469,$G$5:$G$1004),N($E469)-N($G469)),"#,##0"),IF(AND(ISNUMBER($O469),N($K469)&lt;0),"請求額より多く消し込んでいます",IF($F469="","消込先が未定","OK")))))))</f>
        <v/>
      </c>
      <c r="M469" s="19" t="n"/>
      <c r="N469" s="56" t="n"/>
      <c r="O469" s="32">
        <f>IF($F469="","",IFERROR(MATCH($F469,'請求台帳'!$A$5:$A$1004,0),"なし"))</f>
        <v/>
      </c>
      <c r="P469" s="37">
        <f>IF(NOT(OR($A469&lt;&gt;"",$E469&lt;&gt;"",$F469&lt;&gt;"",$G469&lt;&gt;"",$H469&lt;&gt;"",$I469&lt;&gt;"")),"",IF(ISNUMBER($O469),IF(INDEX('請求台帳'!$C$5:$C$1004,$O469)="","",INDEX('請求台帳'!$C$5:$C$1004,$O469)),IF($C469="","",$C469)))</f>
        <v/>
      </c>
      <c r="Q469" s="35">
        <f>IF(OR(NOT(OR($A469&lt;&gt;"",$E469&lt;&gt;"",$F469&lt;&gt;"",$G469&lt;&gt;"",$H469&lt;&gt;"",$I469&lt;&gt;"")),$P469="",$P469&lt;&gt;'売掛帳'!$B$3,NOT(ISNUMBER($A469)),N($G469)+N($H469)+N($I469)=0),"",IF(AND($A469&gt;='売掛帳'!$Q$3,$A469&lt;='売掛帳'!$Q$4),$A469+0.5+ROW()/10000000,""))</f>
        <v/>
      </c>
      <c r="R469" s="32">
        <f>IF(AND(OR($A469&lt;&gt;"",$E469&lt;&gt;"",$F469&lt;&gt;"",$G469&lt;&gt;"",$H469&lt;&gt;"",$I469&lt;&gt;""),NOT(ISNUMBER($O469))),1,"")</f>
        <v/>
      </c>
    </row>
    <row r="470" ht="18" customHeight="1">
      <c r="A470" s="26" t="n"/>
      <c r="B470" s="18" t="n"/>
      <c r="C470" s="18" t="n"/>
      <c r="D470" s="20">
        <f>IF($P470="","",IFERROR(INDEX('得意先'!$C$5:$C$104,MATCH($P470,'得意先'!$B$5:$B$104,0))&amp;"","※得意先にないコード"))</f>
        <v/>
      </c>
      <c r="E470" s="27" t="n"/>
      <c r="F470" s="18" t="n"/>
      <c r="G470" s="27" t="n"/>
      <c r="H470" s="27" t="n"/>
      <c r="I470" s="27" t="n"/>
      <c r="J470" s="28">
        <f>IF(NOT(OR($A470&lt;&gt;"",$E470&lt;&gt;"",$F470&lt;&gt;"",$G470&lt;&gt;"",$H470&lt;&gt;"",$I470&lt;&gt;"")),"",N($G470)+N($H470)+N($I470))</f>
        <v/>
      </c>
      <c r="K470" s="28">
        <f>IF(ISNUMBER($O470),INDEX('請求台帳'!$R$5:$R$1004,$O470),"")</f>
        <v/>
      </c>
      <c r="L470" s="20">
        <f>IF(NOT(OR($A470&lt;&gt;"",$E470&lt;&gt;"",$F470&lt;&gt;"",$G470&lt;&gt;"",$H470&lt;&gt;"",$I470&lt;&gt;"")),"",IF(NOT(ISNUMBER($A470)),"入金日がありません",IF(AND($F470&lt;&gt;"",$O470="なし"),"請求Noが請求台帳にありません",IF(AND(ISNUMBER($O470),$C470&lt;&gt;"",$C470&lt;&gt;$P470),"請求の得意先は "&amp;$P470&amp;" です",IF(ROUND(IF($B470&lt;&gt;"",SUMIF($B$5:$B$1004,$B470,$E$5:$E$1004)-SUMIF($B$5:$B$1004,$B470,$G$5:$G$1004),N($E470)-N($G470)),0)&lt;&gt;0,"通帳の額と当てた額の差 "&amp;TEXT(IF($B470&lt;&gt;"",SUMIF($B$5:$B$1004,$B470,$E$5:$E$1004)-SUMIF($B$5:$B$1004,$B470,$G$5:$G$1004),N($E470)-N($G470)),"#,##0"),IF(AND(ISNUMBER($O470),N($K470)&lt;0),"請求額より多く消し込んでいます",IF($F470="","消込先が未定","OK")))))))</f>
        <v/>
      </c>
      <c r="M470" s="19" t="n"/>
      <c r="N470" s="56" t="n"/>
      <c r="O470" s="32">
        <f>IF($F470="","",IFERROR(MATCH($F470,'請求台帳'!$A$5:$A$1004,0),"なし"))</f>
        <v/>
      </c>
      <c r="P470" s="37">
        <f>IF(NOT(OR($A470&lt;&gt;"",$E470&lt;&gt;"",$F470&lt;&gt;"",$G470&lt;&gt;"",$H470&lt;&gt;"",$I470&lt;&gt;"")),"",IF(ISNUMBER($O470),IF(INDEX('請求台帳'!$C$5:$C$1004,$O470)="","",INDEX('請求台帳'!$C$5:$C$1004,$O470)),IF($C470="","",$C470)))</f>
        <v/>
      </c>
      <c r="Q470" s="35">
        <f>IF(OR(NOT(OR($A470&lt;&gt;"",$E470&lt;&gt;"",$F470&lt;&gt;"",$G470&lt;&gt;"",$H470&lt;&gt;"",$I470&lt;&gt;"")),$P470="",$P470&lt;&gt;'売掛帳'!$B$3,NOT(ISNUMBER($A470)),N($G470)+N($H470)+N($I470)=0),"",IF(AND($A470&gt;='売掛帳'!$Q$3,$A470&lt;='売掛帳'!$Q$4),$A470+0.5+ROW()/10000000,""))</f>
        <v/>
      </c>
      <c r="R470" s="32">
        <f>IF(AND(OR($A470&lt;&gt;"",$E470&lt;&gt;"",$F470&lt;&gt;"",$G470&lt;&gt;"",$H470&lt;&gt;"",$I470&lt;&gt;""),NOT(ISNUMBER($O470))),1,"")</f>
        <v/>
      </c>
    </row>
    <row r="471" ht="18" customHeight="1">
      <c r="A471" s="26" t="n"/>
      <c r="B471" s="18" t="n"/>
      <c r="C471" s="18" t="n"/>
      <c r="D471" s="20">
        <f>IF($P471="","",IFERROR(INDEX('得意先'!$C$5:$C$104,MATCH($P471,'得意先'!$B$5:$B$104,0))&amp;"","※得意先にないコード"))</f>
        <v/>
      </c>
      <c r="E471" s="27" t="n"/>
      <c r="F471" s="18" t="n"/>
      <c r="G471" s="27" t="n"/>
      <c r="H471" s="27" t="n"/>
      <c r="I471" s="27" t="n"/>
      <c r="J471" s="28">
        <f>IF(NOT(OR($A471&lt;&gt;"",$E471&lt;&gt;"",$F471&lt;&gt;"",$G471&lt;&gt;"",$H471&lt;&gt;"",$I471&lt;&gt;"")),"",N($G471)+N($H471)+N($I471))</f>
        <v/>
      </c>
      <c r="K471" s="28">
        <f>IF(ISNUMBER($O471),INDEX('請求台帳'!$R$5:$R$1004,$O471),"")</f>
        <v/>
      </c>
      <c r="L471" s="20">
        <f>IF(NOT(OR($A471&lt;&gt;"",$E471&lt;&gt;"",$F471&lt;&gt;"",$G471&lt;&gt;"",$H471&lt;&gt;"",$I471&lt;&gt;"")),"",IF(NOT(ISNUMBER($A471)),"入金日がありません",IF(AND($F471&lt;&gt;"",$O471="なし"),"請求Noが請求台帳にありません",IF(AND(ISNUMBER($O471),$C471&lt;&gt;"",$C471&lt;&gt;$P471),"請求の得意先は "&amp;$P471&amp;" です",IF(ROUND(IF($B471&lt;&gt;"",SUMIF($B$5:$B$1004,$B471,$E$5:$E$1004)-SUMIF($B$5:$B$1004,$B471,$G$5:$G$1004),N($E471)-N($G471)),0)&lt;&gt;0,"通帳の額と当てた額の差 "&amp;TEXT(IF($B471&lt;&gt;"",SUMIF($B$5:$B$1004,$B471,$E$5:$E$1004)-SUMIF($B$5:$B$1004,$B471,$G$5:$G$1004),N($E471)-N($G471)),"#,##0"),IF(AND(ISNUMBER($O471),N($K471)&lt;0),"請求額より多く消し込んでいます",IF($F471="","消込先が未定","OK")))))))</f>
        <v/>
      </c>
      <c r="M471" s="19" t="n"/>
      <c r="N471" s="56" t="n"/>
      <c r="O471" s="32">
        <f>IF($F471="","",IFERROR(MATCH($F471,'請求台帳'!$A$5:$A$1004,0),"なし"))</f>
        <v/>
      </c>
      <c r="P471" s="37">
        <f>IF(NOT(OR($A471&lt;&gt;"",$E471&lt;&gt;"",$F471&lt;&gt;"",$G471&lt;&gt;"",$H471&lt;&gt;"",$I471&lt;&gt;"")),"",IF(ISNUMBER($O471),IF(INDEX('請求台帳'!$C$5:$C$1004,$O471)="","",INDEX('請求台帳'!$C$5:$C$1004,$O471)),IF($C471="","",$C471)))</f>
        <v/>
      </c>
      <c r="Q471" s="35">
        <f>IF(OR(NOT(OR($A471&lt;&gt;"",$E471&lt;&gt;"",$F471&lt;&gt;"",$G471&lt;&gt;"",$H471&lt;&gt;"",$I471&lt;&gt;"")),$P471="",$P471&lt;&gt;'売掛帳'!$B$3,NOT(ISNUMBER($A471)),N($G471)+N($H471)+N($I471)=0),"",IF(AND($A471&gt;='売掛帳'!$Q$3,$A471&lt;='売掛帳'!$Q$4),$A471+0.5+ROW()/10000000,""))</f>
        <v/>
      </c>
      <c r="R471" s="32">
        <f>IF(AND(OR($A471&lt;&gt;"",$E471&lt;&gt;"",$F471&lt;&gt;"",$G471&lt;&gt;"",$H471&lt;&gt;"",$I471&lt;&gt;""),NOT(ISNUMBER($O471))),1,"")</f>
        <v/>
      </c>
    </row>
    <row r="472" ht="18" customHeight="1">
      <c r="A472" s="26" t="n"/>
      <c r="B472" s="18" t="n"/>
      <c r="C472" s="18" t="n"/>
      <c r="D472" s="20">
        <f>IF($P472="","",IFERROR(INDEX('得意先'!$C$5:$C$104,MATCH($P472,'得意先'!$B$5:$B$104,0))&amp;"","※得意先にないコード"))</f>
        <v/>
      </c>
      <c r="E472" s="27" t="n"/>
      <c r="F472" s="18" t="n"/>
      <c r="G472" s="27" t="n"/>
      <c r="H472" s="27" t="n"/>
      <c r="I472" s="27" t="n"/>
      <c r="J472" s="28">
        <f>IF(NOT(OR($A472&lt;&gt;"",$E472&lt;&gt;"",$F472&lt;&gt;"",$G472&lt;&gt;"",$H472&lt;&gt;"",$I472&lt;&gt;"")),"",N($G472)+N($H472)+N($I472))</f>
        <v/>
      </c>
      <c r="K472" s="28">
        <f>IF(ISNUMBER($O472),INDEX('請求台帳'!$R$5:$R$1004,$O472),"")</f>
        <v/>
      </c>
      <c r="L472" s="20">
        <f>IF(NOT(OR($A472&lt;&gt;"",$E472&lt;&gt;"",$F472&lt;&gt;"",$G472&lt;&gt;"",$H472&lt;&gt;"",$I472&lt;&gt;"")),"",IF(NOT(ISNUMBER($A472)),"入金日がありません",IF(AND($F472&lt;&gt;"",$O472="なし"),"請求Noが請求台帳にありません",IF(AND(ISNUMBER($O472),$C472&lt;&gt;"",$C472&lt;&gt;$P472),"請求の得意先は "&amp;$P472&amp;" です",IF(ROUND(IF($B472&lt;&gt;"",SUMIF($B$5:$B$1004,$B472,$E$5:$E$1004)-SUMIF($B$5:$B$1004,$B472,$G$5:$G$1004),N($E472)-N($G472)),0)&lt;&gt;0,"通帳の額と当てた額の差 "&amp;TEXT(IF($B472&lt;&gt;"",SUMIF($B$5:$B$1004,$B472,$E$5:$E$1004)-SUMIF($B$5:$B$1004,$B472,$G$5:$G$1004),N($E472)-N($G472)),"#,##0"),IF(AND(ISNUMBER($O472),N($K472)&lt;0),"請求額より多く消し込んでいます",IF($F472="","消込先が未定","OK")))))))</f>
        <v/>
      </c>
      <c r="M472" s="19" t="n"/>
      <c r="N472" s="56" t="n"/>
      <c r="O472" s="32">
        <f>IF($F472="","",IFERROR(MATCH($F472,'請求台帳'!$A$5:$A$1004,0),"なし"))</f>
        <v/>
      </c>
      <c r="P472" s="37">
        <f>IF(NOT(OR($A472&lt;&gt;"",$E472&lt;&gt;"",$F472&lt;&gt;"",$G472&lt;&gt;"",$H472&lt;&gt;"",$I472&lt;&gt;"")),"",IF(ISNUMBER($O472),IF(INDEX('請求台帳'!$C$5:$C$1004,$O472)="","",INDEX('請求台帳'!$C$5:$C$1004,$O472)),IF($C472="","",$C472)))</f>
        <v/>
      </c>
      <c r="Q472" s="35">
        <f>IF(OR(NOT(OR($A472&lt;&gt;"",$E472&lt;&gt;"",$F472&lt;&gt;"",$G472&lt;&gt;"",$H472&lt;&gt;"",$I472&lt;&gt;"")),$P472="",$P472&lt;&gt;'売掛帳'!$B$3,NOT(ISNUMBER($A472)),N($G472)+N($H472)+N($I472)=0),"",IF(AND($A472&gt;='売掛帳'!$Q$3,$A472&lt;='売掛帳'!$Q$4),$A472+0.5+ROW()/10000000,""))</f>
        <v/>
      </c>
      <c r="R472" s="32">
        <f>IF(AND(OR($A472&lt;&gt;"",$E472&lt;&gt;"",$F472&lt;&gt;"",$G472&lt;&gt;"",$H472&lt;&gt;"",$I472&lt;&gt;""),NOT(ISNUMBER($O472))),1,"")</f>
        <v/>
      </c>
    </row>
    <row r="473" ht="18" customHeight="1">
      <c r="A473" s="26" t="n"/>
      <c r="B473" s="18" t="n"/>
      <c r="C473" s="18" t="n"/>
      <c r="D473" s="20">
        <f>IF($P473="","",IFERROR(INDEX('得意先'!$C$5:$C$104,MATCH($P473,'得意先'!$B$5:$B$104,0))&amp;"","※得意先にないコード"))</f>
        <v/>
      </c>
      <c r="E473" s="27" t="n"/>
      <c r="F473" s="18" t="n"/>
      <c r="G473" s="27" t="n"/>
      <c r="H473" s="27" t="n"/>
      <c r="I473" s="27" t="n"/>
      <c r="J473" s="28">
        <f>IF(NOT(OR($A473&lt;&gt;"",$E473&lt;&gt;"",$F473&lt;&gt;"",$G473&lt;&gt;"",$H473&lt;&gt;"",$I473&lt;&gt;"")),"",N($G473)+N($H473)+N($I473))</f>
        <v/>
      </c>
      <c r="K473" s="28">
        <f>IF(ISNUMBER($O473),INDEX('請求台帳'!$R$5:$R$1004,$O473),"")</f>
        <v/>
      </c>
      <c r="L473" s="20">
        <f>IF(NOT(OR($A473&lt;&gt;"",$E473&lt;&gt;"",$F473&lt;&gt;"",$G473&lt;&gt;"",$H473&lt;&gt;"",$I473&lt;&gt;"")),"",IF(NOT(ISNUMBER($A473)),"入金日がありません",IF(AND($F473&lt;&gt;"",$O473="なし"),"請求Noが請求台帳にありません",IF(AND(ISNUMBER($O473),$C473&lt;&gt;"",$C473&lt;&gt;$P473),"請求の得意先は "&amp;$P473&amp;" です",IF(ROUND(IF($B473&lt;&gt;"",SUMIF($B$5:$B$1004,$B473,$E$5:$E$1004)-SUMIF($B$5:$B$1004,$B473,$G$5:$G$1004),N($E473)-N($G473)),0)&lt;&gt;0,"通帳の額と当てた額の差 "&amp;TEXT(IF($B473&lt;&gt;"",SUMIF($B$5:$B$1004,$B473,$E$5:$E$1004)-SUMIF($B$5:$B$1004,$B473,$G$5:$G$1004),N($E473)-N($G473)),"#,##0"),IF(AND(ISNUMBER($O473),N($K473)&lt;0),"請求額より多く消し込んでいます",IF($F473="","消込先が未定","OK")))))))</f>
        <v/>
      </c>
      <c r="M473" s="19" t="n"/>
      <c r="N473" s="56" t="n"/>
      <c r="O473" s="32">
        <f>IF($F473="","",IFERROR(MATCH($F473,'請求台帳'!$A$5:$A$1004,0),"なし"))</f>
        <v/>
      </c>
      <c r="P473" s="37">
        <f>IF(NOT(OR($A473&lt;&gt;"",$E473&lt;&gt;"",$F473&lt;&gt;"",$G473&lt;&gt;"",$H473&lt;&gt;"",$I473&lt;&gt;"")),"",IF(ISNUMBER($O473),IF(INDEX('請求台帳'!$C$5:$C$1004,$O473)="","",INDEX('請求台帳'!$C$5:$C$1004,$O473)),IF($C473="","",$C473)))</f>
        <v/>
      </c>
      <c r="Q473" s="35">
        <f>IF(OR(NOT(OR($A473&lt;&gt;"",$E473&lt;&gt;"",$F473&lt;&gt;"",$G473&lt;&gt;"",$H473&lt;&gt;"",$I473&lt;&gt;"")),$P473="",$P473&lt;&gt;'売掛帳'!$B$3,NOT(ISNUMBER($A473)),N($G473)+N($H473)+N($I473)=0),"",IF(AND($A473&gt;='売掛帳'!$Q$3,$A473&lt;='売掛帳'!$Q$4),$A473+0.5+ROW()/10000000,""))</f>
        <v/>
      </c>
      <c r="R473" s="32">
        <f>IF(AND(OR($A473&lt;&gt;"",$E473&lt;&gt;"",$F473&lt;&gt;"",$G473&lt;&gt;"",$H473&lt;&gt;"",$I473&lt;&gt;""),NOT(ISNUMBER($O473))),1,"")</f>
        <v/>
      </c>
    </row>
    <row r="474" ht="18" customHeight="1">
      <c r="A474" s="26" t="n"/>
      <c r="B474" s="18" t="n"/>
      <c r="C474" s="18" t="n"/>
      <c r="D474" s="20">
        <f>IF($P474="","",IFERROR(INDEX('得意先'!$C$5:$C$104,MATCH($P474,'得意先'!$B$5:$B$104,0))&amp;"","※得意先にないコード"))</f>
        <v/>
      </c>
      <c r="E474" s="27" t="n"/>
      <c r="F474" s="18" t="n"/>
      <c r="G474" s="27" t="n"/>
      <c r="H474" s="27" t="n"/>
      <c r="I474" s="27" t="n"/>
      <c r="J474" s="28">
        <f>IF(NOT(OR($A474&lt;&gt;"",$E474&lt;&gt;"",$F474&lt;&gt;"",$G474&lt;&gt;"",$H474&lt;&gt;"",$I474&lt;&gt;"")),"",N($G474)+N($H474)+N($I474))</f>
        <v/>
      </c>
      <c r="K474" s="28">
        <f>IF(ISNUMBER($O474),INDEX('請求台帳'!$R$5:$R$1004,$O474),"")</f>
        <v/>
      </c>
      <c r="L474" s="20">
        <f>IF(NOT(OR($A474&lt;&gt;"",$E474&lt;&gt;"",$F474&lt;&gt;"",$G474&lt;&gt;"",$H474&lt;&gt;"",$I474&lt;&gt;"")),"",IF(NOT(ISNUMBER($A474)),"入金日がありません",IF(AND($F474&lt;&gt;"",$O474="なし"),"請求Noが請求台帳にありません",IF(AND(ISNUMBER($O474),$C474&lt;&gt;"",$C474&lt;&gt;$P474),"請求の得意先は "&amp;$P474&amp;" です",IF(ROUND(IF($B474&lt;&gt;"",SUMIF($B$5:$B$1004,$B474,$E$5:$E$1004)-SUMIF($B$5:$B$1004,$B474,$G$5:$G$1004),N($E474)-N($G474)),0)&lt;&gt;0,"通帳の額と当てた額の差 "&amp;TEXT(IF($B474&lt;&gt;"",SUMIF($B$5:$B$1004,$B474,$E$5:$E$1004)-SUMIF($B$5:$B$1004,$B474,$G$5:$G$1004),N($E474)-N($G474)),"#,##0"),IF(AND(ISNUMBER($O474),N($K474)&lt;0),"請求額より多く消し込んでいます",IF($F474="","消込先が未定","OK")))))))</f>
        <v/>
      </c>
      <c r="M474" s="19" t="n"/>
      <c r="N474" s="56" t="n"/>
      <c r="O474" s="32">
        <f>IF($F474="","",IFERROR(MATCH($F474,'請求台帳'!$A$5:$A$1004,0),"なし"))</f>
        <v/>
      </c>
      <c r="P474" s="37">
        <f>IF(NOT(OR($A474&lt;&gt;"",$E474&lt;&gt;"",$F474&lt;&gt;"",$G474&lt;&gt;"",$H474&lt;&gt;"",$I474&lt;&gt;"")),"",IF(ISNUMBER($O474),IF(INDEX('請求台帳'!$C$5:$C$1004,$O474)="","",INDEX('請求台帳'!$C$5:$C$1004,$O474)),IF($C474="","",$C474)))</f>
        <v/>
      </c>
      <c r="Q474" s="35">
        <f>IF(OR(NOT(OR($A474&lt;&gt;"",$E474&lt;&gt;"",$F474&lt;&gt;"",$G474&lt;&gt;"",$H474&lt;&gt;"",$I474&lt;&gt;"")),$P474="",$P474&lt;&gt;'売掛帳'!$B$3,NOT(ISNUMBER($A474)),N($G474)+N($H474)+N($I474)=0),"",IF(AND($A474&gt;='売掛帳'!$Q$3,$A474&lt;='売掛帳'!$Q$4),$A474+0.5+ROW()/10000000,""))</f>
        <v/>
      </c>
      <c r="R474" s="32">
        <f>IF(AND(OR($A474&lt;&gt;"",$E474&lt;&gt;"",$F474&lt;&gt;"",$G474&lt;&gt;"",$H474&lt;&gt;"",$I474&lt;&gt;""),NOT(ISNUMBER($O474))),1,"")</f>
        <v/>
      </c>
    </row>
    <row r="475" ht="18" customHeight="1">
      <c r="A475" s="26" t="n"/>
      <c r="B475" s="18" t="n"/>
      <c r="C475" s="18" t="n"/>
      <c r="D475" s="20">
        <f>IF($P475="","",IFERROR(INDEX('得意先'!$C$5:$C$104,MATCH($P475,'得意先'!$B$5:$B$104,0))&amp;"","※得意先にないコード"))</f>
        <v/>
      </c>
      <c r="E475" s="27" t="n"/>
      <c r="F475" s="18" t="n"/>
      <c r="G475" s="27" t="n"/>
      <c r="H475" s="27" t="n"/>
      <c r="I475" s="27" t="n"/>
      <c r="J475" s="28">
        <f>IF(NOT(OR($A475&lt;&gt;"",$E475&lt;&gt;"",$F475&lt;&gt;"",$G475&lt;&gt;"",$H475&lt;&gt;"",$I475&lt;&gt;"")),"",N($G475)+N($H475)+N($I475))</f>
        <v/>
      </c>
      <c r="K475" s="28">
        <f>IF(ISNUMBER($O475),INDEX('請求台帳'!$R$5:$R$1004,$O475),"")</f>
        <v/>
      </c>
      <c r="L475" s="20">
        <f>IF(NOT(OR($A475&lt;&gt;"",$E475&lt;&gt;"",$F475&lt;&gt;"",$G475&lt;&gt;"",$H475&lt;&gt;"",$I475&lt;&gt;"")),"",IF(NOT(ISNUMBER($A475)),"入金日がありません",IF(AND($F475&lt;&gt;"",$O475="なし"),"請求Noが請求台帳にありません",IF(AND(ISNUMBER($O475),$C475&lt;&gt;"",$C475&lt;&gt;$P475),"請求の得意先は "&amp;$P475&amp;" です",IF(ROUND(IF($B475&lt;&gt;"",SUMIF($B$5:$B$1004,$B475,$E$5:$E$1004)-SUMIF($B$5:$B$1004,$B475,$G$5:$G$1004),N($E475)-N($G475)),0)&lt;&gt;0,"通帳の額と当てた額の差 "&amp;TEXT(IF($B475&lt;&gt;"",SUMIF($B$5:$B$1004,$B475,$E$5:$E$1004)-SUMIF($B$5:$B$1004,$B475,$G$5:$G$1004),N($E475)-N($G475)),"#,##0"),IF(AND(ISNUMBER($O475),N($K475)&lt;0),"請求額より多く消し込んでいます",IF($F475="","消込先が未定","OK")))))))</f>
        <v/>
      </c>
      <c r="M475" s="19" t="n"/>
      <c r="N475" s="56" t="n"/>
      <c r="O475" s="32">
        <f>IF($F475="","",IFERROR(MATCH($F475,'請求台帳'!$A$5:$A$1004,0),"なし"))</f>
        <v/>
      </c>
      <c r="P475" s="37">
        <f>IF(NOT(OR($A475&lt;&gt;"",$E475&lt;&gt;"",$F475&lt;&gt;"",$G475&lt;&gt;"",$H475&lt;&gt;"",$I475&lt;&gt;"")),"",IF(ISNUMBER($O475),IF(INDEX('請求台帳'!$C$5:$C$1004,$O475)="","",INDEX('請求台帳'!$C$5:$C$1004,$O475)),IF($C475="","",$C475)))</f>
        <v/>
      </c>
      <c r="Q475" s="35">
        <f>IF(OR(NOT(OR($A475&lt;&gt;"",$E475&lt;&gt;"",$F475&lt;&gt;"",$G475&lt;&gt;"",$H475&lt;&gt;"",$I475&lt;&gt;"")),$P475="",$P475&lt;&gt;'売掛帳'!$B$3,NOT(ISNUMBER($A475)),N($G475)+N($H475)+N($I475)=0),"",IF(AND($A475&gt;='売掛帳'!$Q$3,$A475&lt;='売掛帳'!$Q$4),$A475+0.5+ROW()/10000000,""))</f>
        <v/>
      </c>
      <c r="R475" s="32">
        <f>IF(AND(OR($A475&lt;&gt;"",$E475&lt;&gt;"",$F475&lt;&gt;"",$G475&lt;&gt;"",$H475&lt;&gt;"",$I475&lt;&gt;""),NOT(ISNUMBER($O475))),1,"")</f>
        <v/>
      </c>
    </row>
    <row r="476" ht="18" customHeight="1">
      <c r="A476" s="26" t="n"/>
      <c r="B476" s="18" t="n"/>
      <c r="C476" s="18" t="n"/>
      <c r="D476" s="20">
        <f>IF($P476="","",IFERROR(INDEX('得意先'!$C$5:$C$104,MATCH($P476,'得意先'!$B$5:$B$104,0))&amp;"","※得意先にないコード"))</f>
        <v/>
      </c>
      <c r="E476" s="27" t="n"/>
      <c r="F476" s="18" t="n"/>
      <c r="G476" s="27" t="n"/>
      <c r="H476" s="27" t="n"/>
      <c r="I476" s="27" t="n"/>
      <c r="J476" s="28">
        <f>IF(NOT(OR($A476&lt;&gt;"",$E476&lt;&gt;"",$F476&lt;&gt;"",$G476&lt;&gt;"",$H476&lt;&gt;"",$I476&lt;&gt;"")),"",N($G476)+N($H476)+N($I476))</f>
        <v/>
      </c>
      <c r="K476" s="28">
        <f>IF(ISNUMBER($O476),INDEX('請求台帳'!$R$5:$R$1004,$O476),"")</f>
        <v/>
      </c>
      <c r="L476" s="20">
        <f>IF(NOT(OR($A476&lt;&gt;"",$E476&lt;&gt;"",$F476&lt;&gt;"",$G476&lt;&gt;"",$H476&lt;&gt;"",$I476&lt;&gt;"")),"",IF(NOT(ISNUMBER($A476)),"入金日がありません",IF(AND($F476&lt;&gt;"",$O476="なし"),"請求Noが請求台帳にありません",IF(AND(ISNUMBER($O476),$C476&lt;&gt;"",$C476&lt;&gt;$P476),"請求の得意先は "&amp;$P476&amp;" です",IF(ROUND(IF($B476&lt;&gt;"",SUMIF($B$5:$B$1004,$B476,$E$5:$E$1004)-SUMIF($B$5:$B$1004,$B476,$G$5:$G$1004),N($E476)-N($G476)),0)&lt;&gt;0,"通帳の額と当てた額の差 "&amp;TEXT(IF($B476&lt;&gt;"",SUMIF($B$5:$B$1004,$B476,$E$5:$E$1004)-SUMIF($B$5:$B$1004,$B476,$G$5:$G$1004),N($E476)-N($G476)),"#,##0"),IF(AND(ISNUMBER($O476),N($K476)&lt;0),"請求額より多く消し込んでいます",IF($F476="","消込先が未定","OK")))))))</f>
        <v/>
      </c>
      <c r="M476" s="19" t="n"/>
      <c r="N476" s="56" t="n"/>
      <c r="O476" s="32">
        <f>IF($F476="","",IFERROR(MATCH($F476,'請求台帳'!$A$5:$A$1004,0),"なし"))</f>
        <v/>
      </c>
      <c r="P476" s="37">
        <f>IF(NOT(OR($A476&lt;&gt;"",$E476&lt;&gt;"",$F476&lt;&gt;"",$G476&lt;&gt;"",$H476&lt;&gt;"",$I476&lt;&gt;"")),"",IF(ISNUMBER($O476),IF(INDEX('請求台帳'!$C$5:$C$1004,$O476)="","",INDEX('請求台帳'!$C$5:$C$1004,$O476)),IF($C476="","",$C476)))</f>
        <v/>
      </c>
      <c r="Q476" s="35">
        <f>IF(OR(NOT(OR($A476&lt;&gt;"",$E476&lt;&gt;"",$F476&lt;&gt;"",$G476&lt;&gt;"",$H476&lt;&gt;"",$I476&lt;&gt;"")),$P476="",$P476&lt;&gt;'売掛帳'!$B$3,NOT(ISNUMBER($A476)),N($G476)+N($H476)+N($I476)=0),"",IF(AND($A476&gt;='売掛帳'!$Q$3,$A476&lt;='売掛帳'!$Q$4),$A476+0.5+ROW()/10000000,""))</f>
        <v/>
      </c>
      <c r="R476" s="32">
        <f>IF(AND(OR($A476&lt;&gt;"",$E476&lt;&gt;"",$F476&lt;&gt;"",$G476&lt;&gt;"",$H476&lt;&gt;"",$I476&lt;&gt;""),NOT(ISNUMBER($O476))),1,"")</f>
        <v/>
      </c>
    </row>
    <row r="477" ht="18" customHeight="1">
      <c r="A477" s="26" t="n"/>
      <c r="B477" s="18" t="n"/>
      <c r="C477" s="18" t="n"/>
      <c r="D477" s="20">
        <f>IF($P477="","",IFERROR(INDEX('得意先'!$C$5:$C$104,MATCH($P477,'得意先'!$B$5:$B$104,0))&amp;"","※得意先にないコード"))</f>
        <v/>
      </c>
      <c r="E477" s="27" t="n"/>
      <c r="F477" s="18" t="n"/>
      <c r="G477" s="27" t="n"/>
      <c r="H477" s="27" t="n"/>
      <c r="I477" s="27" t="n"/>
      <c r="J477" s="28">
        <f>IF(NOT(OR($A477&lt;&gt;"",$E477&lt;&gt;"",$F477&lt;&gt;"",$G477&lt;&gt;"",$H477&lt;&gt;"",$I477&lt;&gt;"")),"",N($G477)+N($H477)+N($I477))</f>
        <v/>
      </c>
      <c r="K477" s="28">
        <f>IF(ISNUMBER($O477),INDEX('請求台帳'!$R$5:$R$1004,$O477),"")</f>
        <v/>
      </c>
      <c r="L477" s="20">
        <f>IF(NOT(OR($A477&lt;&gt;"",$E477&lt;&gt;"",$F477&lt;&gt;"",$G477&lt;&gt;"",$H477&lt;&gt;"",$I477&lt;&gt;"")),"",IF(NOT(ISNUMBER($A477)),"入金日がありません",IF(AND($F477&lt;&gt;"",$O477="なし"),"請求Noが請求台帳にありません",IF(AND(ISNUMBER($O477),$C477&lt;&gt;"",$C477&lt;&gt;$P477),"請求の得意先は "&amp;$P477&amp;" です",IF(ROUND(IF($B477&lt;&gt;"",SUMIF($B$5:$B$1004,$B477,$E$5:$E$1004)-SUMIF($B$5:$B$1004,$B477,$G$5:$G$1004),N($E477)-N($G477)),0)&lt;&gt;0,"通帳の額と当てた額の差 "&amp;TEXT(IF($B477&lt;&gt;"",SUMIF($B$5:$B$1004,$B477,$E$5:$E$1004)-SUMIF($B$5:$B$1004,$B477,$G$5:$G$1004),N($E477)-N($G477)),"#,##0"),IF(AND(ISNUMBER($O477),N($K477)&lt;0),"請求額より多く消し込んでいます",IF($F477="","消込先が未定","OK")))))))</f>
        <v/>
      </c>
      <c r="M477" s="19" t="n"/>
      <c r="N477" s="56" t="n"/>
      <c r="O477" s="32">
        <f>IF($F477="","",IFERROR(MATCH($F477,'請求台帳'!$A$5:$A$1004,0),"なし"))</f>
        <v/>
      </c>
      <c r="P477" s="37">
        <f>IF(NOT(OR($A477&lt;&gt;"",$E477&lt;&gt;"",$F477&lt;&gt;"",$G477&lt;&gt;"",$H477&lt;&gt;"",$I477&lt;&gt;"")),"",IF(ISNUMBER($O477),IF(INDEX('請求台帳'!$C$5:$C$1004,$O477)="","",INDEX('請求台帳'!$C$5:$C$1004,$O477)),IF($C477="","",$C477)))</f>
        <v/>
      </c>
      <c r="Q477" s="35">
        <f>IF(OR(NOT(OR($A477&lt;&gt;"",$E477&lt;&gt;"",$F477&lt;&gt;"",$G477&lt;&gt;"",$H477&lt;&gt;"",$I477&lt;&gt;"")),$P477="",$P477&lt;&gt;'売掛帳'!$B$3,NOT(ISNUMBER($A477)),N($G477)+N($H477)+N($I477)=0),"",IF(AND($A477&gt;='売掛帳'!$Q$3,$A477&lt;='売掛帳'!$Q$4),$A477+0.5+ROW()/10000000,""))</f>
        <v/>
      </c>
      <c r="R477" s="32">
        <f>IF(AND(OR($A477&lt;&gt;"",$E477&lt;&gt;"",$F477&lt;&gt;"",$G477&lt;&gt;"",$H477&lt;&gt;"",$I477&lt;&gt;""),NOT(ISNUMBER($O477))),1,"")</f>
        <v/>
      </c>
    </row>
    <row r="478" ht="18" customHeight="1">
      <c r="A478" s="26" t="n"/>
      <c r="B478" s="18" t="n"/>
      <c r="C478" s="18" t="n"/>
      <c r="D478" s="20">
        <f>IF($P478="","",IFERROR(INDEX('得意先'!$C$5:$C$104,MATCH($P478,'得意先'!$B$5:$B$104,0))&amp;"","※得意先にないコード"))</f>
        <v/>
      </c>
      <c r="E478" s="27" t="n"/>
      <c r="F478" s="18" t="n"/>
      <c r="G478" s="27" t="n"/>
      <c r="H478" s="27" t="n"/>
      <c r="I478" s="27" t="n"/>
      <c r="J478" s="28">
        <f>IF(NOT(OR($A478&lt;&gt;"",$E478&lt;&gt;"",$F478&lt;&gt;"",$G478&lt;&gt;"",$H478&lt;&gt;"",$I478&lt;&gt;"")),"",N($G478)+N($H478)+N($I478))</f>
        <v/>
      </c>
      <c r="K478" s="28">
        <f>IF(ISNUMBER($O478),INDEX('請求台帳'!$R$5:$R$1004,$O478),"")</f>
        <v/>
      </c>
      <c r="L478" s="20">
        <f>IF(NOT(OR($A478&lt;&gt;"",$E478&lt;&gt;"",$F478&lt;&gt;"",$G478&lt;&gt;"",$H478&lt;&gt;"",$I478&lt;&gt;"")),"",IF(NOT(ISNUMBER($A478)),"入金日がありません",IF(AND($F478&lt;&gt;"",$O478="なし"),"請求Noが請求台帳にありません",IF(AND(ISNUMBER($O478),$C478&lt;&gt;"",$C478&lt;&gt;$P478),"請求の得意先は "&amp;$P478&amp;" です",IF(ROUND(IF($B478&lt;&gt;"",SUMIF($B$5:$B$1004,$B478,$E$5:$E$1004)-SUMIF($B$5:$B$1004,$B478,$G$5:$G$1004),N($E478)-N($G478)),0)&lt;&gt;0,"通帳の額と当てた額の差 "&amp;TEXT(IF($B478&lt;&gt;"",SUMIF($B$5:$B$1004,$B478,$E$5:$E$1004)-SUMIF($B$5:$B$1004,$B478,$G$5:$G$1004),N($E478)-N($G478)),"#,##0"),IF(AND(ISNUMBER($O478),N($K478)&lt;0),"請求額より多く消し込んでいます",IF($F478="","消込先が未定","OK")))))))</f>
        <v/>
      </c>
      <c r="M478" s="19" t="n"/>
      <c r="N478" s="56" t="n"/>
      <c r="O478" s="32">
        <f>IF($F478="","",IFERROR(MATCH($F478,'請求台帳'!$A$5:$A$1004,0),"なし"))</f>
        <v/>
      </c>
      <c r="P478" s="37">
        <f>IF(NOT(OR($A478&lt;&gt;"",$E478&lt;&gt;"",$F478&lt;&gt;"",$G478&lt;&gt;"",$H478&lt;&gt;"",$I478&lt;&gt;"")),"",IF(ISNUMBER($O478),IF(INDEX('請求台帳'!$C$5:$C$1004,$O478)="","",INDEX('請求台帳'!$C$5:$C$1004,$O478)),IF($C478="","",$C478)))</f>
        <v/>
      </c>
      <c r="Q478" s="35">
        <f>IF(OR(NOT(OR($A478&lt;&gt;"",$E478&lt;&gt;"",$F478&lt;&gt;"",$G478&lt;&gt;"",$H478&lt;&gt;"",$I478&lt;&gt;"")),$P478="",$P478&lt;&gt;'売掛帳'!$B$3,NOT(ISNUMBER($A478)),N($G478)+N($H478)+N($I478)=0),"",IF(AND($A478&gt;='売掛帳'!$Q$3,$A478&lt;='売掛帳'!$Q$4),$A478+0.5+ROW()/10000000,""))</f>
        <v/>
      </c>
      <c r="R478" s="32">
        <f>IF(AND(OR($A478&lt;&gt;"",$E478&lt;&gt;"",$F478&lt;&gt;"",$G478&lt;&gt;"",$H478&lt;&gt;"",$I478&lt;&gt;""),NOT(ISNUMBER($O478))),1,"")</f>
        <v/>
      </c>
    </row>
    <row r="479" ht="18" customHeight="1">
      <c r="A479" s="26" t="n"/>
      <c r="B479" s="18" t="n"/>
      <c r="C479" s="18" t="n"/>
      <c r="D479" s="20">
        <f>IF($P479="","",IFERROR(INDEX('得意先'!$C$5:$C$104,MATCH($P479,'得意先'!$B$5:$B$104,0))&amp;"","※得意先にないコード"))</f>
        <v/>
      </c>
      <c r="E479" s="27" t="n"/>
      <c r="F479" s="18" t="n"/>
      <c r="G479" s="27" t="n"/>
      <c r="H479" s="27" t="n"/>
      <c r="I479" s="27" t="n"/>
      <c r="J479" s="28">
        <f>IF(NOT(OR($A479&lt;&gt;"",$E479&lt;&gt;"",$F479&lt;&gt;"",$G479&lt;&gt;"",$H479&lt;&gt;"",$I479&lt;&gt;"")),"",N($G479)+N($H479)+N($I479))</f>
        <v/>
      </c>
      <c r="K479" s="28">
        <f>IF(ISNUMBER($O479),INDEX('請求台帳'!$R$5:$R$1004,$O479),"")</f>
        <v/>
      </c>
      <c r="L479" s="20">
        <f>IF(NOT(OR($A479&lt;&gt;"",$E479&lt;&gt;"",$F479&lt;&gt;"",$G479&lt;&gt;"",$H479&lt;&gt;"",$I479&lt;&gt;"")),"",IF(NOT(ISNUMBER($A479)),"入金日がありません",IF(AND($F479&lt;&gt;"",$O479="なし"),"請求Noが請求台帳にありません",IF(AND(ISNUMBER($O479),$C479&lt;&gt;"",$C479&lt;&gt;$P479),"請求の得意先は "&amp;$P479&amp;" です",IF(ROUND(IF($B479&lt;&gt;"",SUMIF($B$5:$B$1004,$B479,$E$5:$E$1004)-SUMIF($B$5:$B$1004,$B479,$G$5:$G$1004),N($E479)-N($G479)),0)&lt;&gt;0,"通帳の額と当てた額の差 "&amp;TEXT(IF($B479&lt;&gt;"",SUMIF($B$5:$B$1004,$B479,$E$5:$E$1004)-SUMIF($B$5:$B$1004,$B479,$G$5:$G$1004),N($E479)-N($G479)),"#,##0"),IF(AND(ISNUMBER($O479),N($K479)&lt;0),"請求額より多く消し込んでいます",IF($F479="","消込先が未定","OK")))))))</f>
        <v/>
      </c>
      <c r="M479" s="19" t="n"/>
      <c r="N479" s="56" t="n"/>
      <c r="O479" s="32">
        <f>IF($F479="","",IFERROR(MATCH($F479,'請求台帳'!$A$5:$A$1004,0),"なし"))</f>
        <v/>
      </c>
      <c r="P479" s="37">
        <f>IF(NOT(OR($A479&lt;&gt;"",$E479&lt;&gt;"",$F479&lt;&gt;"",$G479&lt;&gt;"",$H479&lt;&gt;"",$I479&lt;&gt;"")),"",IF(ISNUMBER($O479),IF(INDEX('請求台帳'!$C$5:$C$1004,$O479)="","",INDEX('請求台帳'!$C$5:$C$1004,$O479)),IF($C479="","",$C479)))</f>
        <v/>
      </c>
      <c r="Q479" s="35">
        <f>IF(OR(NOT(OR($A479&lt;&gt;"",$E479&lt;&gt;"",$F479&lt;&gt;"",$G479&lt;&gt;"",$H479&lt;&gt;"",$I479&lt;&gt;"")),$P479="",$P479&lt;&gt;'売掛帳'!$B$3,NOT(ISNUMBER($A479)),N($G479)+N($H479)+N($I479)=0),"",IF(AND($A479&gt;='売掛帳'!$Q$3,$A479&lt;='売掛帳'!$Q$4),$A479+0.5+ROW()/10000000,""))</f>
        <v/>
      </c>
      <c r="R479" s="32">
        <f>IF(AND(OR($A479&lt;&gt;"",$E479&lt;&gt;"",$F479&lt;&gt;"",$G479&lt;&gt;"",$H479&lt;&gt;"",$I479&lt;&gt;""),NOT(ISNUMBER($O479))),1,"")</f>
        <v/>
      </c>
    </row>
    <row r="480" ht="18" customHeight="1">
      <c r="A480" s="26" t="n"/>
      <c r="B480" s="18" t="n"/>
      <c r="C480" s="18" t="n"/>
      <c r="D480" s="20">
        <f>IF($P480="","",IFERROR(INDEX('得意先'!$C$5:$C$104,MATCH($P480,'得意先'!$B$5:$B$104,0))&amp;"","※得意先にないコード"))</f>
        <v/>
      </c>
      <c r="E480" s="27" t="n"/>
      <c r="F480" s="18" t="n"/>
      <c r="G480" s="27" t="n"/>
      <c r="H480" s="27" t="n"/>
      <c r="I480" s="27" t="n"/>
      <c r="J480" s="28">
        <f>IF(NOT(OR($A480&lt;&gt;"",$E480&lt;&gt;"",$F480&lt;&gt;"",$G480&lt;&gt;"",$H480&lt;&gt;"",$I480&lt;&gt;"")),"",N($G480)+N($H480)+N($I480))</f>
        <v/>
      </c>
      <c r="K480" s="28">
        <f>IF(ISNUMBER($O480),INDEX('請求台帳'!$R$5:$R$1004,$O480),"")</f>
        <v/>
      </c>
      <c r="L480" s="20">
        <f>IF(NOT(OR($A480&lt;&gt;"",$E480&lt;&gt;"",$F480&lt;&gt;"",$G480&lt;&gt;"",$H480&lt;&gt;"",$I480&lt;&gt;"")),"",IF(NOT(ISNUMBER($A480)),"入金日がありません",IF(AND($F480&lt;&gt;"",$O480="なし"),"請求Noが請求台帳にありません",IF(AND(ISNUMBER($O480),$C480&lt;&gt;"",$C480&lt;&gt;$P480),"請求の得意先は "&amp;$P480&amp;" です",IF(ROUND(IF($B480&lt;&gt;"",SUMIF($B$5:$B$1004,$B480,$E$5:$E$1004)-SUMIF($B$5:$B$1004,$B480,$G$5:$G$1004),N($E480)-N($G480)),0)&lt;&gt;0,"通帳の額と当てた額の差 "&amp;TEXT(IF($B480&lt;&gt;"",SUMIF($B$5:$B$1004,$B480,$E$5:$E$1004)-SUMIF($B$5:$B$1004,$B480,$G$5:$G$1004),N($E480)-N($G480)),"#,##0"),IF(AND(ISNUMBER($O480),N($K480)&lt;0),"請求額より多く消し込んでいます",IF($F480="","消込先が未定","OK")))))))</f>
        <v/>
      </c>
      <c r="M480" s="19" t="n"/>
      <c r="N480" s="56" t="n"/>
      <c r="O480" s="32">
        <f>IF($F480="","",IFERROR(MATCH($F480,'請求台帳'!$A$5:$A$1004,0),"なし"))</f>
        <v/>
      </c>
      <c r="P480" s="37">
        <f>IF(NOT(OR($A480&lt;&gt;"",$E480&lt;&gt;"",$F480&lt;&gt;"",$G480&lt;&gt;"",$H480&lt;&gt;"",$I480&lt;&gt;"")),"",IF(ISNUMBER($O480),IF(INDEX('請求台帳'!$C$5:$C$1004,$O480)="","",INDEX('請求台帳'!$C$5:$C$1004,$O480)),IF($C480="","",$C480)))</f>
        <v/>
      </c>
      <c r="Q480" s="35">
        <f>IF(OR(NOT(OR($A480&lt;&gt;"",$E480&lt;&gt;"",$F480&lt;&gt;"",$G480&lt;&gt;"",$H480&lt;&gt;"",$I480&lt;&gt;"")),$P480="",$P480&lt;&gt;'売掛帳'!$B$3,NOT(ISNUMBER($A480)),N($G480)+N($H480)+N($I480)=0),"",IF(AND($A480&gt;='売掛帳'!$Q$3,$A480&lt;='売掛帳'!$Q$4),$A480+0.5+ROW()/10000000,""))</f>
        <v/>
      </c>
      <c r="R480" s="32">
        <f>IF(AND(OR($A480&lt;&gt;"",$E480&lt;&gt;"",$F480&lt;&gt;"",$G480&lt;&gt;"",$H480&lt;&gt;"",$I480&lt;&gt;""),NOT(ISNUMBER($O480))),1,"")</f>
        <v/>
      </c>
    </row>
    <row r="481" ht="18" customHeight="1">
      <c r="A481" s="26" t="n"/>
      <c r="B481" s="18" t="n"/>
      <c r="C481" s="18" t="n"/>
      <c r="D481" s="20">
        <f>IF($P481="","",IFERROR(INDEX('得意先'!$C$5:$C$104,MATCH($P481,'得意先'!$B$5:$B$104,0))&amp;"","※得意先にないコード"))</f>
        <v/>
      </c>
      <c r="E481" s="27" t="n"/>
      <c r="F481" s="18" t="n"/>
      <c r="G481" s="27" t="n"/>
      <c r="H481" s="27" t="n"/>
      <c r="I481" s="27" t="n"/>
      <c r="J481" s="28">
        <f>IF(NOT(OR($A481&lt;&gt;"",$E481&lt;&gt;"",$F481&lt;&gt;"",$G481&lt;&gt;"",$H481&lt;&gt;"",$I481&lt;&gt;"")),"",N($G481)+N($H481)+N($I481))</f>
        <v/>
      </c>
      <c r="K481" s="28">
        <f>IF(ISNUMBER($O481),INDEX('請求台帳'!$R$5:$R$1004,$O481),"")</f>
        <v/>
      </c>
      <c r="L481" s="20">
        <f>IF(NOT(OR($A481&lt;&gt;"",$E481&lt;&gt;"",$F481&lt;&gt;"",$G481&lt;&gt;"",$H481&lt;&gt;"",$I481&lt;&gt;"")),"",IF(NOT(ISNUMBER($A481)),"入金日がありません",IF(AND($F481&lt;&gt;"",$O481="なし"),"請求Noが請求台帳にありません",IF(AND(ISNUMBER($O481),$C481&lt;&gt;"",$C481&lt;&gt;$P481),"請求の得意先は "&amp;$P481&amp;" です",IF(ROUND(IF($B481&lt;&gt;"",SUMIF($B$5:$B$1004,$B481,$E$5:$E$1004)-SUMIF($B$5:$B$1004,$B481,$G$5:$G$1004),N($E481)-N($G481)),0)&lt;&gt;0,"通帳の額と当てた額の差 "&amp;TEXT(IF($B481&lt;&gt;"",SUMIF($B$5:$B$1004,$B481,$E$5:$E$1004)-SUMIF($B$5:$B$1004,$B481,$G$5:$G$1004),N($E481)-N($G481)),"#,##0"),IF(AND(ISNUMBER($O481),N($K481)&lt;0),"請求額より多く消し込んでいます",IF($F481="","消込先が未定","OK")))))))</f>
        <v/>
      </c>
      <c r="M481" s="19" t="n"/>
      <c r="N481" s="56" t="n"/>
      <c r="O481" s="32">
        <f>IF($F481="","",IFERROR(MATCH($F481,'請求台帳'!$A$5:$A$1004,0),"なし"))</f>
        <v/>
      </c>
      <c r="P481" s="37">
        <f>IF(NOT(OR($A481&lt;&gt;"",$E481&lt;&gt;"",$F481&lt;&gt;"",$G481&lt;&gt;"",$H481&lt;&gt;"",$I481&lt;&gt;"")),"",IF(ISNUMBER($O481),IF(INDEX('請求台帳'!$C$5:$C$1004,$O481)="","",INDEX('請求台帳'!$C$5:$C$1004,$O481)),IF($C481="","",$C481)))</f>
        <v/>
      </c>
      <c r="Q481" s="35">
        <f>IF(OR(NOT(OR($A481&lt;&gt;"",$E481&lt;&gt;"",$F481&lt;&gt;"",$G481&lt;&gt;"",$H481&lt;&gt;"",$I481&lt;&gt;"")),$P481="",$P481&lt;&gt;'売掛帳'!$B$3,NOT(ISNUMBER($A481)),N($G481)+N($H481)+N($I481)=0),"",IF(AND($A481&gt;='売掛帳'!$Q$3,$A481&lt;='売掛帳'!$Q$4),$A481+0.5+ROW()/10000000,""))</f>
        <v/>
      </c>
      <c r="R481" s="32">
        <f>IF(AND(OR($A481&lt;&gt;"",$E481&lt;&gt;"",$F481&lt;&gt;"",$G481&lt;&gt;"",$H481&lt;&gt;"",$I481&lt;&gt;""),NOT(ISNUMBER($O481))),1,"")</f>
        <v/>
      </c>
    </row>
    <row r="482" ht="18" customHeight="1">
      <c r="A482" s="26" t="n"/>
      <c r="B482" s="18" t="n"/>
      <c r="C482" s="18" t="n"/>
      <c r="D482" s="20">
        <f>IF($P482="","",IFERROR(INDEX('得意先'!$C$5:$C$104,MATCH($P482,'得意先'!$B$5:$B$104,0))&amp;"","※得意先にないコード"))</f>
        <v/>
      </c>
      <c r="E482" s="27" t="n"/>
      <c r="F482" s="18" t="n"/>
      <c r="G482" s="27" t="n"/>
      <c r="H482" s="27" t="n"/>
      <c r="I482" s="27" t="n"/>
      <c r="J482" s="28">
        <f>IF(NOT(OR($A482&lt;&gt;"",$E482&lt;&gt;"",$F482&lt;&gt;"",$G482&lt;&gt;"",$H482&lt;&gt;"",$I482&lt;&gt;"")),"",N($G482)+N($H482)+N($I482))</f>
        <v/>
      </c>
      <c r="K482" s="28">
        <f>IF(ISNUMBER($O482),INDEX('請求台帳'!$R$5:$R$1004,$O482),"")</f>
        <v/>
      </c>
      <c r="L482" s="20">
        <f>IF(NOT(OR($A482&lt;&gt;"",$E482&lt;&gt;"",$F482&lt;&gt;"",$G482&lt;&gt;"",$H482&lt;&gt;"",$I482&lt;&gt;"")),"",IF(NOT(ISNUMBER($A482)),"入金日がありません",IF(AND($F482&lt;&gt;"",$O482="なし"),"請求Noが請求台帳にありません",IF(AND(ISNUMBER($O482),$C482&lt;&gt;"",$C482&lt;&gt;$P482),"請求の得意先は "&amp;$P482&amp;" です",IF(ROUND(IF($B482&lt;&gt;"",SUMIF($B$5:$B$1004,$B482,$E$5:$E$1004)-SUMIF($B$5:$B$1004,$B482,$G$5:$G$1004),N($E482)-N($G482)),0)&lt;&gt;0,"通帳の額と当てた額の差 "&amp;TEXT(IF($B482&lt;&gt;"",SUMIF($B$5:$B$1004,$B482,$E$5:$E$1004)-SUMIF($B$5:$B$1004,$B482,$G$5:$G$1004),N($E482)-N($G482)),"#,##0"),IF(AND(ISNUMBER($O482),N($K482)&lt;0),"請求額より多く消し込んでいます",IF($F482="","消込先が未定","OK")))))))</f>
        <v/>
      </c>
      <c r="M482" s="19" t="n"/>
      <c r="N482" s="56" t="n"/>
      <c r="O482" s="32">
        <f>IF($F482="","",IFERROR(MATCH($F482,'請求台帳'!$A$5:$A$1004,0),"なし"))</f>
        <v/>
      </c>
      <c r="P482" s="37">
        <f>IF(NOT(OR($A482&lt;&gt;"",$E482&lt;&gt;"",$F482&lt;&gt;"",$G482&lt;&gt;"",$H482&lt;&gt;"",$I482&lt;&gt;"")),"",IF(ISNUMBER($O482),IF(INDEX('請求台帳'!$C$5:$C$1004,$O482)="","",INDEX('請求台帳'!$C$5:$C$1004,$O482)),IF($C482="","",$C482)))</f>
        <v/>
      </c>
      <c r="Q482" s="35">
        <f>IF(OR(NOT(OR($A482&lt;&gt;"",$E482&lt;&gt;"",$F482&lt;&gt;"",$G482&lt;&gt;"",$H482&lt;&gt;"",$I482&lt;&gt;"")),$P482="",$P482&lt;&gt;'売掛帳'!$B$3,NOT(ISNUMBER($A482)),N($G482)+N($H482)+N($I482)=0),"",IF(AND($A482&gt;='売掛帳'!$Q$3,$A482&lt;='売掛帳'!$Q$4),$A482+0.5+ROW()/10000000,""))</f>
        <v/>
      </c>
      <c r="R482" s="32">
        <f>IF(AND(OR($A482&lt;&gt;"",$E482&lt;&gt;"",$F482&lt;&gt;"",$G482&lt;&gt;"",$H482&lt;&gt;"",$I482&lt;&gt;""),NOT(ISNUMBER($O482))),1,"")</f>
        <v/>
      </c>
    </row>
    <row r="483" ht="18" customHeight="1">
      <c r="A483" s="26" t="n"/>
      <c r="B483" s="18" t="n"/>
      <c r="C483" s="18" t="n"/>
      <c r="D483" s="20">
        <f>IF($P483="","",IFERROR(INDEX('得意先'!$C$5:$C$104,MATCH($P483,'得意先'!$B$5:$B$104,0))&amp;"","※得意先にないコード"))</f>
        <v/>
      </c>
      <c r="E483" s="27" t="n"/>
      <c r="F483" s="18" t="n"/>
      <c r="G483" s="27" t="n"/>
      <c r="H483" s="27" t="n"/>
      <c r="I483" s="27" t="n"/>
      <c r="J483" s="28">
        <f>IF(NOT(OR($A483&lt;&gt;"",$E483&lt;&gt;"",$F483&lt;&gt;"",$G483&lt;&gt;"",$H483&lt;&gt;"",$I483&lt;&gt;"")),"",N($G483)+N($H483)+N($I483))</f>
        <v/>
      </c>
      <c r="K483" s="28">
        <f>IF(ISNUMBER($O483),INDEX('請求台帳'!$R$5:$R$1004,$O483),"")</f>
        <v/>
      </c>
      <c r="L483" s="20">
        <f>IF(NOT(OR($A483&lt;&gt;"",$E483&lt;&gt;"",$F483&lt;&gt;"",$G483&lt;&gt;"",$H483&lt;&gt;"",$I483&lt;&gt;"")),"",IF(NOT(ISNUMBER($A483)),"入金日がありません",IF(AND($F483&lt;&gt;"",$O483="なし"),"請求Noが請求台帳にありません",IF(AND(ISNUMBER($O483),$C483&lt;&gt;"",$C483&lt;&gt;$P483),"請求の得意先は "&amp;$P483&amp;" です",IF(ROUND(IF($B483&lt;&gt;"",SUMIF($B$5:$B$1004,$B483,$E$5:$E$1004)-SUMIF($B$5:$B$1004,$B483,$G$5:$G$1004),N($E483)-N($G483)),0)&lt;&gt;0,"通帳の額と当てた額の差 "&amp;TEXT(IF($B483&lt;&gt;"",SUMIF($B$5:$B$1004,$B483,$E$5:$E$1004)-SUMIF($B$5:$B$1004,$B483,$G$5:$G$1004),N($E483)-N($G483)),"#,##0"),IF(AND(ISNUMBER($O483),N($K483)&lt;0),"請求額より多く消し込んでいます",IF($F483="","消込先が未定","OK")))))))</f>
        <v/>
      </c>
      <c r="M483" s="19" t="n"/>
      <c r="N483" s="56" t="n"/>
      <c r="O483" s="32">
        <f>IF($F483="","",IFERROR(MATCH($F483,'請求台帳'!$A$5:$A$1004,0),"なし"))</f>
        <v/>
      </c>
      <c r="P483" s="37">
        <f>IF(NOT(OR($A483&lt;&gt;"",$E483&lt;&gt;"",$F483&lt;&gt;"",$G483&lt;&gt;"",$H483&lt;&gt;"",$I483&lt;&gt;"")),"",IF(ISNUMBER($O483),IF(INDEX('請求台帳'!$C$5:$C$1004,$O483)="","",INDEX('請求台帳'!$C$5:$C$1004,$O483)),IF($C483="","",$C483)))</f>
        <v/>
      </c>
      <c r="Q483" s="35">
        <f>IF(OR(NOT(OR($A483&lt;&gt;"",$E483&lt;&gt;"",$F483&lt;&gt;"",$G483&lt;&gt;"",$H483&lt;&gt;"",$I483&lt;&gt;"")),$P483="",$P483&lt;&gt;'売掛帳'!$B$3,NOT(ISNUMBER($A483)),N($G483)+N($H483)+N($I483)=0),"",IF(AND($A483&gt;='売掛帳'!$Q$3,$A483&lt;='売掛帳'!$Q$4),$A483+0.5+ROW()/10000000,""))</f>
        <v/>
      </c>
      <c r="R483" s="32">
        <f>IF(AND(OR($A483&lt;&gt;"",$E483&lt;&gt;"",$F483&lt;&gt;"",$G483&lt;&gt;"",$H483&lt;&gt;"",$I483&lt;&gt;""),NOT(ISNUMBER($O483))),1,"")</f>
        <v/>
      </c>
    </row>
    <row r="484" ht="18" customHeight="1">
      <c r="A484" s="26" t="n"/>
      <c r="B484" s="18" t="n"/>
      <c r="C484" s="18" t="n"/>
      <c r="D484" s="20">
        <f>IF($P484="","",IFERROR(INDEX('得意先'!$C$5:$C$104,MATCH($P484,'得意先'!$B$5:$B$104,0))&amp;"","※得意先にないコード"))</f>
        <v/>
      </c>
      <c r="E484" s="27" t="n"/>
      <c r="F484" s="18" t="n"/>
      <c r="G484" s="27" t="n"/>
      <c r="H484" s="27" t="n"/>
      <c r="I484" s="27" t="n"/>
      <c r="J484" s="28">
        <f>IF(NOT(OR($A484&lt;&gt;"",$E484&lt;&gt;"",$F484&lt;&gt;"",$G484&lt;&gt;"",$H484&lt;&gt;"",$I484&lt;&gt;"")),"",N($G484)+N($H484)+N($I484))</f>
        <v/>
      </c>
      <c r="K484" s="28">
        <f>IF(ISNUMBER($O484),INDEX('請求台帳'!$R$5:$R$1004,$O484),"")</f>
        <v/>
      </c>
      <c r="L484" s="20">
        <f>IF(NOT(OR($A484&lt;&gt;"",$E484&lt;&gt;"",$F484&lt;&gt;"",$G484&lt;&gt;"",$H484&lt;&gt;"",$I484&lt;&gt;"")),"",IF(NOT(ISNUMBER($A484)),"入金日がありません",IF(AND($F484&lt;&gt;"",$O484="なし"),"請求Noが請求台帳にありません",IF(AND(ISNUMBER($O484),$C484&lt;&gt;"",$C484&lt;&gt;$P484),"請求の得意先は "&amp;$P484&amp;" です",IF(ROUND(IF($B484&lt;&gt;"",SUMIF($B$5:$B$1004,$B484,$E$5:$E$1004)-SUMIF($B$5:$B$1004,$B484,$G$5:$G$1004),N($E484)-N($G484)),0)&lt;&gt;0,"通帳の額と当てた額の差 "&amp;TEXT(IF($B484&lt;&gt;"",SUMIF($B$5:$B$1004,$B484,$E$5:$E$1004)-SUMIF($B$5:$B$1004,$B484,$G$5:$G$1004),N($E484)-N($G484)),"#,##0"),IF(AND(ISNUMBER($O484),N($K484)&lt;0),"請求額より多く消し込んでいます",IF($F484="","消込先が未定","OK")))))))</f>
        <v/>
      </c>
      <c r="M484" s="19" t="n"/>
      <c r="N484" s="56" t="n"/>
      <c r="O484" s="32">
        <f>IF($F484="","",IFERROR(MATCH($F484,'請求台帳'!$A$5:$A$1004,0),"なし"))</f>
        <v/>
      </c>
      <c r="P484" s="37">
        <f>IF(NOT(OR($A484&lt;&gt;"",$E484&lt;&gt;"",$F484&lt;&gt;"",$G484&lt;&gt;"",$H484&lt;&gt;"",$I484&lt;&gt;"")),"",IF(ISNUMBER($O484),IF(INDEX('請求台帳'!$C$5:$C$1004,$O484)="","",INDEX('請求台帳'!$C$5:$C$1004,$O484)),IF($C484="","",$C484)))</f>
        <v/>
      </c>
      <c r="Q484" s="35">
        <f>IF(OR(NOT(OR($A484&lt;&gt;"",$E484&lt;&gt;"",$F484&lt;&gt;"",$G484&lt;&gt;"",$H484&lt;&gt;"",$I484&lt;&gt;"")),$P484="",$P484&lt;&gt;'売掛帳'!$B$3,NOT(ISNUMBER($A484)),N($G484)+N($H484)+N($I484)=0),"",IF(AND($A484&gt;='売掛帳'!$Q$3,$A484&lt;='売掛帳'!$Q$4),$A484+0.5+ROW()/10000000,""))</f>
        <v/>
      </c>
      <c r="R484" s="32">
        <f>IF(AND(OR($A484&lt;&gt;"",$E484&lt;&gt;"",$F484&lt;&gt;"",$G484&lt;&gt;"",$H484&lt;&gt;"",$I484&lt;&gt;""),NOT(ISNUMBER($O484))),1,"")</f>
        <v/>
      </c>
    </row>
    <row r="485" ht="18" customHeight="1">
      <c r="A485" s="26" t="n"/>
      <c r="B485" s="18" t="n"/>
      <c r="C485" s="18" t="n"/>
      <c r="D485" s="20">
        <f>IF($P485="","",IFERROR(INDEX('得意先'!$C$5:$C$104,MATCH($P485,'得意先'!$B$5:$B$104,0))&amp;"","※得意先にないコード"))</f>
        <v/>
      </c>
      <c r="E485" s="27" t="n"/>
      <c r="F485" s="18" t="n"/>
      <c r="G485" s="27" t="n"/>
      <c r="H485" s="27" t="n"/>
      <c r="I485" s="27" t="n"/>
      <c r="J485" s="28">
        <f>IF(NOT(OR($A485&lt;&gt;"",$E485&lt;&gt;"",$F485&lt;&gt;"",$G485&lt;&gt;"",$H485&lt;&gt;"",$I485&lt;&gt;"")),"",N($G485)+N($H485)+N($I485))</f>
        <v/>
      </c>
      <c r="K485" s="28">
        <f>IF(ISNUMBER($O485),INDEX('請求台帳'!$R$5:$R$1004,$O485),"")</f>
        <v/>
      </c>
      <c r="L485" s="20">
        <f>IF(NOT(OR($A485&lt;&gt;"",$E485&lt;&gt;"",$F485&lt;&gt;"",$G485&lt;&gt;"",$H485&lt;&gt;"",$I485&lt;&gt;"")),"",IF(NOT(ISNUMBER($A485)),"入金日がありません",IF(AND($F485&lt;&gt;"",$O485="なし"),"請求Noが請求台帳にありません",IF(AND(ISNUMBER($O485),$C485&lt;&gt;"",$C485&lt;&gt;$P485),"請求の得意先は "&amp;$P485&amp;" です",IF(ROUND(IF($B485&lt;&gt;"",SUMIF($B$5:$B$1004,$B485,$E$5:$E$1004)-SUMIF($B$5:$B$1004,$B485,$G$5:$G$1004),N($E485)-N($G485)),0)&lt;&gt;0,"通帳の額と当てた額の差 "&amp;TEXT(IF($B485&lt;&gt;"",SUMIF($B$5:$B$1004,$B485,$E$5:$E$1004)-SUMIF($B$5:$B$1004,$B485,$G$5:$G$1004),N($E485)-N($G485)),"#,##0"),IF(AND(ISNUMBER($O485),N($K485)&lt;0),"請求額より多く消し込んでいます",IF($F485="","消込先が未定","OK")))))))</f>
        <v/>
      </c>
      <c r="M485" s="19" t="n"/>
      <c r="N485" s="56" t="n"/>
      <c r="O485" s="32">
        <f>IF($F485="","",IFERROR(MATCH($F485,'請求台帳'!$A$5:$A$1004,0),"なし"))</f>
        <v/>
      </c>
      <c r="P485" s="37">
        <f>IF(NOT(OR($A485&lt;&gt;"",$E485&lt;&gt;"",$F485&lt;&gt;"",$G485&lt;&gt;"",$H485&lt;&gt;"",$I485&lt;&gt;"")),"",IF(ISNUMBER($O485),IF(INDEX('請求台帳'!$C$5:$C$1004,$O485)="","",INDEX('請求台帳'!$C$5:$C$1004,$O485)),IF($C485="","",$C485)))</f>
        <v/>
      </c>
      <c r="Q485" s="35">
        <f>IF(OR(NOT(OR($A485&lt;&gt;"",$E485&lt;&gt;"",$F485&lt;&gt;"",$G485&lt;&gt;"",$H485&lt;&gt;"",$I485&lt;&gt;"")),$P485="",$P485&lt;&gt;'売掛帳'!$B$3,NOT(ISNUMBER($A485)),N($G485)+N($H485)+N($I485)=0),"",IF(AND($A485&gt;='売掛帳'!$Q$3,$A485&lt;='売掛帳'!$Q$4),$A485+0.5+ROW()/10000000,""))</f>
        <v/>
      </c>
      <c r="R485" s="32">
        <f>IF(AND(OR($A485&lt;&gt;"",$E485&lt;&gt;"",$F485&lt;&gt;"",$G485&lt;&gt;"",$H485&lt;&gt;"",$I485&lt;&gt;""),NOT(ISNUMBER($O485))),1,"")</f>
        <v/>
      </c>
    </row>
    <row r="486" ht="18" customHeight="1">
      <c r="A486" s="26" t="n"/>
      <c r="B486" s="18" t="n"/>
      <c r="C486" s="18" t="n"/>
      <c r="D486" s="20">
        <f>IF($P486="","",IFERROR(INDEX('得意先'!$C$5:$C$104,MATCH($P486,'得意先'!$B$5:$B$104,0))&amp;"","※得意先にないコード"))</f>
        <v/>
      </c>
      <c r="E486" s="27" t="n"/>
      <c r="F486" s="18" t="n"/>
      <c r="G486" s="27" t="n"/>
      <c r="H486" s="27" t="n"/>
      <c r="I486" s="27" t="n"/>
      <c r="J486" s="28">
        <f>IF(NOT(OR($A486&lt;&gt;"",$E486&lt;&gt;"",$F486&lt;&gt;"",$G486&lt;&gt;"",$H486&lt;&gt;"",$I486&lt;&gt;"")),"",N($G486)+N($H486)+N($I486))</f>
        <v/>
      </c>
      <c r="K486" s="28">
        <f>IF(ISNUMBER($O486),INDEX('請求台帳'!$R$5:$R$1004,$O486),"")</f>
        <v/>
      </c>
      <c r="L486" s="20">
        <f>IF(NOT(OR($A486&lt;&gt;"",$E486&lt;&gt;"",$F486&lt;&gt;"",$G486&lt;&gt;"",$H486&lt;&gt;"",$I486&lt;&gt;"")),"",IF(NOT(ISNUMBER($A486)),"入金日がありません",IF(AND($F486&lt;&gt;"",$O486="なし"),"請求Noが請求台帳にありません",IF(AND(ISNUMBER($O486),$C486&lt;&gt;"",$C486&lt;&gt;$P486),"請求の得意先は "&amp;$P486&amp;" です",IF(ROUND(IF($B486&lt;&gt;"",SUMIF($B$5:$B$1004,$B486,$E$5:$E$1004)-SUMIF($B$5:$B$1004,$B486,$G$5:$G$1004),N($E486)-N($G486)),0)&lt;&gt;0,"通帳の額と当てた額の差 "&amp;TEXT(IF($B486&lt;&gt;"",SUMIF($B$5:$B$1004,$B486,$E$5:$E$1004)-SUMIF($B$5:$B$1004,$B486,$G$5:$G$1004),N($E486)-N($G486)),"#,##0"),IF(AND(ISNUMBER($O486),N($K486)&lt;0),"請求額より多く消し込んでいます",IF($F486="","消込先が未定","OK")))))))</f>
        <v/>
      </c>
      <c r="M486" s="19" t="n"/>
      <c r="N486" s="56" t="n"/>
      <c r="O486" s="32">
        <f>IF($F486="","",IFERROR(MATCH($F486,'請求台帳'!$A$5:$A$1004,0),"なし"))</f>
        <v/>
      </c>
      <c r="P486" s="37">
        <f>IF(NOT(OR($A486&lt;&gt;"",$E486&lt;&gt;"",$F486&lt;&gt;"",$G486&lt;&gt;"",$H486&lt;&gt;"",$I486&lt;&gt;"")),"",IF(ISNUMBER($O486),IF(INDEX('請求台帳'!$C$5:$C$1004,$O486)="","",INDEX('請求台帳'!$C$5:$C$1004,$O486)),IF($C486="","",$C486)))</f>
        <v/>
      </c>
      <c r="Q486" s="35">
        <f>IF(OR(NOT(OR($A486&lt;&gt;"",$E486&lt;&gt;"",$F486&lt;&gt;"",$G486&lt;&gt;"",$H486&lt;&gt;"",$I486&lt;&gt;"")),$P486="",$P486&lt;&gt;'売掛帳'!$B$3,NOT(ISNUMBER($A486)),N($G486)+N($H486)+N($I486)=0),"",IF(AND($A486&gt;='売掛帳'!$Q$3,$A486&lt;='売掛帳'!$Q$4),$A486+0.5+ROW()/10000000,""))</f>
        <v/>
      </c>
      <c r="R486" s="32">
        <f>IF(AND(OR($A486&lt;&gt;"",$E486&lt;&gt;"",$F486&lt;&gt;"",$G486&lt;&gt;"",$H486&lt;&gt;"",$I486&lt;&gt;""),NOT(ISNUMBER($O486))),1,"")</f>
        <v/>
      </c>
    </row>
    <row r="487" ht="18" customHeight="1">
      <c r="A487" s="26" t="n"/>
      <c r="B487" s="18" t="n"/>
      <c r="C487" s="18" t="n"/>
      <c r="D487" s="20">
        <f>IF($P487="","",IFERROR(INDEX('得意先'!$C$5:$C$104,MATCH($P487,'得意先'!$B$5:$B$104,0))&amp;"","※得意先にないコード"))</f>
        <v/>
      </c>
      <c r="E487" s="27" t="n"/>
      <c r="F487" s="18" t="n"/>
      <c r="G487" s="27" t="n"/>
      <c r="H487" s="27" t="n"/>
      <c r="I487" s="27" t="n"/>
      <c r="J487" s="28">
        <f>IF(NOT(OR($A487&lt;&gt;"",$E487&lt;&gt;"",$F487&lt;&gt;"",$G487&lt;&gt;"",$H487&lt;&gt;"",$I487&lt;&gt;"")),"",N($G487)+N($H487)+N($I487))</f>
        <v/>
      </c>
      <c r="K487" s="28">
        <f>IF(ISNUMBER($O487),INDEX('請求台帳'!$R$5:$R$1004,$O487),"")</f>
        <v/>
      </c>
      <c r="L487" s="20">
        <f>IF(NOT(OR($A487&lt;&gt;"",$E487&lt;&gt;"",$F487&lt;&gt;"",$G487&lt;&gt;"",$H487&lt;&gt;"",$I487&lt;&gt;"")),"",IF(NOT(ISNUMBER($A487)),"入金日がありません",IF(AND($F487&lt;&gt;"",$O487="なし"),"請求Noが請求台帳にありません",IF(AND(ISNUMBER($O487),$C487&lt;&gt;"",$C487&lt;&gt;$P487),"請求の得意先は "&amp;$P487&amp;" です",IF(ROUND(IF($B487&lt;&gt;"",SUMIF($B$5:$B$1004,$B487,$E$5:$E$1004)-SUMIF($B$5:$B$1004,$B487,$G$5:$G$1004),N($E487)-N($G487)),0)&lt;&gt;0,"通帳の額と当てた額の差 "&amp;TEXT(IF($B487&lt;&gt;"",SUMIF($B$5:$B$1004,$B487,$E$5:$E$1004)-SUMIF($B$5:$B$1004,$B487,$G$5:$G$1004),N($E487)-N($G487)),"#,##0"),IF(AND(ISNUMBER($O487),N($K487)&lt;0),"請求額より多く消し込んでいます",IF($F487="","消込先が未定","OK")))))))</f>
        <v/>
      </c>
      <c r="M487" s="19" t="n"/>
      <c r="N487" s="56" t="n"/>
      <c r="O487" s="32">
        <f>IF($F487="","",IFERROR(MATCH($F487,'請求台帳'!$A$5:$A$1004,0),"なし"))</f>
        <v/>
      </c>
      <c r="P487" s="37">
        <f>IF(NOT(OR($A487&lt;&gt;"",$E487&lt;&gt;"",$F487&lt;&gt;"",$G487&lt;&gt;"",$H487&lt;&gt;"",$I487&lt;&gt;"")),"",IF(ISNUMBER($O487),IF(INDEX('請求台帳'!$C$5:$C$1004,$O487)="","",INDEX('請求台帳'!$C$5:$C$1004,$O487)),IF($C487="","",$C487)))</f>
        <v/>
      </c>
      <c r="Q487" s="35">
        <f>IF(OR(NOT(OR($A487&lt;&gt;"",$E487&lt;&gt;"",$F487&lt;&gt;"",$G487&lt;&gt;"",$H487&lt;&gt;"",$I487&lt;&gt;"")),$P487="",$P487&lt;&gt;'売掛帳'!$B$3,NOT(ISNUMBER($A487)),N($G487)+N($H487)+N($I487)=0),"",IF(AND($A487&gt;='売掛帳'!$Q$3,$A487&lt;='売掛帳'!$Q$4),$A487+0.5+ROW()/10000000,""))</f>
        <v/>
      </c>
      <c r="R487" s="32">
        <f>IF(AND(OR($A487&lt;&gt;"",$E487&lt;&gt;"",$F487&lt;&gt;"",$G487&lt;&gt;"",$H487&lt;&gt;"",$I487&lt;&gt;""),NOT(ISNUMBER($O487))),1,"")</f>
        <v/>
      </c>
    </row>
    <row r="488" ht="18" customHeight="1">
      <c r="A488" s="26" t="n"/>
      <c r="B488" s="18" t="n"/>
      <c r="C488" s="18" t="n"/>
      <c r="D488" s="20">
        <f>IF($P488="","",IFERROR(INDEX('得意先'!$C$5:$C$104,MATCH($P488,'得意先'!$B$5:$B$104,0))&amp;"","※得意先にないコード"))</f>
        <v/>
      </c>
      <c r="E488" s="27" t="n"/>
      <c r="F488" s="18" t="n"/>
      <c r="G488" s="27" t="n"/>
      <c r="H488" s="27" t="n"/>
      <c r="I488" s="27" t="n"/>
      <c r="J488" s="28">
        <f>IF(NOT(OR($A488&lt;&gt;"",$E488&lt;&gt;"",$F488&lt;&gt;"",$G488&lt;&gt;"",$H488&lt;&gt;"",$I488&lt;&gt;"")),"",N($G488)+N($H488)+N($I488))</f>
        <v/>
      </c>
      <c r="K488" s="28">
        <f>IF(ISNUMBER($O488),INDEX('請求台帳'!$R$5:$R$1004,$O488),"")</f>
        <v/>
      </c>
      <c r="L488" s="20">
        <f>IF(NOT(OR($A488&lt;&gt;"",$E488&lt;&gt;"",$F488&lt;&gt;"",$G488&lt;&gt;"",$H488&lt;&gt;"",$I488&lt;&gt;"")),"",IF(NOT(ISNUMBER($A488)),"入金日がありません",IF(AND($F488&lt;&gt;"",$O488="なし"),"請求Noが請求台帳にありません",IF(AND(ISNUMBER($O488),$C488&lt;&gt;"",$C488&lt;&gt;$P488),"請求の得意先は "&amp;$P488&amp;" です",IF(ROUND(IF($B488&lt;&gt;"",SUMIF($B$5:$B$1004,$B488,$E$5:$E$1004)-SUMIF($B$5:$B$1004,$B488,$G$5:$G$1004),N($E488)-N($G488)),0)&lt;&gt;0,"通帳の額と当てた額の差 "&amp;TEXT(IF($B488&lt;&gt;"",SUMIF($B$5:$B$1004,$B488,$E$5:$E$1004)-SUMIF($B$5:$B$1004,$B488,$G$5:$G$1004),N($E488)-N($G488)),"#,##0"),IF(AND(ISNUMBER($O488),N($K488)&lt;0),"請求額より多く消し込んでいます",IF($F488="","消込先が未定","OK")))))))</f>
        <v/>
      </c>
      <c r="M488" s="19" t="n"/>
      <c r="N488" s="56" t="n"/>
      <c r="O488" s="32">
        <f>IF($F488="","",IFERROR(MATCH($F488,'請求台帳'!$A$5:$A$1004,0),"なし"))</f>
        <v/>
      </c>
      <c r="P488" s="37">
        <f>IF(NOT(OR($A488&lt;&gt;"",$E488&lt;&gt;"",$F488&lt;&gt;"",$G488&lt;&gt;"",$H488&lt;&gt;"",$I488&lt;&gt;"")),"",IF(ISNUMBER($O488),IF(INDEX('請求台帳'!$C$5:$C$1004,$O488)="","",INDEX('請求台帳'!$C$5:$C$1004,$O488)),IF($C488="","",$C488)))</f>
        <v/>
      </c>
      <c r="Q488" s="35">
        <f>IF(OR(NOT(OR($A488&lt;&gt;"",$E488&lt;&gt;"",$F488&lt;&gt;"",$G488&lt;&gt;"",$H488&lt;&gt;"",$I488&lt;&gt;"")),$P488="",$P488&lt;&gt;'売掛帳'!$B$3,NOT(ISNUMBER($A488)),N($G488)+N($H488)+N($I488)=0),"",IF(AND($A488&gt;='売掛帳'!$Q$3,$A488&lt;='売掛帳'!$Q$4),$A488+0.5+ROW()/10000000,""))</f>
        <v/>
      </c>
      <c r="R488" s="32">
        <f>IF(AND(OR($A488&lt;&gt;"",$E488&lt;&gt;"",$F488&lt;&gt;"",$G488&lt;&gt;"",$H488&lt;&gt;"",$I488&lt;&gt;""),NOT(ISNUMBER($O488))),1,"")</f>
        <v/>
      </c>
    </row>
    <row r="489" ht="18" customHeight="1">
      <c r="A489" s="26" t="n"/>
      <c r="B489" s="18" t="n"/>
      <c r="C489" s="18" t="n"/>
      <c r="D489" s="20">
        <f>IF($P489="","",IFERROR(INDEX('得意先'!$C$5:$C$104,MATCH($P489,'得意先'!$B$5:$B$104,0))&amp;"","※得意先にないコード"))</f>
        <v/>
      </c>
      <c r="E489" s="27" t="n"/>
      <c r="F489" s="18" t="n"/>
      <c r="G489" s="27" t="n"/>
      <c r="H489" s="27" t="n"/>
      <c r="I489" s="27" t="n"/>
      <c r="J489" s="28">
        <f>IF(NOT(OR($A489&lt;&gt;"",$E489&lt;&gt;"",$F489&lt;&gt;"",$G489&lt;&gt;"",$H489&lt;&gt;"",$I489&lt;&gt;"")),"",N($G489)+N($H489)+N($I489))</f>
        <v/>
      </c>
      <c r="K489" s="28">
        <f>IF(ISNUMBER($O489),INDEX('請求台帳'!$R$5:$R$1004,$O489),"")</f>
        <v/>
      </c>
      <c r="L489" s="20">
        <f>IF(NOT(OR($A489&lt;&gt;"",$E489&lt;&gt;"",$F489&lt;&gt;"",$G489&lt;&gt;"",$H489&lt;&gt;"",$I489&lt;&gt;"")),"",IF(NOT(ISNUMBER($A489)),"入金日がありません",IF(AND($F489&lt;&gt;"",$O489="なし"),"請求Noが請求台帳にありません",IF(AND(ISNUMBER($O489),$C489&lt;&gt;"",$C489&lt;&gt;$P489),"請求の得意先は "&amp;$P489&amp;" です",IF(ROUND(IF($B489&lt;&gt;"",SUMIF($B$5:$B$1004,$B489,$E$5:$E$1004)-SUMIF($B$5:$B$1004,$B489,$G$5:$G$1004),N($E489)-N($G489)),0)&lt;&gt;0,"通帳の額と当てた額の差 "&amp;TEXT(IF($B489&lt;&gt;"",SUMIF($B$5:$B$1004,$B489,$E$5:$E$1004)-SUMIF($B$5:$B$1004,$B489,$G$5:$G$1004),N($E489)-N($G489)),"#,##0"),IF(AND(ISNUMBER($O489),N($K489)&lt;0),"請求額より多く消し込んでいます",IF($F489="","消込先が未定","OK")))))))</f>
        <v/>
      </c>
      <c r="M489" s="19" t="n"/>
      <c r="N489" s="56" t="n"/>
      <c r="O489" s="32">
        <f>IF($F489="","",IFERROR(MATCH($F489,'請求台帳'!$A$5:$A$1004,0),"なし"))</f>
        <v/>
      </c>
      <c r="P489" s="37">
        <f>IF(NOT(OR($A489&lt;&gt;"",$E489&lt;&gt;"",$F489&lt;&gt;"",$G489&lt;&gt;"",$H489&lt;&gt;"",$I489&lt;&gt;"")),"",IF(ISNUMBER($O489),IF(INDEX('請求台帳'!$C$5:$C$1004,$O489)="","",INDEX('請求台帳'!$C$5:$C$1004,$O489)),IF($C489="","",$C489)))</f>
        <v/>
      </c>
      <c r="Q489" s="35">
        <f>IF(OR(NOT(OR($A489&lt;&gt;"",$E489&lt;&gt;"",$F489&lt;&gt;"",$G489&lt;&gt;"",$H489&lt;&gt;"",$I489&lt;&gt;"")),$P489="",$P489&lt;&gt;'売掛帳'!$B$3,NOT(ISNUMBER($A489)),N($G489)+N($H489)+N($I489)=0),"",IF(AND($A489&gt;='売掛帳'!$Q$3,$A489&lt;='売掛帳'!$Q$4),$A489+0.5+ROW()/10000000,""))</f>
        <v/>
      </c>
      <c r="R489" s="32">
        <f>IF(AND(OR($A489&lt;&gt;"",$E489&lt;&gt;"",$F489&lt;&gt;"",$G489&lt;&gt;"",$H489&lt;&gt;"",$I489&lt;&gt;""),NOT(ISNUMBER($O489))),1,"")</f>
        <v/>
      </c>
    </row>
    <row r="490" ht="18" customHeight="1">
      <c r="A490" s="26" t="n"/>
      <c r="B490" s="18" t="n"/>
      <c r="C490" s="18" t="n"/>
      <c r="D490" s="20">
        <f>IF($P490="","",IFERROR(INDEX('得意先'!$C$5:$C$104,MATCH($P490,'得意先'!$B$5:$B$104,0))&amp;"","※得意先にないコード"))</f>
        <v/>
      </c>
      <c r="E490" s="27" t="n"/>
      <c r="F490" s="18" t="n"/>
      <c r="G490" s="27" t="n"/>
      <c r="H490" s="27" t="n"/>
      <c r="I490" s="27" t="n"/>
      <c r="J490" s="28">
        <f>IF(NOT(OR($A490&lt;&gt;"",$E490&lt;&gt;"",$F490&lt;&gt;"",$G490&lt;&gt;"",$H490&lt;&gt;"",$I490&lt;&gt;"")),"",N($G490)+N($H490)+N($I490))</f>
        <v/>
      </c>
      <c r="K490" s="28">
        <f>IF(ISNUMBER($O490),INDEX('請求台帳'!$R$5:$R$1004,$O490),"")</f>
        <v/>
      </c>
      <c r="L490" s="20">
        <f>IF(NOT(OR($A490&lt;&gt;"",$E490&lt;&gt;"",$F490&lt;&gt;"",$G490&lt;&gt;"",$H490&lt;&gt;"",$I490&lt;&gt;"")),"",IF(NOT(ISNUMBER($A490)),"入金日がありません",IF(AND($F490&lt;&gt;"",$O490="なし"),"請求Noが請求台帳にありません",IF(AND(ISNUMBER($O490),$C490&lt;&gt;"",$C490&lt;&gt;$P490),"請求の得意先は "&amp;$P490&amp;" です",IF(ROUND(IF($B490&lt;&gt;"",SUMIF($B$5:$B$1004,$B490,$E$5:$E$1004)-SUMIF($B$5:$B$1004,$B490,$G$5:$G$1004),N($E490)-N($G490)),0)&lt;&gt;0,"通帳の額と当てた額の差 "&amp;TEXT(IF($B490&lt;&gt;"",SUMIF($B$5:$B$1004,$B490,$E$5:$E$1004)-SUMIF($B$5:$B$1004,$B490,$G$5:$G$1004),N($E490)-N($G490)),"#,##0"),IF(AND(ISNUMBER($O490),N($K490)&lt;0),"請求額より多く消し込んでいます",IF($F490="","消込先が未定","OK")))))))</f>
        <v/>
      </c>
      <c r="M490" s="19" t="n"/>
      <c r="N490" s="56" t="n"/>
      <c r="O490" s="32">
        <f>IF($F490="","",IFERROR(MATCH($F490,'請求台帳'!$A$5:$A$1004,0),"なし"))</f>
        <v/>
      </c>
      <c r="P490" s="37">
        <f>IF(NOT(OR($A490&lt;&gt;"",$E490&lt;&gt;"",$F490&lt;&gt;"",$G490&lt;&gt;"",$H490&lt;&gt;"",$I490&lt;&gt;"")),"",IF(ISNUMBER($O490),IF(INDEX('請求台帳'!$C$5:$C$1004,$O490)="","",INDEX('請求台帳'!$C$5:$C$1004,$O490)),IF($C490="","",$C490)))</f>
        <v/>
      </c>
      <c r="Q490" s="35">
        <f>IF(OR(NOT(OR($A490&lt;&gt;"",$E490&lt;&gt;"",$F490&lt;&gt;"",$G490&lt;&gt;"",$H490&lt;&gt;"",$I490&lt;&gt;"")),$P490="",$P490&lt;&gt;'売掛帳'!$B$3,NOT(ISNUMBER($A490)),N($G490)+N($H490)+N($I490)=0),"",IF(AND($A490&gt;='売掛帳'!$Q$3,$A490&lt;='売掛帳'!$Q$4),$A490+0.5+ROW()/10000000,""))</f>
        <v/>
      </c>
      <c r="R490" s="32">
        <f>IF(AND(OR($A490&lt;&gt;"",$E490&lt;&gt;"",$F490&lt;&gt;"",$G490&lt;&gt;"",$H490&lt;&gt;"",$I490&lt;&gt;""),NOT(ISNUMBER($O490))),1,"")</f>
        <v/>
      </c>
    </row>
    <row r="491" ht="18" customHeight="1">
      <c r="A491" s="26" t="n"/>
      <c r="B491" s="18" t="n"/>
      <c r="C491" s="18" t="n"/>
      <c r="D491" s="20">
        <f>IF($P491="","",IFERROR(INDEX('得意先'!$C$5:$C$104,MATCH($P491,'得意先'!$B$5:$B$104,0))&amp;"","※得意先にないコード"))</f>
        <v/>
      </c>
      <c r="E491" s="27" t="n"/>
      <c r="F491" s="18" t="n"/>
      <c r="G491" s="27" t="n"/>
      <c r="H491" s="27" t="n"/>
      <c r="I491" s="27" t="n"/>
      <c r="J491" s="28">
        <f>IF(NOT(OR($A491&lt;&gt;"",$E491&lt;&gt;"",$F491&lt;&gt;"",$G491&lt;&gt;"",$H491&lt;&gt;"",$I491&lt;&gt;"")),"",N($G491)+N($H491)+N($I491))</f>
        <v/>
      </c>
      <c r="K491" s="28">
        <f>IF(ISNUMBER($O491),INDEX('請求台帳'!$R$5:$R$1004,$O491),"")</f>
        <v/>
      </c>
      <c r="L491" s="20">
        <f>IF(NOT(OR($A491&lt;&gt;"",$E491&lt;&gt;"",$F491&lt;&gt;"",$G491&lt;&gt;"",$H491&lt;&gt;"",$I491&lt;&gt;"")),"",IF(NOT(ISNUMBER($A491)),"入金日がありません",IF(AND($F491&lt;&gt;"",$O491="なし"),"請求Noが請求台帳にありません",IF(AND(ISNUMBER($O491),$C491&lt;&gt;"",$C491&lt;&gt;$P491),"請求の得意先は "&amp;$P491&amp;" です",IF(ROUND(IF($B491&lt;&gt;"",SUMIF($B$5:$B$1004,$B491,$E$5:$E$1004)-SUMIF($B$5:$B$1004,$B491,$G$5:$G$1004),N($E491)-N($G491)),0)&lt;&gt;0,"通帳の額と当てた額の差 "&amp;TEXT(IF($B491&lt;&gt;"",SUMIF($B$5:$B$1004,$B491,$E$5:$E$1004)-SUMIF($B$5:$B$1004,$B491,$G$5:$G$1004),N($E491)-N($G491)),"#,##0"),IF(AND(ISNUMBER($O491),N($K491)&lt;0),"請求額より多く消し込んでいます",IF($F491="","消込先が未定","OK")))))))</f>
        <v/>
      </c>
      <c r="M491" s="19" t="n"/>
      <c r="N491" s="56" t="n"/>
      <c r="O491" s="32">
        <f>IF($F491="","",IFERROR(MATCH($F491,'請求台帳'!$A$5:$A$1004,0),"なし"))</f>
        <v/>
      </c>
      <c r="P491" s="37">
        <f>IF(NOT(OR($A491&lt;&gt;"",$E491&lt;&gt;"",$F491&lt;&gt;"",$G491&lt;&gt;"",$H491&lt;&gt;"",$I491&lt;&gt;"")),"",IF(ISNUMBER($O491),IF(INDEX('請求台帳'!$C$5:$C$1004,$O491)="","",INDEX('請求台帳'!$C$5:$C$1004,$O491)),IF($C491="","",$C491)))</f>
        <v/>
      </c>
      <c r="Q491" s="35">
        <f>IF(OR(NOT(OR($A491&lt;&gt;"",$E491&lt;&gt;"",$F491&lt;&gt;"",$G491&lt;&gt;"",$H491&lt;&gt;"",$I491&lt;&gt;"")),$P491="",$P491&lt;&gt;'売掛帳'!$B$3,NOT(ISNUMBER($A491)),N($G491)+N($H491)+N($I491)=0),"",IF(AND($A491&gt;='売掛帳'!$Q$3,$A491&lt;='売掛帳'!$Q$4),$A491+0.5+ROW()/10000000,""))</f>
        <v/>
      </c>
      <c r="R491" s="32">
        <f>IF(AND(OR($A491&lt;&gt;"",$E491&lt;&gt;"",$F491&lt;&gt;"",$G491&lt;&gt;"",$H491&lt;&gt;"",$I491&lt;&gt;""),NOT(ISNUMBER($O491))),1,"")</f>
        <v/>
      </c>
    </row>
    <row r="492" ht="18" customHeight="1">
      <c r="A492" s="26" t="n"/>
      <c r="B492" s="18" t="n"/>
      <c r="C492" s="18" t="n"/>
      <c r="D492" s="20">
        <f>IF($P492="","",IFERROR(INDEX('得意先'!$C$5:$C$104,MATCH($P492,'得意先'!$B$5:$B$104,0))&amp;"","※得意先にないコード"))</f>
        <v/>
      </c>
      <c r="E492" s="27" t="n"/>
      <c r="F492" s="18" t="n"/>
      <c r="G492" s="27" t="n"/>
      <c r="H492" s="27" t="n"/>
      <c r="I492" s="27" t="n"/>
      <c r="J492" s="28">
        <f>IF(NOT(OR($A492&lt;&gt;"",$E492&lt;&gt;"",$F492&lt;&gt;"",$G492&lt;&gt;"",$H492&lt;&gt;"",$I492&lt;&gt;"")),"",N($G492)+N($H492)+N($I492))</f>
        <v/>
      </c>
      <c r="K492" s="28">
        <f>IF(ISNUMBER($O492),INDEX('請求台帳'!$R$5:$R$1004,$O492),"")</f>
        <v/>
      </c>
      <c r="L492" s="20">
        <f>IF(NOT(OR($A492&lt;&gt;"",$E492&lt;&gt;"",$F492&lt;&gt;"",$G492&lt;&gt;"",$H492&lt;&gt;"",$I492&lt;&gt;"")),"",IF(NOT(ISNUMBER($A492)),"入金日がありません",IF(AND($F492&lt;&gt;"",$O492="なし"),"請求Noが請求台帳にありません",IF(AND(ISNUMBER($O492),$C492&lt;&gt;"",$C492&lt;&gt;$P492),"請求の得意先は "&amp;$P492&amp;" です",IF(ROUND(IF($B492&lt;&gt;"",SUMIF($B$5:$B$1004,$B492,$E$5:$E$1004)-SUMIF($B$5:$B$1004,$B492,$G$5:$G$1004),N($E492)-N($G492)),0)&lt;&gt;0,"通帳の額と当てた額の差 "&amp;TEXT(IF($B492&lt;&gt;"",SUMIF($B$5:$B$1004,$B492,$E$5:$E$1004)-SUMIF($B$5:$B$1004,$B492,$G$5:$G$1004),N($E492)-N($G492)),"#,##0"),IF(AND(ISNUMBER($O492),N($K492)&lt;0),"請求額より多く消し込んでいます",IF($F492="","消込先が未定","OK")))))))</f>
        <v/>
      </c>
      <c r="M492" s="19" t="n"/>
      <c r="N492" s="56" t="n"/>
      <c r="O492" s="32">
        <f>IF($F492="","",IFERROR(MATCH($F492,'請求台帳'!$A$5:$A$1004,0),"なし"))</f>
        <v/>
      </c>
      <c r="P492" s="37">
        <f>IF(NOT(OR($A492&lt;&gt;"",$E492&lt;&gt;"",$F492&lt;&gt;"",$G492&lt;&gt;"",$H492&lt;&gt;"",$I492&lt;&gt;"")),"",IF(ISNUMBER($O492),IF(INDEX('請求台帳'!$C$5:$C$1004,$O492)="","",INDEX('請求台帳'!$C$5:$C$1004,$O492)),IF($C492="","",$C492)))</f>
        <v/>
      </c>
      <c r="Q492" s="35">
        <f>IF(OR(NOT(OR($A492&lt;&gt;"",$E492&lt;&gt;"",$F492&lt;&gt;"",$G492&lt;&gt;"",$H492&lt;&gt;"",$I492&lt;&gt;"")),$P492="",$P492&lt;&gt;'売掛帳'!$B$3,NOT(ISNUMBER($A492)),N($G492)+N($H492)+N($I492)=0),"",IF(AND($A492&gt;='売掛帳'!$Q$3,$A492&lt;='売掛帳'!$Q$4),$A492+0.5+ROW()/10000000,""))</f>
        <v/>
      </c>
      <c r="R492" s="32">
        <f>IF(AND(OR($A492&lt;&gt;"",$E492&lt;&gt;"",$F492&lt;&gt;"",$G492&lt;&gt;"",$H492&lt;&gt;"",$I492&lt;&gt;""),NOT(ISNUMBER($O492))),1,"")</f>
        <v/>
      </c>
    </row>
    <row r="493" ht="18" customHeight="1">
      <c r="A493" s="26" t="n"/>
      <c r="B493" s="18" t="n"/>
      <c r="C493" s="18" t="n"/>
      <c r="D493" s="20">
        <f>IF($P493="","",IFERROR(INDEX('得意先'!$C$5:$C$104,MATCH($P493,'得意先'!$B$5:$B$104,0))&amp;"","※得意先にないコード"))</f>
        <v/>
      </c>
      <c r="E493" s="27" t="n"/>
      <c r="F493" s="18" t="n"/>
      <c r="G493" s="27" t="n"/>
      <c r="H493" s="27" t="n"/>
      <c r="I493" s="27" t="n"/>
      <c r="J493" s="28">
        <f>IF(NOT(OR($A493&lt;&gt;"",$E493&lt;&gt;"",$F493&lt;&gt;"",$G493&lt;&gt;"",$H493&lt;&gt;"",$I493&lt;&gt;"")),"",N($G493)+N($H493)+N($I493))</f>
        <v/>
      </c>
      <c r="K493" s="28">
        <f>IF(ISNUMBER($O493),INDEX('請求台帳'!$R$5:$R$1004,$O493),"")</f>
        <v/>
      </c>
      <c r="L493" s="20">
        <f>IF(NOT(OR($A493&lt;&gt;"",$E493&lt;&gt;"",$F493&lt;&gt;"",$G493&lt;&gt;"",$H493&lt;&gt;"",$I493&lt;&gt;"")),"",IF(NOT(ISNUMBER($A493)),"入金日がありません",IF(AND($F493&lt;&gt;"",$O493="なし"),"請求Noが請求台帳にありません",IF(AND(ISNUMBER($O493),$C493&lt;&gt;"",$C493&lt;&gt;$P493),"請求の得意先は "&amp;$P493&amp;" です",IF(ROUND(IF($B493&lt;&gt;"",SUMIF($B$5:$B$1004,$B493,$E$5:$E$1004)-SUMIF($B$5:$B$1004,$B493,$G$5:$G$1004),N($E493)-N($G493)),0)&lt;&gt;0,"通帳の額と当てた額の差 "&amp;TEXT(IF($B493&lt;&gt;"",SUMIF($B$5:$B$1004,$B493,$E$5:$E$1004)-SUMIF($B$5:$B$1004,$B493,$G$5:$G$1004),N($E493)-N($G493)),"#,##0"),IF(AND(ISNUMBER($O493),N($K493)&lt;0),"請求額より多く消し込んでいます",IF($F493="","消込先が未定","OK")))))))</f>
        <v/>
      </c>
      <c r="M493" s="19" t="n"/>
      <c r="N493" s="56" t="n"/>
      <c r="O493" s="32">
        <f>IF($F493="","",IFERROR(MATCH($F493,'請求台帳'!$A$5:$A$1004,0),"なし"))</f>
        <v/>
      </c>
      <c r="P493" s="37">
        <f>IF(NOT(OR($A493&lt;&gt;"",$E493&lt;&gt;"",$F493&lt;&gt;"",$G493&lt;&gt;"",$H493&lt;&gt;"",$I493&lt;&gt;"")),"",IF(ISNUMBER($O493),IF(INDEX('請求台帳'!$C$5:$C$1004,$O493)="","",INDEX('請求台帳'!$C$5:$C$1004,$O493)),IF($C493="","",$C493)))</f>
        <v/>
      </c>
      <c r="Q493" s="35">
        <f>IF(OR(NOT(OR($A493&lt;&gt;"",$E493&lt;&gt;"",$F493&lt;&gt;"",$G493&lt;&gt;"",$H493&lt;&gt;"",$I493&lt;&gt;"")),$P493="",$P493&lt;&gt;'売掛帳'!$B$3,NOT(ISNUMBER($A493)),N($G493)+N($H493)+N($I493)=0),"",IF(AND($A493&gt;='売掛帳'!$Q$3,$A493&lt;='売掛帳'!$Q$4),$A493+0.5+ROW()/10000000,""))</f>
        <v/>
      </c>
      <c r="R493" s="32">
        <f>IF(AND(OR($A493&lt;&gt;"",$E493&lt;&gt;"",$F493&lt;&gt;"",$G493&lt;&gt;"",$H493&lt;&gt;"",$I493&lt;&gt;""),NOT(ISNUMBER($O493))),1,"")</f>
        <v/>
      </c>
    </row>
    <row r="494" ht="18" customHeight="1">
      <c r="A494" s="26" t="n"/>
      <c r="B494" s="18" t="n"/>
      <c r="C494" s="18" t="n"/>
      <c r="D494" s="20">
        <f>IF($P494="","",IFERROR(INDEX('得意先'!$C$5:$C$104,MATCH($P494,'得意先'!$B$5:$B$104,0))&amp;"","※得意先にないコード"))</f>
        <v/>
      </c>
      <c r="E494" s="27" t="n"/>
      <c r="F494" s="18" t="n"/>
      <c r="G494" s="27" t="n"/>
      <c r="H494" s="27" t="n"/>
      <c r="I494" s="27" t="n"/>
      <c r="J494" s="28">
        <f>IF(NOT(OR($A494&lt;&gt;"",$E494&lt;&gt;"",$F494&lt;&gt;"",$G494&lt;&gt;"",$H494&lt;&gt;"",$I494&lt;&gt;"")),"",N($G494)+N($H494)+N($I494))</f>
        <v/>
      </c>
      <c r="K494" s="28">
        <f>IF(ISNUMBER($O494),INDEX('請求台帳'!$R$5:$R$1004,$O494),"")</f>
        <v/>
      </c>
      <c r="L494" s="20">
        <f>IF(NOT(OR($A494&lt;&gt;"",$E494&lt;&gt;"",$F494&lt;&gt;"",$G494&lt;&gt;"",$H494&lt;&gt;"",$I494&lt;&gt;"")),"",IF(NOT(ISNUMBER($A494)),"入金日がありません",IF(AND($F494&lt;&gt;"",$O494="なし"),"請求Noが請求台帳にありません",IF(AND(ISNUMBER($O494),$C494&lt;&gt;"",$C494&lt;&gt;$P494),"請求の得意先は "&amp;$P494&amp;" です",IF(ROUND(IF($B494&lt;&gt;"",SUMIF($B$5:$B$1004,$B494,$E$5:$E$1004)-SUMIF($B$5:$B$1004,$B494,$G$5:$G$1004),N($E494)-N($G494)),0)&lt;&gt;0,"通帳の額と当てた額の差 "&amp;TEXT(IF($B494&lt;&gt;"",SUMIF($B$5:$B$1004,$B494,$E$5:$E$1004)-SUMIF($B$5:$B$1004,$B494,$G$5:$G$1004),N($E494)-N($G494)),"#,##0"),IF(AND(ISNUMBER($O494),N($K494)&lt;0),"請求額より多く消し込んでいます",IF($F494="","消込先が未定","OK")))))))</f>
        <v/>
      </c>
      <c r="M494" s="19" t="n"/>
      <c r="N494" s="56" t="n"/>
      <c r="O494" s="32">
        <f>IF($F494="","",IFERROR(MATCH($F494,'請求台帳'!$A$5:$A$1004,0),"なし"))</f>
        <v/>
      </c>
      <c r="P494" s="37">
        <f>IF(NOT(OR($A494&lt;&gt;"",$E494&lt;&gt;"",$F494&lt;&gt;"",$G494&lt;&gt;"",$H494&lt;&gt;"",$I494&lt;&gt;"")),"",IF(ISNUMBER($O494),IF(INDEX('請求台帳'!$C$5:$C$1004,$O494)="","",INDEX('請求台帳'!$C$5:$C$1004,$O494)),IF($C494="","",$C494)))</f>
        <v/>
      </c>
      <c r="Q494" s="35">
        <f>IF(OR(NOT(OR($A494&lt;&gt;"",$E494&lt;&gt;"",$F494&lt;&gt;"",$G494&lt;&gt;"",$H494&lt;&gt;"",$I494&lt;&gt;"")),$P494="",$P494&lt;&gt;'売掛帳'!$B$3,NOT(ISNUMBER($A494)),N($G494)+N($H494)+N($I494)=0),"",IF(AND($A494&gt;='売掛帳'!$Q$3,$A494&lt;='売掛帳'!$Q$4),$A494+0.5+ROW()/10000000,""))</f>
        <v/>
      </c>
      <c r="R494" s="32">
        <f>IF(AND(OR($A494&lt;&gt;"",$E494&lt;&gt;"",$F494&lt;&gt;"",$G494&lt;&gt;"",$H494&lt;&gt;"",$I494&lt;&gt;""),NOT(ISNUMBER($O494))),1,"")</f>
        <v/>
      </c>
    </row>
    <row r="495" ht="18" customHeight="1">
      <c r="A495" s="26" t="n"/>
      <c r="B495" s="18" t="n"/>
      <c r="C495" s="18" t="n"/>
      <c r="D495" s="20">
        <f>IF($P495="","",IFERROR(INDEX('得意先'!$C$5:$C$104,MATCH($P495,'得意先'!$B$5:$B$104,0))&amp;"","※得意先にないコード"))</f>
        <v/>
      </c>
      <c r="E495" s="27" t="n"/>
      <c r="F495" s="18" t="n"/>
      <c r="G495" s="27" t="n"/>
      <c r="H495" s="27" t="n"/>
      <c r="I495" s="27" t="n"/>
      <c r="J495" s="28">
        <f>IF(NOT(OR($A495&lt;&gt;"",$E495&lt;&gt;"",$F495&lt;&gt;"",$G495&lt;&gt;"",$H495&lt;&gt;"",$I495&lt;&gt;"")),"",N($G495)+N($H495)+N($I495))</f>
        <v/>
      </c>
      <c r="K495" s="28">
        <f>IF(ISNUMBER($O495),INDEX('請求台帳'!$R$5:$R$1004,$O495),"")</f>
        <v/>
      </c>
      <c r="L495" s="20">
        <f>IF(NOT(OR($A495&lt;&gt;"",$E495&lt;&gt;"",$F495&lt;&gt;"",$G495&lt;&gt;"",$H495&lt;&gt;"",$I495&lt;&gt;"")),"",IF(NOT(ISNUMBER($A495)),"入金日がありません",IF(AND($F495&lt;&gt;"",$O495="なし"),"請求Noが請求台帳にありません",IF(AND(ISNUMBER($O495),$C495&lt;&gt;"",$C495&lt;&gt;$P495),"請求の得意先は "&amp;$P495&amp;" です",IF(ROUND(IF($B495&lt;&gt;"",SUMIF($B$5:$B$1004,$B495,$E$5:$E$1004)-SUMIF($B$5:$B$1004,$B495,$G$5:$G$1004),N($E495)-N($G495)),0)&lt;&gt;0,"通帳の額と当てた額の差 "&amp;TEXT(IF($B495&lt;&gt;"",SUMIF($B$5:$B$1004,$B495,$E$5:$E$1004)-SUMIF($B$5:$B$1004,$B495,$G$5:$G$1004),N($E495)-N($G495)),"#,##0"),IF(AND(ISNUMBER($O495),N($K495)&lt;0),"請求額より多く消し込んでいます",IF($F495="","消込先が未定","OK")))))))</f>
        <v/>
      </c>
      <c r="M495" s="19" t="n"/>
      <c r="N495" s="56" t="n"/>
      <c r="O495" s="32">
        <f>IF($F495="","",IFERROR(MATCH($F495,'請求台帳'!$A$5:$A$1004,0),"なし"))</f>
        <v/>
      </c>
      <c r="P495" s="37">
        <f>IF(NOT(OR($A495&lt;&gt;"",$E495&lt;&gt;"",$F495&lt;&gt;"",$G495&lt;&gt;"",$H495&lt;&gt;"",$I495&lt;&gt;"")),"",IF(ISNUMBER($O495),IF(INDEX('請求台帳'!$C$5:$C$1004,$O495)="","",INDEX('請求台帳'!$C$5:$C$1004,$O495)),IF($C495="","",$C495)))</f>
        <v/>
      </c>
      <c r="Q495" s="35">
        <f>IF(OR(NOT(OR($A495&lt;&gt;"",$E495&lt;&gt;"",$F495&lt;&gt;"",$G495&lt;&gt;"",$H495&lt;&gt;"",$I495&lt;&gt;"")),$P495="",$P495&lt;&gt;'売掛帳'!$B$3,NOT(ISNUMBER($A495)),N($G495)+N($H495)+N($I495)=0),"",IF(AND($A495&gt;='売掛帳'!$Q$3,$A495&lt;='売掛帳'!$Q$4),$A495+0.5+ROW()/10000000,""))</f>
        <v/>
      </c>
      <c r="R495" s="32">
        <f>IF(AND(OR($A495&lt;&gt;"",$E495&lt;&gt;"",$F495&lt;&gt;"",$G495&lt;&gt;"",$H495&lt;&gt;"",$I495&lt;&gt;""),NOT(ISNUMBER($O495))),1,"")</f>
        <v/>
      </c>
    </row>
    <row r="496" ht="18" customHeight="1">
      <c r="A496" s="26" t="n"/>
      <c r="B496" s="18" t="n"/>
      <c r="C496" s="18" t="n"/>
      <c r="D496" s="20">
        <f>IF($P496="","",IFERROR(INDEX('得意先'!$C$5:$C$104,MATCH($P496,'得意先'!$B$5:$B$104,0))&amp;"","※得意先にないコード"))</f>
        <v/>
      </c>
      <c r="E496" s="27" t="n"/>
      <c r="F496" s="18" t="n"/>
      <c r="G496" s="27" t="n"/>
      <c r="H496" s="27" t="n"/>
      <c r="I496" s="27" t="n"/>
      <c r="J496" s="28">
        <f>IF(NOT(OR($A496&lt;&gt;"",$E496&lt;&gt;"",$F496&lt;&gt;"",$G496&lt;&gt;"",$H496&lt;&gt;"",$I496&lt;&gt;"")),"",N($G496)+N($H496)+N($I496))</f>
        <v/>
      </c>
      <c r="K496" s="28">
        <f>IF(ISNUMBER($O496),INDEX('請求台帳'!$R$5:$R$1004,$O496),"")</f>
        <v/>
      </c>
      <c r="L496" s="20">
        <f>IF(NOT(OR($A496&lt;&gt;"",$E496&lt;&gt;"",$F496&lt;&gt;"",$G496&lt;&gt;"",$H496&lt;&gt;"",$I496&lt;&gt;"")),"",IF(NOT(ISNUMBER($A496)),"入金日がありません",IF(AND($F496&lt;&gt;"",$O496="なし"),"請求Noが請求台帳にありません",IF(AND(ISNUMBER($O496),$C496&lt;&gt;"",$C496&lt;&gt;$P496),"請求の得意先は "&amp;$P496&amp;" です",IF(ROUND(IF($B496&lt;&gt;"",SUMIF($B$5:$B$1004,$B496,$E$5:$E$1004)-SUMIF($B$5:$B$1004,$B496,$G$5:$G$1004),N($E496)-N($G496)),0)&lt;&gt;0,"通帳の額と当てた額の差 "&amp;TEXT(IF($B496&lt;&gt;"",SUMIF($B$5:$B$1004,$B496,$E$5:$E$1004)-SUMIF($B$5:$B$1004,$B496,$G$5:$G$1004),N($E496)-N($G496)),"#,##0"),IF(AND(ISNUMBER($O496),N($K496)&lt;0),"請求額より多く消し込んでいます",IF($F496="","消込先が未定","OK")))))))</f>
        <v/>
      </c>
      <c r="M496" s="19" t="n"/>
      <c r="N496" s="56" t="n"/>
      <c r="O496" s="32">
        <f>IF($F496="","",IFERROR(MATCH($F496,'請求台帳'!$A$5:$A$1004,0),"なし"))</f>
        <v/>
      </c>
      <c r="P496" s="37">
        <f>IF(NOT(OR($A496&lt;&gt;"",$E496&lt;&gt;"",$F496&lt;&gt;"",$G496&lt;&gt;"",$H496&lt;&gt;"",$I496&lt;&gt;"")),"",IF(ISNUMBER($O496),IF(INDEX('請求台帳'!$C$5:$C$1004,$O496)="","",INDEX('請求台帳'!$C$5:$C$1004,$O496)),IF($C496="","",$C496)))</f>
        <v/>
      </c>
      <c r="Q496" s="35">
        <f>IF(OR(NOT(OR($A496&lt;&gt;"",$E496&lt;&gt;"",$F496&lt;&gt;"",$G496&lt;&gt;"",$H496&lt;&gt;"",$I496&lt;&gt;"")),$P496="",$P496&lt;&gt;'売掛帳'!$B$3,NOT(ISNUMBER($A496)),N($G496)+N($H496)+N($I496)=0),"",IF(AND($A496&gt;='売掛帳'!$Q$3,$A496&lt;='売掛帳'!$Q$4),$A496+0.5+ROW()/10000000,""))</f>
        <v/>
      </c>
      <c r="R496" s="32">
        <f>IF(AND(OR($A496&lt;&gt;"",$E496&lt;&gt;"",$F496&lt;&gt;"",$G496&lt;&gt;"",$H496&lt;&gt;"",$I496&lt;&gt;""),NOT(ISNUMBER($O496))),1,"")</f>
        <v/>
      </c>
    </row>
    <row r="497" ht="18" customHeight="1">
      <c r="A497" s="26" t="n"/>
      <c r="B497" s="18" t="n"/>
      <c r="C497" s="18" t="n"/>
      <c r="D497" s="20">
        <f>IF($P497="","",IFERROR(INDEX('得意先'!$C$5:$C$104,MATCH($P497,'得意先'!$B$5:$B$104,0))&amp;"","※得意先にないコード"))</f>
        <v/>
      </c>
      <c r="E497" s="27" t="n"/>
      <c r="F497" s="18" t="n"/>
      <c r="G497" s="27" t="n"/>
      <c r="H497" s="27" t="n"/>
      <c r="I497" s="27" t="n"/>
      <c r="J497" s="28">
        <f>IF(NOT(OR($A497&lt;&gt;"",$E497&lt;&gt;"",$F497&lt;&gt;"",$G497&lt;&gt;"",$H497&lt;&gt;"",$I497&lt;&gt;"")),"",N($G497)+N($H497)+N($I497))</f>
        <v/>
      </c>
      <c r="K497" s="28">
        <f>IF(ISNUMBER($O497),INDEX('請求台帳'!$R$5:$R$1004,$O497),"")</f>
        <v/>
      </c>
      <c r="L497" s="20">
        <f>IF(NOT(OR($A497&lt;&gt;"",$E497&lt;&gt;"",$F497&lt;&gt;"",$G497&lt;&gt;"",$H497&lt;&gt;"",$I497&lt;&gt;"")),"",IF(NOT(ISNUMBER($A497)),"入金日がありません",IF(AND($F497&lt;&gt;"",$O497="なし"),"請求Noが請求台帳にありません",IF(AND(ISNUMBER($O497),$C497&lt;&gt;"",$C497&lt;&gt;$P497),"請求の得意先は "&amp;$P497&amp;" です",IF(ROUND(IF($B497&lt;&gt;"",SUMIF($B$5:$B$1004,$B497,$E$5:$E$1004)-SUMIF($B$5:$B$1004,$B497,$G$5:$G$1004),N($E497)-N($G497)),0)&lt;&gt;0,"通帳の額と当てた額の差 "&amp;TEXT(IF($B497&lt;&gt;"",SUMIF($B$5:$B$1004,$B497,$E$5:$E$1004)-SUMIF($B$5:$B$1004,$B497,$G$5:$G$1004),N($E497)-N($G497)),"#,##0"),IF(AND(ISNUMBER($O497),N($K497)&lt;0),"請求額より多く消し込んでいます",IF($F497="","消込先が未定","OK")))))))</f>
        <v/>
      </c>
      <c r="M497" s="19" t="n"/>
      <c r="N497" s="56" t="n"/>
      <c r="O497" s="32">
        <f>IF($F497="","",IFERROR(MATCH($F497,'請求台帳'!$A$5:$A$1004,0),"なし"))</f>
        <v/>
      </c>
      <c r="P497" s="37">
        <f>IF(NOT(OR($A497&lt;&gt;"",$E497&lt;&gt;"",$F497&lt;&gt;"",$G497&lt;&gt;"",$H497&lt;&gt;"",$I497&lt;&gt;"")),"",IF(ISNUMBER($O497),IF(INDEX('請求台帳'!$C$5:$C$1004,$O497)="","",INDEX('請求台帳'!$C$5:$C$1004,$O497)),IF($C497="","",$C497)))</f>
        <v/>
      </c>
      <c r="Q497" s="35">
        <f>IF(OR(NOT(OR($A497&lt;&gt;"",$E497&lt;&gt;"",$F497&lt;&gt;"",$G497&lt;&gt;"",$H497&lt;&gt;"",$I497&lt;&gt;"")),$P497="",$P497&lt;&gt;'売掛帳'!$B$3,NOT(ISNUMBER($A497)),N($G497)+N($H497)+N($I497)=0),"",IF(AND($A497&gt;='売掛帳'!$Q$3,$A497&lt;='売掛帳'!$Q$4),$A497+0.5+ROW()/10000000,""))</f>
        <v/>
      </c>
      <c r="R497" s="32">
        <f>IF(AND(OR($A497&lt;&gt;"",$E497&lt;&gt;"",$F497&lt;&gt;"",$G497&lt;&gt;"",$H497&lt;&gt;"",$I497&lt;&gt;""),NOT(ISNUMBER($O497))),1,"")</f>
        <v/>
      </c>
    </row>
    <row r="498" ht="18" customHeight="1">
      <c r="A498" s="26" t="n"/>
      <c r="B498" s="18" t="n"/>
      <c r="C498" s="18" t="n"/>
      <c r="D498" s="20">
        <f>IF($P498="","",IFERROR(INDEX('得意先'!$C$5:$C$104,MATCH($P498,'得意先'!$B$5:$B$104,0))&amp;"","※得意先にないコード"))</f>
        <v/>
      </c>
      <c r="E498" s="27" t="n"/>
      <c r="F498" s="18" t="n"/>
      <c r="G498" s="27" t="n"/>
      <c r="H498" s="27" t="n"/>
      <c r="I498" s="27" t="n"/>
      <c r="J498" s="28">
        <f>IF(NOT(OR($A498&lt;&gt;"",$E498&lt;&gt;"",$F498&lt;&gt;"",$G498&lt;&gt;"",$H498&lt;&gt;"",$I498&lt;&gt;"")),"",N($G498)+N($H498)+N($I498))</f>
        <v/>
      </c>
      <c r="K498" s="28">
        <f>IF(ISNUMBER($O498),INDEX('請求台帳'!$R$5:$R$1004,$O498),"")</f>
        <v/>
      </c>
      <c r="L498" s="20">
        <f>IF(NOT(OR($A498&lt;&gt;"",$E498&lt;&gt;"",$F498&lt;&gt;"",$G498&lt;&gt;"",$H498&lt;&gt;"",$I498&lt;&gt;"")),"",IF(NOT(ISNUMBER($A498)),"入金日がありません",IF(AND($F498&lt;&gt;"",$O498="なし"),"請求Noが請求台帳にありません",IF(AND(ISNUMBER($O498),$C498&lt;&gt;"",$C498&lt;&gt;$P498),"請求の得意先は "&amp;$P498&amp;" です",IF(ROUND(IF($B498&lt;&gt;"",SUMIF($B$5:$B$1004,$B498,$E$5:$E$1004)-SUMIF($B$5:$B$1004,$B498,$G$5:$G$1004),N($E498)-N($G498)),0)&lt;&gt;0,"通帳の額と当てた額の差 "&amp;TEXT(IF($B498&lt;&gt;"",SUMIF($B$5:$B$1004,$B498,$E$5:$E$1004)-SUMIF($B$5:$B$1004,$B498,$G$5:$G$1004),N($E498)-N($G498)),"#,##0"),IF(AND(ISNUMBER($O498),N($K498)&lt;0),"請求額より多く消し込んでいます",IF($F498="","消込先が未定","OK")))))))</f>
        <v/>
      </c>
      <c r="M498" s="19" t="n"/>
      <c r="N498" s="56" t="n"/>
      <c r="O498" s="32">
        <f>IF($F498="","",IFERROR(MATCH($F498,'請求台帳'!$A$5:$A$1004,0),"なし"))</f>
        <v/>
      </c>
      <c r="P498" s="37">
        <f>IF(NOT(OR($A498&lt;&gt;"",$E498&lt;&gt;"",$F498&lt;&gt;"",$G498&lt;&gt;"",$H498&lt;&gt;"",$I498&lt;&gt;"")),"",IF(ISNUMBER($O498),IF(INDEX('請求台帳'!$C$5:$C$1004,$O498)="","",INDEX('請求台帳'!$C$5:$C$1004,$O498)),IF($C498="","",$C498)))</f>
        <v/>
      </c>
      <c r="Q498" s="35">
        <f>IF(OR(NOT(OR($A498&lt;&gt;"",$E498&lt;&gt;"",$F498&lt;&gt;"",$G498&lt;&gt;"",$H498&lt;&gt;"",$I498&lt;&gt;"")),$P498="",$P498&lt;&gt;'売掛帳'!$B$3,NOT(ISNUMBER($A498)),N($G498)+N($H498)+N($I498)=0),"",IF(AND($A498&gt;='売掛帳'!$Q$3,$A498&lt;='売掛帳'!$Q$4),$A498+0.5+ROW()/10000000,""))</f>
        <v/>
      </c>
      <c r="R498" s="32">
        <f>IF(AND(OR($A498&lt;&gt;"",$E498&lt;&gt;"",$F498&lt;&gt;"",$G498&lt;&gt;"",$H498&lt;&gt;"",$I498&lt;&gt;""),NOT(ISNUMBER($O498))),1,"")</f>
        <v/>
      </c>
    </row>
    <row r="499" ht="18" customHeight="1">
      <c r="A499" s="26" t="n"/>
      <c r="B499" s="18" t="n"/>
      <c r="C499" s="18" t="n"/>
      <c r="D499" s="20">
        <f>IF($P499="","",IFERROR(INDEX('得意先'!$C$5:$C$104,MATCH($P499,'得意先'!$B$5:$B$104,0))&amp;"","※得意先にないコード"))</f>
        <v/>
      </c>
      <c r="E499" s="27" t="n"/>
      <c r="F499" s="18" t="n"/>
      <c r="G499" s="27" t="n"/>
      <c r="H499" s="27" t="n"/>
      <c r="I499" s="27" t="n"/>
      <c r="J499" s="28">
        <f>IF(NOT(OR($A499&lt;&gt;"",$E499&lt;&gt;"",$F499&lt;&gt;"",$G499&lt;&gt;"",$H499&lt;&gt;"",$I499&lt;&gt;"")),"",N($G499)+N($H499)+N($I499))</f>
        <v/>
      </c>
      <c r="K499" s="28">
        <f>IF(ISNUMBER($O499),INDEX('請求台帳'!$R$5:$R$1004,$O499),"")</f>
        <v/>
      </c>
      <c r="L499" s="20">
        <f>IF(NOT(OR($A499&lt;&gt;"",$E499&lt;&gt;"",$F499&lt;&gt;"",$G499&lt;&gt;"",$H499&lt;&gt;"",$I499&lt;&gt;"")),"",IF(NOT(ISNUMBER($A499)),"入金日がありません",IF(AND($F499&lt;&gt;"",$O499="なし"),"請求Noが請求台帳にありません",IF(AND(ISNUMBER($O499),$C499&lt;&gt;"",$C499&lt;&gt;$P499),"請求の得意先は "&amp;$P499&amp;" です",IF(ROUND(IF($B499&lt;&gt;"",SUMIF($B$5:$B$1004,$B499,$E$5:$E$1004)-SUMIF($B$5:$B$1004,$B499,$G$5:$G$1004),N($E499)-N($G499)),0)&lt;&gt;0,"通帳の額と当てた額の差 "&amp;TEXT(IF($B499&lt;&gt;"",SUMIF($B$5:$B$1004,$B499,$E$5:$E$1004)-SUMIF($B$5:$B$1004,$B499,$G$5:$G$1004),N($E499)-N($G499)),"#,##0"),IF(AND(ISNUMBER($O499),N($K499)&lt;0),"請求額より多く消し込んでいます",IF($F499="","消込先が未定","OK")))))))</f>
        <v/>
      </c>
      <c r="M499" s="19" t="n"/>
      <c r="N499" s="56" t="n"/>
      <c r="O499" s="32">
        <f>IF($F499="","",IFERROR(MATCH($F499,'請求台帳'!$A$5:$A$1004,0),"なし"))</f>
        <v/>
      </c>
      <c r="P499" s="37">
        <f>IF(NOT(OR($A499&lt;&gt;"",$E499&lt;&gt;"",$F499&lt;&gt;"",$G499&lt;&gt;"",$H499&lt;&gt;"",$I499&lt;&gt;"")),"",IF(ISNUMBER($O499),IF(INDEX('請求台帳'!$C$5:$C$1004,$O499)="","",INDEX('請求台帳'!$C$5:$C$1004,$O499)),IF($C499="","",$C499)))</f>
        <v/>
      </c>
      <c r="Q499" s="35">
        <f>IF(OR(NOT(OR($A499&lt;&gt;"",$E499&lt;&gt;"",$F499&lt;&gt;"",$G499&lt;&gt;"",$H499&lt;&gt;"",$I499&lt;&gt;"")),$P499="",$P499&lt;&gt;'売掛帳'!$B$3,NOT(ISNUMBER($A499)),N($G499)+N($H499)+N($I499)=0),"",IF(AND($A499&gt;='売掛帳'!$Q$3,$A499&lt;='売掛帳'!$Q$4),$A499+0.5+ROW()/10000000,""))</f>
        <v/>
      </c>
      <c r="R499" s="32">
        <f>IF(AND(OR($A499&lt;&gt;"",$E499&lt;&gt;"",$F499&lt;&gt;"",$G499&lt;&gt;"",$H499&lt;&gt;"",$I499&lt;&gt;""),NOT(ISNUMBER($O499))),1,"")</f>
        <v/>
      </c>
    </row>
    <row r="500" ht="18" customHeight="1">
      <c r="A500" s="26" t="n"/>
      <c r="B500" s="18" t="n"/>
      <c r="C500" s="18" t="n"/>
      <c r="D500" s="20">
        <f>IF($P500="","",IFERROR(INDEX('得意先'!$C$5:$C$104,MATCH($P500,'得意先'!$B$5:$B$104,0))&amp;"","※得意先にないコード"))</f>
        <v/>
      </c>
      <c r="E500" s="27" t="n"/>
      <c r="F500" s="18" t="n"/>
      <c r="G500" s="27" t="n"/>
      <c r="H500" s="27" t="n"/>
      <c r="I500" s="27" t="n"/>
      <c r="J500" s="28">
        <f>IF(NOT(OR($A500&lt;&gt;"",$E500&lt;&gt;"",$F500&lt;&gt;"",$G500&lt;&gt;"",$H500&lt;&gt;"",$I500&lt;&gt;"")),"",N($G500)+N($H500)+N($I500))</f>
        <v/>
      </c>
      <c r="K500" s="28">
        <f>IF(ISNUMBER($O500),INDEX('請求台帳'!$R$5:$R$1004,$O500),"")</f>
        <v/>
      </c>
      <c r="L500" s="20">
        <f>IF(NOT(OR($A500&lt;&gt;"",$E500&lt;&gt;"",$F500&lt;&gt;"",$G500&lt;&gt;"",$H500&lt;&gt;"",$I500&lt;&gt;"")),"",IF(NOT(ISNUMBER($A500)),"入金日がありません",IF(AND($F500&lt;&gt;"",$O500="なし"),"請求Noが請求台帳にありません",IF(AND(ISNUMBER($O500),$C500&lt;&gt;"",$C500&lt;&gt;$P500),"請求の得意先は "&amp;$P500&amp;" です",IF(ROUND(IF($B500&lt;&gt;"",SUMIF($B$5:$B$1004,$B500,$E$5:$E$1004)-SUMIF($B$5:$B$1004,$B500,$G$5:$G$1004),N($E500)-N($G500)),0)&lt;&gt;0,"通帳の額と当てた額の差 "&amp;TEXT(IF($B500&lt;&gt;"",SUMIF($B$5:$B$1004,$B500,$E$5:$E$1004)-SUMIF($B$5:$B$1004,$B500,$G$5:$G$1004),N($E500)-N($G500)),"#,##0"),IF(AND(ISNUMBER($O500),N($K500)&lt;0),"請求額より多く消し込んでいます",IF($F500="","消込先が未定","OK")))))))</f>
        <v/>
      </c>
      <c r="M500" s="19" t="n"/>
      <c r="N500" s="56" t="n"/>
      <c r="O500" s="32">
        <f>IF($F500="","",IFERROR(MATCH($F500,'請求台帳'!$A$5:$A$1004,0),"なし"))</f>
        <v/>
      </c>
      <c r="P500" s="37">
        <f>IF(NOT(OR($A500&lt;&gt;"",$E500&lt;&gt;"",$F500&lt;&gt;"",$G500&lt;&gt;"",$H500&lt;&gt;"",$I500&lt;&gt;"")),"",IF(ISNUMBER($O500),IF(INDEX('請求台帳'!$C$5:$C$1004,$O500)="","",INDEX('請求台帳'!$C$5:$C$1004,$O500)),IF($C500="","",$C500)))</f>
        <v/>
      </c>
      <c r="Q500" s="35">
        <f>IF(OR(NOT(OR($A500&lt;&gt;"",$E500&lt;&gt;"",$F500&lt;&gt;"",$G500&lt;&gt;"",$H500&lt;&gt;"",$I500&lt;&gt;"")),$P500="",$P500&lt;&gt;'売掛帳'!$B$3,NOT(ISNUMBER($A500)),N($G500)+N($H500)+N($I500)=0),"",IF(AND($A500&gt;='売掛帳'!$Q$3,$A500&lt;='売掛帳'!$Q$4),$A500+0.5+ROW()/10000000,""))</f>
        <v/>
      </c>
      <c r="R500" s="32">
        <f>IF(AND(OR($A500&lt;&gt;"",$E500&lt;&gt;"",$F500&lt;&gt;"",$G500&lt;&gt;"",$H500&lt;&gt;"",$I500&lt;&gt;""),NOT(ISNUMBER($O500))),1,"")</f>
        <v/>
      </c>
    </row>
    <row r="501" ht="18" customHeight="1">
      <c r="A501" s="26" t="n"/>
      <c r="B501" s="18" t="n"/>
      <c r="C501" s="18" t="n"/>
      <c r="D501" s="20">
        <f>IF($P501="","",IFERROR(INDEX('得意先'!$C$5:$C$104,MATCH($P501,'得意先'!$B$5:$B$104,0))&amp;"","※得意先にないコード"))</f>
        <v/>
      </c>
      <c r="E501" s="27" t="n"/>
      <c r="F501" s="18" t="n"/>
      <c r="G501" s="27" t="n"/>
      <c r="H501" s="27" t="n"/>
      <c r="I501" s="27" t="n"/>
      <c r="J501" s="28">
        <f>IF(NOT(OR($A501&lt;&gt;"",$E501&lt;&gt;"",$F501&lt;&gt;"",$G501&lt;&gt;"",$H501&lt;&gt;"",$I501&lt;&gt;"")),"",N($G501)+N($H501)+N($I501))</f>
        <v/>
      </c>
      <c r="K501" s="28">
        <f>IF(ISNUMBER($O501),INDEX('請求台帳'!$R$5:$R$1004,$O501),"")</f>
        <v/>
      </c>
      <c r="L501" s="20">
        <f>IF(NOT(OR($A501&lt;&gt;"",$E501&lt;&gt;"",$F501&lt;&gt;"",$G501&lt;&gt;"",$H501&lt;&gt;"",$I501&lt;&gt;"")),"",IF(NOT(ISNUMBER($A501)),"入金日がありません",IF(AND($F501&lt;&gt;"",$O501="なし"),"請求Noが請求台帳にありません",IF(AND(ISNUMBER($O501),$C501&lt;&gt;"",$C501&lt;&gt;$P501),"請求の得意先は "&amp;$P501&amp;" です",IF(ROUND(IF($B501&lt;&gt;"",SUMIF($B$5:$B$1004,$B501,$E$5:$E$1004)-SUMIF($B$5:$B$1004,$B501,$G$5:$G$1004),N($E501)-N($G501)),0)&lt;&gt;0,"通帳の額と当てた額の差 "&amp;TEXT(IF($B501&lt;&gt;"",SUMIF($B$5:$B$1004,$B501,$E$5:$E$1004)-SUMIF($B$5:$B$1004,$B501,$G$5:$G$1004),N($E501)-N($G501)),"#,##0"),IF(AND(ISNUMBER($O501),N($K501)&lt;0),"請求額より多く消し込んでいます",IF($F501="","消込先が未定","OK")))))))</f>
        <v/>
      </c>
      <c r="M501" s="19" t="n"/>
      <c r="N501" s="56" t="n"/>
      <c r="O501" s="32">
        <f>IF($F501="","",IFERROR(MATCH($F501,'請求台帳'!$A$5:$A$1004,0),"なし"))</f>
        <v/>
      </c>
      <c r="P501" s="37">
        <f>IF(NOT(OR($A501&lt;&gt;"",$E501&lt;&gt;"",$F501&lt;&gt;"",$G501&lt;&gt;"",$H501&lt;&gt;"",$I501&lt;&gt;"")),"",IF(ISNUMBER($O501),IF(INDEX('請求台帳'!$C$5:$C$1004,$O501)="","",INDEX('請求台帳'!$C$5:$C$1004,$O501)),IF($C501="","",$C501)))</f>
        <v/>
      </c>
      <c r="Q501" s="35">
        <f>IF(OR(NOT(OR($A501&lt;&gt;"",$E501&lt;&gt;"",$F501&lt;&gt;"",$G501&lt;&gt;"",$H501&lt;&gt;"",$I501&lt;&gt;"")),$P501="",$P501&lt;&gt;'売掛帳'!$B$3,NOT(ISNUMBER($A501)),N($G501)+N($H501)+N($I501)=0),"",IF(AND($A501&gt;='売掛帳'!$Q$3,$A501&lt;='売掛帳'!$Q$4),$A501+0.5+ROW()/10000000,""))</f>
        <v/>
      </c>
      <c r="R501" s="32">
        <f>IF(AND(OR($A501&lt;&gt;"",$E501&lt;&gt;"",$F501&lt;&gt;"",$G501&lt;&gt;"",$H501&lt;&gt;"",$I501&lt;&gt;""),NOT(ISNUMBER($O501))),1,"")</f>
        <v/>
      </c>
    </row>
    <row r="502" ht="18" customHeight="1">
      <c r="A502" s="26" t="n"/>
      <c r="B502" s="18" t="n"/>
      <c r="C502" s="18" t="n"/>
      <c r="D502" s="20">
        <f>IF($P502="","",IFERROR(INDEX('得意先'!$C$5:$C$104,MATCH($P502,'得意先'!$B$5:$B$104,0))&amp;"","※得意先にないコード"))</f>
        <v/>
      </c>
      <c r="E502" s="27" t="n"/>
      <c r="F502" s="18" t="n"/>
      <c r="G502" s="27" t="n"/>
      <c r="H502" s="27" t="n"/>
      <c r="I502" s="27" t="n"/>
      <c r="J502" s="28">
        <f>IF(NOT(OR($A502&lt;&gt;"",$E502&lt;&gt;"",$F502&lt;&gt;"",$G502&lt;&gt;"",$H502&lt;&gt;"",$I502&lt;&gt;"")),"",N($G502)+N($H502)+N($I502))</f>
        <v/>
      </c>
      <c r="K502" s="28">
        <f>IF(ISNUMBER($O502),INDEX('請求台帳'!$R$5:$R$1004,$O502),"")</f>
        <v/>
      </c>
      <c r="L502" s="20">
        <f>IF(NOT(OR($A502&lt;&gt;"",$E502&lt;&gt;"",$F502&lt;&gt;"",$G502&lt;&gt;"",$H502&lt;&gt;"",$I502&lt;&gt;"")),"",IF(NOT(ISNUMBER($A502)),"入金日がありません",IF(AND($F502&lt;&gt;"",$O502="なし"),"請求Noが請求台帳にありません",IF(AND(ISNUMBER($O502),$C502&lt;&gt;"",$C502&lt;&gt;$P502),"請求の得意先は "&amp;$P502&amp;" です",IF(ROUND(IF($B502&lt;&gt;"",SUMIF($B$5:$B$1004,$B502,$E$5:$E$1004)-SUMIF($B$5:$B$1004,$B502,$G$5:$G$1004),N($E502)-N($G502)),0)&lt;&gt;0,"通帳の額と当てた額の差 "&amp;TEXT(IF($B502&lt;&gt;"",SUMIF($B$5:$B$1004,$B502,$E$5:$E$1004)-SUMIF($B$5:$B$1004,$B502,$G$5:$G$1004),N($E502)-N($G502)),"#,##0"),IF(AND(ISNUMBER($O502),N($K502)&lt;0),"請求額より多く消し込んでいます",IF($F502="","消込先が未定","OK")))))))</f>
        <v/>
      </c>
      <c r="M502" s="19" t="n"/>
      <c r="N502" s="56" t="n"/>
      <c r="O502" s="32">
        <f>IF($F502="","",IFERROR(MATCH($F502,'請求台帳'!$A$5:$A$1004,0),"なし"))</f>
        <v/>
      </c>
      <c r="P502" s="37">
        <f>IF(NOT(OR($A502&lt;&gt;"",$E502&lt;&gt;"",$F502&lt;&gt;"",$G502&lt;&gt;"",$H502&lt;&gt;"",$I502&lt;&gt;"")),"",IF(ISNUMBER($O502),IF(INDEX('請求台帳'!$C$5:$C$1004,$O502)="","",INDEX('請求台帳'!$C$5:$C$1004,$O502)),IF($C502="","",$C502)))</f>
        <v/>
      </c>
      <c r="Q502" s="35">
        <f>IF(OR(NOT(OR($A502&lt;&gt;"",$E502&lt;&gt;"",$F502&lt;&gt;"",$G502&lt;&gt;"",$H502&lt;&gt;"",$I502&lt;&gt;"")),$P502="",$P502&lt;&gt;'売掛帳'!$B$3,NOT(ISNUMBER($A502)),N($G502)+N($H502)+N($I502)=0),"",IF(AND($A502&gt;='売掛帳'!$Q$3,$A502&lt;='売掛帳'!$Q$4),$A502+0.5+ROW()/10000000,""))</f>
        <v/>
      </c>
      <c r="R502" s="32">
        <f>IF(AND(OR($A502&lt;&gt;"",$E502&lt;&gt;"",$F502&lt;&gt;"",$G502&lt;&gt;"",$H502&lt;&gt;"",$I502&lt;&gt;""),NOT(ISNUMBER($O502))),1,"")</f>
        <v/>
      </c>
    </row>
    <row r="503" ht="18" customHeight="1">
      <c r="A503" s="26" t="n"/>
      <c r="B503" s="18" t="n"/>
      <c r="C503" s="18" t="n"/>
      <c r="D503" s="20">
        <f>IF($P503="","",IFERROR(INDEX('得意先'!$C$5:$C$104,MATCH($P503,'得意先'!$B$5:$B$104,0))&amp;"","※得意先にないコード"))</f>
        <v/>
      </c>
      <c r="E503" s="27" t="n"/>
      <c r="F503" s="18" t="n"/>
      <c r="G503" s="27" t="n"/>
      <c r="H503" s="27" t="n"/>
      <c r="I503" s="27" t="n"/>
      <c r="J503" s="28">
        <f>IF(NOT(OR($A503&lt;&gt;"",$E503&lt;&gt;"",$F503&lt;&gt;"",$G503&lt;&gt;"",$H503&lt;&gt;"",$I503&lt;&gt;"")),"",N($G503)+N($H503)+N($I503))</f>
        <v/>
      </c>
      <c r="K503" s="28">
        <f>IF(ISNUMBER($O503),INDEX('請求台帳'!$R$5:$R$1004,$O503),"")</f>
        <v/>
      </c>
      <c r="L503" s="20">
        <f>IF(NOT(OR($A503&lt;&gt;"",$E503&lt;&gt;"",$F503&lt;&gt;"",$G503&lt;&gt;"",$H503&lt;&gt;"",$I503&lt;&gt;"")),"",IF(NOT(ISNUMBER($A503)),"入金日がありません",IF(AND($F503&lt;&gt;"",$O503="なし"),"請求Noが請求台帳にありません",IF(AND(ISNUMBER($O503),$C503&lt;&gt;"",$C503&lt;&gt;$P503),"請求の得意先は "&amp;$P503&amp;" です",IF(ROUND(IF($B503&lt;&gt;"",SUMIF($B$5:$B$1004,$B503,$E$5:$E$1004)-SUMIF($B$5:$B$1004,$B503,$G$5:$G$1004),N($E503)-N($G503)),0)&lt;&gt;0,"通帳の額と当てた額の差 "&amp;TEXT(IF($B503&lt;&gt;"",SUMIF($B$5:$B$1004,$B503,$E$5:$E$1004)-SUMIF($B$5:$B$1004,$B503,$G$5:$G$1004),N($E503)-N($G503)),"#,##0"),IF(AND(ISNUMBER($O503),N($K503)&lt;0),"請求額より多く消し込んでいます",IF($F503="","消込先が未定","OK")))))))</f>
        <v/>
      </c>
      <c r="M503" s="19" t="n"/>
      <c r="N503" s="56" t="n"/>
      <c r="O503" s="32">
        <f>IF($F503="","",IFERROR(MATCH($F503,'請求台帳'!$A$5:$A$1004,0),"なし"))</f>
        <v/>
      </c>
      <c r="P503" s="37">
        <f>IF(NOT(OR($A503&lt;&gt;"",$E503&lt;&gt;"",$F503&lt;&gt;"",$G503&lt;&gt;"",$H503&lt;&gt;"",$I503&lt;&gt;"")),"",IF(ISNUMBER($O503),IF(INDEX('請求台帳'!$C$5:$C$1004,$O503)="","",INDEX('請求台帳'!$C$5:$C$1004,$O503)),IF($C503="","",$C503)))</f>
        <v/>
      </c>
      <c r="Q503" s="35">
        <f>IF(OR(NOT(OR($A503&lt;&gt;"",$E503&lt;&gt;"",$F503&lt;&gt;"",$G503&lt;&gt;"",$H503&lt;&gt;"",$I503&lt;&gt;"")),$P503="",$P503&lt;&gt;'売掛帳'!$B$3,NOT(ISNUMBER($A503)),N($G503)+N($H503)+N($I503)=0),"",IF(AND($A503&gt;='売掛帳'!$Q$3,$A503&lt;='売掛帳'!$Q$4),$A503+0.5+ROW()/10000000,""))</f>
        <v/>
      </c>
      <c r="R503" s="32">
        <f>IF(AND(OR($A503&lt;&gt;"",$E503&lt;&gt;"",$F503&lt;&gt;"",$G503&lt;&gt;"",$H503&lt;&gt;"",$I503&lt;&gt;""),NOT(ISNUMBER($O503))),1,"")</f>
        <v/>
      </c>
    </row>
    <row r="504" ht="18" customHeight="1">
      <c r="A504" s="26" t="n"/>
      <c r="B504" s="18" t="n"/>
      <c r="C504" s="18" t="n"/>
      <c r="D504" s="20">
        <f>IF($P504="","",IFERROR(INDEX('得意先'!$C$5:$C$104,MATCH($P504,'得意先'!$B$5:$B$104,0))&amp;"","※得意先にないコード"))</f>
        <v/>
      </c>
      <c r="E504" s="27" t="n"/>
      <c r="F504" s="18" t="n"/>
      <c r="G504" s="27" t="n"/>
      <c r="H504" s="27" t="n"/>
      <c r="I504" s="27" t="n"/>
      <c r="J504" s="28">
        <f>IF(NOT(OR($A504&lt;&gt;"",$E504&lt;&gt;"",$F504&lt;&gt;"",$G504&lt;&gt;"",$H504&lt;&gt;"",$I504&lt;&gt;"")),"",N($G504)+N($H504)+N($I504))</f>
        <v/>
      </c>
      <c r="K504" s="28">
        <f>IF(ISNUMBER($O504),INDEX('請求台帳'!$R$5:$R$1004,$O504),"")</f>
        <v/>
      </c>
      <c r="L504" s="20">
        <f>IF(NOT(OR($A504&lt;&gt;"",$E504&lt;&gt;"",$F504&lt;&gt;"",$G504&lt;&gt;"",$H504&lt;&gt;"",$I504&lt;&gt;"")),"",IF(NOT(ISNUMBER($A504)),"入金日がありません",IF(AND($F504&lt;&gt;"",$O504="なし"),"請求Noが請求台帳にありません",IF(AND(ISNUMBER($O504),$C504&lt;&gt;"",$C504&lt;&gt;$P504),"請求の得意先は "&amp;$P504&amp;" です",IF(ROUND(IF($B504&lt;&gt;"",SUMIF($B$5:$B$1004,$B504,$E$5:$E$1004)-SUMIF($B$5:$B$1004,$B504,$G$5:$G$1004),N($E504)-N($G504)),0)&lt;&gt;0,"通帳の額と当てた額の差 "&amp;TEXT(IF($B504&lt;&gt;"",SUMIF($B$5:$B$1004,$B504,$E$5:$E$1004)-SUMIF($B$5:$B$1004,$B504,$G$5:$G$1004),N($E504)-N($G504)),"#,##0"),IF(AND(ISNUMBER($O504),N($K504)&lt;0),"請求額より多く消し込んでいます",IF($F504="","消込先が未定","OK")))))))</f>
        <v/>
      </c>
      <c r="M504" s="19" t="n"/>
      <c r="N504" s="56" t="n"/>
      <c r="O504" s="32">
        <f>IF($F504="","",IFERROR(MATCH($F504,'請求台帳'!$A$5:$A$1004,0),"なし"))</f>
        <v/>
      </c>
      <c r="P504" s="37">
        <f>IF(NOT(OR($A504&lt;&gt;"",$E504&lt;&gt;"",$F504&lt;&gt;"",$G504&lt;&gt;"",$H504&lt;&gt;"",$I504&lt;&gt;"")),"",IF(ISNUMBER($O504),IF(INDEX('請求台帳'!$C$5:$C$1004,$O504)="","",INDEX('請求台帳'!$C$5:$C$1004,$O504)),IF($C504="","",$C504)))</f>
        <v/>
      </c>
      <c r="Q504" s="35">
        <f>IF(OR(NOT(OR($A504&lt;&gt;"",$E504&lt;&gt;"",$F504&lt;&gt;"",$G504&lt;&gt;"",$H504&lt;&gt;"",$I504&lt;&gt;"")),$P504="",$P504&lt;&gt;'売掛帳'!$B$3,NOT(ISNUMBER($A504)),N($G504)+N($H504)+N($I504)=0),"",IF(AND($A504&gt;='売掛帳'!$Q$3,$A504&lt;='売掛帳'!$Q$4),$A504+0.5+ROW()/10000000,""))</f>
        <v/>
      </c>
      <c r="R504" s="32">
        <f>IF(AND(OR($A504&lt;&gt;"",$E504&lt;&gt;"",$F504&lt;&gt;"",$G504&lt;&gt;"",$H504&lt;&gt;"",$I504&lt;&gt;""),NOT(ISNUMBER($O504))),1,"")</f>
        <v/>
      </c>
    </row>
    <row r="505" ht="18" customHeight="1">
      <c r="A505" s="26" t="n"/>
      <c r="B505" s="18" t="n"/>
      <c r="C505" s="18" t="n"/>
      <c r="D505" s="20">
        <f>IF($P505="","",IFERROR(INDEX('得意先'!$C$5:$C$104,MATCH($P505,'得意先'!$B$5:$B$104,0))&amp;"","※得意先にないコード"))</f>
        <v/>
      </c>
      <c r="E505" s="27" t="n"/>
      <c r="F505" s="18" t="n"/>
      <c r="G505" s="27" t="n"/>
      <c r="H505" s="27" t="n"/>
      <c r="I505" s="27" t="n"/>
      <c r="J505" s="28">
        <f>IF(NOT(OR($A505&lt;&gt;"",$E505&lt;&gt;"",$F505&lt;&gt;"",$G505&lt;&gt;"",$H505&lt;&gt;"",$I505&lt;&gt;"")),"",N($G505)+N($H505)+N($I505))</f>
        <v/>
      </c>
      <c r="K505" s="28">
        <f>IF(ISNUMBER($O505),INDEX('請求台帳'!$R$5:$R$1004,$O505),"")</f>
        <v/>
      </c>
      <c r="L505" s="20">
        <f>IF(NOT(OR($A505&lt;&gt;"",$E505&lt;&gt;"",$F505&lt;&gt;"",$G505&lt;&gt;"",$H505&lt;&gt;"",$I505&lt;&gt;"")),"",IF(NOT(ISNUMBER($A505)),"入金日がありません",IF(AND($F505&lt;&gt;"",$O505="なし"),"請求Noが請求台帳にありません",IF(AND(ISNUMBER($O505),$C505&lt;&gt;"",$C505&lt;&gt;$P505),"請求の得意先は "&amp;$P505&amp;" です",IF(ROUND(IF($B505&lt;&gt;"",SUMIF($B$5:$B$1004,$B505,$E$5:$E$1004)-SUMIF($B$5:$B$1004,$B505,$G$5:$G$1004),N($E505)-N($G505)),0)&lt;&gt;0,"通帳の額と当てた額の差 "&amp;TEXT(IF($B505&lt;&gt;"",SUMIF($B$5:$B$1004,$B505,$E$5:$E$1004)-SUMIF($B$5:$B$1004,$B505,$G$5:$G$1004),N($E505)-N($G505)),"#,##0"),IF(AND(ISNUMBER($O505),N($K505)&lt;0),"請求額より多く消し込んでいます",IF($F505="","消込先が未定","OK")))))))</f>
        <v/>
      </c>
      <c r="M505" s="19" t="n"/>
      <c r="N505" s="56" t="n"/>
      <c r="O505" s="32">
        <f>IF($F505="","",IFERROR(MATCH($F505,'請求台帳'!$A$5:$A$1004,0),"なし"))</f>
        <v/>
      </c>
      <c r="P505" s="37">
        <f>IF(NOT(OR($A505&lt;&gt;"",$E505&lt;&gt;"",$F505&lt;&gt;"",$G505&lt;&gt;"",$H505&lt;&gt;"",$I505&lt;&gt;"")),"",IF(ISNUMBER($O505),IF(INDEX('請求台帳'!$C$5:$C$1004,$O505)="","",INDEX('請求台帳'!$C$5:$C$1004,$O505)),IF($C505="","",$C505)))</f>
        <v/>
      </c>
      <c r="Q505" s="35">
        <f>IF(OR(NOT(OR($A505&lt;&gt;"",$E505&lt;&gt;"",$F505&lt;&gt;"",$G505&lt;&gt;"",$H505&lt;&gt;"",$I505&lt;&gt;"")),$P505="",$P505&lt;&gt;'売掛帳'!$B$3,NOT(ISNUMBER($A505)),N($G505)+N($H505)+N($I505)=0),"",IF(AND($A505&gt;='売掛帳'!$Q$3,$A505&lt;='売掛帳'!$Q$4),$A505+0.5+ROW()/10000000,""))</f>
        <v/>
      </c>
      <c r="R505" s="32">
        <f>IF(AND(OR($A505&lt;&gt;"",$E505&lt;&gt;"",$F505&lt;&gt;"",$G505&lt;&gt;"",$H505&lt;&gt;"",$I505&lt;&gt;""),NOT(ISNUMBER($O505))),1,"")</f>
        <v/>
      </c>
    </row>
    <row r="506" ht="18" customHeight="1">
      <c r="A506" s="26" t="n"/>
      <c r="B506" s="18" t="n"/>
      <c r="C506" s="18" t="n"/>
      <c r="D506" s="20">
        <f>IF($P506="","",IFERROR(INDEX('得意先'!$C$5:$C$104,MATCH($P506,'得意先'!$B$5:$B$104,0))&amp;"","※得意先にないコード"))</f>
        <v/>
      </c>
      <c r="E506" s="27" t="n"/>
      <c r="F506" s="18" t="n"/>
      <c r="G506" s="27" t="n"/>
      <c r="H506" s="27" t="n"/>
      <c r="I506" s="27" t="n"/>
      <c r="J506" s="28">
        <f>IF(NOT(OR($A506&lt;&gt;"",$E506&lt;&gt;"",$F506&lt;&gt;"",$G506&lt;&gt;"",$H506&lt;&gt;"",$I506&lt;&gt;"")),"",N($G506)+N($H506)+N($I506))</f>
        <v/>
      </c>
      <c r="K506" s="28">
        <f>IF(ISNUMBER($O506),INDEX('請求台帳'!$R$5:$R$1004,$O506),"")</f>
        <v/>
      </c>
      <c r="L506" s="20">
        <f>IF(NOT(OR($A506&lt;&gt;"",$E506&lt;&gt;"",$F506&lt;&gt;"",$G506&lt;&gt;"",$H506&lt;&gt;"",$I506&lt;&gt;"")),"",IF(NOT(ISNUMBER($A506)),"入金日がありません",IF(AND($F506&lt;&gt;"",$O506="なし"),"請求Noが請求台帳にありません",IF(AND(ISNUMBER($O506),$C506&lt;&gt;"",$C506&lt;&gt;$P506),"請求の得意先は "&amp;$P506&amp;" です",IF(ROUND(IF($B506&lt;&gt;"",SUMIF($B$5:$B$1004,$B506,$E$5:$E$1004)-SUMIF($B$5:$B$1004,$B506,$G$5:$G$1004),N($E506)-N($G506)),0)&lt;&gt;0,"通帳の額と当てた額の差 "&amp;TEXT(IF($B506&lt;&gt;"",SUMIF($B$5:$B$1004,$B506,$E$5:$E$1004)-SUMIF($B$5:$B$1004,$B506,$G$5:$G$1004),N($E506)-N($G506)),"#,##0"),IF(AND(ISNUMBER($O506),N($K506)&lt;0),"請求額より多く消し込んでいます",IF($F506="","消込先が未定","OK")))))))</f>
        <v/>
      </c>
      <c r="M506" s="19" t="n"/>
      <c r="N506" s="56" t="n"/>
      <c r="O506" s="32">
        <f>IF($F506="","",IFERROR(MATCH($F506,'請求台帳'!$A$5:$A$1004,0),"なし"))</f>
        <v/>
      </c>
      <c r="P506" s="37">
        <f>IF(NOT(OR($A506&lt;&gt;"",$E506&lt;&gt;"",$F506&lt;&gt;"",$G506&lt;&gt;"",$H506&lt;&gt;"",$I506&lt;&gt;"")),"",IF(ISNUMBER($O506),IF(INDEX('請求台帳'!$C$5:$C$1004,$O506)="","",INDEX('請求台帳'!$C$5:$C$1004,$O506)),IF($C506="","",$C506)))</f>
        <v/>
      </c>
      <c r="Q506" s="35">
        <f>IF(OR(NOT(OR($A506&lt;&gt;"",$E506&lt;&gt;"",$F506&lt;&gt;"",$G506&lt;&gt;"",$H506&lt;&gt;"",$I506&lt;&gt;"")),$P506="",$P506&lt;&gt;'売掛帳'!$B$3,NOT(ISNUMBER($A506)),N($G506)+N($H506)+N($I506)=0),"",IF(AND($A506&gt;='売掛帳'!$Q$3,$A506&lt;='売掛帳'!$Q$4),$A506+0.5+ROW()/10000000,""))</f>
        <v/>
      </c>
      <c r="R506" s="32">
        <f>IF(AND(OR($A506&lt;&gt;"",$E506&lt;&gt;"",$F506&lt;&gt;"",$G506&lt;&gt;"",$H506&lt;&gt;"",$I506&lt;&gt;""),NOT(ISNUMBER($O506))),1,"")</f>
        <v/>
      </c>
    </row>
    <row r="507" ht="18" customHeight="1">
      <c r="A507" s="26" t="n"/>
      <c r="B507" s="18" t="n"/>
      <c r="C507" s="18" t="n"/>
      <c r="D507" s="20">
        <f>IF($P507="","",IFERROR(INDEX('得意先'!$C$5:$C$104,MATCH($P507,'得意先'!$B$5:$B$104,0))&amp;"","※得意先にないコード"))</f>
        <v/>
      </c>
      <c r="E507" s="27" t="n"/>
      <c r="F507" s="18" t="n"/>
      <c r="G507" s="27" t="n"/>
      <c r="H507" s="27" t="n"/>
      <c r="I507" s="27" t="n"/>
      <c r="J507" s="28">
        <f>IF(NOT(OR($A507&lt;&gt;"",$E507&lt;&gt;"",$F507&lt;&gt;"",$G507&lt;&gt;"",$H507&lt;&gt;"",$I507&lt;&gt;"")),"",N($G507)+N($H507)+N($I507))</f>
        <v/>
      </c>
      <c r="K507" s="28">
        <f>IF(ISNUMBER($O507),INDEX('請求台帳'!$R$5:$R$1004,$O507),"")</f>
        <v/>
      </c>
      <c r="L507" s="20">
        <f>IF(NOT(OR($A507&lt;&gt;"",$E507&lt;&gt;"",$F507&lt;&gt;"",$G507&lt;&gt;"",$H507&lt;&gt;"",$I507&lt;&gt;"")),"",IF(NOT(ISNUMBER($A507)),"入金日がありません",IF(AND($F507&lt;&gt;"",$O507="なし"),"請求Noが請求台帳にありません",IF(AND(ISNUMBER($O507),$C507&lt;&gt;"",$C507&lt;&gt;$P507),"請求の得意先は "&amp;$P507&amp;" です",IF(ROUND(IF($B507&lt;&gt;"",SUMIF($B$5:$B$1004,$B507,$E$5:$E$1004)-SUMIF($B$5:$B$1004,$B507,$G$5:$G$1004),N($E507)-N($G507)),0)&lt;&gt;0,"通帳の額と当てた額の差 "&amp;TEXT(IF($B507&lt;&gt;"",SUMIF($B$5:$B$1004,$B507,$E$5:$E$1004)-SUMIF($B$5:$B$1004,$B507,$G$5:$G$1004),N($E507)-N($G507)),"#,##0"),IF(AND(ISNUMBER($O507),N($K507)&lt;0),"請求額より多く消し込んでいます",IF($F507="","消込先が未定","OK")))))))</f>
        <v/>
      </c>
      <c r="M507" s="19" t="n"/>
      <c r="N507" s="56" t="n"/>
      <c r="O507" s="32">
        <f>IF($F507="","",IFERROR(MATCH($F507,'請求台帳'!$A$5:$A$1004,0),"なし"))</f>
        <v/>
      </c>
      <c r="P507" s="37">
        <f>IF(NOT(OR($A507&lt;&gt;"",$E507&lt;&gt;"",$F507&lt;&gt;"",$G507&lt;&gt;"",$H507&lt;&gt;"",$I507&lt;&gt;"")),"",IF(ISNUMBER($O507),IF(INDEX('請求台帳'!$C$5:$C$1004,$O507)="","",INDEX('請求台帳'!$C$5:$C$1004,$O507)),IF($C507="","",$C507)))</f>
        <v/>
      </c>
      <c r="Q507" s="35">
        <f>IF(OR(NOT(OR($A507&lt;&gt;"",$E507&lt;&gt;"",$F507&lt;&gt;"",$G507&lt;&gt;"",$H507&lt;&gt;"",$I507&lt;&gt;"")),$P507="",$P507&lt;&gt;'売掛帳'!$B$3,NOT(ISNUMBER($A507)),N($G507)+N($H507)+N($I507)=0),"",IF(AND($A507&gt;='売掛帳'!$Q$3,$A507&lt;='売掛帳'!$Q$4),$A507+0.5+ROW()/10000000,""))</f>
        <v/>
      </c>
      <c r="R507" s="32">
        <f>IF(AND(OR($A507&lt;&gt;"",$E507&lt;&gt;"",$F507&lt;&gt;"",$G507&lt;&gt;"",$H507&lt;&gt;"",$I507&lt;&gt;""),NOT(ISNUMBER($O507))),1,"")</f>
        <v/>
      </c>
    </row>
    <row r="508" ht="18" customHeight="1">
      <c r="A508" s="26" t="n"/>
      <c r="B508" s="18" t="n"/>
      <c r="C508" s="18" t="n"/>
      <c r="D508" s="20">
        <f>IF($P508="","",IFERROR(INDEX('得意先'!$C$5:$C$104,MATCH($P508,'得意先'!$B$5:$B$104,0))&amp;"","※得意先にないコード"))</f>
        <v/>
      </c>
      <c r="E508" s="27" t="n"/>
      <c r="F508" s="18" t="n"/>
      <c r="G508" s="27" t="n"/>
      <c r="H508" s="27" t="n"/>
      <c r="I508" s="27" t="n"/>
      <c r="J508" s="28">
        <f>IF(NOT(OR($A508&lt;&gt;"",$E508&lt;&gt;"",$F508&lt;&gt;"",$G508&lt;&gt;"",$H508&lt;&gt;"",$I508&lt;&gt;"")),"",N($G508)+N($H508)+N($I508))</f>
        <v/>
      </c>
      <c r="K508" s="28">
        <f>IF(ISNUMBER($O508),INDEX('請求台帳'!$R$5:$R$1004,$O508),"")</f>
        <v/>
      </c>
      <c r="L508" s="20">
        <f>IF(NOT(OR($A508&lt;&gt;"",$E508&lt;&gt;"",$F508&lt;&gt;"",$G508&lt;&gt;"",$H508&lt;&gt;"",$I508&lt;&gt;"")),"",IF(NOT(ISNUMBER($A508)),"入金日がありません",IF(AND($F508&lt;&gt;"",$O508="なし"),"請求Noが請求台帳にありません",IF(AND(ISNUMBER($O508),$C508&lt;&gt;"",$C508&lt;&gt;$P508),"請求の得意先は "&amp;$P508&amp;" です",IF(ROUND(IF($B508&lt;&gt;"",SUMIF($B$5:$B$1004,$B508,$E$5:$E$1004)-SUMIF($B$5:$B$1004,$B508,$G$5:$G$1004),N($E508)-N($G508)),0)&lt;&gt;0,"通帳の額と当てた額の差 "&amp;TEXT(IF($B508&lt;&gt;"",SUMIF($B$5:$B$1004,$B508,$E$5:$E$1004)-SUMIF($B$5:$B$1004,$B508,$G$5:$G$1004),N($E508)-N($G508)),"#,##0"),IF(AND(ISNUMBER($O508),N($K508)&lt;0),"請求額より多く消し込んでいます",IF($F508="","消込先が未定","OK")))))))</f>
        <v/>
      </c>
      <c r="M508" s="19" t="n"/>
      <c r="N508" s="56" t="n"/>
      <c r="O508" s="32">
        <f>IF($F508="","",IFERROR(MATCH($F508,'請求台帳'!$A$5:$A$1004,0),"なし"))</f>
        <v/>
      </c>
      <c r="P508" s="37">
        <f>IF(NOT(OR($A508&lt;&gt;"",$E508&lt;&gt;"",$F508&lt;&gt;"",$G508&lt;&gt;"",$H508&lt;&gt;"",$I508&lt;&gt;"")),"",IF(ISNUMBER($O508),IF(INDEX('請求台帳'!$C$5:$C$1004,$O508)="","",INDEX('請求台帳'!$C$5:$C$1004,$O508)),IF($C508="","",$C508)))</f>
        <v/>
      </c>
      <c r="Q508" s="35">
        <f>IF(OR(NOT(OR($A508&lt;&gt;"",$E508&lt;&gt;"",$F508&lt;&gt;"",$G508&lt;&gt;"",$H508&lt;&gt;"",$I508&lt;&gt;"")),$P508="",$P508&lt;&gt;'売掛帳'!$B$3,NOT(ISNUMBER($A508)),N($G508)+N($H508)+N($I508)=0),"",IF(AND($A508&gt;='売掛帳'!$Q$3,$A508&lt;='売掛帳'!$Q$4),$A508+0.5+ROW()/10000000,""))</f>
        <v/>
      </c>
      <c r="R508" s="32">
        <f>IF(AND(OR($A508&lt;&gt;"",$E508&lt;&gt;"",$F508&lt;&gt;"",$G508&lt;&gt;"",$H508&lt;&gt;"",$I508&lt;&gt;""),NOT(ISNUMBER($O508))),1,"")</f>
        <v/>
      </c>
    </row>
    <row r="509" ht="18" customHeight="1">
      <c r="A509" s="26" t="n"/>
      <c r="B509" s="18" t="n"/>
      <c r="C509" s="18" t="n"/>
      <c r="D509" s="20">
        <f>IF($P509="","",IFERROR(INDEX('得意先'!$C$5:$C$104,MATCH($P509,'得意先'!$B$5:$B$104,0))&amp;"","※得意先にないコード"))</f>
        <v/>
      </c>
      <c r="E509" s="27" t="n"/>
      <c r="F509" s="18" t="n"/>
      <c r="G509" s="27" t="n"/>
      <c r="H509" s="27" t="n"/>
      <c r="I509" s="27" t="n"/>
      <c r="J509" s="28">
        <f>IF(NOT(OR($A509&lt;&gt;"",$E509&lt;&gt;"",$F509&lt;&gt;"",$G509&lt;&gt;"",$H509&lt;&gt;"",$I509&lt;&gt;"")),"",N($G509)+N($H509)+N($I509))</f>
        <v/>
      </c>
      <c r="K509" s="28">
        <f>IF(ISNUMBER($O509),INDEX('請求台帳'!$R$5:$R$1004,$O509),"")</f>
        <v/>
      </c>
      <c r="L509" s="20">
        <f>IF(NOT(OR($A509&lt;&gt;"",$E509&lt;&gt;"",$F509&lt;&gt;"",$G509&lt;&gt;"",$H509&lt;&gt;"",$I509&lt;&gt;"")),"",IF(NOT(ISNUMBER($A509)),"入金日がありません",IF(AND($F509&lt;&gt;"",$O509="なし"),"請求Noが請求台帳にありません",IF(AND(ISNUMBER($O509),$C509&lt;&gt;"",$C509&lt;&gt;$P509),"請求の得意先は "&amp;$P509&amp;" です",IF(ROUND(IF($B509&lt;&gt;"",SUMIF($B$5:$B$1004,$B509,$E$5:$E$1004)-SUMIF($B$5:$B$1004,$B509,$G$5:$G$1004),N($E509)-N($G509)),0)&lt;&gt;0,"通帳の額と当てた額の差 "&amp;TEXT(IF($B509&lt;&gt;"",SUMIF($B$5:$B$1004,$B509,$E$5:$E$1004)-SUMIF($B$5:$B$1004,$B509,$G$5:$G$1004),N($E509)-N($G509)),"#,##0"),IF(AND(ISNUMBER($O509),N($K509)&lt;0),"請求額より多く消し込んでいます",IF($F509="","消込先が未定","OK")))))))</f>
        <v/>
      </c>
      <c r="M509" s="19" t="n"/>
      <c r="N509" s="56" t="n"/>
      <c r="O509" s="32">
        <f>IF($F509="","",IFERROR(MATCH($F509,'請求台帳'!$A$5:$A$1004,0),"なし"))</f>
        <v/>
      </c>
      <c r="P509" s="37">
        <f>IF(NOT(OR($A509&lt;&gt;"",$E509&lt;&gt;"",$F509&lt;&gt;"",$G509&lt;&gt;"",$H509&lt;&gt;"",$I509&lt;&gt;"")),"",IF(ISNUMBER($O509),IF(INDEX('請求台帳'!$C$5:$C$1004,$O509)="","",INDEX('請求台帳'!$C$5:$C$1004,$O509)),IF($C509="","",$C509)))</f>
        <v/>
      </c>
      <c r="Q509" s="35">
        <f>IF(OR(NOT(OR($A509&lt;&gt;"",$E509&lt;&gt;"",$F509&lt;&gt;"",$G509&lt;&gt;"",$H509&lt;&gt;"",$I509&lt;&gt;"")),$P509="",$P509&lt;&gt;'売掛帳'!$B$3,NOT(ISNUMBER($A509)),N($G509)+N($H509)+N($I509)=0),"",IF(AND($A509&gt;='売掛帳'!$Q$3,$A509&lt;='売掛帳'!$Q$4),$A509+0.5+ROW()/10000000,""))</f>
        <v/>
      </c>
      <c r="R509" s="32">
        <f>IF(AND(OR($A509&lt;&gt;"",$E509&lt;&gt;"",$F509&lt;&gt;"",$G509&lt;&gt;"",$H509&lt;&gt;"",$I509&lt;&gt;""),NOT(ISNUMBER($O509))),1,"")</f>
        <v/>
      </c>
    </row>
    <row r="510" ht="18" customHeight="1">
      <c r="A510" s="26" t="n"/>
      <c r="B510" s="18" t="n"/>
      <c r="C510" s="18" t="n"/>
      <c r="D510" s="20">
        <f>IF($P510="","",IFERROR(INDEX('得意先'!$C$5:$C$104,MATCH($P510,'得意先'!$B$5:$B$104,0))&amp;"","※得意先にないコード"))</f>
        <v/>
      </c>
      <c r="E510" s="27" t="n"/>
      <c r="F510" s="18" t="n"/>
      <c r="G510" s="27" t="n"/>
      <c r="H510" s="27" t="n"/>
      <c r="I510" s="27" t="n"/>
      <c r="J510" s="28">
        <f>IF(NOT(OR($A510&lt;&gt;"",$E510&lt;&gt;"",$F510&lt;&gt;"",$G510&lt;&gt;"",$H510&lt;&gt;"",$I510&lt;&gt;"")),"",N($G510)+N($H510)+N($I510))</f>
        <v/>
      </c>
      <c r="K510" s="28">
        <f>IF(ISNUMBER($O510),INDEX('請求台帳'!$R$5:$R$1004,$O510),"")</f>
        <v/>
      </c>
      <c r="L510" s="20">
        <f>IF(NOT(OR($A510&lt;&gt;"",$E510&lt;&gt;"",$F510&lt;&gt;"",$G510&lt;&gt;"",$H510&lt;&gt;"",$I510&lt;&gt;"")),"",IF(NOT(ISNUMBER($A510)),"入金日がありません",IF(AND($F510&lt;&gt;"",$O510="なし"),"請求Noが請求台帳にありません",IF(AND(ISNUMBER($O510),$C510&lt;&gt;"",$C510&lt;&gt;$P510),"請求の得意先は "&amp;$P510&amp;" です",IF(ROUND(IF($B510&lt;&gt;"",SUMIF($B$5:$B$1004,$B510,$E$5:$E$1004)-SUMIF($B$5:$B$1004,$B510,$G$5:$G$1004),N($E510)-N($G510)),0)&lt;&gt;0,"通帳の額と当てた額の差 "&amp;TEXT(IF($B510&lt;&gt;"",SUMIF($B$5:$B$1004,$B510,$E$5:$E$1004)-SUMIF($B$5:$B$1004,$B510,$G$5:$G$1004),N($E510)-N($G510)),"#,##0"),IF(AND(ISNUMBER($O510),N($K510)&lt;0),"請求額より多く消し込んでいます",IF($F510="","消込先が未定","OK")))))))</f>
        <v/>
      </c>
      <c r="M510" s="19" t="n"/>
      <c r="N510" s="56" t="n"/>
      <c r="O510" s="32">
        <f>IF($F510="","",IFERROR(MATCH($F510,'請求台帳'!$A$5:$A$1004,0),"なし"))</f>
        <v/>
      </c>
      <c r="P510" s="37">
        <f>IF(NOT(OR($A510&lt;&gt;"",$E510&lt;&gt;"",$F510&lt;&gt;"",$G510&lt;&gt;"",$H510&lt;&gt;"",$I510&lt;&gt;"")),"",IF(ISNUMBER($O510),IF(INDEX('請求台帳'!$C$5:$C$1004,$O510)="","",INDEX('請求台帳'!$C$5:$C$1004,$O510)),IF($C510="","",$C510)))</f>
        <v/>
      </c>
      <c r="Q510" s="35">
        <f>IF(OR(NOT(OR($A510&lt;&gt;"",$E510&lt;&gt;"",$F510&lt;&gt;"",$G510&lt;&gt;"",$H510&lt;&gt;"",$I510&lt;&gt;"")),$P510="",$P510&lt;&gt;'売掛帳'!$B$3,NOT(ISNUMBER($A510)),N($G510)+N($H510)+N($I510)=0),"",IF(AND($A510&gt;='売掛帳'!$Q$3,$A510&lt;='売掛帳'!$Q$4),$A510+0.5+ROW()/10000000,""))</f>
        <v/>
      </c>
      <c r="R510" s="32">
        <f>IF(AND(OR($A510&lt;&gt;"",$E510&lt;&gt;"",$F510&lt;&gt;"",$G510&lt;&gt;"",$H510&lt;&gt;"",$I510&lt;&gt;""),NOT(ISNUMBER($O510))),1,"")</f>
        <v/>
      </c>
    </row>
    <row r="511" ht="18" customHeight="1">
      <c r="A511" s="26" t="n"/>
      <c r="B511" s="18" t="n"/>
      <c r="C511" s="18" t="n"/>
      <c r="D511" s="20">
        <f>IF($P511="","",IFERROR(INDEX('得意先'!$C$5:$C$104,MATCH($P511,'得意先'!$B$5:$B$104,0))&amp;"","※得意先にないコード"))</f>
        <v/>
      </c>
      <c r="E511" s="27" t="n"/>
      <c r="F511" s="18" t="n"/>
      <c r="G511" s="27" t="n"/>
      <c r="H511" s="27" t="n"/>
      <c r="I511" s="27" t="n"/>
      <c r="J511" s="28">
        <f>IF(NOT(OR($A511&lt;&gt;"",$E511&lt;&gt;"",$F511&lt;&gt;"",$G511&lt;&gt;"",$H511&lt;&gt;"",$I511&lt;&gt;"")),"",N($G511)+N($H511)+N($I511))</f>
        <v/>
      </c>
      <c r="K511" s="28">
        <f>IF(ISNUMBER($O511),INDEX('請求台帳'!$R$5:$R$1004,$O511),"")</f>
        <v/>
      </c>
      <c r="L511" s="20">
        <f>IF(NOT(OR($A511&lt;&gt;"",$E511&lt;&gt;"",$F511&lt;&gt;"",$G511&lt;&gt;"",$H511&lt;&gt;"",$I511&lt;&gt;"")),"",IF(NOT(ISNUMBER($A511)),"入金日がありません",IF(AND($F511&lt;&gt;"",$O511="なし"),"請求Noが請求台帳にありません",IF(AND(ISNUMBER($O511),$C511&lt;&gt;"",$C511&lt;&gt;$P511),"請求の得意先は "&amp;$P511&amp;" です",IF(ROUND(IF($B511&lt;&gt;"",SUMIF($B$5:$B$1004,$B511,$E$5:$E$1004)-SUMIF($B$5:$B$1004,$B511,$G$5:$G$1004),N($E511)-N($G511)),0)&lt;&gt;0,"通帳の額と当てた額の差 "&amp;TEXT(IF($B511&lt;&gt;"",SUMIF($B$5:$B$1004,$B511,$E$5:$E$1004)-SUMIF($B$5:$B$1004,$B511,$G$5:$G$1004),N($E511)-N($G511)),"#,##0"),IF(AND(ISNUMBER($O511),N($K511)&lt;0),"請求額より多く消し込んでいます",IF($F511="","消込先が未定","OK")))))))</f>
        <v/>
      </c>
      <c r="M511" s="19" t="n"/>
      <c r="N511" s="56" t="n"/>
      <c r="O511" s="32">
        <f>IF($F511="","",IFERROR(MATCH($F511,'請求台帳'!$A$5:$A$1004,0),"なし"))</f>
        <v/>
      </c>
      <c r="P511" s="37">
        <f>IF(NOT(OR($A511&lt;&gt;"",$E511&lt;&gt;"",$F511&lt;&gt;"",$G511&lt;&gt;"",$H511&lt;&gt;"",$I511&lt;&gt;"")),"",IF(ISNUMBER($O511),IF(INDEX('請求台帳'!$C$5:$C$1004,$O511)="","",INDEX('請求台帳'!$C$5:$C$1004,$O511)),IF($C511="","",$C511)))</f>
        <v/>
      </c>
      <c r="Q511" s="35">
        <f>IF(OR(NOT(OR($A511&lt;&gt;"",$E511&lt;&gt;"",$F511&lt;&gt;"",$G511&lt;&gt;"",$H511&lt;&gt;"",$I511&lt;&gt;"")),$P511="",$P511&lt;&gt;'売掛帳'!$B$3,NOT(ISNUMBER($A511)),N($G511)+N($H511)+N($I511)=0),"",IF(AND($A511&gt;='売掛帳'!$Q$3,$A511&lt;='売掛帳'!$Q$4),$A511+0.5+ROW()/10000000,""))</f>
        <v/>
      </c>
      <c r="R511" s="32">
        <f>IF(AND(OR($A511&lt;&gt;"",$E511&lt;&gt;"",$F511&lt;&gt;"",$G511&lt;&gt;"",$H511&lt;&gt;"",$I511&lt;&gt;""),NOT(ISNUMBER($O511))),1,"")</f>
        <v/>
      </c>
    </row>
    <row r="512" ht="18" customHeight="1">
      <c r="A512" s="26" t="n"/>
      <c r="B512" s="18" t="n"/>
      <c r="C512" s="18" t="n"/>
      <c r="D512" s="20">
        <f>IF($P512="","",IFERROR(INDEX('得意先'!$C$5:$C$104,MATCH($P512,'得意先'!$B$5:$B$104,0))&amp;"","※得意先にないコード"))</f>
        <v/>
      </c>
      <c r="E512" s="27" t="n"/>
      <c r="F512" s="18" t="n"/>
      <c r="G512" s="27" t="n"/>
      <c r="H512" s="27" t="n"/>
      <c r="I512" s="27" t="n"/>
      <c r="J512" s="28">
        <f>IF(NOT(OR($A512&lt;&gt;"",$E512&lt;&gt;"",$F512&lt;&gt;"",$G512&lt;&gt;"",$H512&lt;&gt;"",$I512&lt;&gt;"")),"",N($G512)+N($H512)+N($I512))</f>
        <v/>
      </c>
      <c r="K512" s="28">
        <f>IF(ISNUMBER($O512),INDEX('請求台帳'!$R$5:$R$1004,$O512),"")</f>
        <v/>
      </c>
      <c r="L512" s="20">
        <f>IF(NOT(OR($A512&lt;&gt;"",$E512&lt;&gt;"",$F512&lt;&gt;"",$G512&lt;&gt;"",$H512&lt;&gt;"",$I512&lt;&gt;"")),"",IF(NOT(ISNUMBER($A512)),"入金日がありません",IF(AND($F512&lt;&gt;"",$O512="なし"),"請求Noが請求台帳にありません",IF(AND(ISNUMBER($O512),$C512&lt;&gt;"",$C512&lt;&gt;$P512),"請求の得意先は "&amp;$P512&amp;" です",IF(ROUND(IF($B512&lt;&gt;"",SUMIF($B$5:$B$1004,$B512,$E$5:$E$1004)-SUMIF($B$5:$B$1004,$B512,$G$5:$G$1004),N($E512)-N($G512)),0)&lt;&gt;0,"通帳の額と当てた額の差 "&amp;TEXT(IF($B512&lt;&gt;"",SUMIF($B$5:$B$1004,$B512,$E$5:$E$1004)-SUMIF($B$5:$B$1004,$B512,$G$5:$G$1004),N($E512)-N($G512)),"#,##0"),IF(AND(ISNUMBER($O512),N($K512)&lt;0),"請求額より多く消し込んでいます",IF($F512="","消込先が未定","OK")))))))</f>
        <v/>
      </c>
      <c r="M512" s="19" t="n"/>
      <c r="N512" s="56" t="n"/>
      <c r="O512" s="32">
        <f>IF($F512="","",IFERROR(MATCH($F512,'請求台帳'!$A$5:$A$1004,0),"なし"))</f>
        <v/>
      </c>
      <c r="P512" s="37">
        <f>IF(NOT(OR($A512&lt;&gt;"",$E512&lt;&gt;"",$F512&lt;&gt;"",$G512&lt;&gt;"",$H512&lt;&gt;"",$I512&lt;&gt;"")),"",IF(ISNUMBER($O512),IF(INDEX('請求台帳'!$C$5:$C$1004,$O512)="","",INDEX('請求台帳'!$C$5:$C$1004,$O512)),IF($C512="","",$C512)))</f>
        <v/>
      </c>
      <c r="Q512" s="35">
        <f>IF(OR(NOT(OR($A512&lt;&gt;"",$E512&lt;&gt;"",$F512&lt;&gt;"",$G512&lt;&gt;"",$H512&lt;&gt;"",$I512&lt;&gt;"")),$P512="",$P512&lt;&gt;'売掛帳'!$B$3,NOT(ISNUMBER($A512)),N($G512)+N($H512)+N($I512)=0),"",IF(AND($A512&gt;='売掛帳'!$Q$3,$A512&lt;='売掛帳'!$Q$4),$A512+0.5+ROW()/10000000,""))</f>
        <v/>
      </c>
      <c r="R512" s="32">
        <f>IF(AND(OR($A512&lt;&gt;"",$E512&lt;&gt;"",$F512&lt;&gt;"",$G512&lt;&gt;"",$H512&lt;&gt;"",$I512&lt;&gt;""),NOT(ISNUMBER($O512))),1,"")</f>
        <v/>
      </c>
    </row>
    <row r="513" ht="18" customHeight="1">
      <c r="A513" s="26" t="n"/>
      <c r="B513" s="18" t="n"/>
      <c r="C513" s="18" t="n"/>
      <c r="D513" s="20">
        <f>IF($P513="","",IFERROR(INDEX('得意先'!$C$5:$C$104,MATCH($P513,'得意先'!$B$5:$B$104,0))&amp;"","※得意先にないコード"))</f>
        <v/>
      </c>
      <c r="E513" s="27" t="n"/>
      <c r="F513" s="18" t="n"/>
      <c r="G513" s="27" t="n"/>
      <c r="H513" s="27" t="n"/>
      <c r="I513" s="27" t="n"/>
      <c r="J513" s="28">
        <f>IF(NOT(OR($A513&lt;&gt;"",$E513&lt;&gt;"",$F513&lt;&gt;"",$G513&lt;&gt;"",$H513&lt;&gt;"",$I513&lt;&gt;"")),"",N($G513)+N($H513)+N($I513))</f>
        <v/>
      </c>
      <c r="K513" s="28">
        <f>IF(ISNUMBER($O513),INDEX('請求台帳'!$R$5:$R$1004,$O513),"")</f>
        <v/>
      </c>
      <c r="L513" s="20">
        <f>IF(NOT(OR($A513&lt;&gt;"",$E513&lt;&gt;"",$F513&lt;&gt;"",$G513&lt;&gt;"",$H513&lt;&gt;"",$I513&lt;&gt;"")),"",IF(NOT(ISNUMBER($A513)),"入金日がありません",IF(AND($F513&lt;&gt;"",$O513="なし"),"請求Noが請求台帳にありません",IF(AND(ISNUMBER($O513),$C513&lt;&gt;"",$C513&lt;&gt;$P513),"請求の得意先は "&amp;$P513&amp;" です",IF(ROUND(IF($B513&lt;&gt;"",SUMIF($B$5:$B$1004,$B513,$E$5:$E$1004)-SUMIF($B$5:$B$1004,$B513,$G$5:$G$1004),N($E513)-N($G513)),0)&lt;&gt;0,"通帳の額と当てた額の差 "&amp;TEXT(IF($B513&lt;&gt;"",SUMIF($B$5:$B$1004,$B513,$E$5:$E$1004)-SUMIF($B$5:$B$1004,$B513,$G$5:$G$1004),N($E513)-N($G513)),"#,##0"),IF(AND(ISNUMBER($O513),N($K513)&lt;0),"請求額より多く消し込んでいます",IF($F513="","消込先が未定","OK")))))))</f>
        <v/>
      </c>
      <c r="M513" s="19" t="n"/>
      <c r="N513" s="56" t="n"/>
      <c r="O513" s="32">
        <f>IF($F513="","",IFERROR(MATCH($F513,'請求台帳'!$A$5:$A$1004,0),"なし"))</f>
        <v/>
      </c>
      <c r="P513" s="37">
        <f>IF(NOT(OR($A513&lt;&gt;"",$E513&lt;&gt;"",$F513&lt;&gt;"",$G513&lt;&gt;"",$H513&lt;&gt;"",$I513&lt;&gt;"")),"",IF(ISNUMBER($O513),IF(INDEX('請求台帳'!$C$5:$C$1004,$O513)="","",INDEX('請求台帳'!$C$5:$C$1004,$O513)),IF($C513="","",$C513)))</f>
        <v/>
      </c>
      <c r="Q513" s="35">
        <f>IF(OR(NOT(OR($A513&lt;&gt;"",$E513&lt;&gt;"",$F513&lt;&gt;"",$G513&lt;&gt;"",$H513&lt;&gt;"",$I513&lt;&gt;"")),$P513="",$P513&lt;&gt;'売掛帳'!$B$3,NOT(ISNUMBER($A513)),N($G513)+N($H513)+N($I513)=0),"",IF(AND($A513&gt;='売掛帳'!$Q$3,$A513&lt;='売掛帳'!$Q$4),$A513+0.5+ROW()/10000000,""))</f>
        <v/>
      </c>
      <c r="R513" s="32">
        <f>IF(AND(OR($A513&lt;&gt;"",$E513&lt;&gt;"",$F513&lt;&gt;"",$G513&lt;&gt;"",$H513&lt;&gt;"",$I513&lt;&gt;""),NOT(ISNUMBER($O513))),1,"")</f>
        <v/>
      </c>
    </row>
    <row r="514" ht="18" customHeight="1">
      <c r="A514" s="26" t="n"/>
      <c r="B514" s="18" t="n"/>
      <c r="C514" s="18" t="n"/>
      <c r="D514" s="20">
        <f>IF($P514="","",IFERROR(INDEX('得意先'!$C$5:$C$104,MATCH($P514,'得意先'!$B$5:$B$104,0))&amp;"","※得意先にないコード"))</f>
        <v/>
      </c>
      <c r="E514" s="27" t="n"/>
      <c r="F514" s="18" t="n"/>
      <c r="G514" s="27" t="n"/>
      <c r="H514" s="27" t="n"/>
      <c r="I514" s="27" t="n"/>
      <c r="J514" s="28">
        <f>IF(NOT(OR($A514&lt;&gt;"",$E514&lt;&gt;"",$F514&lt;&gt;"",$G514&lt;&gt;"",$H514&lt;&gt;"",$I514&lt;&gt;"")),"",N($G514)+N($H514)+N($I514))</f>
        <v/>
      </c>
      <c r="K514" s="28">
        <f>IF(ISNUMBER($O514),INDEX('請求台帳'!$R$5:$R$1004,$O514),"")</f>
        <v/>
      </c>
      <c r="L514" s="20">
        <f>IF(NOT(OR($A514&lt;&gt;"",$E514&lt;&gt;"",$F514&lt;&gt;"",$G514&lt;&gt;"",$H514&lt;&gt;"",$I514&lt;&gt;"")),"",IF(NOT(ISNUMBER($A514)),"入金日がありません",IF(AND($F514&lt;&gt;"",$O514="なし"),"請求Noが請求台帳にありません",IF(AND(ISNUMBER($O514),$C514&lt;&gt;"",$C514&lt;&gt;$P514),"請求の得意先は "&amp;$P514&amp;" です",IF(ROUND(IF($B514&lt;&gt;"",SUMIF($B$5:$B$1004,$B514,$E$5:$E$1004)-SUMIF($B$5:$B$1004,$B514,$G$5:$G$1004),N($E514)-N($G514)),0)&lt;&gt;0,"通帳の額と当てた額の差 "&amp;TEXT(IF($B514&lt;&gt;"",SUMIF($B$5:$B$1004,$B514,$E$5:$E$1004)-SUMIF($B$5:$B$1004,$B514,$G$5:$G$1004),N($E514)-N($G514)),"#,##0"),IF(AND(ISNUMBER($O514),N($K514)&lt;0),"請求額より多く消し込んでいます",IF($F514="","消込先が未定","OK")))))))</f>
        <v/>
      </c>
      <c r="M514" s="19" t="n"/>
      <c r="N514" s="56" t="n"/>
      <c r="O514" s="32">
        <f>IF($F514="","",IFERROR(MATCH($F514,'請求台帳'!$A$5:$A$1004,0),"なし"))</f>
        <v/>
      </c>
      <c r="P514" s="37">
        <f>IF(NOT(OR($A514&lt;&gt;"",$E514&lt;&gt;"",$F514&lt;&gt;"",$G514&lt;&gt;"",$H514&lt;&gt;"",$I514&lt;&gt;"")),"",IF(ISNUMBER($O514),IF(INDEX('請求台帳'!$C$5:$C$1004,$O514)="","",INDEX('請求台帳'!$C$5:$C$1004,$O514)),IF($C514="","",$C514)))</f>
        <v/>
      </c>
      <c r="Q514" s="35">
        <f>IF(OR(NOT(OR($A514&lt;&gt;"",$E514&lt;&gt;"",$F514&lt;&gt;"",$G514&lt;&gt;"",$H514&lt;&gt;"",$I514&lt;&gt;"")),$P514="",$P514&lt;&gt;'売掛帳'!$B$3,NOT(ISNUMBER($A514)),N($G514)+N($H514)+N($I514)=0),"",IF(AND($A514&gt;='売掛帳'!$Q$3,$A514&lt;='売掛帳'!$Q$4),$A514+0.5+ROW()/10000000,""))</f>
        <v/>
      </c>
      <c r="R514" s="32">
        <f>IF(AND(OR($A514&lt;&gt;"",$E514&lt;&gt;"",$F514&lt;&gt;"",$G514&lt;&gt;"",$H514&lt;&gt;"",$I514&lt;&gt;""),NOT(ISNUMBER($O514))),1,"")</f>
        <v/>
      </c>
    </row>
    <row r="515" ht="18" customHeight="1">
      <c r="A515" s="26" t="n"/>
      <c r="B515" s="18" t="n"/>
      <c r="C515" s="18" t="n"/>
      <c r="D515" s="20">
        <f>IF($P515="","",IFERROR(INDEX('得意先'!$C$5:$C$104,MATCH($P515,'得意先'!$B$5:$B$104,0))&amp;"","※得意先にないコード"))</f>
        <v/>
      </c>
      <c r="E515" s="27" t="n"/>
      <c r="F515" s="18" t="n"/>
      <c r="G515" s="27" t="n"/>
      <c r="H515" s="27" t="n"/>
      <c r="I515" s="27" t="n"/>
      <c r="J515" s="28">
        <f>IF(NOT(OR($A515&lt;&gt;"",$E515&lt;&gt;"",$F515&lt;&gt;"",$G515&lt;&gt;"",$H515&lt;&gt;"",$I515&lt;&gt;"")),"",N($G515)+N($H515)+N($I515))</f>
        <v/>
      </c>
      <c r="K515" s="28">
        <f>IF(ISNUMBER($O515),INDEX('請求台帳'!$R$5:$R$1004,$O515),"")</f>
        <v/>
      </c>
      <c r="L515" s="20">
        <f>IF(NOT(OR($A515&lt;&gt;"",$E515&lt;&gt;"",$F515&lt;&gt;"",$G515&lt;&gt;"",$H515&lt;&gt;"",$I515&lt;&gt;"")),"",IF(NOT(ISNUMBER($A515)),"入金日がありません",IF(AND($F515&lt;&gt;"",$O515="なし"),"請求Noが請求台帳にありません",IF(AND(ISNUMBER($O515),$C515&lt;&gt;"",$C515&lt;&gt;$P515),"請求の得意先は "&amp;$P515&amp;" です",IF(ROUND(IF($B515&lt;&gt;"",SUMIF($B$5:$B$1004,$B515,$E$5:$E$1004)-SUMIF($B$5:$B$1004,$B515,$G$5:$G$1004),N($E515)-N($G515)),0)&lt;&gt;0,"通帳の額と当てた額の差 "&amp;TEXT(IF($B515&lt;&gt;"",SUMIF($B$5:$B$1004,$B515,$E$5:$E$1004)-SUMIF($B$5:$B$1004,$B515,$G$5:$G$1004),N($E515)-N($G515)),"#,##0"),IF(AND(ISNUMBER($O515),N($K515)&lt;0),"請求額より多く消し込んでいます",IF($F515="","消込先が未定","OK")))))))</f>
        <v/>
      </c>
      <c r="M515" s="19" t="n"/>
      <c r="N515" s="56" t="n"/>
      <c r="O515" s="32">
        <f>IF($F515="","",IFERROR(MATCH($F515,'請求台帳'!$A$5:$A$1004,0),"なし"))</f>
        <v/>
      </c>
      <c r="P515" s="37">
        <f>IF(NOT(OR($A515&lt;&gt;"",$E515&lt;&gt;"",$F515&lt;&gt;"",$G515&lt;&gt;"",$H515&lt;&gt;"",$I515&lt;&gt;"")),"",IF(ISNUMBER($O515),IF(INDEX('請求台帳'!$C$5:$C$1004,$O515)="","",INDEX('請求台帳'!$C$5:$C$1004,$O515)),IF($C515="","",$C515)))</f>
        <v/>
      </c>
      <c r="Q515" s="35">
        <f>IF(OR(NOT(OR($A515&lt;&gt;"",$E515&lt;&gt;"",$F515&lt;&gt;"",$G515&lt;&gt;"",$H515&lt;&gt;"",$I515&lt;&gt;"")),$P515="",$P515&lt;&gt;'売掛帳'!$B$3,NOT(ISNUMBER($A515)),N($G515)+N($H515)+N($I515)=0),"",IF(AND($A515&gt;='売掛帳'!$Q$3,$A515&lt;='売掛帳'!$Q$4),$A515+0.5+ROW()/10000000,""))</f>
        <v/>
      </c>
      <c r="R515" s="32">
        <f>IF(AND(OR($A515&lt;&gt;"",$E515&lt;&gt;"",$F515&lt;&gt;"",$G515&lt;&gt;"",$H515&lt;&gt;"",$I515&lt;&gt;""),NOT(ISNUMBER($O515))),1,"")</f>
        <v/>
      </c>
    </row>
    <row r="516" ht="18" customHeight="1">
      <c r="A516" s="26" t="n"/>
      <c r="B516" s="18" t="n"/>
      <c r="C516" s="18" t="n"/>
      <c r="D516" s="20">
        <f>IF($P516="","",IFERROR(INDEX('得意先'!$C$5:$C$104,MATCH($P516,'得意先'!$B$5:$B$104,0))&amp;"","※得意先にないコード"))</f>
        <v/>
      </c>
      <c r="E516" s="27" t="n"/>
      <c r="F516" s="18" t="n"/>
      <c r="G516" s="27" t="n"/>
      <c r="H516" s="27" t="n"/>
      <c r="I516" s="27" t="n"/>
      <c r="J516" s="28">
        <f>IF(NOT(OR($A516&lt;&gt;"",$E516&lt;&gt;"",$F516&lt;&gt;"",$G516&lt;&gt;"",$H516&lt;&gt;"",$I516&lt;&gt;"")),"",N($G516)+N($H516)+N($I516))</f>
        <v/>
      </c>
      <c r="K516" s="28">
        <f>IF(ISNUMBER($O516),INDEX('請求台帳'!$R$5:$R$1004,$O516),"")</f>
        <v/>
      </c>
      <c r="L516" s="20">
        <f>IF(NOT(OR($A516&lt;&gt;"",$E516&lt;&gt;"",$F516&lt;&gt;"",$G516&lt;&gt;"",$H516&lt;&gt;"",$I516&lt;&gt;"")),"",IF(NOT(ISNUMBER($A516)),"入金日がありません",IF(AND($F516&lt;&gt;"",$O516="なし"),"請求Noが請求台帳にありません",IF(AND(ISNUMBER($O516),$C516&lt;&gt;"",$C516&lt;&gt;$P516),"請求の得意先は "&amp;$P516&amp;" です",IF(ROUND(IF($B516&lt;&gt;"",SUMIF($B$5:$B$1004,$B516,$E$5:$E$1004)-SUMIF($B$5:$B$1004,$B516,$G$5:$G$1004),N($E516)-N($G516)),0)&lt;&gt;0,"通帳の額と当てた額の差 "&amp;TEXT(IF($B516&lt;&gt;"",SUMIF($B$5:$B$1004,$B516,$E$5:$E$1004)-SUMIF($B$5:$B$1004,$B516,$G$5:$G$1004),N($E516)-N($G516)),"#,##0"),IF(AND(ISNUMBER($O516),N($K516)&lt;0),"請求額より多く消し込んでいます",IF($F516="","消込先が未定","OK")))))))</f>
        <v/>
      </c>
      <c r="M516" s="19" t="n"/>
      <c r="N516" s="56" t="n"/>
      <c r="O516" s="32">
        <f>IF($F516="","",IFERROR(MATCH($F516,'請求台帳'!$A$5:$A$1004,0),"なし"))</f>
        <v/>
      </c>
      <c r="P516" s="37">
        <f>IF(NOT(OR($A516&lt;&gt;"",$E516&lt;&gt;"",$F516&lt;&gt;"",$G516&lt;&gt;"",$H516&lt;&gt;"",$I516&lt;&gt;"")),"",IF(ISNUMBER($O516),IF(INDEX('請求台帳'!$C$5:$C$1004,$O516)="","",INDEX('請求台帳'!$C$5:$C$1004,$O516)),IF($C516="","",$C516)))</f>
        <v/>
      </c>
      <c r="Q516" s="35">
        <f>IF(OR(NOT(OR($A516&lt;&gt;"",$E516&lt;&gt;"",$F516&lt;&gt;"",$G516&lt;&gt;"",$H516&lt;&gt;"",$I516&lt;&gt;"")),$P516="",$P516&lt;&gt;'売掛帳'!$B$3,NOT(ISNUMBER($A516)),N($G516)+N($H516)+N($I516)=0),"",IF(AND($A516&gt;='売掛帳'!$Q$3,$A516&lt;='売掛帳'!$Q$4),$A516+0.5+ROW()/10000000,""))</f>
        <v/>
      </c>
      <c r="R516" s="32">
        <f>IF(AND(OR($A516&lt;&gt;"",$E516&lt;&gt;"",$F516&lt;&gt;"",$G516&lt;&gt;"",$H516&lt;&gt;"",$I516&lt;&gt;""),NOT(ISNUMBER($O516))),1,"")</f>
        <v/>
      </c>
    </row>
    <row r="517" ht="18" customHeight="1">
      <c r="A517" s="26" t="n"/>
      <c r="B517" s="18" t="n"/>
      <c r="C517" s="18" t="n"/>
      <c r="D517" s="20">
        <f>IF($P517="","",IFERROR(INDEX('得意先'!$C$5:$C$104,MATCH($P517,'得意先'!$B$5:$B$104,0))&amp;"","※得意先にないコード"))</f>
        <v/>
      </c>
      <c r="E517" s="27" t="n"/>
      <c r="F517" s="18" t="n"/>
      <c r="G517" s="27" t="n"/>
      <c r="H517" s="27" t="n"/>
      <c r="I517" s="27" t="n"/>
      <c r="J517" s="28">
        <f>IF(NOT(OR($A517&lt;&gt;"",$E517&lt;&gt;"",$F517&lt;&gt;"",$G517&lt;&gt;"",$H517&lt;&gt;"",$I517&lt;&gt;"")),"",N($G517)+N($H517)+N($I517))</f>
        <v/>
      </c>
      <c r="K517" s="28">
        <f>IF(ISNUMBER($O517),INDEX('請求台帳'!$R$5:$R$1004,$O517),"")</f>
        <v/>
      </c>
      <c r="L517" s="20">
        <f>IF(NOT(OR($A517&lt;&gt;"",$E517&lt;&gt;"",$F517&lt;&gt;"",$G517&lt;&gt;"",$H517&lt;&gt;"",$I517&lt;&gt;"")),"",IF(NOT(ISNUMBER($A517)),"入金日がありません",IF(AND($F517&lt;&gt;"",$O517="なし"),"請求Noが請求台帳にありません",IF(AND(ISNUMBER($O517),$C517&lt;&gt;"",$C517&lt;&gt;$P517),"請求の得意先は "&amp;$P517&amp;" です",IF(ROUND(IF($B517&lt;&gt;"",SUMIF($B$5:$B$1004,$B517,$E$5:$E$1004)-SUMIF($B$5:$B$1004,$B517,$G$5:$G$1004),N($E517)-N($G517)),0)&lt;&gt;0,"通帳の額と当てた額の差 "&amp;TEXT(IF($B517&lt;&gt;"",SUMIF($B$5:$B$1004,$B517,$E$5:$E$1004)-SUMIF($B$5:$B$1004,$B517,$G$5:$G$1004),N($E517)-N($G517)),"#,##0"),IF(AND(ISNUMBER($O517),N($K517)&lt;0),"請求額より多く消し込んでいます",IF($F517="","消込先が未定","OK")))))))</f>
        <v/>
      </c>
      <c r="M517" s="19" t="n"/>
      <c r="N517" s="56" t="n"/>
      <c r="O517" s="32">
        <f>IF($F517="","",IFERROR(MATCH($F517,'請求台帳'!$A$5:$A$1004,0),"なし"))</f>
        <v/>
      </c>
      <c r="P517" s="37">
        <f>IF(NOT(OR($A517&lt;&gt;"",$E517&lt;&gt;"",$F517&lt;&gt;"",$G517&lt;&gt;"",$H517&lt;&gt;"",$I517&lt;&gt;"")),"",IF(ISNUMBER($O517),IF(INDEX('請求台帳'!$C$5:$C$1004,$O517)="","",INDEX('請求台帳'!$C$5:$C$1004,$O517)),IF($C517="","",$C517)))</f>
        <v/>
      </c>
      <c r="Q517" s="35">
        <f>IF(OR(NOT(OR($A517&lt;&gt;"",$E517&lt;&gt;"",$F517&lt;&gt;"",$G517&lt;&gt;"",$H517&lt;&gt;"",$I517&lt;&gt;"")),$P517="",$P517&lt;&gt;'売掛帳'!$B$3,NOT(ISNUMBER($A517)),N($G517)+N($H517)+N($I517)=0),"",IF(AND($A517&gt;='売掛帳'!$Q$3,$A517&lt;='売掛帳'!$Q$4),$A517+0.5+ROW()/10000000,""))</f>
        <v/>
      </c>
      <c r="R517" s="32">
        <f>IF(AND(OR($A517&lt;&gt;"",$E517&lt;&gt;"",$F517&lt;&gt;"",$G517&lt;&gt;"",$H517&lt;&gt;"",$I517&lt;&gt;""),NOT(ISNUMBER($O517))),1,"")</f>
        <v/>
      </c>
    </row>
    <row r="518" ht="18" customHeight="1">
      <c r="A518" s="26" t="n"/>
      <c r="B518" s="18" t="n"/>
      <c r="C518" s="18" t="n"/>
      <c r="D518" s="20">
        <f>IF($P518="","",IFERROR(INDEX('得意先'!$C$5:$C$104,MATCH($P518,'得意先'!$B$5:$B$104,0))&amp;"","※得意先にないコード"))</f>
        <v/>
      </c>
      <c r="E518" s="27" t="n"/>
      <c r="F518" s="18" t="n"/>
      <c r="G518" s="27" t="n"/>
      <c r="H518" s="27" t="n"/>
      <c r="I518" s="27" t="n"/>
      <c r="J518" s="28">
        <f>IF(NOT(OR($A518&lt;&gt;"",$E518&lt;&gt;"",$F518&lt;&gt;"",$G518&lt;&gt;"",$H518&lt;&gt;"",$I518&lt;&gt;"")),"",N($G518)+N($H518)+N($I518))</f>
        <v/>
      </c>
      <c r="K518" s="28">
        <f>IF(ISNUMBER($O518),INDEX('請求台帳'!$R$5:$R$1004,$O518),"")</f>
        <v/>
      </c>
      <c r="L518" s="20">
        <f>IF(NOT(OR($A518&lt;&gt;"",$E518&lt;&gt;"",$F518&lt;&gt;"",$G518&lt;&gt;"",$H518&lt;&gt;"",$I518&lt;&gt;"")),"",IF(NOT(ISNUMBER($A518)),"入金日がありません",IF(AND($F518&lt;&gt;"",$O518="なし"),"請求Noが請求台帳にありません",IF(AND(ISNUMBER($O518),$C518&lt;&gt;"",$C518&lt;&gt;$P518),"請求の得意先は "&amp;$P518&amp;" です",IF(ROUND(IF($B518&lt;&gt;"",SUMIF($B$5:$B$1004,$B518,$E$5:$E$1004)-SUMIF($B$5:$B$1004,$B518,$G$5:$G$1004),N($E518)-N($G518)),0)&lt;&gt;0,"通帳の額と当てた額の差 "&amp;TEXT(IF($B518&lt;&gt;"",SUMIF($B$5:$B$1004,$B518,$E$5:$E$1004)-SUMIF($B$5:$B$1004,$B518,$G$5:$G$1004),N($E518)-N($G518)),"#,##0"),IF(AND(ISNUMBER($O518),N($K518)&lt;0),"請求額より多く消し込んでいます",IF($F518="","消込先が未定","OK")))))))</f>
        <v/>
      </c>
      <c r="M518" s="19" t="n"/>
      <c r="N518" s="56" t="n"/>
      <c r="O518" s="32">
        <f>IF($F518="","",IFERROR(MATCH($F518,'請求台帳'!$A$5:$A$1004,0),"なし"))</f>
        <v/>
      </c>
      <c r="P518" s="37">
        <f>IF(NOT(OR($A518&lt;&gt;"",$E518&lt;&gt;"",$F518&lt;&gt;"",$G518&lt;&gt;"",$H518&lt;&gt;"",$I518&lt;&gt;"")),"",IF(ISNUMBER($O518),IF(INDEX('請求台帳'!$C$5:$C$1004,$O518)="","",INDEX('請求台帳'!$C$5:$C$1004,$O518)),IF($C518="","",$C518)))</f>
        <v/>
      </c>
      <c r="Q518" s="35">
        <f>IF(OR(NOT(OR($A518&lt;&gt;"",$E518&lt;&gt;"",$F518&lt;&gt;"",$G518&lt;&gt;"",$H518&lt;&gt;"",$I518&lt;&gt;"")),$P518="",$P518&lt;&gt;'売掛帳'!$B$3,NOT(ISNUMBER($A518)),N($G518)+N($H518)+N($I518)=0),"",IF(AND($A518&gt;='売掛帳'!$Q$3,$A518&lt;='売掛帳'!$Q$4),$A518+0.5+ROW()/10000000,""))</f>
        <v/>
      </c>
      <c r="R518" s="32">
        <f>IF(AND(OR($A518&lt;&gt;"",$E518&lt;&gt;"",$F518&lt;&gt;"",$G518&lt;&gt;"",$H518&lt;&gt;"",$I518&lt;&gt;""),NOT(ISNUMBER($O518))),1,"")</f>
        <v/>
      </c>
    </row>
    <row r="519" ht="18" customHeight="1">
      <c r="A519" s="26" t="n"/>
      <c r="B519" s="18" t="n"/>
      <c r="C519" s="18" t="n"/>
      <c r="D519" s="20">
        <f>IF($P519="","",IFERROR(INDEX('得意先'!$C$5:$C$104,MATCH($P519,'得意先'!$B$5:$B$104,0))&amp;"","※得意先にないコード"))</f>
        <v/>
      </c>
      <c r="E519" s="27" t="n"/>
      <c r="F519" s="18" t="n"/>
      <c r="G519" s="27" t="n"/>
      <c r="H519" s="27" t="n"/>
      <c r="I519" s="27" t="n"/>
      <c r="J519" s="28">
        <f>IF(NOT(OR($A519&lt;&gt;"",$E519&lt;&gt;"",$F519&lt;&gt;"",$G519&lt;&gt;"",$H519&lt;&gt;"",$I519&lt;&gt;"")),"",N($G519)+N($H519)+N($I519))</f>
        <v/>
      </c>
      <c r="K519" s="28">
        <f>IF(ISNUMBER($O519),INDEX('請求台帳'!$R$5:$R$1004,$O519),"")</f>
        <v/>
      </c>
      <c r="L519" s="20">
        <f>IF(NOT(OR($A519&lt;&gt;"",$E519&lt;&gt;"",$F519&lt;&gt;"",$G519&lt;&gt;"",$H519&lt;&gt;"",$I519&lt;&gt;"")),"",IF(NOT(ISNUMBER($A519)),"入金日がありません",IF(AND($F519&lt;&gt;"",$O519="なし"),"請求Noが請求台帳にありません",IF(AND(ISNUMBER($O519),$C519&lt;&gt;"",$C519&lt;&gt;$P519),"請求の得意先は "&amp;$P519&amp;" です",IF(ROUND(IF($B519&lt;&gt;"",SUMIF($B$5:$B$1004,$B519,$E$5:$E$1004)-SUMIF($B$5:$B$1004,$B519,$G$5:$G$1004),N($E519)-N($G519)),0)&lt;&gt;0,"通帳の額と当てた額の差 "&amp;TEXT(IF($B519&lt;&gt;"",SUMIF($B$5:$B$1004,$B519,$E$5:$E$1004)-SUMIF($B$5:$B$1004,$B519,$G$5:$G$1004),N($E519)-N($G519)),"#,##0"),IF(AND(ISNUMBER($O519),N($K519)&lt;0),"請求額より多く消し込んでいます",IF($F519="","消込先が未定","OK")))))))</f>
        <v/>
      </c>
      <c r="M519" s="19" t="n"/>
      <c r="N519" s="56" t="n"/>
      <c r="O519" s="32">
        <f>IF($F519="","",IFERROR(MATCH($F519,'請求台帳'!$A$5:$A$1004,0),"なし"))</f>
        <v/>
      </c>
      <c r="P519" s="37">
        <f>IF(NOT(OR($A519&lt;&gt;"",$E519&lt;&gt;"",$F519&lt;&gt;"",$G519&lt;&gt;"",$H519&lt;&gt;"",$I519&lt;&gt;"")),"",IF(ISNUMBER($O519),IF(INDEX('請求台帳'!$C$5:$C$1004,$O519)="","",INDEX('請求台帳'!$C$5:$C$1004,$O519)),IF($C519="","",$C519)))</f>
        <v/>
      </c>
      <c r="Q519" s="35">
        <f>IF(OR(NOT(OR($A519&lt;&gt;"",$E519&lt;&gt;"",$F519&lt;&gt;"",$G519&lt;&gt;"",$H519&lt;&gt;"",$I519&lt;&gt;"")),$P519="",$P519&lt;&gt;'売掛帳'!$B$3,NOT(ISNUMBER($A519)),N($G519)+N($H519)+N($I519)=0),"",IF(AND($A519&gt;='売掛帳'!$Q$3,$A519&lt;='売掛帳'!$Q$4),$A519+0.5+ROW()/10000000,""))</f>
        <v/>
      </c>
      <c r="R519" s="32">
        <f>IF(AND(OR($A519&lt;&gt;"",$E519&lt;&gt;"",$F519&lt;&gt;"",$G519&lt;&gt;"",$H519&lt;&gt;"",$I519&lt;&gt;""),NOT(ISNUMBER($O519))),1,"")</f>
        <v/>
      </c>
    </row>
    <row r="520" ht="18" customHeight="1">
      <c r="A520" s="26" t="n"/>
      <c r="B520" s="18" t="n"/>
      <c r="C520" s="18" t="n"/>
      <c r="D520" s="20">
        <f>IF($P520="","",IFERROR(INDEX('得意先'!$C$5:$C$104,MATCH($P520,'得意先'!$B$5:$B$104,0))&amp;"","※得意先にないコード"))</f>
        <v/>
      </c>
      <c r="E520" s="27" t="n"/>
      <c r="F520" s="18" t="n"/>
      <c r="G520" s="27" t="n"/>
      <c r="H520" s="27" t="n"/>
      <c r="I520" s="27" t="n"/>
      <c r="J520" s="28">
        <f>IF(NOT(OR($A520&lt;&gt;"",$E520&lt;&gt;"",$F520&lt;&gt;"",$G520&lt;&gt;"",$H520&lt;&gt;"",$I520&lt;&gt;"")),"",N($G520)+N($H520)+N($I520))</f>
        <v/>
      </c>
      <c r="K520" s="28">
        <f>IF(ISNUMBER($O520),INDEX('請求台帳'!$R$5:$R$1004,$O520),"")</f>
        <v/>
      </c>
      <c r="L520" s="20">
        <f>IF(NOT(OR($A520&lt;&gt;"",$E520&lt;&gt;"",$F520&lt;&gt;"",$G520&lt;&gt;"",$H520&lt;&gt;"",$I520&lt;&gt;"")),"",IF(NOT(ISNUMBER($A520)),"入金日がありません",IF(AND($F520&lt;&gt;"",$O520="なし"),"請求Noが請求台帳にありません",IF(AND(ISNUMBER($O520),$C520&lt;&gt;"",$C520&lt;&gt;$P520),"請求の得意先は "&amp;$P520&amp;" です",IF(ROUND(IF($B520&lt;&gt;"",SUMIF($B$5:$B$1004,$B520,$E$5:$E$1004)-SUMIF($B$5:$B$1004,$B520,$G$5:$G$1004),N($E520)-N($G520)),0)&lt;&gt;0,"通帳の額と当てた額の差 "&amp;TEXT(IF($B520&lt;&gt;"",SUMIF($B$5:$B$1004,$B520,$E$5:$E$1004)-SUMIF($B$5:$B$1004,$B520,$G$5:$G$1004),N($E520)-N($G520)),"#,##0"),IF(AND(ISNUMBER($O520),N($K520)&lt;0),"請求額より多く消し込んでいます",IF($F520="","消込先が未定","OK")))))))</f>
        <v/>
      </c>
      <c r="M520" s="19" t="n"/>
      <c r="N520" s="56" t="n"/>
      <c r="O520" s="32">
        <f>IF($F520="","",IFERROR(MATCH($F520,'請求台帳'!$A$5:$A$1004,0),"なし"))</f>
        <v/>
      </c>
      <c r="P520" s="37">
        <f>IF(NOT(OR($A520&lt;&gt;"",$E520&lt;&gt;"",$F520&lt;&gt;"",$G520&lt;&gt;"",$H520&lt;&gt;"",$I520&lt;&gt;"")),"",IF(ISNUMBER($O520),IF(INDEX('請求台帳'!$C$5:$C$1004,$O520)="","",INDEX('請求台帳'!$C$5:$C$1004,$O520)),IF($C520="","",$C520)))</f>
        <v/>
      </c>
      <c r="Q520" s="35">
        <f>IF(OR(NOT(OR($A520&lt;&gt;"",$E520&lt;&gt;"",$F520&lt;&gt;"",$G520&lt;&gt;"",$H520&lt;&gt;"",$I520&lt;&gt;"")),$P520="",$P520&lt;&gt;'売掛帳'!$B$3,NOT(ISNUMBER($A520)),N($G520)+N($H520)+N($I520)=0),"",IF(AND($A520&gt;='売掛帳'!$Q$3,$A520&lt;='売掛帳'!$Q$4),$A520+0.5+ROW()/10000000,""))</f>
        <v/>
      </c>
      <c r="R520" s="32">
        <f>IF(AND(OR($A520&lt;&gt;"",$E520&lt;&gt;"",$F520&lt;&gt;"",$G520&lt;&gt;"",$H520&lt;&gt;"",$I520&lt;&gt;""),NOT(ISNUMBER($O520))),1,"")</f>
        <v/>
      </c>
    </row>
    <row r="521" ht="18" customHeight="1">
      <c r="A521" s="26" t="n"/>
      <c r="B521" s="18" t="n"/>
      <c r="C521" s="18" t="n"/>
      <c r="D521" s="20">
        <f>IF($P521="","",IFERROR(INDEX('得意先'!$C$5:$C$104,MATCH($P521,'得意先'!$B$5:$B$104,0))&amp;"","※得意先にないコード"))</f>
        <v/>
      </c>
      <c r="E521" s="27" t="n"/>
      <c r="F521" s="18" t="n"/>
      <c r="G521" s="27" t="n"/>
      <c r="H521" s="27" t="n"/>
      <c r="I521" s="27" t="n"/>
      <c r="J521" s="28">
        <f>IF(NOT(OR($A521&lt;&gt;"",$E521&lt;&gt;"",$F521&lt;&gt;"",$G521&lt;&gt;"",$H521&lt;&gt;"",$I521&lt;&gt;"")),"",N($G521)+N($H521)+N($I521))</f>
        <v/>
      </c>
      <c r="K521" s="28">
        <f>IF(ISNUMBER($O521),INDEX('請求台帳'!$R$5:$R$1004,$O521),"")</f>
        <v/>
      </c>
      <c r="L521" s="20">
        <f>IF(NOT(OR($A521&lt;&gt;"",$E521&lt;&gt;"",$F521&lt;&gt;"",$G521&lt;&gt;"",$H521&lt;&gt;"",$I521&lt;&gt;"")),"",IF(NOT(ISNUMBER($A521)),"入金日がありません",IF(AND($F521&lt;&gt;"",$O521="なし"),"請求Noが請求台帳にありません",IF(AND(ISNUMBER($O521),$C521&lt;&gt;"",$C521&lt;&gt;$P521),"請求の得意先は "&amp;$P521&amp;" です",IF(ROUND(IF($B521&lt;&gt;"",SUMIF($B$5:$B$1004,$B521,$E$5:$E$1004)-SUMIF($B$5:$B$1004,$B521,$G$5:$G$1004),N($E521)-N($G521)),0)&lt;&gt;0,"通帳の額と当てた額の差 "&amp;TEXT(IF($B521&lt;&gt;"",SUMIF($B$5:$B$1004,$B521,$E$5:$E$1004)-SUMIF($B$5:$B$1004,$B521,$G$5:$G$1004),N($E521)-N($G521)),"#,##0"),IF(AND(ISNUMBER($O521),N($K521)&lt;0),"請求額より多く消し込んでいます",IF($F521="","消込先が未定","OK")))))))</f>
        <v/>
      </c>
      <c r="M521" s="19" t="n"/>
      <c r="N521" s="56" t="n"/>
      <c r="O521" s="32">
        <f>IF($F521="","",IFERROR(MATCH($F521,'請求台帳'!$A$5:$A$1004,0),"なし"))</f>
        <v/>
      </c>
      <c r="P521" s="37">
        <f>IF(NOT(OR($A521&lt;&gt;"",$E521&lt;&gt;"",$F521&lt;&gt;"",$G521&lt;&gt;"",$H521&lt;&gt;"",$I521&lt;&gt;"")),"",IF(ISNUMBER($O521),IF(INDEX('請求台帳'!$C$5:$C$1004,$O521)="","",INDEX('請求台帳'!$C$5:$C$1004,$O521)),IF($C521="","",$C521)))</f>
        <v/>
      </c>
      <c r="Q521" s="35">
        <f>IF(OR(NOT(OR($A521&lt;&gt;"",$E521&lt;&gt;"",$F521&lt;&gt;"",$G521&lt;&gt;"",$H521&lt;&gt;"",$I521&lt;&gt;"")),$P521="",$P521&lt;&gt;'売掛帳'!$B$3,NOT(ISNUMBER($A521)),N($G521)+N($H521)+N($I521)=0),"",IF(AND($A521&gt;='売掛帳'!$Q$3,$A521&lt;='売掛帳'!$Q$4),$A521+0.5+ROW()/10000000,""))</f>
        <v/>
      </c>
      <c r="R521" s="32">
        <f>IF(AND(OR($A521&lt;&gt;"",$E521&lt;&gt;"",$F521&lt;&gt;"",$G521&lt;&gt;"",$H521&lt;&gt;"",$I521&lt;&gt;""),NOT(ISNUMBER($O521))),1,"")</f>
        <v/>
      </c>
    </row>
    <row r="522" ht="18" customHeight="1">
      <c r="A522" s="26" t="n"/>
      <c r="B522" s="18" t="n"/>
      <c r="C522" s="18" t="n"/>
      <c r="D522" s="20">
        <f>IF($P522="","",IFERROR(INDEX('得意先'!$C$5:$C$104,MATCH($P522,'得意先'!$B$5:$B$104,0))&amp;"","※得意先にないコード"))</f>
        <v/>
      </c>
      <c r="E522" s="27" t="n"/>
      <c r="F522" s="18" t="n"/>
      <c r="G522" s="27" t="n"/>
      <c r="H522" s="27" t="n"/>
      <c r="I522" s="27" t="n"/>
      <c r="J522" s="28">
        <f>IF(NOT(OR($A522&lt;&gt;"",$E522&lt;&gt;"",$F522&lt;&gt;"",$G522&lt;&gt;"",$H522&lt;&gt;"",$I522&lt;&gt;"")),"",N($G522)+N($H522)+N($I522))</f>
        <v/>
      </c>
      <c r="K522" s="28">
        <f>IF(ISNUMBER($O522),INDEX('請求台帳'!$R$5:$R$1004,$O522),"")</f>
        <v/>
      </c>
      <c r="L522" s="20">
        <f>IF(NOT(OR($A522&lt;&gt;"",$E522&lt;&gt;"",$F522&lt;&gt;"",$G522&lt;&gt;"",$H522&lt;&gt;"",$I522&lt;&gt;"")),"",IF(NOT(ISNUMBER($A522)),"入金日がありません",IF(AND($F522&lt;&gt;"",$O522="なし"),"請求Noが請求台帳にありません",IF(AND(ISNUMBER($O522),$C522&lt;&gt;"",$C522&lt;&gt;$P522),"請求の得意先は "&amp;$P522&amp;" です",IF(ROUND(IF($B522&lt;&gt;"",SUMIF($B$5:$B$1004,$B522,$E$5:$E$1004)-SUMIF($B$5:$B$1004,$B522,$G$5:$G$1004),N($E522)-N($G522)),0)&lt;&gt;0,"通帳の額と当てた額の差 "&amp;TEXT(IF($B522&lt;&gt;"",SUMIF($B$5:$B$1004,$B522,$E$5:$E$1004)-SUMIF($B$5:$B$1004,$B522,$G$5:$G$1004),N($E522)-N($G522)),"#,##0"),IF(AND(ISNUMBER($O522),N($K522)&lt;0),"請求額より多く消し込んでいます",IF($F522="","消込先が未定","OK")))))))</f>
        <v/>
      </c>
      <c r="M522" s="19" t="n"/>
      <c r="N522" s="56" t="n"/>
      <c r="O522" s="32">
        <f>IF($F522="","",IFERROR(MATCH($F522,'請求台帳'!$A$5:$A$1004,0),"なし"))</f>
        <v/>
      </c>
      <c r="P522" s="37">
        <f>IF(NOT(OR($A522&lt;&gt;"",$E522&lt;&gt;"",$F522&lt;&gt;"",$G522&lt;&gt;"",$H522&lt;&gt;"",$I522&lt;&gt;"")),"",IF(ISNUMBER($O522),IF(INDEX('請求台帳'!$C$5:$C$1004,$O522)="","",INDEX('請求台帳'!$C$5:$C$1004,$O522)),IF($C522="","",$C522)))</f>
        <v/>
      </c>
      <c r="Q522" s="35">
        <f>IF(OR(NOT(OR($A522&lt;&gt;"",$E522&lt;&gt;"",$F522&lt;&gt;"",$G522&lt;&gt;"",$H522&lt;&gt;"",$I522&lt;&gt;"")),$P522="",$P522&lt;&gt;'売掛帳'!$B$3,NOT(ISNUMBER($A522)),N($G522)+N($H522)+N($I522)=0),"",IF(AND($A522&gt;='売掛帳'!$Q$3,$A522&lt;='売掛帳'!$Q$4),$A522+0.5+ROW()/10000000,""))</f>
        <v/>
      </c>
      <c r="R522" s="32">
        <f>IF(AND(OR($A522&lt;&gt;"",$E522&lt;&gt;"",$F522&lt;&gt;"",$G522&lt;&gt;"",$H522&lt;&gt;"",$I522&lt;&gt;""),NOT(ISNUMBER($O522))),1,"")</f>
        <v/>
      </c>
    </row>
    <row r="523" ht="18" customHeight="1">
      <c r="A523" s="26" t="n"/>
      <c r="B523" s="18" t="n"/>
      <c r="C523" s="18" t="n"/>
      <c r="D523" s="20">
        <f>IF($P523="","",IFERROR(INDEX('得意先'!$C$5:$C$104,MATCH($P523,'得意先'!$B$5:$B$104,0))&amp;"","※得意先にないコード"))</f>
        <v/>
      </c>
      <c r="E523" s="27" t="n"/>
      <c r="F523" s="18" t="n"/>
      <c r="G523" s="27" t="n"/>
      <c r="H523" s="27" t="n"/>
      <c r="I523" s="27" t="n"/>
      <c r="J523" s="28">
        <f>IF(NOT(OR($A523&lt;&gt;"",$E523&lt;&gt;"",$F523&lt;&gt;"",$G523&lt;&gt;"",$H523&lt;&gt;"",$I523&lt;&gt;"")),"",N($G523)+N($H523)+N($I523))</f>
        <v/>
      </c>
      <c r="K523" s="28">
        <f>IF(ISNUMBER($O523),INDEX('請求台帳'!$R$5:$R$1004,$O523),"")</f>
        <v/>
      </c>
      <c r="L523" s="20">
        <f>IF(NOT(OR($A523&lt;&gt;"",$E523&lt;&gt;"",$F523&lt;&gt;"",$G523&lt;&gt;"",$H523&lt;&gt;"",$I523&lt;&gt;"")),"",IF(NOT(ISNUMBER($A523)),"入金日がありません",IF(AND($F523&lt;&gt;"",$O523="なし"),"請求Noが請求台帳にありません",IF(AND(ISNUMBER($O523),$C523&lt;&gt;"",$C523&lt;&gt;$P523),"請求の得意先は "&amp;$P523&amp;" です",IF(ROUND(IF($B523&lt;&gt;"",SUMIF($B$5:$B$1004,$B523,$E$5:$E$1004)-SUMIF($B$5:$B$1004,$B523,$G$5:$G$1004),N($E523)-N($G523)),0)&lt;&gt;0,"通帳の額と当てた額の差 "&amp;TEXT(IF($B523&lt;&gt;"",SUMIF($B$5:$B$1004,$B523,$E$5:$E$1004)-SUMIF($B$5:$B$1004,$B523,$G$5:$G$1004),N($E523)-N($G523)),"#,##0"),IF(AND(ISNUMBER($O523),N($K523)&lt;0),"請求額より多く消し込んでいます",IF($F523="","消込先が未定","OK")))))))</f>
        <v/>
      </c>
      <c r="M523" s="19" t="n"/>
      <c r="N523" s="56" t="n"/>
      <c r="O523" s="32">
        <f>IF($F523="","",IFERROR(MATCH($F523,'請求台帳'!$A$5:$A$1004,0),"なし"))</f>
        <v/>
      </c>
      <c r="P523" s="37">
        <f>IF(NOT(OR($A523&lt;&gt;"",$E523&lt;&gt;"",$F523&lt;&gt;"",$G523&lt;&gt;"",$H523&lt;&gt;"",$I523&lt;&gt;"")),"",IF(ISNUMBER($O523),IF(INDEX('請求台帳'!$C$5:$C$1004,$O523)="","",INDEX('請求台帳'!$C$5:$C$1004,$O523)),IF($C523="","",$C523)))</f>
        <v/>
      </c>
      <c r="Q523" s="35">
        <f>IF(OR(NOT(OR($A523&lt;&gt;"",$E523&lt;&gt;"",$F523&lt;&gt;"",$G523&lt;&gt;"",$H523&lt;&gt;"",$I523&lt;&gt;"")),$P523="",$P523&lt;&gt;'売掛帳'!$B$3,NOT(ISNUMBER($A523)),N($G523)+N($H523)+N($I523)=0),"",IF(AND($A523&gt;='売掛帳'!$Q$3,$A523&lt;='売掛帳'!$Q$4),$A523+0.5+ROW()/10000000,""))</f>
        <v/>
      </c>
      <c r="R523" s="32">
        <f>IF(AND(OR($A523&lt;&gt;"",$E523&lt;&gt;"",$F523&lt;&gt;"",$G523&lt;&gt;"",$H523&lt;&gt;"",$I523&lt;&gt;""),NOT(ISNUMBER($O523))),1,"")</f>
        <v/>
      </c>
    </row>
    <row r="524" ht="18" customHeight="1">
      <c r="A524" s="26" t="n"/>
      <c r="B524" s="18" t="n"/>
      <c r="C524" s="18" t="n"/>
      <c r="D524" s="20">
        <f>IF($P524="","",IFERROR(INDEX('得意先'!$C$5:$C$104,MATCH($P524,'得意先'!$B$5:$B$104,0))&amp;"","※得意先にないコード"))</f>
        <v/>
      </c>
      <c r="E524" s="27" t="n"/>
      <c r="F524" s="18" t="n"/>
      <c r="G524" s="27" t="n"/>
      <c r="H524" s="27" t="n"/>
      <c r="I524" s="27" t="n"/>
      <c r="J524" s="28">
        <f>IF(NOT(OR($A524&lt;&gt;"",$E524&lt;&gt;"",$F524&lt;&gt;"",$G524&lt;&gt;"",$H524&lt;&gt;"",$I524&lt;&gt;"")),"",N($G524)+N($H524)+N($I524))</f>
        <v/>
      </c>
      <c r="K524" s="28">
        <f>IF(ISNUMBER($O524),INDEX('請求台帳'!$R$5:$R$1004,$O524),"")</f>
        <v/>
      </c>
      <c r="L524" s="20">
        <f>IF(NOT(OR($A524&lt;&gt;"",$E524&lt;&gt;"",$F524&lt;&gt;"",$G524&lt;&gt;"",$H524&lt;&gt;"",$I524&lt;&gt;"")),"",IF(NOT(ISNUMBER($A524)),"入金日がありません",IF(AND($F524&lt;&gt;"",$O524="なし"),"請求Noが請求台帳にありません",IF(AND(ISNUMBER($O524),$C524&lt;&gt;"",$C524&lt;&gt;$P524),"請求の得意先は "&amp;$P524&amp;" です",IF(ROUND(IF($B524&lt;&gt;"",SUMIF($B$5:$B$1004,$B524,$E$5:$E$1004)-SUMIF($B$5:$B$1004,$B524,$G$5:$G$1004),N($E524)-N($G524)),0)&lt;&gt;0,"通帳の額と当てた額の差 "&amp;TEXT(IF($B524&lt;&gt;"",SUMIF($B$5:$B$1004,$B524,$E$5:$E$1004)-SUMIF($B$5:$B$1004,$B524,$G$5:$G$1004),N($E524)-N($G524)),"#,##0"),IF(AND(ISNUMBER($O524),N($K524)&lt;0),"請求額より多く消し込んでいます",IF($F524="","消込先が未定","OK")))))))</f>
        <v/>
      </c>
      <c r="M524" s="19" t="n"/>
      <c r="N524" s="56" t="n"/>
      <c r="O524" s="32">
        <f>IF($F524="","",IFERROR(MATCH($F524,'請求台帳'!$A$5:$A$1004,0),"なし"))</f>
        <v/>
      </c>
      <c r="P524" s="37">
        <f>IF(NOT(OR($A524&lt;&gt;"",$E524&lt;&gt;"",$F524&lt;&gt;"",$G524&lt;&gt;"",$H524&lt;&gt;"",$I524&lt;&gt;"")),"",IF(ISNUMBER($O524),IF(INDEX('請求台帳'!$C$5:$C$1004,$O524)="","",INDEX('請求台帳'!$C$5:$C$1004,$O524)),IF($C524="","",$C524)))</f>
        <v/>
      </c>
      <c r="Q524" s="35">
        <f>IF(OR(NOT(OR($A524&lt;&gt;"",$E524&lt;&gt;"",$F524&lt;&gt;"",$G524&lt;&gt;"",$H524&lt;&gt;"",$I524&lt;&gt;"")),$P524="",$P524&lt;&gt;'売掛帳'!$B$3,NOT(ISNUMBER($A524)),N($G524)+N($H524)+N($I524)=0),"",IF(AND($A524&gt;='売掛帳'!$Q$3,$A524&lt;='売掛帳'!$Q$4),$A524+0.5+ROW()/10000000,""))</f>
        <v/>
      </c>
      <c r="R524" s="32">
        <f>IF(AND(OR($A524&lt;&gt;"",$E524&lt;&gt;"",$F524&lt;&gt;"",$G524&lt;&gt;"",$H524&lt;&gt;"",$I524&lt;&gt;""),NOT(ISNUMBER($O524))),1,"")</f>
        <v/>
      </c>
    </row>
    <row r="525" ht="18" customHeight="1">
      <c r="A525" s="26" t="n"/>
      <c r="B525" s="18" t="n"/>
      <c r="C525" s="18" t="n"/>
      <c r="D525" s="20">
        <f>IF($P525="","",IFERROR(INDEX('得意先'!$C$5:$C$104,MATCH($P525,'得意先'!$B$5:$B$104,0))&amp;"","※得意先にないコード"))</f>
        <v/>
      </c>
      <c r="E525" s="27" t="n"/>
      <c r="F525" s="18" t="n"/>
      <c r="G525" s="27" t="n"/>
      <c r="H525" s="27" t="n"/>
      <c r="I525" s="27" t="n"/>
      <c r="J525" s="28">
        <f>IF(NOT(OR($A525&lt;&gt;"",$E525&lt;&gt;"",$F525&lt;&gt;"",$G525&lt;&gt;"",$H525&lt;&gt;"",$I525&lt;&gt;"")),"",N($G525)+N($H525)+N($I525))</f>
        <v/>
      </c>
      <c r="K525" s="28">
        <f>IF(ISNUMBER($O525),INDEX('請求台帳'!$R$5:$R$1004,$O525),"")</f>
        <v/>
      </c>
      <c r="L525" s="20">
        <f>IF(NOT(OR($A525&lt;&gt;"",$E525&lt;&gt;"",$F525&lt;&gt;"",$G525&lt;&gt;"",$H525&lt;&gt;"",$I525&lt;&gt;"")),"",IF(NOT(ISNUMBER($A525)),"入金日がありません",IF(AND($F525&lt;&gt;"",$O525="なし"),"請求Noが請求台帳にありません",IF(AND(ISNUMBER($O525),$C525&lt;&gt;"",$C525&lt;&gt;$P525),"請求の得意先は "&amp;$P525&amp;" です",IF(ROUND(IF($B525&lt;&gt;"",SUMIF($B$5:$B$1004,$B525,$E$5:$E$1004)-SUMIF($B$5:$B$1004,$B525,$G$5:$G$1004),N($E525)-N($G525)),0)&lt;&gt;0,"通帳の額と当てた額の差 "&amp;TEXT(IF($B525&lt;&gt;"",SUMIF($B$5:$B$1004,$B525,$E$5:$E$1004)-SUMIF($B$5:$B$1004,$B525,$G$5:$G$1004),N($E525)-N($G525)),"#,##0"),IF(AND(ISNUMBER($O525),N($K525)&lt;0),"請求額より多く消し込んでいます",IF($F525="","消込先が未定","OK")))))))</f>
        <v/>
      </c>
      <c r="M525" s="19" t="n"/>
      <c r="N525" s="56" t="n"/>
      <c r="O525" s="32">
        <f>IF($F525="","",IFERROR(MATCH($F525,'請求台帳'!$A$5:$A$1004,0),"なし"))</f>
        <v/>
      </c>
      <c r="P525" s="37">
        <f>IF(NOT(OR($A525&lt;&gt;"",$E525&lt;&gt;"",$F525&lt;&gt;"",$G525&lt;&gt;"",$H525&lt;&gt;"",$I525&lt;&gt;"")),"",IF(ISNUMBER($O525),IF(INDEX('請求台帳'!$C$5:$C$1004,$O525)="","",INDEX('請求台帳'!$C$5:$C$1004,$O525)),IF($C525="","",$C525)))</f>
        <v/>
      </c>
      <c r="Q525" s="35">
        <f>IF(OR(NOT(OR($A525&lt;&gt;"",$E525&lt;&gt;"",$F525&lt;&gt;"",$G525&lt;&gt;"",$H525&lt;&gt;"",$I525&lt;&gt;"")),$P525="",$P525&lt;&gt;'売掛帳'!$B$3,NOT(ISNUMBER($A525)),N($G525)+N($H525)+N($I525)=0),"",IF(AND($A525&gt;='売掛帳'!$Q$3,$A525&lt;='売掛帳'!$Q$4),$A525+0.5+ROW()/10000000,""))</f>
        <v/>
      </c>
      <c r="R525" s="32">
        <f>IF(AND(OR($A525&lt;&gt;"",$E525&lt;&gt;"",$F525&lt;&gt;"",$G525&lt;&gt;"",$H525&lt;&gt;"",$I525&lt;&gt;""),NOT(ISNUMBER($O525))),1,"")</f>
        <v/>
      </c>
    </row>
    <row r="526" ht="18" customHeight="1">
      <c r="A526" s="26" t="n"/>
      <c r="B526" s="18" t="n"/>
      <c r="C526" s="18" t="n"/>
      <c r="D526" s="20">
        <f>IF($P526="","",IFERROR(INDEX('得意先'!$C$5:$C$104,MATCH($P526,'得意先'!$B$5:$B$104,0))&amp;"","※得意先にないコード"))</f>
        <v/>
      </c>
      <c r="E526" s="27" t="n"/>
      <c r="F526" s="18" t="n"/>
      <c r="G526" s="27" t="n"/>
      <c r="H526" s="27" t="n"/>
      <c r="I526" s="27" t="n"/>
      <c r="J526" s="28">
        <f>IF(NOT(OR($A526&lt;&gt;"",$E526&lt;&gt;"",$F526&lt;&gt;"",$G526&lt;&gt;"",$H526&lt;&gt;"",$I526&lt;&gt;"")),"",N($G526)+N($H526)+N($I526))</f>
        <v/>
      </c>
      <c r="K526" s="28">
        <f>IF(ISNUMBER($O526),INDEX('請求台帳'!$R$5:$R$1004,$O526),"")</f>
        <v/>
      </c>
      <c r="L526" s="20">
        <f>IF(NOT(OR($A526&lt;&gt;"",$E526&lt;&gt;"",$F526&lt;&gt;"",$G526&lt;&gt;"",$H526&lt;&gt;"",$I526&lt;&gt;"")),"",IF(NOT(ISNUMBER($A526)),"入金日がありません",IF(AND($F526&lt;&gt;"",$O526="なし"),"請求Noが請求台帳にありません",IF(AND(ISNUMBER($O526),$C526&lt;&gt;"",$C526&lt;&gt;$P526),"請求の得意先は "&amp;$P526&amp;" です",IF(ROUND(IF($B526&lt;&gt;"",SUMIF($B$5:$B$1004,$B526,$E$5:$E$1004)-SUMIF($B$5:$B$1004,$B526,$G$5:$G$1004),N($E526)-N($G526)),0)&lt;&gt;0,"通帳の額と当てた額の差 "&amp;TEXT(IF($B526&lt;&gt;"",SUMIF($B$5:$B$1004,$B526,$E$5:$E$1004)-SUMIF($B$5:$B$1004,$B526,$G$5:$G$1004),N($E526)-N($G526)),"#,##0"),IF(AND(ISNUMBER($O526),N($K526)&lt;0),"請求額より多く消し込んでいます",IF($F526="","消込先が未定","OK")))))))</f>
        <v/>
      </c>
      <c r="M526" s="19" t="n"/>
      <c r="N526" s="56" t="n"/>
      <c r="O526" s="32">
        <f>IF($F526="","",IFERROR(MATCH($F526,'請求台帳'!$A$5:$A$1004,0),"なし"))</f>
        <v/>
      </c>
      <c r="P526" s="37">
        <f>IF(NOT(OR($A526&lt;&gt;"",$E526&lt;&gt;"",$F526&lt;&gt;"",$G526&lt;&gt;"",$H526&lt;&gt;"",$I526&lt;&gt;"")),"",IF(ISNUMBER($O526),IF(INDEX('請求台帳'!$C$5:$C$1004,$O526)="","",INDEX('請求台帳'!$C$5:$C$1004,$O526)),IF($C526="","",$C526)))</f>
        <v/>
      </c>
      <c r="Q526" s="35">
        <f>IF(OR(NOT(OR($A526&lt;&gt;"",$E526&lt;&gt;"",$F526&lt;&gt;"",$G526&lt;&gt;"",$H526&lt;&gt;"",$I526&lt;&gt;"")),$P526="",$P526&lt;&gt;'売掛帳'!$B$3,NOT(ISNUMBER($A526)),N($G526)+N($H526)+N($I526)=0),"",IF(AND($A526&gt;='売掛帳'!$Q$3,$A526&lt;='売掛帳'!$Q$4),$A526+0.5+ROW()/10000000,""))</f>
        <v/>
      </c>
      <c r="R526" s="32">
        <f>IF(AND(OR($A526&lt;&gt;"",$E526&lt;&gt;"",$F526&lt;&gt;"",$G526&lt;&gt;"",$H526&lt;&gt;"",$I526&lt;&gt;""),NOT(ISNUMBER($O526))),1,"")</f>
        <v/>
      </c>
    </row>
    <row r="527" ht="18" customHeight="1">
      <c r="A527" s="26" t="n"/>
      <c r="B527" s="18" t="n"/>
      <c r="C527" s="18" t="n"/>
      <c r="D527" s="20">
        <f>IF($P527="","",IFERROR(INDEX('得意先'!$C$5:$C$104,MATCH($P527,'得意先'!$B$5:$B$104,0))&amp;"","※得意先にないコード"))</f>
        <v/>
      </c>
      <c r="E527" s="27" t="n"/>
      <c r="F527" s="18" t="n"/>
      <c r="G527" s="27" t="n"/>
      <c r="H527" s="27" t="n"/>
      <c r="I527" s="27" t="n"/>
      <c r="J527" s="28">
        <f>IF(NOT(OR($A527&lt;&gt;"",$E527&lt;&gt;"",$F527&lt;&gt;"",$G527&lt;&gt;"",$H527&lt;&gt;"",$I527&lt;&gt;"")),"",N($G527)+N($H527)+N($I527))</f>
        <v/>
      </c>
      <c r="K527" s="28">
        <f>IF(ISNUMBER($O527),INDEX('請求台帳'!$R$5:$R$1004,$O527),"")</f>
        <v/>
      </c>
      <c r="L527" s="20">
        <f>IF(NOT(OR($A527&lt;&gt;"",$E527&lt;&gt;"",$F527&lt;&gt;"",$G527&lt;&gt;"",$H527&lt;&gt;"",$I527&lt;&gt;"")),"",IF(NOT(ISNUMBER($A527)),"入金日がありません",IF(AND($F527&lt;&gt;"",$O527="なし"),"請求Noが請求台帳にありません",IF(AND(ISNUMBER($O527),$C527&lt;&gt;"",$C527&lt;&gt;$P527),"請求の得意先は "&amp;$P527&amp;" です",IF(ROUND(IF($B527&lt;&gt;"",SUMIF($B$5:$B$1004,$B527,$E$5:$E$1004)-SUMIF($B$5:$B$1004,$B527,$G$5:$G$1004),N($E527)-N($G527)),0)&lt;&gt;0,"通帳の額と当てた額の差 "&amp;TEXT(IF($B527&lt;&gt;"",SUMIF($B$5:$B$1004,$B527,$E$5:$E$1004)-SUMIF($B$5:$B$1004,$B527,$G$5:$G$1004),N($E527)-N($G527)),"#,##0"),IF(AND(ISNUMBER($O527),N($K527)&lt;0),"請求額より多く消し込んでいます",IF($F527="","消込先が未定","OK")))))))</f>
        <v/>
      </c>
      <c r="M527" s="19" t="n"/>
      <c r="N527" s="56" t="n"/>
      <c r="O527" s="32">
        <f>IF($F527="","",IFERROR(MATCH($F527,'請求台帳'!$A$5:$A$1004,0),"なし"))</f>
        <v/>
      </c>
      <c r="P527" s="37">
        <f>IF(NOT(OR($A527&lt;&gt;"",$E527&lt;&gt;"",$F527&lt;&gt;"",$G527&lt;&gt;"",$H527&lt;&gt;"",$I527&lt;&gt;"")),"",IF(ISNUMBER($O527),IF(INDEX('請求台帳'!$C$5:$C$1004,$O527)="","",INDEX('請求台帳'!$C$5:$C$1004,$O527)),IF($C527="","",$C527)))</f>
        <v/>
      </c>
      <c r="Q527" s="35">
        <f>IF(OR(NOT(OR($A527&lt;&gt;"",$E527&lt;&gt;"",$F527&lt;&gt;"",$G527&lt;&gt;"",$H527&lt;&gt;"",$I527&lt;&gt;"")),$P527="",$P527&lt;&gt;'売掛帳'!$B$3,NOT(ISNUMBER($A527)),N($G527)+N($H527)+N($I527)=0),"",IF(AND($A527&gt;='売掛帳'!$Q$3,$A527&lt;='売掛帳'!$Q$4),$A527+0.5+ROW()/10000000,""))</f>
        <v/>
      </c>
      <c r="R527" s="32">
        <f>IF(AND(OR($A527&lt;&gt;"",$E527&lt;&gt;"",$F527&lt;&gt;"",$G527&lt;&gt;"",$H527&lt;&gt;"",$I527&lt;&gt;""),NOT(ISNUMBER($O527))),1,"")</f>
        <v/>
      </c>
    </row>
    <row r="528" ht="18" customHeight="1">
      <c r="A528" s="26" t="n"/>
      <c r="B528" s="18" t="n"/>
      <c r="C528" s="18" t="n"/>
      <c r="D528" s="20">
        <f>IF($P528="","",IFERROR(INDEX('得意先'!$C$5:$C$104,MATCH($P528,'得意先'!$B$5:$B$104,0))&amp;"","※得意先にないコード"))</f>
        <v/>
      </c>
      <c r="E528" s="27" t="n"/>
      <c r="F528" s="18" t="n"/>
      <c r="G528" s="27" t="n"/>
      <c r="H528" s="27" t="n"/>
      <c r="I528" s="27" t="n"/>
      <c r="J528" s="28">
        <f>IF(NOT(OR($A528&lt;&gt;"",$E528&lt;&gt;"",$F528&lt;&gt;"",$G528&lt;&gt;"",$H528&lt;&gt;"",$I528&lt;&gt;"")),"",N($G528)+N($H528)+N($I528))</f>
        <v/>
      </c>
      <c r="K528" s="28">
        <f>IF(ISNUMBER($O528),INDEX('請求台帳'!$R$5:$R$1004,$O528),"")</f>
        <v/>
      </c>
      <c r="L528" s="20">
        <f>IF(NOT(OR($A528&lt;&gt;"",$E528&lt;&gt;"",$F528&lt;&gt;"",$G528&lt;&gt;"",$H528&lt;&gt;"",$I528&lt;&gt;"")),"",IF(NOT(ISNUMBER($A528)),"入金日がありません",IF(AND($F528&lt;&gt;"",$O528="なし"),"請求Noが請求台帳にありません",IF(AND(ISNUMBER($O528),$C528&lt;&gt;"",$C528&lt;&gt;$P528),"請求の得意先は "&amp;$P528&amp;" です",IF(ROUND(IF($B528&lt;&gt;"",SUMIF($B$5:$B$1004,$B528,$E$5:$E$1004)-SUMIF($B$5:$B$1004,$B528,$G$5:$G$1004),N($E528)-N($G528)),0)&lt;&gt;0,"通帳の額と当てた額の差 "&amp;TEXT(IF($B528&lt;&gt;"",SUMIF($B$5:$B$1004,$B528,$E$5:$E$1004)-SUMIF($B$5:$B$1004,$B528,$G$5:$G$1004),N($E528)-N($G528)),"#,##0"),IF(AND(ISNUMBER($O528),N($K528)&lt;0),"請求額より多く消し込んでいます",IF($F528="","消込先が未定","OK")))))))</f>
        <v/>
      </c>
      <c r="M528" s="19" t="n"/>
      <c r="N528" s="56" t="n"/>
      <c r="O528" s="32">
        <f>IF($F528="","",IFERROR(MATCH($F528,'請求台帳'!$A$5:$A$1004,0),"なし"))</f>
        <v/>
      </c>
      <c r="P528" s="37">
        <f>IF(NOT(OR($A528&lt;&gt;"",$E528&lt;&gt;"",$F528&lt;&gt;"",$G528&lt;&gt;"",$H528&lt;&gt;"",$I528&lt;&gt;"")),"",IF(ISNUMBER($O528),IF(INDEX('請求台帳'!$C$5:$C$1004,$O528)="","",INDEX('請求台帳'!$C$5:$C$1004,$O528)),IF($C528="","",$C528)))</f>
        <v/>
      </c>
      <c r="Q528" s="35">
        <f>IF(OR(NOT(OR($A528&lt;&gt;"",$E528&lt;&gt;"",$F528&lt;&gt;"",$G528&lt;&gt;"",$H528&lt;&gt;"",$I528&lt;&gt;"")),$P528="",$P528&lt;&gt;'売掛帳'!$B$3,NOT(ISNUMBER($A528)),N($G528)+N($H528)+N($I528)=0),"",IF(AND($A528&gt;='売掛帳'!$Q$3,$A528&lt;='売掛帳'!$Q$4),$A528+0.5+ROW()/10000000,""))</f>
        <v/>
      </c>
      <c r="R528" s="32">
        <f>IF(AND(OR($A528&lt;&gt;"",$E528&lt;&gt;"",$F528&lt;&gt;"",$G528&lt;&gt;"",$H528&lt;&gt;"",$I528&lt;&gt;""),NOT(ISNUMBER($O528))),1,"")</f>
        <v/>
      </c>
    </row>
    <row r="529" ht="18" customHeight="1">
      <c r="A529" s="26" t="n"/>
      <c r="B529" s="18" t="n"/>
      <c r="C529" s="18" t="n"/>
      <c r="D529" s="20">
        <f>IF($P529="","",IFERROR(INDEX('得意先'!$C$5:$C$104,MATCH($P529,'得意先'!$B$5:$B$104,0))&amp;"","※得意先にないコード"))</f>
        <v/>
      </c>
      <c r="E529" s="27" t="n"/>
      <c r="F529" s="18" t="n"/>
      <c r="G529" s="27" t="n"/>
      <c r="H529" s="27" t="n"/>
      <c r="I529" s="27" t="n"/>
      <c r="J529" s="28">
        <f>IF(NOT(OR($A529&lt;&gt;"",$E529&lt;&gt;"",$F529&lt;&gt;"",$G529&lt;&gt;"",$H529&lt;&gt;"",$I529&lt;&gt;"")),"",N($G529)+N($H529)+N($I529))</f>
        <v/>
      </c>
      <c r="K529" s="28">
        <f>IF(ISNUMBER($O529),INDEX('請求台帳'!$R$5:$R$1004,$O529),"")</f>
        <v/>
      </c>
      <c r="L529" s="20">
        <f>IF(NOT(OR($A529&lt;&gt;"",$E529&lt;&gt;"",$F529&lt;&gt;"",$G529&lt;&gt;"",$H529&lt;&gt;"",$I529&lt;&gt;"")),"",IF(NOT(ISNUMBER($A529)),"入金日がありません",IF(AND($F529&lt;&gt;"",$O529="なし"),"請求Noが請求台帳にありません",IF(AND(ISNUMBER($O529),$C529&lt;&gt;"",$C529&lt;&gt;$P529),"請求の得意先は "&amp;$P529&amp;" です",IF(ROUND(IF($B529&lt;&gt;"",SUMIF($B$5:$B$1004,$B529,$E$5:$E$1004)-SUMIF($B$5:$B$1004,$B529,$G$5:$G$1004),N($E529)-N($G529)),0)&lt;&gt;0,"通帳の額と当てた額の差 "&amp;TEXT(IF($B529&lt;&gt;"",SUMIF($B$5:$B$1004,$B529,$E$5:$E$1004)-SUMIF($B$5:$B$1004,$B529,$G$5:$G$1004),N($E529)-N($G529)),"#,##0"),IF(AND(ISNUMBER($O529),N($K529)&lt;0),"請求額より多く消し込んでいます",IF($F529="","消込先が未定","OK")))))))</f>
        <v/>
      </c>
      <c r="M529" s="19" t="n"/>
      <c r="N529" s="56" t="n"/>
      <c r="O529" s="32">
        <f>IF($F529="","",IFERROR(MATCH($F529,'請求台帳'!$A$5:$A$1004,0),"なし"))</f>
        <v/>
      </c>
      <c r="P529" s="37">
        <f>IF(NOT(OR($A529&lt;&gt;"",$E529&lt;&gt;"",$F529&lt;&gt;"",$G529&lt;&gt;"",$H529&lt;&gt;"",$I529&lt;&gt;"")),"",IF(ISNUMBER($O529),IF(INDEX('請求台帳'!$C$5:$C$1004,$O529)="","",INDEX('請求台帳'!$C$5:$C$1004,$O529)),IF($C529="","",$C529)))</f>
        <v/>
      </c>
      <c r="Q529" s="35">
        <f>IF(OR(NOT(OR($A529&lt;&gt;"",$E529&lt;&gt;"",$F529&lt;&gt;"",$G529&lt;&gt;"",$H529&lt;&gt;"",$I529&lt;&gt;"")),$P529="",$P529&lt;&gt;'売掛帳'!$B$3,NOT(ISNUMBER($A529)),N($G529)+N($H529)+N($I529)=0),"",IF(AND($A529&gt;='売掛帳'!$Q$3,$A529&lt;='売掛帳'!$Q$4),$A529+0.5+ROW()/10000000,""))</f>
        <v/>
      </c>
      <c r="R529" s="32">
        <f>IF(AND(OR($A529&lt;&gt;"",$E529&lt;&gt;"",$F529&lt;&gt;"",$G529&lt;&gt;"",$H529&lt;&gt;"",$I529&lt;&gt;""),NOT(ISNUMBER($O529))),1,"")</f>
        <v/>
      </c>
    </row>
    <row r="530" ht="18" customHeight="1">
      <c r="A530" s="26" t="n"/>
      <c r="B530" s="18" t="n"/>
      <c r="C530" s="18" t="n"/>
      <c r="D530" s="20">
        <f>IF($P530="","",IFERROR(INDEX('得意先'!$C$5:$C$104,MATCH($P530,'得意先'!$B$5:$B$104,0))&amp;"","※得意先にないコード"))</f>
        <v/>
      </c>
      <c r="E530" s="27" t="n"/>
      <c r="F530" s="18" t="n"/>
      <c r="G530" s="27" t="n"/>
      <c r="H530" s="27" t="n"/>
      <c r="I530" s="27" t="n"/>
      <c r="J530" s="28">
        <f>IF(NOT(OR($A530&lt;&gt;"",$E530&lt;&gt;"",$F530&lt;&gt;"",$G530&lt;&gt;"",$H530&lt;&gt;"",$I530&lt;&gt;"")),"",N($G530)+N($H530)+N($I530))</f>
        <v/>
      </c>
      <c r="K530" s="28">
        <f>IF(ISNUMBER($O530),INDEX('請求台帳'!$R$5:$R$1004,$O530),"")</f>
        <v/>
      </c>
      <c r="L530" s="20">
        <f>IF(NOT(OR($A530&lt;&gt;"",$E530&lt;&gt;"",$F530&lt;&gt;"",$G530&lt;&gt;"",$H530&lt;&gt;"",$I530&lt;&gt;"")),"",IF(NOT(ISNUMBER($A530)),"入金日がありません",IF(AND($F530&lt;&gt;"",$O530="なし"),"請求Noが請求台帳にありません",IF(AND(ISNUMBER($O530),$C530&lt;&gt;"",$C530&lt;&gt;$P530),"請求の得意先は "&amp;$P530&amp;" です",IF(ROUND(IF($B530&lt;&gt;"",SUMIF($B$5:$B$1004,$B530,$E$5:$E$1004)-SUMIF($B$5:$B$1004,$B530,$G$5:$G$1004),N($E530)-N($G530)),0)&lt;&gt;0,"通帳の額と当てた額の差 "&amp;TEXT(IF($B530&lt;&gt;"",SUMIF($B$5:$B$1004,$B530,$E$5:$E$1004)-SUMIF($B$5:$B$1004,$B530,$G$5:$G$1004),N($E530)-N($G530)),"#,##0"),IF(AND(ISNUMBER($O530),N($K530)&lt;0),"請求額より多く消し込んでいます",IF($F530="","消込先が未定","OK")))))))</f>
        <v/>
      </c>
      <c r="M530" s="19" t="n"/>
      <c r="N530" s="56" t="n"/>
      <c r="O530" s="32">
        <f>IF($F530="","",IFERROR(MATCH($F530,'請求台帳'!$A$5:$A$1004,0),"なし"))</f>
        <v/>
      </c>
      <c r="P530" s="37">
        <f>IF(NOT(OR($A530&lt;&gt;"",$E530&lt;&gt;"",$F530&lt;&gt;"",$G530&lt;&gt;"",$H530&lt;&gt;"",$I530&lt;&gt;"")),"",IF(ISNUMBER($O530),IF(INDEX('請求台帳'!$C$5:$C$1004,$O530)="","",INDEX('請求台帳'!$C$5:$C$1004,$O530)),IF($C530="","",$C530)))</f>
        <v/>
      </c>
      <c r="Q530" s="35">
        <f>IF(OR(NOT(OR($A530&lt;&gt;"",$E530&lt;&gt;"",$F530&lt;&gt;"",$G530&lt;&gt;"",$H530&lt;&gt;"",$I530&lt;&gt;"")),$P530="",$P530&lt;&gt;'売掛帳'!$B$3,NOT(ISNUMBER($A530)),N($G530)+N($H530)+N($I530)=0),"",IF(AND($A530&gt;='売掛帳'!$Q$3,$A530&lt;='売掛帳'!$Q$4),$A530+0.5+ROW()/10000000,""))</f>
        <v/>
      </c>
      <c r="R530" s="32">
        <f>IF(AND(OR($A530&lt;&gt;"",$E530&lt;&gt;"",$F530&lt;&gt;"",$G530&lt;&gt;"",$H530&lt;&gt;"",$I530&lt;&gt;""),NOT(ISNUMBER($O530))),1,"")</f>
        <v/>
      </c>
    </row>
    <row r="531" ht="18" customHeight="1">
      <c r="A531" s="26" t="n"/>
      <c r="B531" s="18" t="n"/>
      <c r="C531" s="18" t="n"/>
      <c r="D531" s="20">
        <f>IF($P531="","",IFERROR(INDEX('得意先'!$C$5:$C$104,MATCH($P531,'得意先'!$B$5:$B$104,0))&amp;"","※得意先にないコード"))</f>
        <v/>
      </c>
      <c r="E531" s="27" t="n"/>
      <c r="F531" s="18" t="n"/>
      <c r="G531" s="27" t="n"/>
      <c r="H531" s="27" t="n"/>
      <c r="I531" s="27" t="n"/>
      <c r="J531" s="28">
        <f>IF(NOT(OR($A531&lt;&gt;"",$E531&lt;&gt;"",$F531&lt;&gt;"",$G531&lt;&gt;"",$H531&lt;&gt;"",$I531&lt;&gt;"")),"",N($G531)+N($H531)+N($I531))</f>
        <v/>
      </c>
      <c r="K531" s="28">
        <f>IF(ISNUMBER($O531),INDEX('請求台帳'!$R$5:$R$1004,$O531),"")</f>
        <v/>
      </c>
      <c r="L531" s="20">
        <f>IF(NOT(OR($A531&lt;&gt;"",$E531&lt;&gt;"",$F531&lt;&gt;"",$G531&lt;&gt;"",$H531&lt;&gt;"",$I531&lt;&gt;"")),"",IF(NOT(ISNUMBER($A531)),"入金日がありません",IF(AND($F531&lt;&gt;"",$O531="なし"),"請求Noが請求台帳にありません",IF(AND(ISNUMBER($O531),$C531&lt;&gt;"",$C531&lt;&gt;$P531),"請求の得意先は "&amp;$P531&amp;" です",IF(ROUND(IF($B531&lt;&gt;"",SUMIF($B$5:$B$1004,$B531,$E$5:$E$1004)-SUMIF($B$5:$B$1004,$B531,$G$5:$G$1004),N($E531)-N($G531)),0)&lt;&gt;0,"通帳の額と当てた額の差 "&amp;TEXT(IF($B531&lt;&gt;"",SUMIF($B$5:$B$1004,$B531,$E$5:$E$1004)-SUMIF($B$5:$B$1004,$B531,$G$5:$G$1004),N($E531)-N($G531)),"#,##0"),IF(AND(ISNUMBER($O531),N($K531)&lt;0),"請求額より多く消し込んでいます",IF($F531="","消込先が未定","OK")))))))</f>
        <v/>
      </c>
      <c r="M531" s="19" t="n"/>
      <c r="N531" s="56" t="n"/>
      <c r="O531" s="32">
        <f>IF($F531="","",IFERROR(MATCH($F531,'請求台帳'!$A$5:$A$1004,0),"なし"))</f>
        <v/>
      </c>
      <c r="P531" s="37">
        <f>IF(NOT(OR($A531&lt;&gt;"",$E531&lt;&gt;"",$F531&lt;&gt;"",$G531&lt;&gt;"",$H531&lt;&gt;"",$I531&lt;&gt;"")),"",IF(ISNUMBER($O531),IF(INDEX('請求台帳'!$C$5:$C$1004,$O531)="","",INDEX('請求台帳'!$C$5:$C$1004,$O531)),IF($C531="","",$C531)))</f>
        <v/>
      </c>
      <c r="Q531" s="35">
        <f>IF(OR(NOT(OR($A531&lt;&gt;"",$E531&lt;&gt;"",$F531&lt;&gt;"",$G531&lt;&gt;"",$H531&lt;&gt;"",$I531&lt;&gt;"")),$P531="",$P531&lt;&gt;'売掛帳'!$B$3,NOT(ISNUMBER($A531)),N($G531)+N($H531)+N($I531)=0),"",IF(AND($A531&gt;='売掛帳'!$Q$3,$A531&lt;='売掛帳'!$Q$4),$A531+0.5+ROW()/10000000,""))</f>
        <v/>
      </c>
      <c r="R531" s="32">
        <f>IF(AND(OR($A531&lt;&gt;"",$E531&lt;&gt;"",$F531&lt;&gt;"",$G531&lt;&gt;"",$H531&lt;&gt;"",$I531&lt;&gt;""),NOT(ISNUMBER($O531))),1,"")</f>
        <v/>
      </c>
    </row>
    <row r="532" ht="18" customHeight="1">
      <c r="A532" s="26" t="n"/>
      <c r="B532" s="18" t="n"/>
      <c r="C532" s="18" t="n"/>
      <c r="D532" s="20">
        <f>IF($P532="","",IFERROR(INDEX('得意先'!$C$5:$C$104,MATCH($P532,'得意先'!$B$5:$B$104,0))&amp;"","※得意先にないコード"))</f>
        <v/>
      </c>
      <c r="E532" s="27" t="n"/>
      <c r="F532" s="18" t="n"/>
      <c r="G532" s="27" t="n"/>
      <c r="H532" s="27" t="n"/>
      <c r="I532" s="27" t="n"/>
      <c r="J532" s="28">
        <f>IF(NOT(OR($A532&lt;&gt;"",$E532&lt;&gt;"",$F532&lt;&gt;"",$G532&lt;&gt;"",$H532&lt;&gt;"",$I532&lt;&gt;"")),"",N($G532)+N($H532)+N($I532))</f>
        <v/>
      </c>
      <c r="K532" s="28">
        <f>IF(ISNUMBER($O532),INDEX('請求台帳'!$R$5:$R$1004,$O532),"")</f>
        <v/>
      </c>
      <c r="L532" s="20">
        <f>IF(NOT(OR($A532&lt;&gt;"",$E532&lt;&gt;"",$F532&lt;&gt;"",$G532&lt;&gt;"",$H532&lt;&gt;"",$I532&lt;&gt;"")),"",IF(NOT(ISNUMBER($A532)),"入金日がありません",IF(AND($F532&lt;&gt;"",$O532="なし"),"請求Noが請求台帳にありません",IF(AND(ISNUMBER($O532),$C532&lt;&gt;"",$C532&lt;&gt;$P532),"請求の得意先は "&amp;$P532&amp;" です",IF(ROUND(IF($B532&lt;&gt;"",SUMIF($B$5:$B$1004,$B532,$E$5:$E$1004)-SUMIF($B$5:$B$1004,$B532,$G$5:$G$1004),N($E532)-N($G532)),0)&lt;&gt;0,"通帳の額と当てた額の差 "&amp;TEXT(IF($B532&lt;&gt;"",SUMIF($B$5:$B$1004,$B532,$E$5:$E$1004)-SUMIF($B$5:$B$1004,$B532,$G$5:$G$1004),N($E532)-N($G532)),"#,##0"),IF(AND(ISNUMBER($O532),N($K532)&lt;0),"請求額より多く消し込んでいます",IF($F532="","消込先が未定","OK")))))))</f>
        <v/>
      </c>
      <c r="M532" s="19" t="n"/>
      <c r="N532" s="56" t="n"/>
      <c r="O532" s="32">
        <f>IF($F532="","",IFERROR(MATCH($F532,'請求台帳'!$A$5:$A$1004,0),"なし"))</f>
        <v/>
      </c>
      <c r="P532" s="37">
        <f>IF(NOT(OR($A532&lt;&gt;"",$E532&lt;&gt;"",$F532&lt;&gt;"",$G532&lt;&gt;"",$H532&lt;&gt;"",$I532&lt;&gt;"")),"",IF(ISNUMBER($O532),IF(INDEX('請求台帳'!$C$5:$C$1004,$O532)="","",INDEX('請求台帳'!$C$5:$C$1004,$O532)),IF($C532="","",$C532)))</f>
        <v/>
      </c>
      <c r="Q532" s="35">
        <f>IF(OR(NOT(OR($A532&lt;&gt;"",$E532&lt;&gt;"",$F532&lt;&gt;"",$G532&lt;&gt;"",$H532&lt;&gt;"",$I532&lt;&gt;"")),$P532="",$P532&lt;&gt;'売掛帳'!$B$3,NOT(ISNUMBER($A532)),N($G532)+N($H532)+N($I532)=0),"",IF(AND($A532&gt;='売掛帳'!$Q$3,$A532&lt;='売掛帳'!$Q$4),$A532+0.5+ROW()/10000000,""))</f>
        <v/>
      </c>
      <c r="R532" s="32">
        <f>IF(AND(OR($A532&lt;&gt;"",$E532&lt;&gt;"",$F532&lt;&gt;"",$G532&lt;&gt;"",$H532&lt;&gt;"",$I532&lt;&gt;""),NOT(ISNUMBER($O532))),1,"")</f>
        <v/>
      </c>
    </row>
    <row r="533" ht="18" customHeight="1">
      <c r="A533" s="26" t="n"/>
      <c r="B533" s="18" t="n"/>
      <c r="C533" s="18" t="n"/>
      <c r="D533" s="20">
        <f>IF($P533="","",IFERROR(INDEX('得意先'!$C$5:$C$104,MATCH($P533,'得意先'!$B$5:$B$104,0))&amp;"","※得意先にないコード"))</f>
        <v/>
      </c>
      <c r="E533" s="27" t="n"/>
      <c r="F533" s="18" t="n"/>
      <c r="G533" s="27" t="n"/>
      <c r="H533" s="27" t="n"/>
      <c r="I533" s="27" t="n"/>
      <c r="J533" s="28">
        <f>IF(NOT(OR($A533&lt;&gt;"",$E533&lt;&gt;"",$F533&lt;&gt;"",$G533&lt;&gt;"",$H533&lt;&gt;"",$I533&lt;&gt;"")),"",N($G533)+N($H533)+N($I533))</f>
        <v/>
      </c>
      <c r="K533" s="28">
        <f>IF(ISNUMBER($O533),INDEX('請求台帳'!$R$5:$R$1004,$O533),"")</f>
        <v/>
      </c>
      <c r="L533" s="20">
        <f>IF(NOT(OR($A533&lt;&gt;"",$E533&lt;&gt;"",$F533&lt;&gt;"",$G533&lt;&gt;"",$H533&lt;&gt;"",$I533&lt;&gt;"")),"",IF(NOT(ISNUMBER($A533)),"入金日がありません",IF(AND($F533&lt;&gt;"",$O533="なし"),"請求Noが請求台帳にありません",IF(AND(ISNUMBER($O533),$C533&lt;&gt;"",$C533&lt;&gt;$P533),"請求の得意先は "&amp;$P533&amp;" です",IF(ROUND(IF($B533&lt;&gt;"",SUMIF($B$5:$B$1004,$B533,$E$5:$E$1004)-SUMIF($B$5:$B$1004,$B533,$G$5:$G$1004),N($E533)-N($G533)),0)&lt;&gt;0,"通帳の額と当てた額の差 "&amp;TEXT(IF($B533&lt;&gt;"",SUMIF($B$5:$B$1004,$B533,$E$5:$E$1004)-SUMIF($B$5:$B$1004,$B533,$G$5:$G$1004),N($E533)-N($G533)),"#,##0"),IF(AND(ISNUMBER($O533),N($K533)&lt;0),"請求額より多く消し込んでいます",IF($F533="","消込先が未定","OK")))))))</f>
        <v/>
      </c>
      <c r="M533" s="19" t="n"/>
      <c r="N533" s="56" t="n"/>
      <c r="O533" s="32">
        <f>IF($F533="","",IFERROR(MATCH($F533,'請求台帳'!$A$5:$A$1004,0),"なし"))</f>
        <v/>
      </c>
      <c r="P533" s="37">
        <f>IF(NOT(OR($A533&lt;&gt;"",$E533&lt;&gt;"",$F533&lt;&gt;"",$G533&lt;&gt;"",$H533&lt;&gt;"",$I533&lt;&gt;"")),"",IF(ISNUMBER($O533),IF(INDEX('請求台帳'!$C$5:$C$1004,$O533)="","",INDEX('請求台帳'!$C$5:$C$1004,$O533)),IF($C533="","",$C533)))</f>
        <v/>
      </c>
      <c r="Q533" s="35">
        <f>IF(OR(NOT(OR($A533&lt;&gt;"",$E533&lt;&gt;"",$F533&lt;&gt;"",$G533&lt;&gt;"",$H533&lt;&gt;"",$I533&lt;&gt;"")),$P533="",$P533&lt;&gt;'売掛帳'!$B$3,NOT(ISNUMBER($A533)),N($G533)+N($H533)+N($I533)=0),"",IF(AND($A533&gt;='売掛帳'!$Q$3,$A533&lt;='売掛帳'!$Q$4),$A533+0.5+ROW()/10000000,""))</f>
        <v/>
      </c>
      <c r="R533" s="32">
        <f>IF(AND(OR($A533&lt;&gt;"",$E533&lt;&gt;"",$F533&lt;&gt;"",$G533&lt;&gt;"",$H533&lt;&gt;"",$I533&lt;&gt;""),NOT(ISNUMBER($O533))),1,"")</f>
        <v/>
      </c>
    </row>
    <row r="534" ht="18" customHeight="1">
      <c r="A534" s="26" t="n"/>
      <c r="B534" s="18" t="n"/>
      <c r="C534" s="18" t="n"/>
      <c r="D534" s="20">
        <f>IF($P534="","",IFERROR(INDEX('得意先'!$C$5:$C$104,MATCH($P534,'得意先'!$B$5:$B$104,0))&amp;"","※得意先にないコード"))</f>
        <v/>
      </c>
      <c r="E534" s="27" t="n"/>
      <c r="F534" s="18" t="n"/>
      <c r="G534" s="27" t="n"/>
      <c r="H534" s="27" t="n"/>
      <c r="I534" s="27" t="n"/>
      <c r="J534" s="28">
        <f>IF(NOT(OR($A534&lt;&gt;"",$E534&lt;&gt;"",$F534&lt;&gt;"",$G534&lt;&gt;"",$H534&lt;&gt;"",$I534&lt;&gt;"")),"",N($G534)+N($H534)+N($I534))</f>
        <v/>
      </c>
      <c r="K534" s="28">
        <f>IF(ISNUMBER($O534),INDEX('請求台帳'!$R$5:$R$1004,$O534),"")</f>
        <v/>
      </c>
      <c r="L534" s="20">
        <f>IF(NOT(OR($A534&lt;&gt;"",$E534&lt;&gt;"",$F534&lt;&gt;"",$G534&lt;&gt;"",$H534&lt;&gt;"",$I534&lt;&gt;"")),"",IF(NOT(ISNUMBER($A534)),"入金日がありません",IF(AND($F534&lt;&gt;"",$O534="なし"),"請求Noが請求台帳にありません",IF(AND(ISNUMBER($O534),$C534&lt;&gt;"",$C534&lt;&gt;$P534),"請求の得意先は "&amp;$P534&amp;" です",IF(ROUND(IF($B534&lt;&gt;"",SUMIF($B$5:$B$1004,$B534,$E$5:$E$1004)-SUMIF($B$5:$B$1004,$B534,$G$5:$G$1004),N($E534)-N($G534)),0)&lt;&gt;0,"通帳の額と当てた額の差 "&amp;TEXT(IF($B534&lt;&gt;"",SUMIF($B$5:$B$1004,$B534,$E$5:$E$1004)-SUMIF($B$5:$B$1004,$B534,$G$5:$G$1004),N($E534)-N($G534)),"#,##0"),IF(AND(ISNUMBER($O534),N($K534)&lt;0),"請求額より多く消し込んでいます",IF($F534="","消込先が未定","OK")))))))</f>
        <v/>
      </c>
      <c r="M534" s="19" t="n"/>
      <c r="N534" s="56" t="n"/>
      <c r="O534" s="32">
        <f>IF($F534="","",IFERROR(MATCH($F534,'請求台帳'!$A$5:$A$1004,0),"なし"))</f>
        <v/>
      </c>
      <c r="P534" s="37">
        <f>IF(NOT(OR($A534&lt;&gt;"",$E534&lt;&gt;"",$F534&lt;&gt;"",$G534&lt;&gt;"",$H534&lt;&gt;"",$I534&lt;&gt;"")),"",IF(ISNUMBER($O534),IF(INDEX('請求台帳'!$C$5:$C$1004,$O534)="","",INDEX('請求台帳'!$C$5:$C$1004,$O534)),IF($C534="","",$C534)))</f>
        <v/>
      </c>
      <c r="Q534" s="35">
        <f>IF(OR(NOT(OR($A534&lt;&gt;"",$E534&lt;&gt;"",$F534&lt;&gt;"",$G534&lt;&gt;"",$H534&lt;&gt;"",$I534&lt;&gt;"")),$P534="",$P534&lt;&gt;'売掛帳'!$B$3,NOT(ISNUMBER($A534)),N($G534)+N($H534)+N($I534)=0),"",IF(AND($A534&gt;='売掛帳'!$Q$3,$A534&lt;='売掛帳'!$Q$4),$A534+0.5+ROW()/10000000,""))</f>
        <v/>
      </c>
      <c r="R534" s="32">
        <f>IF(AND(OR($A534&lt;&gt;"",$E534&lt;&gt;"",$F534&lt;&gt;"",$G534&lt;&gt;"",$H534&lt;&gt;"",$I534&lt;&gt;""),NOT(ISNUMBER($O534))),1,"")</f>
        <v/>
      </c>
    </row>
    <row r="535" ht="18" customHeight="1">
      <c r="A535" s="26" t="n"/>
      <c r="B535" s="18" t="n"/>
      <c r="C535" s="18" t="n"/>
      <c r="D535" s="20">
        <f>IF($P535="","",IFERROR(INDEX('得意先'!$C$5:$C$104,MATCH($P535,'得意先'!$B$5:$B$104,0))&amp;"","※得意先にないコード"))</f>
        <v/>
      </c>
      <c r="E535" s="27" t="n"/>
      <c r="F535" s="18" t="n"/>
      <c r="G535" s="27" t="n"/>
      <c r="H535" s="27" t="n"/>
      <c r="I535" s="27" t="n"/>
      <c r="J535" s="28">
        <f>IF(NOT(OR($A535&lt;&gt;"",$E535&lt;&gt;"",$F535&lt;&gt;"",$G535&lt;&gt;"",$H535&lt;&gt;"",$I535&lt;&gt;"")),"",N($G535)+N($H535)+N($I535))</f>
        <v/>
      </c>
      <c r="K535" s="28">
        <f>IF(ISNUMBER($O535),INDEX('請求台帳'!$R$5:$R$1004,$O535),"")</f>
        <v/>
      </c>
      <c r="L535" s="20">
        <f>IF(NOT(OR($A535&lt;&gt;"",$E535&lt;&gt;"",$F535&lt;&gt;"",$G535&lt;&gt;"",$H535&lt;&gt;"",$I535&lt;&gt;"")),"",IF(NOT(ISNUMBER($A535)),"入金日がありません",IF(AND($F535&lt;&gt;"",$O535="なし"),"請求Noが請求台帳にありません",IF(AND(ISNUMBER($O535),$C535&lt;&gt;"",$C535&lt;&gt;$P535),"請求の得意先は "&amp;$P535&amp;" です",IF(ROUND(IF($B535&lt;&gt;"",SUMIF($B$5:$B$1004,$B535,$E$5:$E$1004)-SUMIF($B$5:$B$1004,$B535,$G$5:$G$1004),N($E535)-N($G535)),0)&lt;&gt;0,"通帳の額と当てた額の差 "&amp;TEXT(IF($B535&lt;&gt;"",SUMIF($B$5:$B$1004,$B535,$E$5:$E$1004)-SUMIF($B$5:$B$1004,$B535,$G$5:$G$1004),N($E535)-N($G535)),"#,##0"),IF(AND(ISNUMBER($O535),N($K535)&lt;0),"請求額より多く消し込んでいます",IF($F535="","消込先が未定","OK")))))))</f>
        <v/>
      </c>
      <c r="M535" s="19" t="n"/>
      <c r="N535" s="56" t="n"/>
      <c r="O535" s="32">
        <f>IF($F535="","",IFERROR(MATCH($F535,'請求台帳'!$A$5:$A$1004,0),"なし"))</f>
        <v/>
      </c>
      <c r="P535" s="37">
        <f>IF(NOT(OR($A535&lt;&gt;"",$E535&lt;&gt;"",$F535&lt;&gt;"",$G535&lt;&gt;"",$H535&lt;&gt;"",$I535&lt;&gt;"")),"",IF(ISNUMBER($O535),IF(INDEX('請求台帳'!$C$5:$C$1004,$O535)="","",INDEX('請求台帳'!$C$5:$C$1004,$O535)),IF($C535="","",$C535)))</f>
        <v/>
      </c>
      <c r="Q535" s="35">
        <f>IF(OR(NOT(OR($A535&lt;&gt;"",$E535&lt;&gt;"",$F535&lt;&gt;"",$G535&lt;&gt;"",$H535&lt;&gt;"",$I535&lt;&gt;"")),$P535="",$P535&lt;&gt;'売掛帳'!$B$3,NOT(ISNUMBER($A535)),N($G535)+N($H535)+N($I535)=0),"",IF(AND($A535&gt;='売掛帳'!$Q$3,$A535&lt;='売掛帳'!$Q$4),$A535+0.5+ROW()/10000000,""))</f>
        <v/>
      </c>
      <c r="R535" s="32">
        <f>IF(AND(OR($A535&lt;&gt;"",$E535&lt;&gt;"",$F535&lt;&gt;"",$G535&lt;&gt;"",$H535&lt;&gt;"",$I535&lt;&gt;""),NOT(ISNUMBER($O535))),1,"")</f>
        <v/>
      </c>
    </row>
    <row r="536" ht="18" customHeight="1">
      <c r="A536" s="26" t="n"/>
      <c r="B536" s="18" t="n"/>
      <c r="C536" s="18" t="n"/>
      <c r="D536" s="20">
        <f>IF($P536="","",IFERROR(INDEX('得意先'!$C$5:$C$104,MATCH($P536,'得意先'!$B$5:$B$104,0))&amp;"","※得意先にないコード"))</f>
        <v/>
      </c>
      <c r="E536" s="27" t="n"/>
      <c r="F536" s="18" t="n"/>
      <c r="G536" s="27" t="n"/>
      <c r="H536" s="27" t="n"/>
      <c r="I536" s="27" t="n"/>
      <c r="J536" s="28">
        <f>IF(NOT(OR($A536&lt;&gt;"",$E536&lt;&gt;"",$F536&lt;&gt;"",$G536&lt;&gt;"",$H536&lt;&gt;"",$I536&lt;&gt;"")),"",N($G536)+N($H536)+N($I536))</f>
        <v/>
      </c>
      <c r="K536" s="28">
        <f>IF(ISNUMBER($O536),INDEX('請求台帳'!$R$5:$R$1004,$O536),"")</f>
        <v/>
      </c>
      <c r="L536" s="20">
        <f>IF(NOT(OR($A536&lt;&gt;"",$E536&lt;&gt;"",$F536&lt;&gt;"",$G536&lt;&gt;"",$H536&lt;&gt;"",$I536&lt;&gt;"")),"",IF(NOT(ISNUMBER($A536)),"入金日がありません",IF(AND($F536&lt;&gt;"",$O536="なし"),"請求Noが請求台帳にありません",IF(AND(ISNUMBER($O536),$C536&lt;&gt;"",$C536&lt;&gt;$P536),"請求の得意先は "&amp;$P536&amp;" です",IF(ROUND(IF($B536&lt;&gt;"",SUMIF($B$5:$B$1004,$B536,$E$5:$E$1004)-SUMIF($B$5:$B$1004,$B536,$G$5:$G$1004),N($E536)-N($G536)),0)&lt;&gt;0,"通帳の額と当てた額の差 "&amp;TEXT(IF($B536&lt;&gt;"",SUMIF($B$5:$B$1004,$B536,$E$5:$E$1004)-SUMIF($B$5:$B$1004,$B536,$G$5:$G$1004),N($E536)-N($G536)),"#,##0"),IF(AND(ISNUMBER($O536),N($K536)&lt;0),"請求額より多く消し込んでいます",IF($F536="","消込先が未定","OK")))))))</f>
        <v/>
      </c>
      <c r="M536" s="19" t="n"/>
      <c r="N536" s="56" t="n"/>
      <c r="O536" s="32">
        <f>IF($F536="","",IFERROR(MATCH($F536,'請求台帳'!$A$5:$A$1004,0),"なし"))</f>
        <v/>
      </c>
      <c r="P536" s="37">
        <f>IF(NOT(OR($A536&lt;&gt;"",$E536&lt;&gt;"",$F536&lt;&gt;"",$G536&lt;&gt;"",$H536&lt;&gt;"",$I536&lt;&gt;"")),"",IF(ISNUMBER($O536),IF(INDEX('請求台帳'!$C$5:$C$1004,$O536)="","",INDEX('請求台帳'!$C$5:$C$1004,$O536)),IF($C536="","",$C536)))</f>
        <v/>
      </c>
      <c r="Q536" s="35">
        <f>IF(OR(NOT(OR($A536&lt;&gt;"",$E536&lt;&gt;"",$F536&lt;&gt;"",$G536&lt;&gt;"",$H536&lt;&gt;"",$I536&lt;&gt;"")),$P536="",$P536&lt;&gt;'売掛帳'!$B$3,NOT(ISNUMBER($A536)),N($G536)+N($H536)+N($I536)=0),"",IF(AND($A536&gt;='売掛帳'!$Q$3,$A536&lt;='売掛帳'!$Q$4),$A536+0.5+ROW()/10000000,""))</f>
        <v/>
      </c>
      <c r="R536" s="32">
        <f>IF(AND(OR($A536&lt;&gt;"",$E536&lt;&gt;"",$F536&lt;&gt;"",$G536&lt;&gt;"",$H536&lt;&gt;"",$I536&lt;&gt;""),NOT(ISNUMBER($O536))),1,"")</f>
        <v/>
      </c>
    </row>
    <row r="537" ht="18" customHeight="1">
      <c r="A537" s="26" t="n"/>
      <c r="B537" s="18" t="n"/>
      <c r="C537" s="18" t="n"/>
      <c r="D537" s="20">
        <f>IF($P537="","",IFERROR(INDEX('得意先'!$C$5:$C$104,MATCH($P537,'得意先'!$B$5:$B$104,0))&amp;"","※得意先にないコード"))</f>
        <v/>
      </c>
      <c r="E537" s="27" t="n"/>
      <c r="F537" s="18" t="n"/>
      <c r="G537" s="27" t="n"/>
      <c r="H537" s="27" t="n"/>
      <c r="I537" s="27" t="n"/>
      <c r="J537" s="28">
        <f>IF(NOT(OR($A537&lt;&gt;"",$E537&lt;&gt;"",$F537&lt;&gt;"",$G537&lt;&gt;"",$H537&lt;&gt;"",$I537&lt;&gt;"")),"",N($G537)+N($H537)+N($I537))</f>
        <v/>
      </c>
      <c r="K537" s="28">
        <f>IF(ISNUMBER($O537),INDEX('請求台帳'!$R$5:$R$1004,$O537),"")</f>
        <v/>
      </c>
      <c r="L537" s="20">
        <f>IF(NOT(OR($A537&lt;&gt;"",$E537&lt;&gt;"",$F537&lt;&gt;"",$G537&lt;&gt;"",$H537&lt;&gt;"",$I537&lt;&gt;"")),"",IF(NOT(ISNUMBER($A537)),"入金日がありません",IF(AND($F537&lt;&gt;"",$O537="なし"),"請求Noが請求台帳にありません",IF(AND(ISNUMBER($O537),$C537&lt;&gt;"",$C537&lt;&gt;$P537),"請求の得意先は "&amp;$P537&amp;" です",IF(ROUND(IF($B537&lt;&gt;"",SUMIF($B$5:$B$1004,$B537,$E$5:$E$1004)-SUMIF($B$5:$B$1004,$B537,$G$5:$G$1004),N($E537)-N($G537)),0)&lt;&gt;0,"通帳の額と当てた額の差 "&amp;TEXT(IF($B537&lt;&gt;"",SUMIF($B$5:$B$1004,$B537,$E$5:$E$1004)-SUMIF($B$5:$B$1004,$B537,$G$5:$G$1004),N($E537)-N($G537)),"#,##0"),IF(AND(ISNUMBER($O537),N($K537)&lt;0),"請求額より多く消し込んでいます",IF($F537="","消込先が未定","OK")))))))</f>
        <v/>
      </c>
      <c r="M537" s="19" t="n"/>
      <c r="N537" s="56" t="n"/>
      <c r="O537" s="32">
        <f>IF($F537="","",IFERROR(MATCH($F537,'請求台帳'!$A$5:$A$1004,0),"なし"))</f>
        <v/>
      </c>
      <c r="P537" s="37">
        <f>IF(NOT(OR($A537&lt;&gt;"",$E537&lt;&gt;"",$F537&lt;&gt;"",$G537&lt;&gt;"",$H537&lt;&gt;"",$I537&lt;&gt;"")),"",IF(ISNUMBER($O537),IF(INDEX('請求台帳'!$C$5:$C$1004,$O537)="","",INDEX('請求台帳'!$C$5:$C$1004,$O537)),IF($C537="","",$C537)))</f>
        <v/>
      </c>
      <c r="Q537" s="35">
        <f>IF(OR(NOT(OR($A537&lt;&gt;"",$E537&lt;&gt;"",$F537&lt;&gt;"",$G537&lt;&gt;"",$H537&lt;&gt;"",$I537&lt;&gt;"")),$P537="",$P537&lt;&gt;'売掛帳'!$B$3,NOT(ISNUMBER($A537)),N($G537)+N($H537)+N($I537)=0),"",IF(AND($A537&gt;='売掛帳'!$Q$3,$A537&lt;='売掛帳'!$Q$4),$A537+0.5+ROW()/10000000,""))</f>
        <v/>
      </c>
      <c r="R537" s="32">
        <f>IF(AND(OR($A537&lt;&gt;"",$E537&lt;&gt;"",$F537&lt;&gt;"",$G537&lt;&gt;"",$H537&lt;&gt;"",$I537&lt;&gt;""),NOT(ISNUMBER($O537))),1,"")</f>
        <v/>
      </c>
    </row>
    <row r="538" ht="18" customHeight="1">
      <c r="A538" s="26" t="n"/>
      <c r="B538" s="18" t="n"/>
      <c r="C538" s="18" t="n"/>
      <c r="D538" s="20">
        <f>IF($P538="","",IFERROR(INDEX('得意先'!$C$5:$C$104,MATCH($P538,'得意先'!$B$5:$B$104,0))&amp;"","※得意先にないコード"))</f>
        <v/>
      </c>
      <c r="E538" s="27" t="n"/>
      <c r="F538" s="18" t="n"/>
      <c r="G538" s="27" t="n"/>
      <c r="H538" s="27" t="n"/>
      <c r="I538" s="27" t="n"/>
      <c r="J538" s="28">
        <f>IF(NOT(OR($A538&lt;&gt;"",$E538&lt;&gt;"",$F538&lt;&gt;"",$G538&lt;&gt;"",$H538&lt;&gt;"",$I538&lt;&gt;"")),"",N($G538)+N($H538)+N($I538))</f>
        <v/>
      </c>
      <c r="K538" s="28">
        <f>IF(ISNUMBER($O538),INDEX('請求台帳'!$R$5:$R$1004,$O538),"")</f>
        <v/>
      </c>
      <c r="L538" s="20">
        <f>IF(NOT(OR($A538&lt;&gt;"",$E538&lt;&gt;"",$F538&lt;&gt;"",$G538&lt;&gt;"",$H538&lt;&gt;"",$I538&lt;&gt;"")),"",IF(NOT(ISNUMBER($A538)),"入金日がありません",IF(AND($F538&lt;&gt;"",$O538="なし"),"請求Noが請求台帳にありません",IF(AND(ISNUMBER($O538),$C538&lt;&gt;"",$C538&lt;&gt;$P538),"請求の得意先は "&amp;$P538&amp;" です",IF(ROUND(IF($B538&lt;&gt;"",SUMIF($B$5:$B$1004,$B538,$E$5:$E$1004)-SUMIF($B$5:$B$1004,$B538,$G$5:$G$1004),N($E538)-N($G538)),0)&lt;&gt;0,"通帳の額と当てた額の差 "&amp;TEXT(IF($B538&lt;&gt;"",SUMIF($B$5:$B$1004,$B538,$E$5:$E$1004)-SUMIF($B$5:$B$1004,$B538,$G$5:$G$1004),N($E538)-N($G538)),"#,##0"),IF(AND(ISNUMBER($O538),N($K538)&lt;0),"請求額より多く消し込んでいます",IF($F538="","消込先が未定","OK")))))))</f>
        <v/>
      </c>
      <c r="M538" s="19" t="n"/>
      <c r="N538" s="56" t="n"/>
      <c r="O538" s="32">
        <f>IF($F538="","",IFERROR(MATCH($F538,'請求台帳'!$A$5:$A$1004,0),"なし"))</f>
        <v/>
      </c>
      <c r="P538" s="37">
        <f>IF(NOT(OR($A538&lt;&gt;"",$E538&lt;&gt;"",$F538&lt;&gt;"",$G538&lt;&gt;"",$H538&lt;&gt;"",$I538&lt;&gt;"")),"",IF(ISNUMBER($O538),IF(INDEX('請求台帳'!$C$5:$C$1004,$O538)="","",INDEX('請求台帳'!$C$5:$C$1004,$O538)),IF($C538="","",$C538)))</f>
        <v/>
      </c>
      <c r="Q538" s="35">
        <f>IF(OR(NOT(OR($A538&lt;&gt;"",$E538&lt;&gt;"",$F538&lt;&gt;"",$G538&lt;&gt;"",$H538&lt;&gt;"",$I538&lt;&gt;"")),$P538="",$P538&lt;&gt;'売掛帳'!$B$3,NOT(ISNUMBER($A538)),N($G538)+N($H538)+N($I538)=0),"",IF(AND($A538&gt;='売掛帳'!$Q$3,$A538&lt;='売掛帳'!$Q$4),$A538+0.5+ROW()/10000000,""))</f>
        <v/>
      </c>
      <c r="R538" s="32">
        <f>IF(AND(OR($A538&lt;&gt;"",$E538&lt;&gt;"",$F538&lt;&gt;"",$G538&lt;&gt;"",$H538&lt;&gt;"",$I538&lt;&gt;""),NOT(ISNUMBER($O538))),1,"")</f>
        <v/>
      </c>
    </row>
    <row r="539" ht="18" customHeight="1">
      <c r="A539" s="26" t="n"/>
      <c r="B539" s="18" t="n"/>
      <c r="C539" s="18" t="n"/>
      <c r="D539" s="20">
        <f>IF($P539="","",IFERROR(INDEX('得意先'!$C$5:$C$104,MATCH($P539,'得意先'!$B$5:$B$104,0))&amp;"","※得意先にないコード"))</f>
        <v/>
      </c>
      <c r="E539" s="27" t="n"/>
      <c r="F539" s="18" t="n"/>
      <c r="G539" s="27" t="n"/>
      <c r="H539" s="27" t="n"/>
      <c r="I539" s="27" t="n"/>
      <c r="J539" s="28">
        <f>IF(NOT(OR($A539&lt;&gt;"",$E539&lt;&gt;"",$F539&lt;&gt;"",$G539&lt;&gt;"",$H539&lt;&gt;"",$I539&lt;&gt;"")),"",N($G539)+N($H539)+N($I539))</f>
        <v/>
      </c>
      <c r="K539" s="28">
        <f>IF(ISNUMBER($O539),INDEX('請求台帳'!$R$5:$R$1004,$O539),"")</f>
        <v/>
      </c>
      <c r="L539" s="20">
        <f>IF(NOT(OR($A539&lt;&gt;"",$E539&lt;&gt;"",$F539&lt;&gt;"",$G539&lt;&gt;"",$H539&lt;&gt;"",$I539&lt;&gt;"")),"",IF(NOT(ISNUMBER($A539)),"入金日がありません",IF(AND($F539&lt;&gt;"",$O539="なし"),"請求Noが請求台帳にありません",IF(AND(ISNUMBER($O539),$C539&lt;&gt;"",$C539&lt;&gt;$P539),"請求の得意先は "&amp;$P539&amp;" です",IF(ROUND(IF($B539&lt;&gt;"",SUMIF($B$5:$B$1004,$B539,$E$5:$E$1004)-SUMIF($B$5:$B$1004,$B539,$G$5:$G$1004),N($E539)-N($G539)),0)&lt;&gt;0,"通帳の額と当てた額の差 "&amp;TEXT(IF($B539&lt;&gt;"",SUMIF($B$5:$B$1004,$B539,$E$5:$E$1004)-SUMIF($B$5:$B$1004,$B539,$G$5:$G$1004),N($E539)-N($G539)),"#,##0"),IF(AND(ISNUMBER($O539),N($K539)&lt;0),"請求額より多く消し込んでいます",IF($F539="","消込先が未定","OK")))))))</f>
        <v/>
      </c>
      <c r="M539" s="19" t="n"/>
      <c r="N539" s="56" t="n"/>
      <c r="O539" s="32">
        <f>IF($F539="","",IFERROR(MATCH($F539,'請求台帳'!$A$5:$A$1004,0),"なし"))</f>
        <v/>
      </c>
      <c r="P539" s="37">
        <f>IF(NOT(OR($A539&lt;&gt;"",$E539&lt;&gt;"",$F539&lt;&gt;"",$G539&lt;&gt;"",$H539&lt;&gt;"",$I539&lt;&gt;"")),"",IF(ISNUMBER($O539),IF(INDEX('請求台帳'!$C$5:$C$1004,$O539)="","",INDEX('請求台帳'!$C$5:$C$1004,$O539)),IF($C539="","",$C539)))</f>
        <v/>
      </c>
      <c r="Q539" s="35">
        <f>IF(OR(NOT(OR($A539&lt;&gt;"",$E539&lt;&gt;"",$F539&lt;&gt;"",$G539&lt;&gt;"",$H539&lt;&gt;"",$I539&lt;&gt;"")),$P539="",$P539&lt;&gt;'売掛帳'!$B$3,NOT(ISNUMBER($A539)),N($G539)+N($H539)+N($I539)=0),"",IF(AND($A539&gt;='売掛帳'!$Q$3,$A539&lt;='売掛帳'!$Q$4),$A539+0.5+ROW()/10000000,""))</f>
        <v/>
      </c>
      <c r="R539" s="32">
        <f>IF(AND(OR($A539&lt;&gt;"",$E539&lt;&gt;"",$F539&lt;&gt;"",$G539&lt;&gt;"",$H539&lt;&gt;"",$I539&lt;&gt;""),NOT(ISNUMBER($O539))),1,"")</f>
        <v/>
      </c>
    </row>
    <row r="540" ht="18" customHeight="1">
      <c r="A540" s="26" t="n"/>
      <c r="B540" s="18" t="n"/>
      <c r="C540" s="18" t="n"/>
      <c r="D540" s="20">
        <f>IF($P540="","",IFERROR(INDEX('得意先'!$C$5:$C$104,MATCH($P540,'得意先'!$B$5:$B$104,0))&amp;"","※得意先にないコード"))</f>
        <v/>
      </c>
      <c r="E540" s="27" t="n"/>
      <c r="F540" s="18" t="n"/>
      <c r="G540" s="27" t="n"/>
      <c r="H540" s="27" t="n"/>
      <c r="I540" s="27" t="n"/>
      <c r="J540" s="28">
        <f>IF(NOT(OR($A540&lt;&gt;"",$E540&lt;&gt;"",$F540&lt;&gt;"",$G540&lt;&gt;"",$H540&lt;&gt;"",$I540&lt;&gt;"")),"",N($G540)+N($H540)+N($I540))</f>
        <v/>
      </c>
      <c r="K540" s="28">
        <f>IF(ISNUMBER($O540),INDEX('請求台帳'!$R$5:$R$1004,$O540),"")</f>
        <v/>
      </c>
      <c r="L540" s="20">
        <f>IF(NOT(OR($A540&lt;&gt;"",$E540&lt;&gt;"",$F540&lt;&gt;"",$G540&lt;&gt;"",$H540&lt;&gt;"",$I540&lt;&gt;"")),"",IF(NOT(ISNUMBER($A540)),"入金日がありません",IF(AND($F540&lt;&gt;"",$O540="なし"),"請求Noが請求台帳にありません",IF(AND(ISNUMBER($O540),$C540&lt;&gt;"",$C540&lt;&gt;$P540),"請求の得意先は "&amp;$P540&amp;" です",IF(ROUND(IF($B540&lt;&gt;"",SUMIF($B$5:$B$1004,$B540,$E$5:$E$1004)-SUMIF($B$5:$B$1004,$B540,$G$5:$G$1004),N($E540)-N($G540)),0)&lt;&gt;0,"通帳の額と当てた額の差 "&amp;TEXT(IF($B540&lt;&gt;"",SUMIF($B$5:$B$1004,$B540,$E$5:$E$1004)-SUMIF($B$5:$B$1004,$B540,$G$5:$G$1004),N($E540)-N($G540)),"#,##0"),IF(AND(ISNUMBER($O540),N($K540)&lt;0),"請求額より多く消し込んでいます",IF($F540="","消込先が未定","OK")))))))</f>
        <v/>
      </c>
      <c r="M540" s="19" t="n"/>
      <c r="N540" s="56" t="n"/>
      <c r="O540" s="32">
        <f>IF($F540="","",IFERROR(MATCH($F540,'請求台帳'!$A$5:$A$1004,0),"なし"))</f>
        <v/>
      </c>
      <c r="P540" s="37">
        <f>IF(NOT(OR($A540&lt;&gt;"",$E540&lt;&gt;"",$F540&lt;&gt;"",$G540&lt;&gt;"",$H540&lt;&gt;"",$I540&lt;&gt;"")),"",IF(ISNUMBER($O540),IF(INDEX('請求台帳'!$C$5:$C$1004,$O540)="","",INDEX('請求台帳'!$C$5:$C$1004,$O540)),IF($C540="","",$C540)))</f>
        <v/>
      </c>
      <c r="Q540" s="35">
        <f>IF(OR(NOT(OR($A540&lt;&gt;"",$E540&lt;&gt;"",$F540&lt;&gt;"",$G540&lt;&gt;"",$H540&lt;&gt;"",$I540&lt;&gt;"")),$P540="",$P540&lt;&gt;'売掛帳'!$B$3,NOT(ISNUMBER($A540)),N($G540)+N($H540)+N($I540)=0),"",IF(AND($A540&gt;='売掛帳'!$Q$3,$A540&lt;='売掛帳'!$Q$4),$A540+0.5+ROW()/10000000,""))</f>
        <v/>
      </c>
      <c r="R540" s="32">
        <f>IF(AND(OR($A540&lt;&gt;"",$E540&lt;&gt;"",$F540&lt;&gt;"",$G540&lt;&gt;"",$H540&lt;&gt;"",$I540&lt;&gt;""),NOT(ISNUMBER($O540))),1,"")</f>
        <v/>
      </c>
    </row>
    <row r="541" ht="18" customHeight="1">
      <c r="A541" s="26" t="n"/>
      <c r="B541" s="18" t="n"/>
      <c r="C541" s="18" t="n"/>
      <c r="D541" s="20">
        <f>IF($P541="","",IFERROR(INDEX('得意先'!$C$5:$C$104,MATCH($P541,'得意先'!$B$5:$B$104,0))&amp;"","※得意先にないコード"))</f>
        <v/>
      </c>
      <c r="E541" s="27" t="n"/>
      <c r="F541" s="18" t="n"/>
      <c r="G541" s="27" t="n"/>
      <c r="H541" s="27" t="n"/>
      <c r="I541" s="27" t="n"/>
      <c r="J541" s="28">
        <f>IF(NOT(OR($A541&lt;&gt;"",$E541&lt;&gt;"",$F541&lt;&gt;"",$G541&lt;&gt;"",$H541&lt;&gt;"",$I541&lt;&gt;"")),"",N($G541)+N($H541)+N($I541))</f>
        <v/>
      </c>
      <c r="K541" s="28">
        <f>IF(ISNUMBER($O541),INDEX('請求台帳'!$R$5:$R$1004,$O541),"")</f>
        <v/>
      </c>
      <c r="L541" s="20">
        <f>IF(NOT(OR($A541&lt;&gt;"",$E541&lt;&gt;"",$F541&lt;&gt;"",$G541&lt;&gt;"",$H541&lt;&gt;"",$I541&lt;&gt;"")),"",IF(NOT(ISNUMBER($A541)),"入金日がありません",IF(AND($F541&lt;&gt;"",$O541="なし"),"請求Noが請求台帳にありません",IF(AND(ISNUMBER($O541),$C541&lt;&gt;"",$C541&lt;&gt;$P541),"請求の得意先は "&amp;$P541&amp;" です",IF(ROUND(IF($B541&lt;&gt;"",SUMIF($B$5:$B$1004,$B541,$E$5:$E$1004)-SUMIF($B$5:$B$1004,$B541,$G$5:$G$1004),N($E541)-N($G541)),0)&lt;&gt;0,"通帳の額と当てた額の差 "&amp;TEXT(IF($B541&lt;&gt;"",SUMIF($B$5:$B$1004,$B541,$E$5:$E$1004)-SUMIF($B$5:$B$1004,$B541,$G$5:$G$1004),N($E541)-N($G541)),"#,##0"),IF(AND(ISNUMBER($O541),N($K541)&lt;0),"請求額より多く消し込んでいます",IF($F541="","消込先が未定","OK")))))))</f>
        <v/>
      </c>
      <c r="M541" s="19" t="n"/>
      <c r="N541" s="56" t="n"/>
      <c r="O541" s="32">
        <f>IF($F541="","",IFERROR(MATCH($F541,'請求台帳'!$A$5:$A$1004,0),"なし"))</f>
        <v/>
      </c>
      <c r="P541" s="37">
        <f>IF(NOT(OR($A541&lt;&gt;"",$E541&lt;&gt;"",$F541&lt;&gt;"",$G541&lt;&gt;"",$H541&lt;&gt;"",$I541&lt;&gt;"")),"",IF(ISNUMBER($O541),IF(INDEX('請求台帳'!$C$5:$C$1004,$O541)="","",INDEX('請求台帳'!$C$5:$C$1004,$O541)),IF($C541="","",$C541)))</f>
        <v/>
      </c>
      <c r="Q541" s="35">
        <f>IF(OR(NOT(OR($A541&lt;&gt;"",$E541&lt;&gt;"",$F541&lt;&gt;"",$G541&lt;&gt;"",$H541&lt;&gt;"",$I541&lt;&gt;"")),$P541="",$P541&lt;&gt;'売掛帳'!$B$3,NOT(ISNUMBER($A541)),N($G541)+N($H541)+N($I541)=0),"",IF(AND($A541&gt;='売掛帳'!$Q$3,$A541&lt;='売掛帳'!$Q$4),$A541+0.5+ROW()/10000000,""))</f>
        <v/>
      </c>
      <c r="R541" s="32">
        <f>IF(AND(OR($A541&lt;&gt;"",$E541&lt;&gt;"",$F541&lt;&gt;"",$G541&lt;&gt;"",$H541&lt;&gt;"",$I541&lt;&gt;""),NOT(ISNUMBER($O541))),1,"")</f>
        <v/>
      </c>
    </row>
    <row r="542" ht="18" customHeight="1">
      <c r="A542" s="26" t="n"/>
      <c r="B542" s="18" t="n"/>
      <c r="C542" s="18" t="n"/>
      <c r="D542" s="20">
        <f>IF($P542="","",IFERROR(INDEX('得意先'!$C$5:$C$104,MATCH($P542,'得意先'!$B$5:$B$104,0))&amp;"","※得意先にないコード"))</f>
        <v/>
      </c>
      <c r="E542" s="27" t="n"/>
      <c r="F542" s="18" t="n"/>
      <c r="G542" s="27" t="n"/>
      <c r="H542" s="27" t="n"/>
      <c r="I542" s="27" t="n"/>
      <c r="J542" s="28">
        <f>IF(NOT(OR($A542&lt;&gt;"",$E542&lt;&gt;"",$F542&lt;&gt;"",$G542&lt;&gt;"",$H542&lt;&gt;"",$I542&lt;&gt;"")),"",N($G542)+N($H542)+N($I542))</f>
        <v/>
      </c>
      <c r="K542" s="28">
        <f>IF(ISNUMBER($O542),INDEX('請求台帳'!$R$5:$R$1004,$O542),"")</f>
        <v/>
      </c>
      <c r="L542" s="20">
        <f>IF(NOT(OR($A542&lt;&gt;"",$E542&lt;&gt;"",$F542&lt;&gt;"",$G542&lt;&gt;"",$H542&lt;&gt;"",$I542&lt;&gt;"")),"",IF(NOT(ISNUMBER($A542)),"入金日がありません",IF(AND($F542&lt;&gt;"",$O542="なし"),"請求Noが請求台帳にありません",IF(AND(ISNUMBER($O542),$C542&lt;&gt;"",$C542&lt;&gt;$P542),"請求の得意先は "&amp;$P542&amp;" です",IF(ROUND(IF($B542&lt;&gt;"",SUMIF($B$5:$B$1004,$B542,$E$5:$E$1004)-SUMIF($B$5:$B$1004,$B542,$G$5:$G$1004),N($E542)-N($G542)),0)&lt;&gt;0,"通帳の額と当てた額の差 "&amp;TEXT(IF($B542&lt;&gt;"",SUMIF($B$5:$B$1004,$B542,$E$5:$E$1004)-SUMIF($B$5:$B$1004,$B542,$G$5:$G$1004),N($E542)-N($G542)),"#,##0"),IF(AND(ISNUMBER($O542),N($K542)&lt;0),"請求額より多く消し込んでいます",IF($F542="","消込先が未定","OK")))))))</f>
        <v/>
      </c>
      <c r="M542" s="19" t="n"/>
      <c r="N542" s="56" t="n"/>
      <c r="O542" s="32">
        <f>IF($F542="","",IFERROR(MATCH($F542,'請求台帳'!$A$5:$A$1004,0),"なし"))</f>
        <v/>
      </c>
      <c r="P542" s="37">
        <f>IF(NOT(OR($A542&lt;&gt;"",$E542&lt;&gt;"",$F542&lt;&gt;"",$G542&lt;&gt;"",$H542&lt;&gt;"",$I542&lt;&gt;"")),"",IF(ISNUMBER($O542),IF(INDEX('請求台帳'!$C$5:$C$1004,$O542)="","",INDEX('請求台帳'!$C$5:$C$1004,$O542)),IF($C542="","",$C542)))</f>
        <v/>
      </c>
      <c r="Q542" s="35">
        <f>IF(OR(NOT(OR($A542&lt;&gt;"",$E542&lt;&gt;"",$F542&lt;&gt;"",$G542&lt;&gt;"",$H542&lt;&gt;"",$I542&lt;&gt;"")),$P542="",$P542&lt;&gt;'売掛帳'!$B$3,NOT(ISNUMBER($A542)),N($G542)+N($H542)+N($I542)=0),"",IF(AND($A542&gt;='売掛帳'!$Q$3,$A542&lt;='売掛帳'!$Q$4),$A542+0.5+ROW()/10000000,""))</f>
        <v/>
      </c>
      <c r="R542" s="32">
        <f>IF(AND(OR($A542&lt;&gt;"",$E542&lt;&gt;"",$F542&lt;&gt;"",$G542&lt;&gt;"",$H542&lt;&gt;"",$I542&lt;&gt;""),NOT(ISNUMBER($O542))),1,"")</f>
        <v/>
      </c>
    </row>
    <row r="543" ht="18" customHeight="1">
      <c r="A543" s="26" t="n"/>
      <c r="B543" s="18" t="n"/>
      <c r="C543" s="18" t="n"/>
      <c r="D543" s="20">
        <f>IF($P543="","",IFERROR(INDEX('得意先'!$C$5:$C$104,MATCH($P543,'得意先'!$B$5:$B$104,0))&amp;"","※得意先にないコード"))</f>
        <v/>
      </c>
      <c r="E543" s="27" t="n"/>
      <c r="F543" s="18" t="n"/>
      <c r="G543" s="27" t="n"/>
      <c r="H543" s="27" t="n"/>
      <c r="I543" s="27" t="n"/>
      <c r="J543" s="28">
        <f>IF(NOT(OR($A543&lt;&gt;"",$E543&lt;&gt;"",$F543&lt;&gt;"",$G543&lt;&gt;"",$H543&lt;&gt;"",$I543&lt;&gt;"")),"",N($G543)+N($H543)+N($I543))</f>
        <v/>
      </c>
      <c r="K543" s="28">
        <f>IF(ISNUMBER($O543),INDEX('請求台帳'!$R$5:$R$1004,$O543),"")</f>
        <v/>
      </c>
      <c r="L543" s="20">
        <f>IF(NOT(OR($A543&lt;&gt;"",$E543&lt;&gt;"",$F543&lt;&gt;"",$G543&lt;&gt;"",$H543&lt;&gt;"",$I543&lt;&gt;"")),"",IF(NOT(ISNUMBER($A543)),"入金日がありません",IF(AND($F543&lt;&gt;"",$O543="なし"),"請求Noが請求台帳にありません",IF(AND(ISNUMBER($O543),$C543&lt;&gt;"",$C543&lt;&gt;$P543),"請求の得意先は "&amp;$P543&amp;" です",IF(ROUND(IF($B543&lt;&gt;"",SUMIF($B$5:$B$1004,$B543,$E$5:$E$1004)-SUMIF($B$5:$B$1004,$B543,$G$5:$G$1004),N($E543)-N($G543)),0)&lt;&gt;0,"通帳の額と当てた額の差 "&amp;TEXT(IF($B543&lt;&gt;"",SUMIF($B$5:$B$1004,$B543,$E$5:$E$1004)-SUMIF($B$5:$B$1004,$B543,$G$5:$G$1004),N($E543)-N($G543)),"#,##0"),IF(AND(ISNUMBER($O543),N($K543)&lt;0),"請求額より多く消し込んでいます",IF($F543="","消込先が未定","OK")))))))</f>
        <v/>
      </c>
      <c r="M543" s="19" t="n"/>
      <c r="N543" s="56" t="n"/>
      <c r="O543" s="32">
        <f>IF($F543="","",IFERROR(MATCH($F543,'請求台帳'!$A$5:$A$1004,0),"なし"))</f>
        <v/>
      </c>
      <c r="P543" s="37">
        <f>IF(NOT(OR($A543&lt;&gt;"",$E543&lt;&gt;"",$F543&lt;&gt;"",$G543&lt;&gt;"",$H543&lt;&gt;"",$I543&lt;&gt;"")),"",IF(ISNUMBER($O543),IF(INDEX('請求台帳'!$C$5:$C$1004,$O543)="","",INDEX('請求台帳'!$C$5:$C$1004,$O543)),IF($C543="","",$C543)))</f>
        <v/>
      </c>
      <c r="Q543" s="35">
        <f>IF(OR(NOT(OR($A543&lt;&gt;"",$E543&lt;&gt;"",$F543&lt;&gt;"",$G543&lt;&gt;"",$H543&lt;&gt;"",$I543&lt;&gt;"")),$P543="",$P543&lt;&gt;'売掛帳'!$B$3,NOT(ISNUMBER($A543)),N($G543)+N($H543)+N($I543)=0),"",IF(AND($A543&gt;='売掛帳'!$Q$3,$A543&lt;='売掛帳'!$Q$4),$A543+0.5+ROW()/10000000,""))</f>
        <v/>
      </c>
      <c r="R543" s="32">
        <f>IF(AND(OR($A543&lt;&gt;"",$E543&lt;&gt;"",$F543&lt;&gt;"",$G543&lt;&gt;"",$H543&lt;&gt;"",$I543&lt;&gt;""),NOT(ISNUMBER($O543))),1,"")</f>
        <v/>
      </c>
    </row>
    <row r="544" ht="18" customHeight="1">
      <c r="A544" s="26" t="n"/>
      <c r="B544" s="18" t="n"/>
      <c r="C544" s="18" t="n"/>
      <c r="D544" s="20">
        <f>IF($P544="","",IFERROR(INDEX('得意先'!$C$5:$C$104,MATCH($P544,'得意先'!$B$5:$B$104,0))&amp;"","※得意先にないコード"))</f>
        <v/>
      </c>
      <c r="E544" s="27" t="n"/>
      <c r="F544" s="18" t="n"/>
      <c r="G544" s="27" t="n"/>
      <c r="H544" s="27" t="n"/>
      <c r="I544" s="27" t="n"/>
      <c r="J544" s="28">
        <f>IF(NOT(OR($A544&lt;&gt;"",$E544&lt;&gt;"",$F544&lt;&gt;"",$G544&lt;&gt;"",$H544&lt;&gt;"",$I544&lt;&gt;"")),"",N($G544)+N($H544)+N($I544))</f>
        <v/>
      </c>
      <c r="K544" s="28">
        <f>IF(ISNUMBER($O544),INDEX('請求台帳'!$R$5:$R$1004,$O544),"")</f>
        <v/>
      </c>
      <c r="L544" s="20">
        <f>IF(NOT(OR($A544&lt;&gt;"",$E544&lt;&gt;"",$F544&lt;&gt;"",$G544&lt;&gt;"",$H544&lt;&gt;"",$I544&lt;&gt;"")),"",IF(NOT(ISNUMBER($A544)),"入金日がありません",IF(AND($F544&lt;&gt;"",$O544="なし"),"請求Noが請求台帳にありません",IF(AND(ISNUMBER($O544),$C544&lt;&gt;"",$C544&lt;&gt;$P544),"請求の得意先は "&amp;$P544&amp;" です",IF(ROUND(IF($B544&lt;&gt;"",SUMIF($B$5:$B$1004,$B544,$E$5:$E$1004)-SUMIF($B$5:$B$1004,$B544,$G$5:$G$1004),N($E544)-N($G544)),0)&lt;&gt;0,"通帳の額と当てた額の差 "&amp;TEXT(IF($B544&lt;&gt;"",SUMIF($B$5:$B$1004,$B544,$E$5:$E$1004)-SUMIF($B$5:$B$1004,$B544,$G$5:$G$1004),N($E544)-N($G544)),"#,##0"),IF(AND(ISNUMBER($O544),N($K544)&lt;0),"請求額より多く消し込んでいます",IF($F544="","消込先が未定","OK")))))))</f>
        <v/>
      </c>
      <c r="M544" s="19" t="n"/>
      <c r="N544" s="56" t="n"/>
      <c r="O544" s="32">
        <f>IF($F544="","",IFERROR(MATCH($F544,'請求台帳'!$A$5:$A$1004,0),"なし"))</f>
        <v/>
      </c>
      <c r="P544" s="37">
        <f>IF(NOT(OR($A544&lt;&gt;"",$E544&lt;&gt;"",$F544&lt;&gt;"",$G544&lt;&gt;"",$H544&lt;&gt;"",$I544&lt;&gt;"")),"",IF(ISNUMBER($O544),IF(INDEX('請求台帳'!$C$5:$C$1004,$O544)="","",INDEX('請求台帳'!$C$5:$C$1004,$O544)),IF($C544="","",$C544)))</f>
        <v/>
      </c>
      <c r="Q544" s="35">
        <f>IF(OR(NOT(OR($A544&lt;&gt;"",$E544&lt;&gt;"",$F544&lt;&gt;"",$G544&lt;&gt;"",$H544&lt;&gt;"",$I544&lt;&gt;"")),$P544="",$P544&lt;&gt;'売掛帳'!$B$3,NOT(ISNUMBER($A544)),N($G544)+N($H544)+N($I544)=0),"",IF(AND($A544&gt;='売掛帳'!$Q$3,$A544&lt;='売掛帳'!$Q$4),$A544+0.5+ROW()/10000000,""))</f>
        <v/>
      </c>
      <c r="R544" s="32">
        <f>IF(AND(OR($A544&lt;&gt;"",$E544&lt;&gt;"",$F544&lt;&gt;"",$G544&lt;&gt;"",$H544&lt;&gt;"",$I544&lt;&gt;""),NOT(ISNUMBER($O544))),1,"")</f>
        <v/>
      </c>
    </row>
    <row r="545" ht="18" customHeight="1">
      <c r="A545" s="26" t="n"/>
      <c r="B545" s="18" t="n"/>
      <c r="C545" s="18" t="n"/>
      <c r="D545" s="20">
        <f>IF($P545="","",IFERROR(INDEX('得意先'!$C$5:$C$104,MATCH($P545,'得意先'!$B$5:$B$104,0))&amp;"","※得意先にないコード"))</f>
        <v/>
      </c>
      <c r="E545" s="27" t="n"/>
      <c r="F545" s="18" t="n"/>
      <c r="G545" s="27" t="n"/>
      <c r="H545" s="27" t="n"/>
      <c r="I545" s="27" t="n"/>
      <c r="J545" s="28">
        <f>IF(NOT(OR($A545&lt;&gt;"",$E545&lt;&gt;"",$F545&lt;&gt;"",$G545&lt;&gt;"",$H545&lt;&gt;"",$I545&lt;&gt;"")),"",N($G545)+N($H545)+N($I545))</f>
        <v/>
      </c>
      <c r="K545" s="28">
        <f>IF(ISNUMBER($O545),INDEX('請求台帳'!$R$5:$R$1004,$O545),"")</f>
        <v/>
      </c>
      <c r="L545" s="20">
        <f>IF(NOT(OR($A545&lt;&gt;"",$E545&lt;&gt;"",$F545&lt;&gt;"",$G545&lt;&gt;"",$H545&lt;&gt;"",$I545&lt;&gt;"")),"",IF(NOT(ISNUMBER($A545)),"入金日がありません",IF(AND($F545&lt;&gt;"",$O545="なし"),"請求Noが請求台帳にありません",IF(AND(ISNUMBER($O545),$C545&lt;&gt;"",$C545&lt;&gt;$P545),"請求の得意先は "&amp;$P545&amp;" です",IF(ROUND(IF($B545&lt;&gt;"",SUMIF($B$5:$B$1004,$B545,$E$5:$E$1004)-SUMIF($B$5:$B$1004,$B545,$G$5:$G$1004),N($E545)-N($G545)),0)&lt;&gt;0,"通帳の額と当てた額の差 "&amp;TEXT(IF($B545&lt;&gt;"",SUMIF($B$5:$B$1004,$B545,$E$5:$E$1004)-SUMIF($B$5:$B$1004,$B545,$G$5:$G$1004),N($E545)-N($G545)),"#,##0"),IF(AND(ISNUMBER($O545),N($K545)&lt;0),"請求額より多く消し込んでいます",IF($F545="","消込先が未定","OK")))))))</f>
        <v/>
      </c>
      <c r="M545" s="19" t="n"/>
      <c r="N545" s="56" t="n"/>
      <c r="O545" s="32">
        <f>IF($F545="","",IFERROR(MATCH($F545,'請求台帳'!$A$5:$A$1004,0),"なし"))</f>
        <v/>
      </c>
      <c r="P545" s="37">
        <f>IF(NOT(OR($A545&lt;&gt;"",$E545&lt;&gt;"",$F545&lt;&gt;"",$G545&lt;&gt;"",$H545&lt;&gt;"",$I545&lt;&gt;"")),"",IF(ISNUMBER($O545),IF(INDEX('請求台帳'!$C$5:$C$1004,$O545)="","",INDEX('請求台帳'!$C$5:$C$1004,$O545)),IF($C545="","",$C545)))</f>
        <v/>
      </c>
      <c r="Q545" s="35">
        <f>IF(OR(NOT(OR($A545&lt;&gt;"",$E545&lt;&gt;"",$F545&lt;&gt;"",$G545&lt;&gt;"",$H545&lt;&gt;"",$I545&lt;&gt;"")),$P545="",$P545&lt;&gt;'売掛帳'!$B$3,NOT(ISNUMBER($A545)),N($G545)+N($H545)+N($I545)=0),"",IF(AND($A545&gt;='売掛帳'!$Q$3,$A545&lt;='売掛帳'!$Q$4),$A545+0.5+ROW()/10000000,""))</f>
        <v/>
      </c>
      <c r="R545" s="32">
        <f>IF(AND(OR($A545&lt;&gt;"",$E545&lt;&gt;"",$F545&lt;&gt;"",$G545&lt;&gt;"",$H545&lt;&gt;"",$I545&lt;&gt;""),NOT(ISNUMBER($O545))),1,"")</f>
        <v/>
      </c>
    </row>
    <row r="546" ht="18" customHeight="1">
      <c r="A546" s="26" t="n"/>
      <c r="B546" s="18" t="n"/>
      <c r="C546" s="18" t="n"/>
      <c r="D546" s="20">
        <f>IF($P546="","",IFERROR(INDEX('得意先'!$C$5:$C$104,MATCH($P546,'得意先'!$B$5:$B$104,0))&amp;"","※得意先にないコード"))</f>
        <v/>
      </c>
      <c r="E546" s="27" t="n"/>
      <c r="F546" s="18" t="n"/>
      <c r="G546" s="27" t="n"/>
      <c r="H546" s="27" t="n"/>
      <c r="I546" s="27" t="n"/>
      <c r="J546" s="28">
        <f>IF(NOT(OR($A546&lt;&gt;"",$E546&lt;&gt;"",$F546&lt;&gt;"",$G546&lt;&gt;"",$H546&lt;&gt;"",$I546&lt;&gt;"")),"",N($G546)+N($H546)+N($I546))</f>
        <v/>
      </c>
      <c r="K546" s="28">
        <f>IF(ISNUMBER($O546),INDEX('請求台帳'!$R$5:$R$1004,$O546),"")</f>
        <v/>
      </c>
      <c r="L546" s="20">
        <f>IF(NOT(OR($A546&lt;&gt;"",$E546&lt;&gt;"",$F546&lt;&gt;"",$G546&lt;&gt;"",$H546&lt;&gt;"",$I546&lt;&gt;"")),"",IF(NOT(ISNUMBER($A546)),"入金日がありません",IF(AND($F546&lt;&gt;"",$O546="なし"),"請求Noが請求台帳にありません",IF(AND(ISNUMBER($O546),$C546&lt;&gt;"",$C546&lt;&gt;$P546),"請求の得意先は "&amp;$P546&amp;" です",IF(ROUND(IF($B546&lt;&gt;"",SUMIF($B$5:$B$1004,$B546,$E$5:$E$1004)-SUMIF($B$5:$B$1004,$B546,$G$5:$G$1004),N($E546)-N($G546)),0)&lt;&gt;0,"通帳の額と当てた額の差 "&amp;TEXT(IF($B546&lt;&gt;"",SUMIF($B$5:$B$1004,$B546,$E$5:$E$1004)-SUMIF($B$5:$B$1004,$B546,$G$5:$G$1004),N($E546)-N($G546)),"#,##0"),IF(AND(ISNUMBER($O546),N($K546)&lt;0),"請求額より多く消し込んでいます",IF($F546="","消込先が未定","OK")))))))</f>
        <v/>
      </c>
      <c r="M546" s="19" t="n"/>
      <c r="N546" s="56" t="n"/>
      <c r="O546" s="32">
        <f>IF($F546="","",IFERROR(MATCH($F546,'請求台帳'!$A$5:$A$1004,0),"なし"))</f>
        <v/>
      </c>
      <c r="P546" s="37">
        <f>IF(NOT(OR($A546&lt;&gt;"",$E546&lt;&gt;"",$F546&lt;&gt;"",$G546&lt;&gt;"",$H546&lt;&gt;"",$I546&lt;&gt;"")),"",IF(ISNUMBER($O546),IF(INDEX('請求台帳'!$C$5:$C$1004,$O546)="","",INDEX('請求台帳'!$C$5:$C$1004,$O546)),IF($C546="","",$C546)))</f>
        <v/>
      </c>
      <c r="Q546" s="35">
        <f>IF(OR(NOT(OR($A546&lt;&gt;"",$E546&lt;&gt;"",$F546&lt;&gt;"",$G546&lt;&gt;"",$H546&lt;&gt;"",$I546&lt;&gt;"")),$P546="",$P546&lt;&gt;'売掛帳'!$B$3,NOT(ISNUMBER($A546)),N($G546)+N($H546)+N($I546)=0),"",IF(AND($A546&gt;='売掛帳'!$Q$3,$A546&lt;='売掛帳'!$Q$4),$A546+0.5+ROW()/10000000,""))</f>
        <v/>
      </c>
      <c r="R546" s="32">
        <f>IF(AND(OR($A546&lt;&gt;"",$E546&lt;&gt;"",$F546&lt;&gt;"",$G546&lt;&gt;"",$H546&lt;&gt;"",$I546&lt;&gt;""),NOT(ISNUMBER($O546))),1,"")</f>
        <v/>
      </c>
    </row>
    <row r="547" ht="18" customHeight="1">
      <c r="A547" s="26" t="n"/>
      <c r="B547" s="18" t="n"/>
      <c r="C547" s="18" t="n"/>
      <c r="D547" s="20">
        <f>IF($P547="","",IFERROR(INDEX('得意先'!$C$5:$C$104,MATCH($P547,'得意先'!$B$5:$B$104,0))&amp;"","※得意先にないコード"))</f>
        <v/>
      </c>
      <c r="E547" s="27" t="n"/>
      <c r="F547" s="18" t="n"/>
      <c r="G547" s="27" t="n"/>
      <c r="H547" s="27" t="n"/>
      <c r="I547" s="27" t="n"/>
      <c r="J547" s="28">
        <f>IF(NOT(OR($A547&lt;&gt;"",$E547&lt;&gt;"",$F547&lt;&gt;"",$G547&lt;&gt;"",$H547&lt;&gt;"",$I547&lt;&gt;"")),"",N($G547)+N($H547)+N($I547))</f>
        <v/>
      </c>
      <c r="K547" s="28">
        <f>IF(ISNUMBER($O547),INDEX('請求台帳'!$R$5:$R$1004,$O547),"")</f>
        <v/>
      </c>
      <c r="L547" s="20">
        <f>IF(NOT(OR($A547&lt;&gt;"",$E547&lt;&gt;"",$F547&lt;&gt;"",$G547&lt;&gt;"",$H547&lt;&gt;"",$I547&lt;&gt;"")),"",IF(NOT(ISNUMBER($A547)),"入金日がありません",IF(AND($F547&lt;&gt;"",$O547="なし"),"請求Noが請求台帳にありません",IF(AND(ISNUMBER($O547),$C547&lt;&gt;"",$C547&lt;&gt;$P547),"請求の得意先は "&amp;$P547&amp;" です",IF(ROUND(IF($B547&lt;&gt;"",SUMIF($B$5:$B$1004,$B547,$E$5:$E$1004)-SUMIF($B$5:$B$1004,$B547,$G$5:$G$1004),N($E547)-N($G547)),0)&lt;&gt;0,"通帳の額と当てた額の差 "&amp;TEXT(IF($B547&lt;&gt;"",SUMIF($B$5:$B$1004,$B547,$E$5:$E$1004)-SUMIF($B$5:$B$1004,$B547,$G$5:$G$1004),N($E547)-N($G547)),"#,##0"),IF(AND(ISNUMBER($O547),N($K547)&lt;0),"請求額より多く消し込んでいます",IF($F547="","消込先が未定","OK")))))))</f>
        <v/>
      </c>
      <c r="M547" s="19" t="n"/>
      <c r="N547" s="56" t="n"/>
      <c r="O547" s="32">
        <f>IF($F547="","",IFERROR(MATCH($F547,'請求台帳'!$A$5:$A$1004,0),"なし"))</f>
        <v/>
      </c>
      <c r="P547" s="37">
        <f>IF(NOT(OR($A547&lt;&gt;"",$E547&lt;&gt;"",$F547&lt;&gt;"",$G547&lt;&gt;"",$H547&lt;&gt;"",$I547&lt;&gt;"")),"",IF(ISNUMBER($O547),IF(INDEX('請求台帳'!$C$5:$C$1004,$O547)="","",INDEX('請求台帳'!$C$5:$C$1004,$O547)),IF($C547="","",$C547)))</f>
        <v/>
      </c>
      <c r="Q547" s="35">
        <f>IF(OR(NOT(OR($A547&lt;&gt;"",$E547&lt;&gt;"",$F547&lt;&gt;"",$G547&lt;&gt;"",$H547&lt;&gt;"",$I547&lt;&gt;"")),$P547="",$P547&lt;&gt;'売掛帳'!$B$3,NOT(ISNUMBER($A547)),N($G547)+N($H547)+N($I547)=0),"",IF(AND($A547&gt;='売掛帳'!$Q$3,$A547&lt;='売掛帳'!$Q$4),$A547+0.5+ROW()/10000000,""))</f>
        <v/>
      </c>
      <c r="R547" s="32">
        <f>IF(AND(OR($A547&lt;&gt;"",$E547&lt;&gt;"",$F547&lt;&gt;"",$G547&lt;&gt;"",$H547&lt;&gt;"",$I547&lt;&gt;""),NOT(ISNUMBER($O547))),1,"")</f>
        <v/>
      </c>
    </row>
    <row r="548" ht="18" customHeight="1">
      <c r="A548" s="26" t="n"/>
      <c r="B548" s="18" t="n"/>
      <c r="C548" s="18" t="n"/>
      <c r="D548" s="20">
        <f>IF($P548="","",IFERROR(INDEX('得意先'!$C$5:$C$104,MATCH($P548,'得意先'!$B$5:$B$104,0))&amp;"","※得意先にないコード"))</f>
        <v/>
      </c>
      <c r="E548" s="27" t="n"/>
      <c r="F548" s="18" t="n"/>
      <c r="G548" s="27" t="n"/>
      <c r="H548" s="27" t="n"/>
      <c r="I548" s="27" t="n"/>
      <c r="J548" s="28">
        <f>IF(NOT(OR($A548&lt;&gt;"",$E548&lt;&gt;"",$F548&lt;&gt;"",$G548&lt;&gt;"",$H548&lt;&gt;"",$I548&lt;&gt;"")),"",N($G548)+N($H548)+N($I548))</f>
        <v/>
      </c>
      <c r="K548" s="28">
        <f>IF(ISNUMBER($O548),INDEX('請求台帳'!$R$5:$R$1004,$O548),"")</f>
        <v/>
      </c>
      <c r="L548" s="20">
        <f>IF(NOT(OR($A548&lt;&gt;"",$E548&lt;&gt;"",$F548&lt;&gt;"",$G548&lt;&gt;"",$H548&lt;&gt;"",$I548&lt;&gt;"")),"",IF(NOT(ISNUMBER($A548)),"入金日がありません",IF(AND($F548&lt;&gt;"",$O548="なし"),"請求Noが請求台帳にありません",IF(AND(ISNUMBER($O548),$C548&lt;&gt;"",$C548&lt;&gt;$P548),"請求の得意先は "&amp;$P548&amp;" です",IF(ROUND(IF($B548&lt;&gt;"",SUMIF($B$5:$B$1004,$B548,$E$5:$E$1004)-SUMIF($B$5:$B$1004,$B548,$G$5:$G$1004),N($E548)-N($G548)),0)&lt;&gt;0,"通帳の額と当てた額の差 "&amp;TEXT(IF($B548&lt;&gt;"",SUMIF($B$5:$B$1004,$B548,$E$5:$E$1004)-SUMIF($B$5:$B$1004,$B548,$G$5:$G$1004),N($E548)-N($G548)),"#,##0"),IF(AND(ISNUMBER($O548),N($K548)&lt;0),"請求額より多く消し込んでいます",IF($F548="","消込先が未定","OK")))))))</f>
        <v/>
      </c>
      <c r="M548" s="19" t="n"/>
      <c r="N548" s="56" t="n"/>
      <c r="O548" s="32">
        <f>IF($F548="","",IFERROR(MATCH($F548,'請求台帳'!$A$5:$A$1004,0),"なし"))</f>
        <v/>
      </c>
      <c r="P548" s="37">
        <f>IF(NOT(OR($A548&lt;&gt;"",$E548&lt;&gt;"",$F548&lt;&gt;"",$G548&lt;&gt;"",$H548&lt;&gt;"",$I548&lt;&gt;"")),"",IF(ISNUMBER($O548),IF(INDEX('請求台帳'!$C$5:$C$1004,$O548)="","",INDEX('請求台帳'!$C$5:$C$1004,$O548)),IF($C548="","",$C548)))</f>
        <v/>
      </c>
      <c r="Q548" s="35">
        <f>IF(OR(NOT(OR($A548&lt;&gt;"",$E548&lt;&gt;"",$F548&lt;&gt;"",$G548&lt;&gt;"",$H548&lt;&gt;"",$I548&lt;&gt;"")),$P548="",$P548&lt;&gt;'売掛帳'!$B$3,NOT(ISNUMBER($A548)),N($G548)+N($H548)+N($I548)=0),"",IF(AND($A548&gt;='売掛帳'!$Q$3,$A548&lt;='売掛帳'!$Q$4),$A548+0.5+ROW()/10000000,""))</f>
        <v/>
      </c>
      <c r="R548" s="32">
        <f>IF(AND(OR($A548&lt;&gt;"",$E548&lt;&gt;"",$F548&lt;&gt;"",$G548&lt;&gt;"",$H548&lt;&gt;"",$I548&lt;&gt;""),NOT(ISNUMBER($O548))),1,"")</f>
        <v/>
      </c>
    </row>
    <row r="549" ht="18" customHeight="1">
      <c r="A549" s="26" t="n"/>
      <c r="B549" s="18" t="n"/>
      <c r="C549" s="18" t="n"/>
      <c r="D549" s="20">
        <f>IF($P549="","",IFERROR(INDEX('得意先'!$C$5:$C$104,MATCH($P549,'得意先'!$B$5:$B$104,0))&amp;"","※得意先にないコード"))</f>
        <v/>
      </c>
      <c r="E549" s="27" t="n"/>
      <c r="F549" s="18" t="n"/>
      <c r="G549" s="27" t="n"/>
      <c r="H549" s="27" t="n"/>
      <c r="I549" s="27" t="n"/>
      <c r="J549" s="28">
        <f>IF(NOT(OR($A549&lt;&gt;"",$E549&lt;&gt;"",$F549&lt;&gt;"",$G549&lt;&gt;"",$H549&lt;&gt;"",$I549&lt;&gt;"")),"",N($G549)+N($H549)+N($I549))</f>
        <v/>
      </c>
      <c r="K549" s="28">
        <f>IF(ISNUMBER($O549),INDEX('請求台帳'!$R$5:$R$1004,$O549),"")</f>
        <v/>
      </c>
      <c r="L549" s="20">
        <f>IF(NOT(OR($A549&lt;&gt;"",$E549&lt;&gt;"",$F549&lt;&gt;"",$G549&lt;&gt;"",$H549&lt;&gt;"",$I549&lt;&gt;"")),"",IF(NOT(ISNUMBER($A549)),"入金日がありません",IF(AND($F549&lt;&gt;"",$O549="なし"),"請求Noが請求台帳にありません",IF(AND(ISNUMBER($O549),$C549&lt;&gt;"",$C549&lt;&gt;$P549),"請求の得意先は "&amp;$P549&amp;" です",IF(ROUND(IF($B549&lt;&gt;"",SUMIF($B$5:$B$1004,$B549,$E$5:$E$1004)-SUMIF($B$5:$B$1004,$B549,$G$5:$G$1004),N($E549)-N($G549)),0)&lt;&gt;0,"通帳の額と当てた額の差 "&amp;TEXT(IF($B549&lt;&gt;"",SUMIF($B$5:$B$1004,$B549,$E$5:$E$1004)-SUMIF($B$5:$B$1004,$B549,$G$5:$G$1004),N($E549)-N($G549)),"#,##0"),IF(AND(ISNUMBER($O549),N($K549)&lt;0),"請求額より多く消し込んでいます",IF($F549="","消込先が未定","OK")))))))</f>
        <v/>
      </c>
      <c r="M549" s="19" t="n"/>
      <c r="N549" s="56" t="n"/>
      <c r="O549" s="32">
        <f>IF($F549="","",IFERROR(MATCH($F549,'請求台帳'!$A$5:$A$1004,0),"なし"))</f>
        <v/>
      </c>
      <c r="P549" s="37">
        <f>IF(NOT(OR($A549&lt;&gt;"",$E549&lt;&gt;"",$F549&lt;&gt;"",$G549&lt;&gt;"",$H549&lt;&gt;"",$I549&lt;&gt;"")),"",IF(ISNUMBER($O549),IF(INDEX('請求台帳'!$C$5:$C$1004,$O549)="","",INDEX('請求台帳'!$C$5:$C$1004,$O549)),IF($C549="","",$C549)))</f>
        <v/>
      </c>
      <c r="Q549" s="35">
        <f>IF(OR(NOT(OR($A549&lt;&gt;"",$E549&lt;&gt;"",$F549&lt;&gt;"",$G549&lt;&gt;"",$H549&lt;&gt;"",$I549&lt;&gt;"")),$P549="",$P549&lt;&gt;'売掛帳'!$B$3,NOT(ISNUMBER($A549)),N($G549)+N($H549)+N($I549)=0),"",IF(AND($A549&gt;='売掛帳'!$Q$3,$A549&lt;='売掛帳'!$Q$4),$A549+0.5+ROW()/10000000,""))</f>
        <v/>
      </c>
      <c r="R549" s="32">
        <f>IF(AND(OR($A549&lt;&gt;"",$E549&lt;&gt;"",$F549&lt;&gt;"",$G549&lt;&gt;"",$H549&lt;&gt;"",$I549&lt;&gt;""),NOT(ISNUMBER($O549))),1,"")</f>
        <v/>
      </c>
    </row>
    <row r="550" ht="18" customHeight="1">
      <c r="A550" s="26" t="n"/>
      <c r="B550" s="18" t="n"/>
      <c r="C550" s="18" t="n"/>
      <c r="D550" s="20">
        <f>IF($P550="","",IFERROR(INDEX('得意先'!$C$5:$C$104,MATCH($P550,'得意先'!$B$5:$B$104,0))&amp;"","※得意先にないコード"))</f>
        <v/>
      </c>
      <c r="E550" s="27" t="n"/>
      <c r="F550" s="18" t="n"/>
      <c r="G550" s="27" t="n"/>
      <c r="H550" s="27" t="n"/>
      <c r="I550" s="27" t="n"/>
      <c r="J550" s="28">
        <f>IF(NOT(OR($A550&lt;&gt;"",$E550&lt;&gt;"",$F550&lt;&gt;"",$G550&lt;&gt;"",$H550&lt;&gt;"",$I550&lt;&gt;"")),"",N($G550)+N($H550)+N($I550))</f>
        <v/>
      </c>
      <c r="K550" s="28">
        <f>IF(ISNUMBER($O550),INDEX('請求台帳'!$R$5:$R$1004,$O550),"")</f>
        <v/>
      </c>
      <c r="L550" s="20">
        <f>IF(NOT(OR($A550&lt;&gt;"",$E550&lt;&gt;"",$F550&lt;&gt;"",$G550&lt;&gt;"",$H550&lt;&gt;"",$I550&lt;&gt;"")),"",IF(NOT(ISNUMBER($A550)),"入金日がありません",IF(AND($F550&lt;&gt;"",$O550="なし"),"請求Noが請求台帳にありません",IF(AND(ISNUMBER($O550),$C550&lt;&gt;"",$C550&lt;&gt;$P550),"請求の得意先は "&amp;$P550&amp;" です",IF(ROUND(IF($B550&lt;&gt;"",SUMIF($B$5:$B$1004,$B550,$E$5:$E$1004)-SUMIF($B$5:$B$1004,$B550,$G$5:$G$1004),N($E550)-N($G550)),0)&lt;&gt;0,"通帳の額と当てた額の差 "&amp;TEXT(IF($B550&lt;&gt;"",SUMIF($B$5:$B$1004,$B550,$E$5:$E$1004)-SUMIF($B$5:$B$1004,$B550,$G$5:$G$1004),N($E550)-N($G550)),"#,##0"),IF(AND(ISNUMBER($O550),N($K550)&lt;0),"請求額より多く消し込んでいます",IF($F550="","消込先が未定","OK")))))))</f>
        <v/>
      </c>
      <c r="M550" s="19" t="n"/>
      <c r="N550" s="56" t="n"/>
      <c r="O550" s="32">
        <f>IF($F550="","",IFERROR(MATCH($F550,'請求台帳'!$A$5:$A$1004,0),"なし"))</f>
        <v/>
      </c>
      <c r="P550" s="37">
        <f>IF(NOT(OR($A550&lt;&gt;"",$E550&lt;&gt;"",$F550&lt;&gt;"",$G550&lt;&gt;"",$H550&lt;&gt;"",$I550&lt;&gt;"")),"",IF(ISNUMBER($O550),IF(INDEX('請求台帳'!$C$5:$C$1004,$O550)="","",INDEX('請求台帳'!$C$5:$C$1004,$O550)),IF($C550="","",$C550)))</f>
        <v/>
      </c>
      <c r="Q550" s="35">
        <f>IF(OR(NOT(OR($A550&lt;&gt;"",$E550&lt;&gt;"",$F550&lt;&gt;"",$G550&lt;&gt;"",$H550&lt;&gt;"",$I550&lt;&gt;"")),$P550="",$P550&lt;&gt;'売掛帳'!$B$3,NOT(ISNUMBER($A550)),N($G550)+N($H550)+N($I550)=0),"",IF(AND($A550&gt;='売掛帳'!$Q$3,$A550&lt;='売掛帳'!$Q$4),$A550+0.5+ROW()/10000000,""))</f>
        <v/>
      </c>
      <c r="R550" s="32">
        <f>IF(AND(OR($A550&lt;&gt;"",$E550&lt;&gt;"",$F550&lt;&gt;"",$G550&lt;&gt;"",$H550&lt;&gt;"",$I550&lt;&gt;""),NOT(ISNUMBER($O550))),1,"")</f>
        <v/>
      </c>
    </row>
    <row r="551" ht="18" customHeight="1">
      <c r="A551" s="26" t="n"/>
      <c r="B551" s="18" t="n"/>
      <c r="C551" s="18" t="n"/>
      <c r="D551" s="20">
        <f>IF($P551="","",IFERROR(INDEX('得意先'!$C$5:$C$104,MATCH($P551,'得意先'!$B$5:$B$104,0))&amp;"","※得意先にないコード"))</f>
        <v/>
      </c>
      <c r="E551" s="27" t="n"/>
      <c r="F551" s="18" t="n"/>
      <c r="G551" s="27" t="n"/>
      <c r="H551" s="27" t="n"/>
      <c r="I551" s="27" t="n"/>
      <c r="J551" s="28">
        <f>IF(NOT(OR($A551&lt;&gt;"",$E551&lt;&gt;"",$F551&lt;&gt;"",$G551&lt;&gt;"",$H551&lt;&gt;"",$I551&lt;&gt;"")),"",N($G551)+N($H551)+N($I551))</f>
        <v/>
      </c>
      <c r="K551" s="28">
        <f>IF(ISNUMBER($O551),INDEX('請求台帳'!$R$5:$R$1004,$O551),"")</f>
        <v/>
      </c>
      <c r="L551" s="20">
        <f>IF(NOT(OR($A551&lt;&gt;"",$E551&lt;&gt;"",$F551&lt;&gt;"",$G551&lt;&gt;"",$H551&lt;&gt;"",$I551&lt;&gt;"")),"",IF(NOT(ISNUMBER($A551)),"入金日がありません",IF(AND($F551&lt;&gt;"",$O551="なし"),"請求Noが請求台帳にありません",IF(AND(ISNUMBER($O551),$C551&lt;&gt;"",$C551&lt;&gt;$P551),"請求の得意先は "&amp;$P551&amp;" です",IF(ROUND(IF($B551&lt;&gt;"",SUMIF($B$5:$B$1004,$B551,$E$5:$E$1004)-SUMIF($B$5:$B$1004,$B551,$G$5:$G$1004),N($E551)-N($G551)),0)&lt;&gt;0,"通帳の額と当てた額の差 "&amp;TEXT(IF($B551&lt;&gt;"",SUMIF($B$5:$B$1004,$B551,$E$5:$E$1004)-SUMIF($B$5:$B$1004,$B551,$G$5:$G$1004),N($E551)-N($G551)),"#,##0"),IF(AND(ISNUMBER($O551),N($K551)&lt;0),"請求額より多く消し込んでいます",IF($F551="","消込先が未定","OK")))))))</f>
        <v/>
      </c>
      <c r="M551" s="19" t="n"/>
      <c r="N551" s="56" t="n"/>
      <c r="O551" s="32">
        <f>IF($F551="","",IFERROR(MATCH($F551,'請求台帳'!$A$5:$A$1004,0),"なし"))</f>
        <v/>
      </c>
      <c r="P551" s="37">
        <f>IF(NOT(OR($A551&lt;&gt;"",$E551&lt;&gt;"",$F551&lt;&gt;"",$G551&lt;&gt;"",$H551&lt;&gt;"",$I551&lt;&gt;"")),"",IF(ISNUMBER($O551),IF(INDEX('請求台帳'!$C$5:$C$1004,$O551)="","",INDEX('請求台帳'!$C$5:$C$1004,$O551)),IF($C551="","",$C551)))</f>
        <v/>
      </c>
      <c r="Q551" s="35">
        <f>IF(OR(NOT(OR($A551&lt;&gt;"",$E551&lt;&gt;"",$F551&lt;&gt;"",$G551&lt;&gt;"",$H551&lt;&gt;"",$I551&lt;&gt;"")),$P551="",$P551&lt;&gt;'売掛帳'!$B$3,NOT(ISNUMBER($A551)),N($G551)+N($H551)+N($I551)=0),"",IF(AND($A551&gt;='売掛帳'!$Q$3,$A551&lt;='売掛帳'!$Q$4),$A551+0.5+ROW()/10000000,""))</f>
        <v/>
      </c>
      <c r="R551" s="32">
        <f>IF(AND(OR($A551&lt;&gt;"",$E551&lt;&gt;"",$F551&lt;&gt;"",$G551&lt;&gt;"",$H551&lt;&gt;"",$I551&lt;&gt;""),NOT(ISNUMBER($O551))),1,"")</f>
        <v/>
      </c>
    </row>
    <row r="552" ht="18" customHeight="1">
      <c r="A552" s="26" t="n"/>
      <c r="B552" s="18" t="n"/>
      <c r="C552" s="18" t="n"/>
      <c r="D552" s="20">
        <f>IF($P552="","",IFERROR(INDEX('得意先'!$C$5:$C$104,MATCH($P552,'得意先'!$B$5:$B$104,0))&amp;"","※得意先にないコード"))</f>
        <v/>
      </c>
      <c r="E552" s="27" t="n"/>
      <c r="F552" s="18" t="n"/>
      <c r="G552" s="27" t="n"/>
      <c r="H552" s="27" t="n"/>
      <c r="I552" s="27" t="n"/>
      <c r="J552" s="28">
        <f>IF(NOT(OR($A552&lt;&gt;"",$E552&lt;&gt;"",$F552&lt;&gt;"",$G552&lt;&gt;"",$H552&lt;&gt;"",$I552&lt;&gt;"")),"",N($G552)+N($H552)+N($I552))</f>
        <v/>
      </c>
      <c r="K552" s="28">
        <f>IF(ISNUMBER($O552),INDEX('請求台帳'!$R$5:$R$1004,$O552),"")</f>
        <v/>
      </c>
      <c r="L552" s="20">
        <f>IF(NOT(OR($A552&lt;&gt;"",$E552&lt;&gt;"",$F552&lt;&gt;"",$G552&lt;&gt;"",$H552&lt;&gt;"",$I552&lt;&gt;"")),"",IF(NOT(ISNUMBER($A552)),"入金日がありません",IF(AND($F552&lt;&gt;"",$O552="なし"),"請求Noが請求台帳にありません",IF(AND(ISNUMBER($O552),$C552&lt;&gt;"",$C552&lt;&gt;$P552),"請求の得意先は "&amp;$P552&amp;" です",IF(ROUND(IF($B552&lt;&gt;"",SUMIF($B$5:$B$1004,$B552,$E$5:$E$1004)-SUMIF($B$5:$B$1004,$B552,$G$5:$G$1004),N($E552)-N($G552)),0)&lt;&gt;0,"通帳の額と当てた額の差 "&amp;TEXT(IF($B552&lt;&gt;"",SUMIF($B$5:$B$1004,$B552,$E$5:$E$1004)-SUMIF($B$5:$B$1004,$B552,$G$5:$G$1004),N($E552)-N($G552)),"#,##0"),IF(AND(ISNUMBER($O552),N($K552)&lt;0),"請求額より多く消し込んでいます",IF($F552="","消込先が未定","OK")))))))</f>
        <v/>
      </c>
      <c r="M552" s="19" t="n"/>
      <c r="N552" s="56" t="n"/>
      <c r="O552" s="32">
        <f>IF($F552="","",IFERROR(MATCH($F552,'請求台帳'!$A$5:$A$1004,0),"なし"))</f>
        <v/>
      </c>
      <c r="P552" s="37">
        <f>IF(NOT(OR($A552&lt;&gt;"",$E552&lt;&gt;"",$F552&lt;&gt;"",$G552&lt;&gt;"",$H552&lt;&gt;"",$I552&lt;&gt;"")),"",IF(ISNUMBER($O552),IF(INDEX('請求台帳'!$C$5:$C$1004,$O552)="","",INDEX('請求台帳'!$C$5:$C$1004,$O552)),IF($C552="","",$C552)))</f>
        <v/>
      </c>
      <c r="Q552" s="35">
        <f>IF(OR(NOT(OR($A552&lt;&gt;"",$E552&lt;&gt;"",$F552&lt;&gt;"",$G552&lt;&gt;"",$H552&lt;&gt;"",$I552&lt;&gt;"")),$P552="",$P552&lt;&gt;'売掛帳'!$B$3,NOT(ISNUMBER($A552)),N($G552)+N($H552)+N($I552)=0),"",IF(AND($A552&gt;='売掛帳'!$Q$3,$A552&lt;='売掛帳'!$Q$4),$A552+0.5+ROW()/10000000,""))</f>
        <v/>
      </c>
      <c r="R552" s="32">
        <f>IF(AND(OR($A552&lt;&gt;"",$E552&lt;&gt;"",$F552&lt;&gt;"",$G552&lt;&gt;"",$H552&lt;&gt;"",$I552&lt;&gt;""),NOT(ISNUMBER($O552))),1,"")</f>
        <v/>
      </c>
    </row>
    <row r="553" ht="18" customHeight="1">
      <c r="A553" s="26" t="n"/>
      <c r="B553" s="18" t="n"/>
      <c r="C553" s="18" t="n"/>
      <c r="D553" s="20">
        <f>IF($P553="","",IFERROR(INDEX('得意先'!$C$5:$C$104,MATCH($P553,'得意先'!$B$5:$B$104,0))&amp;"","※得意先にないコード"))</f>
        <v/>
      </c>
      <c r="E553" s="27" t="n"/>
      <c r="F553" s="18" t="n"/>
      <c r="G553" s="27" t="n"/>
      <c r="H553" s="27" t="n"/>
      <c r="I553" s="27" t="n"/>
      <c r="J553" s="28">
        <f>IF(NOT(OR($A553&lt;&gt;"",$E553&lt;&gt;"",$F553&lt;&gt;"",$G553&lt;&gt;"",$H553&lt;&gt;"",$I553&lt;&gt;"")),"",N($G553)+N($H553)+N($I553))</f>
        <v/>
      </c>
      <c r="K553" s="28">
        <f>IF(ISNUMBER($O553),INDEX('請求台帳'!$R$5:$R$1004,$O553),"")</f>
        <v/>
      </c>
      <c r="L553" s="20">
        <f>IF(NOT(OR($A553&lt;&gt;"",$E553&lt;&gt;"",$F553&lt;&gt;"",$G553&lt;&gt;"",$H553&lt;&gt;"",$I553&lt;&gt;"")),"",IF(NOT(ISNUMBER($A553)),"入金日がありません",IF(AND($F553&lt;&gt;"",$O553="なし"),"請求Noが請求台帳にありません",IF(AND(ISNUMBER($O553),$C553&lt;&gt;"",$C553&lt;&gt;$P553),"請求の得意先は "&amp;$P553&amp;" です",IF(ROUND(IF($B553&lt;&gt;"",SUMIF($B$5:$B$1004,$B553,$E$5:$E$1004)-SUMIF($B$5:$B$1004,$B553,$G$5:$G$1004),N($E553)-N($G553)),0)&lt;&gt;0,"通帳の額と当てた額の差 "&amp;TEXT(IF($B553&lt;&gt;"",SUMIF($B$5:$B$1004,$B553,$E$5:$E$1004)-SUMIF($B$5:$B$1004,$B553,$G$5:$G$1004),N($E553)-N($G553)),"#,##0"),IF(AND(ISNUMBER($O553),N($K553)&lt;0),"請求額より多く消し込んでいます",IF($F553="","消込先が未定","OK")))))))</f>
        <v/>
      </c>
      <c r="M553" s="19" t="n"/>
      <c r="N553" s="56" t="n"/>
      <c r="O553" s="32">
        <f>IF($F553="","",IFERROR(MATCH($F553,'請求台帳'!$A$5:$A$1004,0),"なし"))</f>
        <v/>
      </c>
      <c r="P553" s="37">
        <f>IF(NOT(OR($A553&lt;&gt;"",$E553&lt;&gt;"",$F553&lt;&gt;"",$G553&lt;&gt;"",$H553&lt;&gt;"",$I553&lt;&gt;"")),"",IF(ISNUMBER($O553),IF(INDEX('請求台帳'!$C$5:$C$1004,$O553)="","",INDEX('請求台帳'!$C$5:$C$1004,$O553)),IF($C553="","",$C553)))</f>
        <v/>
      </c>
      <c r="Q553" s="35">
        <f>IF(OR(NOT(OR($A553&lt;&gt;"",$E553&lt;&gt;"",$F553&lt;&gt;"",$G553&lt;&gt;"",$H553&lt;&gt;"",$I553&lt;&gt;"")),$P553="",$P553&lt;&gt;'売掛帳'!$B$3,NOT(ISNUMBER($A553)),N($G553)+N($H553)+N($I553)=0),"",IF(AND($A553&gt;='売掛帳'!$Q$3,$A553&lt;='売掛帳'!$Q$4),$A553+0.5+ROW()/10000000,""))</f>
        <v/>
      </c>
      <c r="R553" s="32">
        <f>IF(AND(OR($A553&lt;&gt;"",$E553&lt;&gt;"",$F553&lt;&gt;"",$G553&lt;&gt;"",$H553&lt;&gt;"",$I553&lt;&gt;""),NOT(ISNUMBER($O553))),1,"")</f>
        <v/>
      </c>
    </row>
    <row r="554" ht="18" customHeight="1">
      <c r="A554" s="26" t="n"/>
      <c r="B554" s="18" t="n"/>
      <c r="C554" s="18" t="n"/>
      <c r="D554" s="20">
        <f>IF($P554="","",IFERROR(INDEX('得意先'!$C$5:$C$104,MATCH($P554,'得意先'!$B$5:$B$104,0))&amp;"","※得意先にないコード"))</f>
        <v/>
      </c>
      <c r="E554" s="27" t="n"/>
      <c r="F554" s="18" t="n"/>
      <c r="G554" s="27" t="n"/>
      <c r="H554" s="27" t="n"/>
      <c r="I554" s="27" t="n"/>
      <c r="J554" s="28">
        <f>IF(NOT(OR($A554&lt;&gt;"",$E554&lt;&gt;"",$F554&lt;&gt;"",$G554&lt;&gt;"",$H554&lt;&gt;"",$I554&lt;&gt;"")),"",N($G554)+N($H554)+N($I554))</f>
        <v/>
      </c>
      <c r="K554" s="28">
        <f>IF(ISNUMBER($O554),INDEX('請求台帳'!$R$5:$R$1004,$O554),"")</f>
        <v/>
      </c>
      <c r="L554" s="20">
        <f>IF(NOT(OR($A554&lt;&gt;"",$E554&lt;&gt;"",$F554&lt;&gt;"",$G554&lt;&gt;"",$H554&lt;&gt;"",$I554&lt;&gt;"")),"",IF(NOT(ISNUMBER($A554)),"入金日がありません",IF(AND($F554&lt;&gt;"",$O554="なし"),"請求Noが請求台帳にありません",IF(AND(ISNUMBER($O554),$C554&lt;&gt;"",$C554&lt;&gt;$P554),"請求の得意先は "&amp;$P554&amp;" です",IF(ROUND(IF($B554&lt;&gt;"",SUMIF($B$5:$B$1004,$B554,$E$5:$E$1004)-SUMIF($B$5:$B$1004,$B554,$G$5:$G$1004),N($E554)-N($G554)),0)&lt;&gt;0,"通帳の額と当てた額の差 "&amp;TEXT(IF($B554&lt;&gt;"",SUMIF($B$5:$B$1004,$B554,$E$5:$E$1004)-SUMIF($B$5:$B$1004,$B554,$G$5:$G$1004),N($E554)-N($G554)),"#,##0"),IF(AND(ISNUMBER($O554),N($K554)&lt;0),"請求額より多く消し込んでいます",IF($F554="","消込先が未定","OK")))))))</f>
        <v/>
      </c>
      <c r="M554" s="19" t="n"/>
      <c r="N554" s="56" t="n"/>
      <c r="O554" s="32">
        <f>IF($F554="","",IFERROR(MATCH($F554,'請求台帳'!$A$5:$A$1004,0),"なし"))</f>
        <v/>
      </c>
      <c r="P554" s="37">
        <f>IF(NOT(OR($A554&lt;&gt;"",$E554&lt;&gt;"",$F554&lt;&gt;"",$G554&lt;&gt;"",$H554&lt;&gt;"",$I554&lt;&gt;"")),"",IF(ISNUMBER($O554),IF(INDEX('請求台帳'!$C$5:$C$1004,$O554)="","",INDEX('請求台帳'!$C$5:$C$1004,$O554)),IF($C554="","",$C554)))</f>
        <v/>
      </c>
      <c r="Q554" s="35">
        <f>IF(OR(NOT(OR($A554&lt;&gt;"",$E554&lt;&gt;"",$F554&lt;&gt;"",$G554&lt;&gt;"",$H554&lt;&gt;"",$I554&lt;&gt;"")),$P554="",$P554&lt;&gt;'売掛帳'!$B$3,NOT(ISNUMBER($A554)),N($G554)+N($H554)+N($I554)=0),"",IF(AND($A554&gt;='売掛帳'!$Q$3,$A554&lt;='売掛帳'!$Q$4),$A554+0.5+ROW()/10000000,""))</f>
        <v/>
      </c>
      <c r="R554" s="32">
        <f>IF(AND(OR($A554&lt;&gt;"",$E554&lt;&gt;"",$F554&lt;&gt;"",$G554&lt;&gt;"",$H554&lt;&gt;"",$I554&lt;&gt;""),NOT(ISNUMBER($O554))),1,"")</f>
        <v/>
      </c>
    </row>
    <row r="555" ht="18" customHeight="1">
      <c r="A555" s="26" t="n"/>
      <c r="B555" s="18" t="n"/>
      <c r="C555" s="18" t="n"/>
      <c r="D555" s="20">
        <f>IF($P555="","",IFERROR(INDEX('得意先'!$C$5:$C$104,MATCH($P555,'得意先'!$B$5:$B$104,0))&amp;"","※得意先にないコード"))</f>
        <v/>
      </c>
      <c r="E555" s="27" t="n"/>
      <c r="F555" s="18" t="n"/>
      <c r="G555" s="27" t="n"/>
      <c r="H555" s="27" t="n"/>
      <c r="I555" s="27" t="n"/>
      <c r="J555" s="28">
        <f>IF(NOT(OR($A555&lt;&gt;"",$E555&lt;&gt;"",$F555&lt;&gt;"",$G555&lt;&gt;"",$H555&lt;&gt;"",$I555&lt;&gt;"")),"",N($G555)+N($H555)+N($I555))</f>
        <v/>
      </c>
      <c r="K555" s="28">
        <f>IF(ISNUMBER($O555),INDEX('請求台帳'!$R$5:$R$1004,$O555),"")</f>
        <v/>
      </c>
      <c r="L555" s="20">
        <f>IF(NOT(OR($A555&lt;&gt;"",$E555&lt;&gt;"",$F555&lt;&gt;"",$G555&lt;&gt;"",$H555&lt;&gt;"",$I555&lt;&gt;"")),"",IF(NOT(ISNUMBER($A555)),"入金日がありません",IF(AND($F555&lt;&gt;"",$O555="なし"),"請求Noが請求台帳にありません",IF(AND(ISNUMBER($O555),$C555&lt;&gt;"",$C555&lt;&gt;$P555),"請求の得意先は "&amp;$P555&amp;" です",IF(ROUND(IF($B555&lt;&gt;"",SUMIF($B$5:$B$1004,$B555,$E$5:$E$1004)-SUMIF($B$5:$B$1004,$B555,$G$5:$G$1004),N($E555)-N($G555)),0)&lt;&gt;0,"通帳の額と当てた額の差 "&amp;TEXT(IF($B555&lt;&gt;"",SUMIF($B$5:$B$1004,$B555,$E$5:$E$1004)-SUMIF($B$5:$B$1004,$B555,$G$5:$G$1004),N($E555)-N($G555)),"#,##0"),IF(AND(ISNUMBER($O555),N($K555)&lt;0),"請求額より多く消し込んでいます",IF($F555="","消込先が未定","OK")))))))</f>
        <v/>
      </c>
      <c r="M555" s="19" t="n"/>
      <c r="N555" s="56" t="n"/>
      <c r="O555" s="32">
        <f>IF($F555="","",IFERROR(MATCH($F555,'請求台帳'!$A$5:$A$1004,0),"なし"))</f>
        <v/>
      </c>
      <c r="P555" s="37">
        <f>IF(NOT(OR($A555&lt;&gt;"",$E555&lt;&gt;"",$F555&lt;&gt;"",$G555&lt;&gt;"",$H555&lt;&gt;"",$I555&lt;&gt;"")),"",IF(ISNUMBER($O555),IF(INDEX('請求台帳'!$C$5:$C$1004,$O555)="","",INDEX('請求台帳'!$C$5:$C$1004,$O555)),IF($C555="","",$C555)))</f>
        <v/>
      </c>
      <c r="Q555" s="35">
        <f>IF(OR(NOT(OR($A555&lt;&gt;"",$E555&lt;&gt;"",$F555&lt;&gt;"",$G555&lt;&gt;"",$H555&lt;&gt;"",$I555&lt;&gt;"")),$P555="",$P555&lt;&gt;'売掛帳'!$B$3,NOT(ISNUMBER($A555)),N($G555)+N($H555)+N($I555)=0),"",IF(AND($A555&gt;='売掛帳'!$Q$3,$A555&lt;='売掛帳'!$Q$4),$A555+0.5+ROW()/10000000,""))</f>
        <v/>
      </c>
      <c r="R555" s="32">
        <f>IF(AND(OR($A555&lt;&gt;"",$E555&lt;&gt;"",$F555&lt;&gt;"",$G555&lt;&gt;"",$H555&lt;&gt;"",$I555&lt;&gt;""),NOT(ISNUMBER($O555))),1,"")</f>
        <v/>
      </c>
    </row>
    <row r="556" ht="18" customHeight="1">
      <c r="A556" s="26" t="n"/>
      <c r="B556" s="18" t="n"/>
      <c r="C556" s="18" t="n"/>
      <c r="D556" s="20">
        <f>IF($P556="","",IFERROR(INDEX('得意先'!$C$5:$C$104,MATCH($P556,'得意先'!$B$5:$B$104,0))&amp;"","※得意先にないコード"))</f>
        <v/>
      </c>
      <c r="E556" s="27" t="n"/>
      <c r="F556" s="18" t="n"/>
      <c r="G556" s="27" t="n"/>
      <c r="H556" s="27" t="n"/>
      <c r="I556" s="27" t="n"/>
      <c r="J556" s="28">
        <f>IF(NOT(OR($A556&lt;&gt;"",$E556&lt;&gt;"",$F556&lt;&gt;"",$G556&lt;&gt;"",$H556&lt;&gt;"",$I556&lt;&gt;"")),"",N($G556)+N($H556)+N($I556))</f>
        <v/>
      </c>
      <c r="K556" s="28">
        <f>IF(ISNUMBER($O556),INDEX('請求台帳'!$R$5:$R$1004,$O556),"")</f>
        <v/>
      </c>
      <c r="L556" s="20">
        <f>IF(NOT(OR($A556&lt;&gt;"",$E556&lt;&gt;"",$F556&lt;&gt;"",$G556&lt;&gt;"",$H556&lt;&gt;"",$I556&lt;&gt;"")),"",IF(NOT(ISNUMBER($A556)),"入金日がありません",IF(AND($F556&lt;&gt;"",$O556="なし"),"請求Noが請求台帳にありません",IF(AND(ISNUMBER($O556),$C556&lt;&gt;"",$C556&lt;&gt;$P556),"請求の得意先は "&amp;$P556&amp;" です",IF(ROUND(IF($B556&lt;&gt;"",SUMIF($B$5:$B$1004,$B556,$E$5:$E$1004)-SUMIF($B$5:$B$1004,$B556,$G$5:$G$1004),N($E556)-N($G556)),0)&lt;&gt;0,"通帳の額と当てた額の差 "&amp;TEXT(IF($B556&lt;&gt;"",SUMIF($B$5:$B$1004,$B556,$E$5:$E$1004)-SUMIF($B$5:$B$1004,$B556,$G$5:$G$1004),N($E556)-N($G556)),"#,##0"),IF(AND(ISNUMBER($O556),N($K556)&lt;0),"請求額より多く消し込んでいます",IF($F556="","消込先が未定","OK")))))))</f>
        <v/>
      </c>
      <c r="M556" s="19" t="n"/>
      <c r="N556" s="56" t="n"/>
      <c r="O556" s="32">
        <f>IF($F556="","",IFERROR(MATCH($F556,'請求台帳'!$A$5:$A$1004,0),"なし"))</f>
        <v/>
      </c>
      <c r="P556" s="37">
        <f>IF(NOT(OR($A556&lt;&gt;"",$E556&lt;&gt;"",$F556&lt;&gt;"",$G556&lt;&gt;"",$H556&lt;&gt;"",$I556&lt;&gt;"")),"",IF(ISNUMBER($O556),IF(INDEX('請求台帳'!$C$5:$C$1004,$O556)="","",INDEX('請求台帳'!$C$5:$C$1004,$O556)),IF($C556="","",$C556)))</f>
        <v/>
      </c>
      <c r="Q556" s="35">
        <f>IF(OR(NOT(OR($A556&lt;&gt;"",$E556&lt;&gt;"",$F556&lt;&gt;"",$G556&lt;&gt;"",$H556&lt;&gt;"",$I556&lt;&gt;"")),$P556="",$P556&lt;&gt;'売掛帳'!$B$3,NOT(ISNUMBER($A556)),N($G556)+N($H556)+N($I556)=0),"",IF(AND($A556&gt;='売掛帳'!$Q$3,$A556&lt;='売掛帳'!$Q$4),$A556+0.5+ROW()/10000000,""))</f>
        <v/>
      </c>
      <c r="R556" s="32">
        <f>IF(AND(OR($A556&lt;&gt;"",$E556&lt;&gt;"",$F556&lt;&gt;"",$G556&lt;&gt;"",$H556&lt;&gt;"",$I556&lt;&gt;""),NOT(ISNUMBER($O556))),1,"")</f>
        <v/>
      </c>
    </row>
    <row r="557" ht="18" customHeight="1">
      <c r="A557" s="26" t="n"/>
      <c r="B557" s="18" t="n"/>
      <c r="C557" s="18" t="n"/>
      <c r="D557" s="20">
        <f>IF($P557="","",IFERROR(INDEX('得意先'!$C$5:$C$104,MATCH($P557,'得意先'!$B$5:$B$104,0))&amp;"","※得意先にないコード"))</f>
        <v/>
      </c>
      <c r="E557" s="27" t="n"/>
      <c r="F557" s="18" t="n"/>
      <c r="G557" s="27" t="n"/>
      <c r="H557" s="27" t="n"/>
      <c r="I557" s="27" t="n"/>
      <c r="J557" s="28">
        <f>IF(NOT(OR($A557&lt;&gt;"",$E557&lt;&gt;"",$F557&lt;&gt;"",$G557&lt;&gt;"",$H557&lt;&gt;"",$I557&lt;&gt;"")),"",N($G557)+N($H557)+N($I557))</f>
        <v/>
      </c>
      <c r="K557" s="28">
        <f>IF(ISNUMBER($O557),INDEX('請求台帳'!$R$5:$R$1004,$O557),"")</f>
        <v/>
      </c>
      <c r="L557" s="20">
        <f>IF(NOT(OR($A557&lt;&gt;"",$E557&lt;&gt;"",$F557&lt;&gt;"",$G557&lt;&gt;"",$H557&lt;&gt;"",$I557&lt;&gt;"")),"",IF(NOT(ISNUMBER($A557)),"入金日がありません",IF(AND($F557&lt;&gt;"",$O557="なし"),"請求Noが請求台帳にありません",IF(AND(ISNUMBER($O557),$C557&lt;&gt;"",$C557&lt;&gt;$P557),"請求の得意先は "&amp;$P557&amp;" です",IF(ROUND(IF($B557&lt;&gt;"",SUMIF($B$5:$B$1004,$B557,$E$5:$E$1004)-SUMIF($B$5:$B$1004,$B557,$G$5:$G$1004),N($E557)-N($G557)),0)&lt;&gt;0,"通帳の額と当てた額の差 "&amp;TEXT(IF($B557&lt;&gt;"",SUMIF($B$5:$B$1004,$B557,$E$5:$E$1004)-SUMIF($B$5:$B$1004,$B557,$G$5:$G$1004),N($E557)-N($G557)),"#,##0"),IF(AND(ISNUMBER($O557),N($K557)&lt;0),"請求額より多く消し込んでいます",IF($F557="","消込先が未定","OK")))))))</f>
        <v/>
      </c>
      <c r="M557" s="19" t="n"/>
      <c r="N557" s="56" t="n"/>
      <c r="O557" s="32">
        <f>IF($F557="","",IFERROR(MATCH($F557,'請求台帳'!$A$5:$A$1004,0),"なし"))</f>
        <v/>
      </c>
      <c r="P557" s="37">
        <f>IF(NOT(OR($A557&lt;&gt;"",$E557&lt;&gt;"",$F557&lt;&gt;"",$G557&lt;&gt;"",$H557&lt;&gt;"",$I557&lt;&gt;"")),"",IF(ISNUMBER($O557),IF(INDEX('請求台帳'!$C$5:$C$1004,$O557)="","",INDEX('請求台帳'!$C$5:$C$1004,$O557)),IF($C557="","",$C557)))</f>
        <v/>
      </c>
      <c r="Q557" s="35">
        <f>IF(OR(NOT(OR($A557&lt;&gt;"",$E557&lt;&gt;"",$F557&lt;&gt;"",$G557&lt;&gt;"",$H557&lt;&gt;"",$I557&lt;&gt;"")),$P557="",$P557&lt;&gt;'売掛帳'!$B$3,NOT(ISNUMBER($A557)),N($G557)+N($H557)+N($I557)=0),"",IF(AND($A557&gt;='売掛帳'!$Q$3,$A557&lt;='売掛帳'!$Q$4),$A557+0.5+ROW()/10000000,""))</f>
        <v/>
      </c>
      <c r="R557" s="32">
        <f>IF(AND(OR($A557&lt;&gt;"",$E557&lt;&gt;"",$F557&lt;&gt;"",$G557&lt;&gt;"",$H557&lt;&gt;"",$I557&lt;&gt;""),NOT(ISNUMBER($O557))),1,"")</f>
        <v/>
      </c>
    </row>
    <row r="558" ht="18" customHeight="1">
      <c r="A558" s="26" t="n"/>
      <c r="B558" s="18" t="n"/>
      <c r="C558" s="18" t="n"/>
      <c r="D558" s="20">
        <f>IF($P558="","",IFERROR(INDEX('得意先'!$C$5:$C$104,MATCH($P558,'得意先'!$B$5:$B$104,0))&amp;"","※得意先にないコード"))</f>
        <v/>
      </c>
      <c r="E558" s="27" t="n"/>
      <c r="F558" s="18" t="n"/>
      <c r="G558" s="27" t="n"/>
      <c r="H558" s="27" t="n"/>
      <c r="I558" s="27" t="n"/>
      <c r="J558" s="28">
        <f>IF(NOT(OR($A558&lt;&gt;"",$E558&lt;&gt;"",$F558&lt;&gt;"",$G558&lt;&gt;"",$H558&lt;&gt;"",$I558&lt;&gt;"")),"",N($G558)+N($H558)+N($I558))</f>
        <v/>
      </c>
      <c r="K558" s="28">
        <f>IF(ISNUMBER($O558),INDEX('請求台帳'!$R$5:$R$1004,$O558),"")</f>
        <v/>
      </c>
      <c r="L558" s="20">
        <f>IF(NOT(OR($A558&lt;&gt;"",$E558&lt;&gt;"",$F558&lt;&gt;"",$G558&lt;&gt;"",$H558&lt;&gt;"",$I558&lt;&gt;"")),"",IF(NOT(ISNUMBER($A558)),"入金日がありません",IF(AND($F558&lt;&gt;"",$O558="なし"),"請求Noが請求台帳にありません",IF(AND(ISNUMBER($O558),$C558&lt;&gt;"",$C558&lt;&gt;$P558),"請求の得意先は "&amp;$P558&amp;" です",IF(ROUND(IF($B558&lt;&gt;"",SUMIF($B$5:$B$1004,$B558,$E$5:$E$1004)-SUMIF($B$5:$B$1004,$B558,$G$5:$G$1004),N($E558)-N($G558)),0)&lt;&gt;0,"通帳の額と当てた額の差 "&amp;TEXT(IF($B558&lt;&gt;"",SUMIF($B$5:$B$1004,$B558,$E$5:$E$1004)-SUMIF($B$5:$B$1004,$B558,$G$5:$G$1004),N($E558)-N($G558)),"#,##0"),IF(AND(ISNUMBER($O558),N($K558)&lt;0),"請求額より多く消し込んでいます",IF($F558="","消込先が未定","OK")))))))</f>
        <v/>
      </c>
      <c r="M558" s="19" t="n"/>
      <c r="N558" s="56" t="n"/>
      <c r="O558" s="32">
        <f>IF($F558="","",IFERROR(MATCH($F558,'請求台帳'!$A$5:$A$1004,0),"なし"))</f>
        <v/>
      </c>
      <c r="P558" s="37">
        <f>IF(NOT(OR($A558&lt;&gt;"",$E558&lt;&gt;"",$F558&lt;&gt;"",$G558&lt;&gt;"",$H558&lt;&gt;"",$I558&lt;&gt;"")),"",IF(ISNUMBER($O558),IF(INDEX('請求台帳'!$C$5:$C$1004,$O558)="","",INDEX('請求台帳'!$C$5:$C$1004,$O558)),IF($C558="","",$C558)))</f>
        <v/>
      </c>
      <c r="Q558" s="35">
        <f>IF(OR(NOT(OR($A558&lt;&gt;"",$E558&lt;&gt;"",$F558&lt;&gt;"",$G558&lt;&gt;"",$H558&lt;&gt;"",$I558&lt;&gt;"")),$P558="",$P558&lt;&gt;'売掛帳'!$B$3,NOT(ISNUMBER($A558)),N($G558)+N($H558)+N($I558)=0),"",IF(AND($A558&gt;='売掛帳'!$Q$3,$A558&lt;='売掛帳'!$Q$4),$A558+0.5+ROW()/10000000,""))</f>
        <v/>
      </c>
      <c r="R558" s="32">
        <f>IF(AND(OR($A558&lt;&gt;"",$E558&lt;&gt;"",$F558&lt;&gt;"",$G558&lt;&gt;"",$H558&lt;&gt;"",$I558&lt;&gt;""),NOT(ISNUMBER($O558))),1,"")</f>
        <v/>
      </c>
    </row>
    <row r="559" ht="18" customHeight="1">
      <c r="A559" s="26" t="n"/>
      <c r="B559" s="18" t="n"/>
      <c r="C559" s="18" t="n"/>
      <c r="D559" s="20">
        <f>IF($P559="","",IFERROR(INDEX('得意先'!$C$5:$C$104,MATCH($P559,'得意先'!$B$5:$B$104,0))&amp;"","※得意先にないコード"))</f>
        <v/>
      </c>
      <c r="E559" s="27" t="n"/>
      <c r="F559" s="18" t="n"/>
      <c r="G559" s="27" t="n"/>
      <c r="H559" s="27" t="n"/>
      <c r="I559" s="27" t="n"/>
      <c r="J559" s="28">
        <f>IF(NOT(OR($A559&lt;&gt;"",$E559&lt;&gt;"",$F559&lt;&gt;"",$G559&lt;&gt;"",$H559&lt;&gt;"",$I559&lt;&gt;"")),"",N($G559)+N($H559)+N($I559))</f>
        <v/>
      </c>
      <c r="K559" s="28">
        <f>IF(ISNUMBER($O559),INDEX('請求台帳'!$R$5:$R$1004,$O559),"")</f>
        <v/>
      </c>
      <c r="L559" s="20">
        <f>IF(NOT(OR($A559&lt;&gt;"",$E559&lt;&gt;"",$F559&lt;&gt;"",$G559&lt;&gt;"",$H559&lt;&gt;"",$I559&lt;&gt;"")),"",IF(NOT(ISNUMBER($A559)),"入金日がありません",IF(AND($F559&lt;&gt;"",$O559="なし"),"請求Noが請求台帳にありません",IF(AND(ISNUMBER($O559),$C559&lt;&gt;"",$C559&lt;&gt;$P559),"請求の得意先は "&amp;$P559&amp;" です",IF(ROUND(IF($B559&lt;&gt;"",SUMIF($B$5:$B$1004,$B559,$E$5:$E$1004)-SUMIF($B$5:$B$1004,$B559,$G$5:$G$1004),N($E559)-N($G559)),0)&lt;&gt;0,"通帳の額と当てた額の差 "&amp;TEXT(IF($B559&lt;&gt;"",SUMIF($B$5:$B$1004,$B559,$E$5:$E$1004)-SUMIF($B$5:$B$1004,$B559,$G$5:$G$1004),N($E559)-N($G559)),"#,##0"),IF(AND(ISNUMBER($O559),N($K559)&lt;0),"請求額より多く消し込んでいます",IF($F559="","消込先が未定","OK")))))))</f>
        <v/>
      </c>
      <c r="M559" s="19" t="n"/>
      <c r="N559" s="56" t="n"/>
      <c r="O559" s="32">
        <f>IF($F559="","",IFERROR(MATCH($F559,'請求台帳'!$A$5:$A$1004,0),"なし"))</f>
        <v/>
      </c>
      <c r="P559" s="37">
        <f>IF(NOT(OR($A559&lt;&gt;"",$E559&lt;&gt;"",$F559&lt;&gt;"",$G559&lt;&gt;"",$H559&lt;&gt;"",$I559&lt;&gt;"")),"",IF(ISNUMBER($O559),IF(INDEX('請求台帳'!$C$5:$C$1004,$O559)="","",INDEX('請求台帳'!$C$5:$C$1004,$O559)),IF($C559="","",$C559)))</f>
        <v/>
      </c>
      <c r="Q559" s="35">
        <f>IF(OR(NOT(OR($A559&lt;&gt;"",$E559&lt;&gt;"",$F559&lt;&gt;"",$G559&lt;&gt;"",$H559&lt;&gt;"",$I559&lt;&gt;"")),$P559="",$P559&lt;&gt;'売掛帳'!$B$3,NOT(ISNUMBER($A559)),N($G559)+N($H559)+N($I559)=0),"",IF(AND($A559&gt;='売掛帳'!$Q$3,$A559&lt;='売掛帳'!$Q$4),$A559+0.5+ROW()/10000000,""))</f>
        <v/>
      </c>
      <c r="R559" s="32">
        <f>IF(AND(OR($A559&lt;&gt;"",$E559&lt;&gt;"",$F559&lt;&gt;"",$G559&lt;&gt;"",$H559&lt;&gt;"",$I559&lt;&gt;""),NOT(ISNUMBER($O559))),1,"")</f>
        <v/>
      </c>
    </row>
    <row r="560" ht="18" customHeight="1">
      <c r="A560" s="26" t="n"/>
      <c r="B560" s="18" t="n"/>
      <c r="C560" s="18" t="n"/>
      <c r="D560" s="20">
        <f>IF($P560="","",IFERROR(INDEX('得意先'!$C$5:$C$104,MATCH($P560,'得意先'!$B$5:$B$104,0))&amp;"","※得意先にないコード"))</f>
        <v/>
      </c>
      <c r="E560" s="27" t="n"/>
      <c r="F560" s="18" t="n"/>
      <c r="G560" s="27" t="n"/>
      <c r="H560" s="27" t="n"/>
      <c r="I560" s="27" t="n"/>
      <c r="J560" s="28">
        <f>IF(NOT(OR($A560&lt;&gt;"",$E560&lt;&gt;"",$F560&lt;&gt;"",$G560&lt;&gt;"",$H560&lt;&gt;"",$I560&lt;&gt;"")),"",N($G560)+N($H560)+N($I560))</f>
        <v/>
      </c>
      <c r="K560" s="28">
        <f>IF(ISNUMBER($O560),INDEX('請求台帳'!$R$5:$R$1004,$O560),"")</f>
        <v/>
      </c>
      <c r="L560" s="20">
        <f>IF(NOT(OR($A560&lt;&gt;"",$E560&lt;&gt;"",$F560&lt;&gt;"",$G560&lt;&gt;"",$H560&lt;&gt;"",$I560&lt;&gt;"")),"",IF(NOT(ISNUMBER($A560)),"入金日がありません",IF(AND($F560&lt;&gt;"",$O560="なし"),"請求Noが請求台帳にありません",IF(AND(ISNUMBER($O560),$C560&lt;&gt;"",$C560&lt;&gt;$P560),"請求の得意先は "&amp;$P560&amp;" です",IF(ROUND(IF($B560&lt;&gt;"",SUMIF($B$5:$B$1004,$B560,$E$5:$E$1004)-SUMIF($B$5:$B$1004,$B560,$G$5:$G$1004),N($E560)-N($G560)),0)&lt;&gt;0,"通帳の額と当てた額の差 "&amp;TEXT(IF($B560&lt;&gt;"",SUMIF($B$5:$B$1004,$B560,$E$5:$E$1004)-SUMIF($B$5:$B$1004,$B560,$G$5:$G$1004),N($E560)-N($G560)),"#,##0"),IF(AND(ISNUMBER($O560),N($K560)&lt;0),"請求額より多く消し込んでいます",IF($F560="","消込先が未定","OK")))))))</f>
        <v/>
      </c>
      <c r="M560" s="19" t="n"/>
      <c r="N560" s="56" t="n"/>
      <c r="O560" s="32">
        <f>IF($F560="","",IFERROR(MATCH($F560,'請求台帳'!$A$5:$A$1004,0),"なし"))</f>
        <v/>
      </c>
      <c r="P560" s="37">
        <f>IF(NOT(OR($A560&lt;&gt;"",$E560&lt;&gt;"",$F560&lt;&gt;"",$G560&lt;&gt;"",$H560&lt;&gt;"",$I560&lt;&gt;"")),"",IF(ISNUMBER($O560),IF(INDEX('請求台帳'!$C$5:$C$1004,$O560)="","",INDEX('請求台帳'!$C$5:$C$1004,$O560)),IF($C560="","",$C560)))</f>
        <v/>
      </c>
      <c r="Q560" s="35">
        <f>IF(OR(NOT(OR($A560&lt;&gt;"",$E560&lt;&gt;"",$F560&lt;&gt;"",$G560&lt;&gt;"",$H560&lt;&gt;"",$I560&lt;&gt;"")),$P560="",$P560&lt;&gt;'売掛帳'!$B$3,NOT(ISNUMBER($A560)),N($G560)+N($H560)+N($I560)=0),"",IF(AND($A560&gt;='売掛帳'!$Q$3,$A560&lt;='売掛帳'!$Q$4),$A560+0.5+ROW()/10000000,""))</f>
        <v/>
      </c>
      <c r="R560" s="32">
        <f>IF(AND(OR($A560&lt;&gt;"",$E560&lt;&gt;"",$F560&lt;&gt;"",$G560&lt;&gt;"",$H560&lt;&gt;"",$I560&lt;&gt;""),NOT(ISNUMBER($O560))),1,"")</f>
        <v/>
      </c>
    </row>
    <row r="561" ht="18" customHeight="1">
      <c r="A561" s="26" t="n"/>
      <c r="B561" s="18" t="n"/>
      <c r="C561" s="18" t="n"/>
      <c r="D561" s="20">
        <f>IF($P561="","",IFERROR(INDEX('得意先'!$C$5:$C$104,MATCH($P561,'得意先'!$B$5:$B$104,0))&amp;"","※得意先にないコード"))</f>
        <v/>
      </c>
      <c r="E561" s="27" t="n"/>
      <c r="F561" s="18" t="n"/>
      <c r="G561" s="27" t="n"/>
      <c r="H561" s="27" t="n"/>
      <c r="I561" s="27" t="n"/>
      <c r="J561" s="28">
        <f>IF(NOT(OR($A561&lt;&gt;"",$E561&lt;&gt;"",$F561&lt;&gt;"",$G561&lt;&gt;"",$H561&lt;&gt;"",$I561&lt;&gt;"")),"",N($G561)+N($H561)+N($I561))</f>
        <v/>
      </c>
      <c r="K561" s="28">
        <f>IF(ISNUMBER($O561),INDEX('請求台帳'!$R$5:$R$1004,$O561),"")</f>
        <v/>
      </c>
      <c r="L561" s="20">
        <f>IF(NOT(OR($A561&lt;&gt;"",$E561&lt;&gt;"",$F561&lt;&gt;"",$G561&lt;&gt;"",$H561&lt;&gt;"",$I561&lt;&gt;"")),"",IF(NOT(ISNUMBER($A561)),"入金日がありません",IF(AND($F561&lt;&gt;"",$O561="なし"),"請求Noが請求台帳にありません",IF(AND(ISNUMBER($O561),$C561&lt;&gt;"",$C561&lt;&gt;$P561),"請求の得意先は "&amp;$P561&amp;" です",IF(ROUND(IF($B561&lt;&gt;"",SUMIF($B$5:$B$1004,$B561,$E$5:$E$1004)-SUMIF($B$5:$B$1004,$B561,$G$5:$G$1004),N($E561)-N($G561)),0)&lt;&gt;0,"通帳の額と当てた額の差 "&amp;TEXT(IF($B561&lt;&gt;"",SUMIF($B$5:$B$1004,$B561,$E$5:$E$1004)-SUMIF($B$5:$B$1004,$B561,$G$5:$G$1004),N($E561)-N($G561)),"#,##0"),IF(AND(ISNUMBER($O561),N($K561)&lt;0),"請求額より多く消し込んでいます",IF($F561="","消込先が未定","OK")))))))</f>
        <v/>
      </c>
      <c r="M561" s="19" t="n"/>
      <c r="N561" s="56" t="n"/>
      <c r="O561" s="32">
        <f>IF($F561="","",IFERROR(MATCH($F561,'請求台帳'!$A$5:$A$1004,0),"なし"))</f>
        <v/>
      </c>
      <c r="P561" s="37">
        <f>IF(NOT(OR($A561&lt;&gt;"",$E561&lt;&gt;"",$F561&lt;&gt;"",$G561&lt;&gt;"",$H561&lt;&gt;"",$I561&lt;&gt;"")),"",IF(ISNUMBER($O561),IF(INDEX('請求台帳'!$C$5:$C$1004,$O561)="","",INDEX('請求台帳'!$C$5:$C$1004,$O561)),IF($C561="","",$C561)))</f>
        <v/>
      </c>
      <c r="Q561" s="35">
        <f>IF(OR(NOT(OR($A561&lt;&gt;"",$E561&lt;&gt;"",$F561&lt;&gt;"",$G561&lt;&gt;"",$H561&lt;&gt;"",$I561&lt;&gt;"")),$P561="",$P561&lt;&gt;'売掛帳'!$B$3,NOT(ISNUMBER($A561)),N($G561)+N($H561)+N($I561)=0),"",IF(AND($A561&gt;='売掛帳'!$Q$3,$A561&lt;='売掛帳'!$Q$4),$A561+0.5+ROW()/10000000,""))</f>
        <v/>
      </c>
      <c r="R561" s="32">
        <f>IF(AND(OR($A561&lt;&gt;"",$E561&lt;&gt;"",$F561&lt;&gt;"",$G561&lt;&gt;"",$H561&lt;&gt;"",$I561&lt;&gt;""),NOT(ISNUMBER($O561))),1,"")</f>
        <v/>
      </c>
    </row>
    <row r="562" ht="18" customHeight="1">
      <c r="A562" s="26" t="n"/>
      <c r="B562" s="18" t="n"/>
      <c r="C562" s="18" t="n"/>
      <c r="D562" s="20">
        <f>IF($P562="","",IFERROR(INDEX('得意先'!$C$5:$C$104,MATCH($P562,'得意先'!$B$5:$B$104,0))&amp;"","※得意先にないコード"))</f>
        <v/>
      </c>
      <c r="E562" s="27" t="n"/>
      <c r="F562" s="18" t="n"/>
      <c r="G562" s="27" t="n"/>
      <c r="H562" s="27" t="n"/>
      <c r="I562" s="27" t="n"/>
      <c r="J562" s="28">
        <f>IF(NOT(OR($A562&lt;&gt;"",$E562&lt;&gt;"",$F562&lt;&gt;"",$G562&lt;&gt;"",$H562&lt;&gt;"",$I562&lt;&gt;"")),"",N($G562)+N($H562)+N($I562))</f>
        <v/>
      </c>
      <c r="K562" s="28">
        <f>IF(ISNUMBER($O562),INDEX('請求台帳'!$R$5:$R$1004,$O562),"")</f>
        <v/>
      </c>
      <c r="L562" s="20">
        <f>IF(NOT(OR($A562&lt;&gt;"",$E562&lt;&gt;"",$F562&lt;&gt;"",$G562&lt;&gt;"",$H562&lt;&gt;"",$I562&lt;&gt;"")),"",IF(NOT(ISNUMBER($A562)),"入金日がありません",IF(AND($F562&lt;&gt;"",$O562="なし"),"請求Noが請求台帳にありません",IF(AND(ISNUMBER($O562),$C562&lt;&gt;"",$C562&lt;&gt;$P562),"請求の得意先は "&amp;$P562&amp;" です",IF(ROUND(IF($B562&lt;&gt;"",SUMIF($B$5:$B$1004,$B562,$E$5:$E$1004)-SUMIF($B$5:$B$1004,$B562,$G$5:$G$1004),N($E562)-N($G562)),0)&lt;&gt;0,"通帳の額と当てた額の差 "&amp;TEXT(IF($B562&lt;&gt;"",SUMIF($B$5:$B$1004,$B562,$E$5:$E$1004)-SUMIF($B$5:$B$1004,$B562,$G$5:$G$1004),N($E562)-N($G562)),"#,##0"),IF(AND(ISNUMBER($O562),N($K562)&lt;0),"請求額より多く消し込んでいます",IF($F562="","消込先が未定","OK")))))))</f>
        <v/>
      </c>
      <c r="M562" s="19" t="n"/>
      <c r="N562" s="56" t="n"/>
      <c r="O562" s="32">
        <f>IF($F562="","",IFERROR(MATCH($F562,'請求台帳'!$A$5:$A$1004,0),"なし"))</f>
        <v/>
      </c>
      <c r="P562" s="37">
        <f>IF(NOT(OR($A562&lt;&gt;"",$E562&lt;&gt;"",$F562&lt;&gt;"",$G562&lt;&gt;"",$H562&lt;&gt;"",$I562&lt;&gt;"")),"",IF(ISNUMBER($O562),IF(INDEX('請求台帳'!$C$5:$C$1004,$O562)="","",INDEX('請求台帳'!$C$5:$C$1004,$O562)),IF($C562="","",$C562)))</f>
        <v/>
      </c>
      <c r="Q562" s="35">
        <f>IF(OR(NOT(OR($A562&lt;&gt;"",$E562&lt;&gt;"",$F562&lt;&gt;"",$G562&lt;&gt;"",$H562&lt;&gt;"",$I562&lt;&gt;"")),$P562="",$P562&lt;&gt;'売掛帳'!$B$3,NOT(ISNUMBER($A562)),N($G562)+N($H562)+N($I562)=0),"",IF(AND($A562&gt;='売掛帳'!$Q$3,$A562&lt;='売掛帳'!$Q$4),$A562+0.5+ROW()/10000000,""))</f>
        <v/>
      </c>
      <c r="R562" s="32">
        <f>IF(AND(OR($A562&lt;&gt;"",$E562&lt;&gt;"",$F562&lt;&gt;"",$G562&lt;&gt;"",$H562&lt;&gt;"",$I562&lt;&gt;""),NOT(ISNUMBER($O562))),1,"")</f>
        <v/>
      </c>
    </row>
    <row r="563" ht="18" customHeight="1">
      <c r="A563" s="26" t="n"/>
      <c r="B563" s="18" t="n"/>
      <c r="C563" s="18" t="n"/>
      <c r="D563" s="20">
        <f>IF($P563="","",IFERROR(INDEX('得意先'!$C$5:$C$104,MATCH($P563,'得意先'!$B$5:$B$104,0))&amp;"","※得意先にないコード"))</f>
        <v/>
      </c>
      <c r="E563" s="27" t="n"/>
      <c r="F563" s="18" t="n"/>
      <c r="G563" s="27" t="n"/>
      <c r="H563" s="27" t="n"/>
      <c r="I563" s="27" t="n"/>
      <c r="J563" s="28">
        <f>IF(NOT(OR($A563&lt;&gt;"",$E563&lt;&gt;"",$F563&lt;&gt;"",$G563&lt;&gt;"",$H563&lt;&gt;"",$I563&lt;&gt;"")),"",N($G563)+N($H563)+N($I563))</f>
        <v/>
      </c>
      <c r="K563" s="28">
        <f>IF(ISNUMBER($O563),INDEX('請求台帳'!$R$5:$R$1004,$O563),"")</f>
        <v/>
      </c>
      <c r="L563" s="20">
        <f>IF(NOT(OR($A563&lt;&gt;"",$E563&lt;&gt;"",$F563&lt;&gt;"",$G563&lt;&gt;"",$H563&lt;&gt;"",$I563&lt;&gt;"")),"",IF(NOT(ISNUMBER($A563)),"入金日がありません",IF(AND($F563&lt;&gt;"",$O563="なし"),"請求Noが請求台帳にありません",IF(AND(ISNUMBER($O563),$C563&lt;&gt;"",$C563&lt;&gt;$P563),"請求の得意先は "&amp;$P563&amp;" です",IF(ROUND(IF($B563&lt;&gt;"",SUMIF($B$5:$B$1004,$B563,$E$5:$E$1004)-SUMIF($B$5:$B$1004,$B563,$G$5:$G$1004),N($E563)-N($G563)),0)&lt;&gt;0,"通帳の額と当てた額の差 "&amp;TEXT(IF($B563&lt;&gt;"",SUMIF($B$5:$B$1004,$B563,$E$5:$E$1004)-SUMIF($B$5:$B$1004,$B563,$G$5:$G$1004),N($E563)-N($G563)),"#,##0"),IF(AND(ISNUMBER($O563),N($K563)&lt;0),"請求額より多く消し込んでいます",IF($F563="","消込先が未定","OK")))))))</f>
        <v/>
      </c>
      <c r="M563" s="19" t="n"/>
      <c r="N563" s="56" t="n"/>
      <c r="O563" s="32">
        <f>IF($F563="","",IFERROR(MATCH($F563,'請求台帳'!$A$5:$A$1004,0),"なし"))</f>
        <v/>
      </c>
      <c r="P563" s="37">
        <f>IF(NOT(OR($A563&lt;&gt;"",$E563&lt;&gt;"",$F563&lt;&gt;"",$G563&lt;&gt;"",$H563&lt;&gt;"",$I563&lt;&gt;"")),"",IF(ISNUMBER($O563),IF(INDEX('請求台帳'!$C$5:$C$1004,$O563)="","",INDEX('請求台帳'!$C$5:$C$1004,$O563)),IF($C563="","",$C563)))</f>
        <v/>
      </c>
      <c r="Q563" s="35">
        <f>IF(OR(NOT(OR($A563&lt;&gt;"",$E563&lt;&gt;"",$F563&lt;&gt;"",$G563&lt;&gt;"",$H563&lt;&gt;"",$I563&lt;&gt;"")),$P563="",$P563&lt;&gt;'売掛帳'!$B$3,NOT(ISNUMBER($A563)),N($G563)+N($H563)+N($I563)=0),"",IF(AND($A563&gt;='売掛帳'!$Q$3,$A563&lt;='売掛帳'!$Q$4),$A563+0.5+ROW()/10000000,""))</f>
        <v/>
      </c>
      <c r="R563" s="32">
        <f>IF(AND(OR($A563&lt;&gt;"",$E563&lt;&gt;"",$F563&lt;&gt;"",$G563&lt;&gt;"",$H563&lt;&gt;"",$I563&lt;&gt;""),NOT(ISNUMBER($O563))),1,"")</f>
        <v/>
      </c>
    </row>
    <row r="564" ht="18" customHeight="1">
      <c r="A564" s="26" t="n"/>
      <c r="B564" s="18" t="n"/>
      <c r="C564" s="18" t="n"/>
      <c r="D564" s="20">
        <f>IF($P564="","",IFERROR(INDEX('得意先'!$C$5:$C$104,MATCH($P564,'得意先'!$B$5:$B$104,0))&amp;"","※得意先にないコード"))</f>
        <v/>
      </c>
      <c r="E564" s="27" t="n"/>
      <c r="F564" s="18" t="n"/>
      <c r="G564" s="27" t="n"/>
      <c r="H564" s="27" t="n"/>
      <c r="I564" s="27" t="n"/>
      <c r="J564" s="28">
        <f>IF(NOT(OR($A564&lt;&gt;"",$E564&lt;&gt;"",$F564&lt;&gt;"",$G564&lt;&gt;"",$H564&lt;&gt;"",$I564&lt;&gt;"")),"",N($G564)+N($H564)+N($I564))</f>
        <v/>
      </c>
      <c r="K564" s="28">
        <f>IF(ISNUMBER($O564),INDEX('請求台帳'!$R$5:$R$1004,$O564),"")</f>
        <v/>
      </c>
      <c r="L564" s="20">
        <f>IF(NOT(OR($A564&lt;&gt;"",$E564&lt;&gt;"",$F564&lt;&gt;"",$G564&lt;&gt;"",$H564&lt;&gt;"",$I564&lt;&gt;"")),"",IF(NOT(ISNUMBER($A564)),"入金日がありません",IF(AND($F564&lt;&gt;"",$O564="なし"),"請求Noが請求台帳にありません",IF(AND(ISNUMBER($O564),$C564&lt;&gt;"",$C564&lt;&gt;$P564),"請求の得意先は "&amp;$P564&amp;" です",IF(ROUND(IF($B564&lt;&gt;"",SUMIF($B$5:$B$1004,$B564,$E$5:$E$1004)-SUMIF($B$5:$B$1004,$B564,$G$5:$G$1004),N($E564)-N($G564)),0)&lt;&gt;0,"通帳の額と当てた額の差 "&amp;TEXT(IF($B564&lt;&gt;"",SUMIF($B$5:$B$1004,$B564,$E$5:$E$1004)-SUMIF($B$5:$B$1004,$B564,$G$5:$G$1004),N($E564)-N($G564)),"#,##0"),IF(AND(ISNUMBER($O564),N($K564)&lt;0),"請求額より多く消し込んでいます",IF($F564="","消込先が未定","OK")))))))</f>
        <v/>
      </c>
      <c r="M564" s="19" t="n"/>
      <c r="N564" s="56" t="n"/>
      <c r="O564" s="32">
        <f>IF($F564="","",IFERROR(MATCH($F564,'請求台帳'!$A$5:$A$1004,0),"なし"))</f>
        <v/>
      </c>
      <c r="P564" s="37">
        <f>IF(NOT(OR($A564&lt;&gt;"",$E564&lt;&gt;"",$F564&lt;&gt;"",$G564&lt;&gt;"",$H564&lt;&gt;"",$I564&lt;&gt;"")),"",IF(ISNUMBER($O564),IF(INDEX('請求台帳'!$C$5:$C$1004,$O564)="","",INDEX('請求台帳'!$C$5:$C$1004,$O564)),IF($C564="","",$C564)))</f>
        <v/>
      </c>
      <c r="Q564" s="35">
        <f>IF(OR(NOT(OR($A564&lt;&gt;"",$E564&lt;&gt;"",$F564&lt;&gt;"",$G564&lt;&gt;"",$H564&lt;&gt;"",$I564&lt;&gt;"")),$P564="",$P564&lt;&gt;'売掛帳'!$B$3,NOT(ISNUMBER($A564)),N($G564)+N($H564)+N($I564)=0),"",IF(AND($A564&gt;='売掛帳'!$Q$3,$A564&lt;='売掛帳'!$Q$4),$A564+0.5+ROW()/10000000,""))</f>
        <v/>
      </c>
      <c r="R564" s="32">
        <f>IF(AND(OR($A564&lt;&gt;"",$E564&lt;&gt;"",$F564&lt;&gt;"",$G564&lt;&gt;"",$H564&lt;&gt;"",$I564&lt;&gt;""),NOT(ISNUMBER($O564))),1,"")</f>
        <v/>
      </c>
    </row>
    <row r="565" ht="18" customHeight="1">
      <c r="A565" s="26" t="n"/>
      <c r="B565" s="18" t="n"/>
      <c r="C565" s="18" t="n"/>
      <c r="D565" s="20">
        <f>IF($P565="","",IFERROR(INDEX('得意先'!$C$5:$C$104,MATCH($P565,'得意先'!$B$5:$B$104,0))&amp;"","※得意先にないコード"))</f>
        <v/>
      </c>
      <c r="E565" s="27" t="n"/>
      <c r="F565" s="18" t="n"/>
      <c r="G565" s="27" t="n"/>
      <c r="H565" s="27" t="n"/>
      <c r="I565" s="27" t="n"/>
      <c r="J565" s="28">
        <f>IF(NOT(OR($A565&lt;&gt;"",$E565&lt;&gt;"",$F565&lt;&gt;"",$G565&lt;&gt;"",$H565&lt;&gt;"",$I565&lt;&gt;"")),"",N($G565)+N($H565)+N($I565))</f>
        <v/>
      </c>
      <c r="K565" s="28">
        <f>IF(ISNUMBER($O565),INDEX('請求台帳'!$R$5:$R$1004,$O565),"")</f>
        <v/>
      </c>
      <c r="L565" s="20">
        <f>IF(NOT(OR($A565&lt;&gt;"",$E565&lt;&gt;"",$F565&lt;&gt;"",$G565&lt;&gt;"",$H565&lt;&gt;"",$I565&lt;&gt;"")),"",IF(NOT(ISNUMBER($A565)),"入金日がありません",IF(AND($F565&lt;&gt;"",$O565="なし"),"請求Noが請求台帳にありません",IF(AND(ISNUMBER($O565),$C565&lt;&gt;"",$C565&lt;&gt;$P565),"請求の得意先は "&amp;$P565&amp;" です",IF(ROUND(IF($B565&lt;&gt;"",SUMIF($B$5:$B$1004,$B565,$E$5:$E$1004)-SUMIF($B$5:$B$1004,$B565,$G$5:$G$1004),N($E565)-N($G565)),0)&lt;&gt;0,"通帳の額と当てた額の差 "&amp;TEXT(IF($B565&lt;&gt;"",SUMIF($B$5:$B$1004,$B565,$E$5:$E$1004)-SUMIF($B$5:$B$1004,$B565,$G$5:$G$1004),N($E565)-N($G565)),"#,##0"),IF(AND(ISNUMBER($O565),N($K565)&lt;0),"請求額より多く消し込んでいます",IF($F565="","消込先が未定","OK")))))))</f>
        <v/>
      </c>
      <c r="M565" s="19" t="n"/>
      <c r="N565" s="56" t="n"/>
      <c r="O565" s="32">
        <f>IF($F565="","",IFERROR(MATCH($F565,'請求台帳'!$A$5:$A$1004,0),"なし"))</f>
        <v/>
      </c>
      <c r="P565" s="37">
        <f>IF(NOT(OR($A565&lt;&gt;"",$E565&lt;&gt;"",$F565&lt;&gt;"",$G565&lt;&gt;"",$H565&lt;&gt;"",$I565&lt;&gt;"")),"",IF(ISNUMBER($O565),IF(INDEX('請求台帳'!$C$5:$C$1004,$O565)="","",INDEX('請求台帳'!$C$5:$C$1004,$O565)),IF($C565="","",$C565)))</f>
        <v/>
      </c>
      <c r="Q565" s="35">
        <f>IF(OR(NOT(OR($A565&lt;&gt;"",$E565&lt;&gt;"",$F565&lt;&gt;"",$G565&lt;&gt;"",$H565&lt;&gt;"",$I565&lt;&gt;"")),$P565="",$P565&lt;&gt;'売掛帳'!$B$3,NOT(ISNUMBER($A565)),N($G565)+N($H565)+N($I565)=0),"",IF(AND($A565&gt;='売掛帳'!$Q$3,$A565&lt;='売掛帳'!$Q$4),$A565+0.5+ROW()/10000000,""))</f>
        <v/>
      </c>
      <c r="R565" s="32">
        <f>IF(AND(OR($A565&lt;&gt;"",$E565&lt;&gt;"",$F565&lt;&gt;"",$G565&lt;&gt;"",$H565&lt;&gt;"",$I565&lt;&gt;""),NOT(ISNUMBER($O565))),1,"")</f>
        <v/>
      </c>
    </row>
    <row r="566" ht="18" customHeight="1">
      <c r="A566" s="26" t="n"/>
      <c r="B566" s="18" t="n"/>
      <c r="C566" s="18" t="n"/>
      <c r="D566" s="20">
        <f>IF($P566="","",IFERROR(INDEX('得意先'!$C$5:$C$104,MATCH($P566,'得意先'!$B$5:$B$104,0))&amp;"","※得意先にないコード"))</f>
        <v/>
      </c>
      <c r="E566" s="27" t="n"/>
      <c r="F566" s="18" t="n"/>
      <c r="G566" s="27" t="n"/>
      <c r="H566" s="27" t="n"/>
      <c r="I566" s="27" t="n"/>
      <c r="J566" s="28">
        <f>IF(NOT(OR($A566&lt;&gt;"",$E566&lt;&gt;"",$F566&lt;&gt;"",$G566&lt;&gt;"",$H566&lt;&gt;"",$I566&lt;&gt;"")),"",N($G566)+N($H566)+N($I566))</f>
        <v/>
      </c>
      <c r="K566" s="28">
        <f>IF(ISNUMBER($O566),INDEX('請求台帳'!$R$5:$R$1004,$O566),"")</f>
        <v/>
      </c>
      <c r="L566" s="20">
        <f>IF(NOT(OR($A566&lt;&gt;"",$E566&lt;&gt;"",$F566&lt;&gt;"",$G566&lt;&gt;"",$H566&lt;&gt;"",$I566&lt;&gt;"")),"",IF(NOT(ISNUMBER($A566)),"入金日がありません",IF(AND($F566&lt;&gt;"",$O566="なし"),"請求Noが請求台帳にありません",IF(AND(ISNUMBER($O566),$C566&lt;&gt;"",$C566&lt;&gt;$P566),"請求の得意先は "&amp;$P566&amp;" です",IF(ROUND(IF($B566&lt;&gt;"",SUMIF($B$5:$B$1004,$B566,$E$5:$E$1004)-SUMIF($B$5:$B$1004,$B566,$G$5:$G$1004),N($E566)-N($G566)),0)&lt;&gt;0,"通帳の額と当てた額の差 "&amp;TEXT(IF($B566&lt;&gt;"",SUMIF($B$5:$B$1004,$B566,$E$5:$E$1004)-SUMIF($B$5:$B$1004,$B566,$G$5:$G$1004),N($E566)-N($G566)),"#,##0"),IF(AND(ISNUMBER($O566),N($K566)&lt;0),"請求額より多く消し込んでいます",IF($F566="","消込先が未定","OK")))))))</f>
        <v/>
      </c>
      <c r="M566" s="19" t="n"/>
      <c r="N566" s="56" t="n"/>
      <c r="O566" s="32">
        <f>IF($F566="","",IFERROR(MATCH($F566,'請求台帳'!$A$5:$A$1004,0),"なし"))</f>
        <v/>
      </c>
      <c r="P566" s="37">
        <f>IF(NOT(OR($A566&lt;&gt;"",$E566&lt;&gt;"",$F566&lt;&gt;"",$G566&lt;&gt;"",$H566&lt;&gt;"",$I566&lt;&gt;"")),"",IF(ISNUMBER($O566),IF(INDEX('請求台帳'!$C$5:$C$1004,$O566)="","",INDEX('請求台帳'!$C$5:$C$1004,$O566)),IF($C566="","",$C566)))</f>
        <v/>
      </c>
      <c r="Q566" s="35">
        <f>IF(OR(NOT(OR($A566&lt;&gt;"",$E566&lt;&gt;"",$F566&lt;&gt;"",$G566&lt;&gt;"",$H566&lt;&gt;"",$I566&lt;&gt;"")),$P566="",$P566&lt;&gt;'売掛帳'!$B$3,NOT(ISNUMBER($A566)),N($G566)+N($H566)+N($I566)=0),"",IF(AND($A566&gt;='売掛帳'!$Q$3,$A566&lt;='売掛帳'!$Q$4),$A566+0.5+ROW()/10000000,""))</f>
        <v/>
      </c>
      <c r="R566" s="32">
        <f>IF(AND(OR($A566&lt;&gt;"",$E566&lt;&gt;"",$F566&lt;&gt;"",$G566&lt;&gt;"",$H566&lt;&gt;"",$I566&lt;&gt;""),NOT(ISNUMBER($O566))),1,"")</f>
        <v/>
      </c>
    </row>
    <row r="567" ht="18" customHeight="1">
      <c r="A567" s="26" t="n"/>
      <c r="B567" s="18" t="n"/>
      <c r="C567" s="18" t="n"/>
      <c r="D567" s="20">
        <f>IF($P567="","",IFERROR(INDEX('得意先'!$C$5:$C$104,MATCH($P567,'得意先'!$B$5:$B$104,0))&amp;"","※得意先にないコード"))</f>
        <v/>
      </c>
      <c r="E567" s="27" t="n"/>
      <c r="F567" s="18" t="n"/>
      <c r="G567" s="27" t="n"/>
      <c r="H567" s="27" t="n"/>
      <c r="I567" s="27" t="n"/>
      <c r="J567" s="28">
        <f>IF(NOT(OR($A567&lt;&gt;"",$E567&lt;&gt;"",$F567&lt;&gt;"",$G567&lt;&gt;"",$H567&lt;&gt;"",$I567&lt;&gt;"")),"",N($G567)+N($H567)+N($I567))</f>
        <v/>
      </c>
      <c r="K567" s="28">
        <f>IF(ISNUMBER($O567),INDEX('請求台帳'!$R$5:$R$1004,$O567),"")</f>
        <v/>
      </c>
      <c r="L567" s="20">
        <f>IF(NOT(OR($A567&lt;&gt;"",$E567&lt;&gt;"",$F567&lt;&gt;"",$G567&lt;&gt;"",$H567&lt;&gt;"",$I567&lt;&gt;"")),"",IF(NOT(ISNUMBER($A567)),"入金日がありません",IF(AND($F567&lt;&gt;"",$O567="なし"),"請求Noが請求台帳にありません",IF(AND(ISNUMBER($O567),$C567&lt;&gt;"",$C567&lt;&gt;$P567),"請求の得意先は "&amp;$P567&amp;" です",IF(ROUND(IF($B567&lt;&gt;"",SUMIF($B$5:$B$1004,$B567,$E$5:$E$1004)-SUMIF($B$5:$B$1004,$B567,$G$5:$G$1004),N($E567)-N($G567)),0)&lt;&gt;0,"通帳の額と当てた額の差 "&amp;TEXT(IF($B567&lt;&gt;"",SUMIF($B$5:$B$1004,$B567,$E$5:$E$1004)-SUMIF($B$5:$B$1004,$B567,$G$5:$G$1004),N($E567)-N($G567)),"#,##0"),IF(AND(ISNUMBER($O567),N($K567)&lt;0),"請求額より多く消し込んでいます",IF($F567="","消込先が未定","OK")))))))</f>
        <v/>
      </c>
      <c r="M567" s="19" t="n"/>
      <c r="N567" s="56" t="n"/>
      <c r="O567" s="32">
        <f>IF($F567="","",IFERROR(MATCH($F567,'請求台帳'!$A$5:$A$1004,0),"なし"))</f>
        <v/>
      </c>
      <c r="P567" s="37">
        <f>IF(NOT(OR($A567&lt;&gt;"",$E567&lt;&gt;"",$F567&lt;&gt;"",$G567&lt;&gt;"",$H567&lt;&gt;"",$I567&lt;&gt;"")),"",IF(ISNUMBER($O567),IF(INDEX('請求台帳'!$C$5:$C$1004,$O567)="","",INDEX('請求台帳'!$C$5:$C$1004,$O567)),IF($C567="","",$C567)))</f>
        <v/>
      </c>
      <c r="Q567" s="35">
        <f>IF(OR(NOT(OR($A567&lt;&gt;"",$E567&lt;&gt;"",$F567&lt;&gt;"",$G567&lt;&gt;"",$H567&lt;&gt;"",$I567&lt;&gt;"")),$P567="",$P567&lt;&gt;'売掛帳'!$B$3,NOT(ISNUMBER($A567)),N($G567)+N($H567)+N($I567)=0),"",IF(AND($A567&gt;='売掛帳'!$Q$3,$A567&lt;='売掛帳'!$Q$4),$A567+0.5+ROW()/10000000,""))</f>
        <v/>
      </c>
      <c r="R567" s="32">
        <f>IF(AND(OR($A567&lt;&gt;"",$E567&lt;&gt;"",$F567&lt;&gt;"",$G567&lt;&gt;"",$H567&lt;&gt;"",$I567&lt;&gt;""),NOT(ISNUMBER($O567))),1,"")</f>
        <v/>
      </c>
    </row>
    <row r="568" ht="18" customHeight="1">
      <c r="A568" s="26" t="n"/>
      <c r="B568" s="18" t="n"/>
      <c r="C568" s="18" t="n"/>
      <c r="D568" s="20">
        <f>IF($P568="","",IFERROR(INDEX('得意先'!$C$5:$C$104,MATCH($P568,'得意先'!$B$5:$B$104,0))&amp;"","※得意先にないコード"))</f>
        <v/>
      </c>
      <c r="E568" s="27" t="n"/>
      <c r="F568" s="18" t="n"/>
      <c r="G568" s="27" t="n"/>
      <c r="H568" s="27" t="n"/>
      <c r="I568" s="27" t="n"/>
      <c r="J568" s="28">
        <f>IF(NOT(OR($A568&lt;&gt;"",$E568&lt;&gt;"",$F568&lt;&gt;"",$G568&lt;&gt;"",$H568&lt;&gt;"",$I568&lt;&gt;"")),"",N($G568)+N($H568)+N($I568))</f>
        <v/>
      </c>
      <c r="K568" s="28">
        <f>IF(ISNUMBER($O568),INDEX('請求台帳'!$R$5:$R$1004,$O568),"")</f>
        <v/>
      </c>
      <c r="L568" s="20">
        <f>IF(NOT(OR($A568&lt;&gt;"",$E568&lt;&gt;"",$F568&lt;&gt;"",$G568&lt;&gt;"",$H568&lt;&gt;"",$I568&lt;&gt;"")),"",IF(NOT(ISNUMBER($A568)),"入金日がありません",IF(AND($F568&lt;&gt;"",$O568="なし"),"請求Noが請求台帳にありません",IF(AND(ISNUMBER($O568),$C568&lt;&gt;"",$C568&lt;&gt;$P568),"請求の得意先は "&amp;$P568&amp;" です",IF(ROUND(IF($B568&lt;&gt;"",SUMIF($B$5:$B$1004,$B568,$E$5:$E$1004)-SUMIF($B$5:$B$1004,$B568,$G$5:$G$1004),N($E568)-N($G568)),0)&lt;&gt;0,"通帳の額と当てた額の差 "&amp;TEXT(IF($B568&lt;&gt;"",SUMIF($B$5:$B$1004,$B568,$E$5:$E$1004)-SUMIF($B$5:$B$1004,$B568,$G$5:$G$1004),N($E568)-N($G568)),"#,##0"),IF(AND(ISNUMBER($O568),N($K568)&lt;0),"請求額より多く消し込んでいます",IF($F568="","消込先が未定","OK")))))))</f>
        <v/>
      </c>
      <c r="M568" s="19" t="n"/>
      <c r="N568" s="56" t="n"/>
      <c r="O568" s="32">
        <f>IF($F568="","",IFERROR(MATCH($F568,'請求台帳'!$A$5:$A$1004,0),"なし"))</f>
        <v/>
      </c>
      <c r="P568" s="37">
        <f>IF(NOT(OR($A568&lt;&gt;"",$E568&lt;&gt;"",$F568&lt;&gt;"",$G568&lt;&gt;"",$H568&lt;&gt;"",$I568&lt;&gt;"")),"",IF(ISNUMBER($O568),IF(INDEX('請求台帳'!$C$5:$C$1004,$O568)="","",INDEX('請求台帳'!$C$5:$C$1004,$O568)),IF($C568="","",$C568)))</f>
        <v/>
      </c>
      <c r="Q568" s="35">
        <f>IF(OR(NOT(OR($A568&lt;&gt;"",$E568&lt;&gt;"",$F568&lt;&gt;"",$G568&lt;&gt;"",$H568&lt;&gt;"",$I568&lt;&gt;"")),$P568="",$P568&lt;&gt;'売掛帳'!$B$3,NOT(ISNUMBER($A568)),N($G568)+N($H568)+N($I568)=0),"",IF(AND($A568&gt;='売掛帳'!$Q$3,$A568&lt;='売掛帳'!$Q$4),$A568+0.5+ROW()/10000000,""))</f>
        <v/>
      </c>
      <c r="R568" s="32">
        <f>IF(AND(OR($A568&lt;&gt;"",$E568&lt;&gt;"",$F568&lt;&gt;"",$G568&lt;&gt;"",$H568&lt;&gt;"",$I568&lt;&gt;""),NOT(ISNUMBER($O568))),1,"")</f>
        <v/>
      </c>
    </row>
    <row r="569" ht="18" customHeight="1">
      <c r="A569" s="26" t="n"/>
      <c r="B569" s="18" t="n"/>
      <c r="C569" s="18" t="n"/>
      <c r="D569" s="20">
        <f>IF($P569="","",IFERROR(INDEX('得意先'!$C$5:$C$104,MATCH($P569,'得意先'!$B$5:$B$104,0))&amp;"","※得意先にないコード"))</f>
        <v/>
      </c>
      <c r="E569" s="27" t="n"/>
      <c r="F569" s="18" t="n"/>
      <c r="G569" s="27" t="n"/>
      <c r="H569" s="27" t="n"/>
      <c r="I569" s="27" t="n"/>
      <c r="J569" s="28">
        <f>IF(NOT(OR($A569&lt;&gt;"",$E569&lt;&gt;"",$F569&lt;&gt;"",$G569&lt;&gt;"",$H569&lt;&gt;"",$I569&lt;&gt;"")),"",N($G569)+N($H569)+N($I569))</f>
        <v/>
      </c>
      <c r="K569" s="28">
        <f>IF(ISNUMBER($O569),INDEX('請求台帳'!$R$5:$R$1004,$O569),"")</f>
        <v/>
      </c>
      <c r="L569" s="20">
        <f>IF(NOT(OR($A569&lt;&gt;"",$E569&lt;&gt;"",$F569&lt;&gt;"",$G569&lt;&gt;"",$H569&lt;&gt;"",$I569&lt;&gt;"")),"",IF(NOT(ISNUMBER($A569)),"入金日がありません",IF(AND($F569&lt;&gt;"",$O569="なし"),"請求Noが請求台帳にありません",IF(AND(ISNUMBER($O569),$C569&lt;&gt;"",$C569&lt;&gt;$P569),"請求の得意先は "&amp;$P569&amp;" です",IF(ROUND(IF($B569&lt;&gt;"",SUMIF($B$5:$B$1004,$B569,$E$5:$E$1004)-SUMIF($B$5:$B$1004,$B569,$G$5:$G$1004),N($E569)-N($G569)),0)&lt;&gt;0,"通帳の額と当てた額の差 "&amp;TEXT(IF($B569&lt;&gt;"",SUMIF($B$5:$B$1004,$B569,$E$5:$E$1004)-SUMIF($B$5:$B$1004,$B569,$G$5:$G$1004),N($E569)-N($G569)),"#,##0"),IF(AND(ISNUMBER($O569),N($K569)&lt;0),"請求額より多く消し込んでいます",IF($F569="","消込先が未定","OK")))))))</f>
        <v/>
      </c>
      <c r="M569" s="19" t="n"/>
      <c r="N569" s="56" t="n"/>
      <c r="O569" s="32">
        <f>IF($F569="","",IFERROR(MATCH($F569,'請求台帳'!$A$5:$A$1004,0),"なし"))</f>
        <v/>
      </c>
      <c r="P569" s="37">
        <f>IF(NOT(OR($A569&lt;&gt;"",$E569&lt;&gt;"",$F569&lt;&gt;"",$G569&lt;&gt;"",$H569&lt;&gt;"",$I569&lt;&gt;"")),"",IF(ISNUMBER($O569),IF(INDEX('請求台帳'!$C$5:$C$1004,$O569)="","",INDEX('請求台帳'!$C$5:$C$1004,$O569)),IF($C569="","",$C569)))</f>
        <v/>
      </c>
      <c r="Q569" s="35">
        <f>IF(OR(NOT(OR($A569&lt;&gt;"",$E569&lt;&gt;"",$F569&lt;&gt;"",$G569&lt;&gt;"",$H569&lt;&gt;"",$I569&lt;&gt;"")),$P569="",$P569&lt;&gt;'売掛帳'!$B$3,NOT(ISNUMBER($A569)),N($G569)+N($H569)+N($I569)=0),"",IF(AND($A569&gt;='売掛帳'!$Q$3,$A569&lt;='売掛帳'!$Q$4),$A569+0.5+ROW()/10000000,""))</f>
        <v/>
      </c>
      <c r="R569" s="32">
        <f>IF(AND(OR($A569&lt;&gt;"",$E569&lt;&gt;"",$F569&lt;&gt;"",$G569&lt;&gt;"",$H569&lt;&gt;"",$I569&lt;&gt;""),NOT(ISNUMBER($O569))),1,"")</f>
        <v/>
      </c>
    </row>
    <row r="570" ht="18" customHeight="1">
      <c r="A570" s="26" t="n"/>
      <c r="B570" s="18" t="n"/>
      <c r="C570" s="18" t="n"/>
      <c r="D570" s="20">
        <f>IF($P570="","",IFERROR(INDEX('得意先'!$C$5:$C$104,MATCH($P570,'得意先'!$B$5:$B$104,0))&amp;"","※得意先にないコード"))</f>
        <v/>
      </c>
      <c r="E570" s="27" t="n"/>
      <c r="F570" s="18" t="n"/>
      <c r="G570" s="27" t="n"/>
      <c r="H570" s="27" t="n"/>
      <c r="I570" s="27" t="n"/>
      <c r="J570" s="28">
        <f>IF(NOT(OR($A570&lt;&gt;"",$E570&lt;&gt;"",$F570&lt;&gt;"",$G570&lt;&gt;"",$H570&lt;&gt;"",$I570&lt;&gt;"")),"",N($G570)+N($H570)+N($I570))</f>
        <v/>
      </c>
      <c r="K570" s="28">
        <f>IF(ISNUMBER($O570),INDEX('請求台帳'!$R$5:$R$1004,$O570),"")</f>
        <v/>
      </c>
      <c r="L570" s="20">
        <f>IF(NOT(OR($A570&lt;&gt;"",$E570&lt;&gt;"",$F570&lt;&gt;"",$G570&lt;&gt;"",$H570&lt;&gt;"",$I570&lt;&gt;"")),"",IF(NOT(ISNUMBER($A570)),"入金日がありません",IF(AND($F570&lt;&gt;"",$O570="なし"),"請求Noが請求台帳にありません",IF(AND(ISNUMBER($O570),$C570&lt;&gt;"",$C570&lt;&gt;$P570),"請求の得意先は "&amp;$P570&amp;" です",IF(ROUND(IF($B570&lt;&gt;"",SUMIF($B$5:$B$1004,$B570,$E$5:$E$1004)-SUMIF($B$5:$B$1004,$B570,$G$5:$G$1004),N($E570)-N($G570)),0)&lt;&gt;0,"通帳の額と当てた額の差 "&amp;TEXT(IF($B570&lt;&gt;"",SUMIF($B$5:$B$1004,$B570,$E$5:$E$1004)-SUMIF($B$5:$B$1004,$B570,$G$5:$G$1004),N($E570)-N($G570)),"#,##0"),IF(AND(ISNUMBER($O570),N($K570)&lt;0),"請求額より多く消し込んでいます",IF($F570="","消込先が未定","OK")))))))</f>
        <v/>
      </c>
      <c r="M570" s="19" t="n"/>
      <c r="N570" s="56" t="n"/>
      <c r="O570" s="32">
        <f>IF($F570="","",IFERROR(MATCH($F570,'請求台帳'!$A$5:$A$1004,0),"なし"))</f>
        <v/>
      </c>
      <c r="P570" s="37">
        <f>IF(NOT(OR($A570&lt;&gt;"",$E570&lt;&gt;"",$F570&lt;&gt;"",$G570&lt;&gt;"",$H570&lt;&gt;"",$I570&lt;&gt;"")),"",IF(ISNUMBER($O570),IF(INDEX('請求台帳'!$C$5:$C$1004,$O570)="","",INDEX('請求台帳'!$C$5:$C$1004,$O570)),IF($C570="","",$C570)))</f>
        <v/>
      </c>
      <c r="Q570" s="35">
        <f>IF(OR(NOT(OR($A570&lt;&gt;"",$E570&lt;&gt;"",$F570&lt;&gt;"",$G570&lt;&gt;"",$H570&lt;&gt;"",$I570&lt;&gt;"")),$P570="",$P570&lt;&gt;'売掛帳'!$B$3,NOT(ISNUMBER($A570)),N($G570)+N($H570)+N($I570)=0),"",IF(AND($A570&gt;='売掛帳'!$Q$3,$A570&lt;='売掛帳'!$Q$4),$A570+0.5+ROW()/10000000,""))</f>
        <v/>
      </c>
      <c r="R570" s="32">
        <f>IF(AND(OR($A570&lt;&gt;"",$E570&lt;&gt;"",$F570&lt;&gt;"",$G570&lt;&gt;"",$H570&lt;&gt;"",$I570&lt;&gt;""),NOT(ISNUMBER($O570))),1,"")</f>
        <v/>
      </c>
    </row>
    <row r="571" ht="18" customHeight="1">
      <c r="A571" s="26" t="n"/>
      <c r="B571" s="18" t="n"/>
      <c r="C571" s="18" t="n"/>
      <c r="D571" s="20">
        <f>IF($P571="","",IFERROR(INDEX('得意先'!$C$5:$C$104,MATCH($P571,'得意先'!$B$5:$B$104,0))&amp;"","※得意先にないコード"))</f>
        <v/>
      </c>
      <c r="E571" s="27" t="n"/>
      <c r="F571" s="18" t="n"/>
      <c r="G571" s="27" t="n"/>
      <c r="H571" s="27" t="n"/>
      <c r="I571" s="27" t="n"/>
      <c r="J571" s="28">
        <f>IF(NOT(OR($A571&lt;&gt;"",$E571&lt;&gt;"",$F571&lt;&gt;"",$G571&lt;&gt;"",$H571&lt;&gt;"",$I571&lt;&gt;"")),"",N($G571)+N($H571)+N($I571))</f>
        <v/>
      </c>
      <c r="K571" s="28">
        <f>IF(ISNUMBER($O571),INDEX('請求台帳'!$R$5:$R$1004,$O571),"")</f>
        <v/>
      </c>
      <c r="L571" s="20">
        <f>IF(NOT(OR($A571&lt;&gt;"",$E571&lt;&gt;"",$F571&lt;&gt;"",$G571&lt;&gt;"",$H571&lt;&gt;"",$I571&lt;&gt;"")),"",IF(NOT(ISNUMBER($A571)),"入金日がありません",IF(AND($F571&lt;&gt;"",$O571="なし"),"請求Noが請求台帳にありません",IF(AND(ISNUMBER($O571),$C571&lt;&gt;"",$C571&lt;&gt;$P571),"請求の得意先は "&amp;$P571&amp;" です",IF(ROUND(IF($B571&lt;&gt;"",SUMIF($B$5:$B$1004,$B571,$E$5:$E$1004)-SUMIF($B$5:$B$1004,$B571,$G$5:$G$1004),N($E571)-N($G571)),0)&lt;&gt;0,"通帳の額と当てた額の差 "&amp;TEXT(IF($B571&lt;&gt;"",SUMIF($B$5:$B$1004,$B571,$E$5:$E$1004)-SUMIF($B$5:$B$1004,$B571,$G$5:$G$1004),N($E571)-N($G571)),"#,##0"),IF(AND(ISNUMBER($O571),N($K571)&lt;0),"請求額より多く消し込んでいます",IF($F571="","消込先が未定","OK")))))))</f>
        <v/>
      </c>
      <c r="M571" s="19" t="n"/>
      <c r="N571" s="56" t="n"/>
      <c r="O571" s="32">
        <f>IF($F571="","",IFERROR(MATCH($F571,'請求台帳'!$A$5:$A$1004,0),"なし"))</f>
        <v/>
      </c>
      <c r="P571" s="37">
        <f>IF(NOT(OR($A571&lt;&gt;"",$E571&lt;&gt;"",$F571&lt;&gt;"",$G571&lt;&gt;"",$H571&lt;&gt;"",$I571&lt;&gt;"")),"",IF(ISNUMBER($O571),IF(INDEX('請求台帳'!$C$5:$C$1004,$O571)="","",INDEX('請求台帳'!$C$5:$C$1004,$O571)),IF($C571="","",$C571)))</f>
        <v/>
      </c>
      <c r="Q571" s="35">
        <f>IF(OR(NOT(OR($A571&lt;&gt;"",$E571&lt;&gt;"",$F571&lt;&gt;"",$G571&lt;&gt;"",$H571&lt;&gt;"",$I571&lt;&gt;"")),$P571="",$P571&lt;&gt;'売掛帳'!$B$3,NOT(ISNUMBER($A571)),N($G571)+N($H571)+N($I571)=0),"",IF(AND($A571&gt;='売掛帳'!$Q$3,$A571&lt;='売掛帳'!$Q$4),$A571+0.5+ROW()/10000000,""))</f>
        <v/>
      </c>
      <c r="R571" s="32">
        <f>IF(AND(OR($A571&lt;&gt;"",$E571&lt;&gt;"",$F571&lt;&gt;"",$G571&lt;&gt;"",$H571&lt;&gt;"",$I571&lt;&gt;""),NOT(ISNUMBER($O571))),1,"")</f>
        <v/>
      </c>
    </row>
    <row r="572" ht="18" customHeight="1">
      <c r="A572" s="26" t="n"/>
      <c r="B572" s="18" t="n"/>
      <c r="C572" s="18" t="n"/>
      <c r="D572" s="20">
        <f>IF($P572="","",IFERROR(INDEX('得意先'!$C$5:$C$104,MATCH($P572,'得意先'!$B$5:$B$104,0))&amp;"","※得意先にないコード"))</f>
        <v/>
      </c>
      <c r="E572" s="27" t="n"/>
      <c r="F572" s="18" t="n"/>
      <c r="G572" s="27" t="n"/>
      <c r="H572" s="27" t="n"/>
      <c r="I572" s="27" t="n"/>
      <c r="J572" s="28">
        <f>IF(NOT(OR($A572&lt;&gt;"",$E572&lt;&gt;"",$F572&lt;&gt;"",$G572&lt;&gt;"",$H572&lt;&gt;"",$I572&lt;&gt;"")),"",N($G572)+N($H572)+N($I572))</f>
        <v/>
      </c>
      <c r="K572" s="28">
        <f>IF(ISNUMBER($O572),INDEX('請求台帳'!$R$5:$R$1004,$O572),"")</f>
        <v/>
      </c>
      <c r="L572" s="20">
        <f>IF(NOT(OR($A572&lt;&gt;"",$E572&lt;&gt;"",$F572&lt;&gt;"",$G572&lt;&gt;"",$H572&lt;&gt;"",$I572&lt;&gt;"")),"",IF(NOT(ISNUMBER($A572)),"入金日がありません",IF(AND($F572&lt;&gt;"",$O572="なし"),"請求Noが請求台帳にありません",IF(AND(ISNUMBER($O572),$C572&lt;&gt;"",$C572&lt;&gt;$P572),"請求の得意先は "&amp;$P572&amp;" です",IF(ROUND(IF($B572&lt;&gt;"",SUMIF($B$5:$B$1004,$B572,$E$5:$E$1004)-SUMIF($B$5:$B$1004,$B572,$G$5:$G$1004),N($E572)-N($G572)),0)&lt;&gt;0,"通帳の額と当てた額の差 "&amp;TEXT(IF($B572&lt;&gt;"",SUMIF($B$5:$B$1004,$B572,$E$5:$E$1004)-SUMIF($B$5:$B$1004,$B572,$G$5:$G$1004),N($E572)-N($G572)),"#,##0"),IF(AND(ISNUMBER($O572),N($K572)&lt;0),"請求額より多く消し込んでいます",IF($F572="","消込先が未定","OK")))))))</f>
        <v/>
      </c>
      <c r="M572" s="19" t="n"/>
      <c r="N572" s="56" t="n"/>
      <c r="O572" s="32">
        <f>IF($F572="","",IFERROR(MATCH($F572,'請求台帳'!$A$5:$A$1004,0),"なし"))</f>
        <v/>
      </c>
      <c r="P572" s="37">
        <f>IF(NOT(OR($A572&lt;&gt;"",$E572&lt;&gt;"",$F572&lt;&gt;"",$G572&lt;&gt;"",$H572&lt;&gt;"",$I572&lt;&gt;"")),"",IF(ISNUMBER($O572),IF(INDEX('請求台帳'!$C$5:$C$1004,$O572)="","",INDEX('請求台帳'!$C$5:$C$1004,$O572)),IF($C572="","",$C572)))</f>
        <v/>
      </c>
      <c r="Q572" s="35">
        <f>IF(OR(NOT(OR($A572&lt;&gt;"",$E572&lt;&gt;"",$F572&lt;&gt;"",$G572&lt;&gt;"",$H572&lt;&gt;"",$I572&lt;&gt;"")),$P572="",$P572&lt;&gt;'売掛帳'!$B$3,NOT(ISNUMBER($A572)),N($G572)+N($H572)+N($I572)=0),"",IF(AND($A572&gt;='売掛帳'!$Q$3,$A572&lt;='売掛帳'!$Q$4),$A572+0.5+ROW()/10000000,""))</f>
        <v/>
      </c>
      <c r="R572" s="32">
        <f>IF(AND(OR($A572&lt;&gt;"",$E572&lt;&gt;"",$F572&lt;&gt;"",$G572&lt;&gt;"",$H572&lt;&gt;"",$I572&lt;&gt;""),NOT(ISNUMBER($O572))),1,"")</f>
        <v/>
      </c>
    </row>
    <row r="573" ht="18" customHeight="1">
      <c r="A573" s="26" t="n"/>
      <c r="B573" s="18" t="n"/>
      <c r="C573" s="18" t="n"/>
      <c r="D573" s="20">
        <f>IF($P573="","",IFERROR(INDEX('得意先'!$C$5:$C$104,MATCH($P573,'得意先'!$B$5:$B$104,0))&amp;"","※得意先にないコード"))</f>
        <v/>
      </c>
      <c r="E573" s="27" t="n"/>
      <c r="F573" s="18" t="n"/>
      <c r="G573" s="27" t="n"/>
      <c r="H573" s="27" t="n"/>
      <c r="I573" s="27" t="n"/>
      <c r="J573" s="28">
        <f>IF(NOT(OR($A573&lt;&gt;"",$E573&lt;&gt;"",$F573&lt;&gt;"",$G573&lt;&gt;"",$H573&lt;&gt;"",$I573&lt;&gt;"")),"",N($G573)+N($H573)+N($I573))</f>
        <v/>
      </c>
      <c r="K573" s="28">
        <f>IF(ISNUMBER($O573),INDEX('請求台帳'!$R$5:$R$1004,$O573),"")</f>
        <v/>
      </c>
      <c r="L573" s="20">
        <f>IF(NOT(OR($A573&lt;&gt;"",$E573&lt;&gt;"",$F573&lt;&gt;"",$G573&lt;&gt;"",$H573&lt;&gt;"",$I573&lt;&gt;"")),"",IF(NOT(ISNUMBER($A573)),"入金日がありません",IF(AND($F573&lt;&gt;"",$O573="なし"),"請求Noが請求台帳にありません",IF(AND(ISNUMBER($O573),$C573&lt;&gt;"",$C573&lt;&gt;$P573),"請求の得意先は "&amp;$P573&amp;" です",IF(ROUND(IF($B573&lt;&gt;"",SUMIF($B$5:$B$1004,$B573,$E$5:$E$1004)-SUMIF($B$5:$B$1004,$B573,$G$5:$G$1004),N($E573)-N($G573)),0)&lt;&gt;0,"通帳の額と当てた額の差 "&amp;TEXT(IF($B573&lt;&gt;"",SUMIF($B$5:$B$1004,$B573,$E$5:$E$1004)-SUMIF($B$5:$B$1004,$B573,$G$5:$G$1004),N($E573)-N($G573)),"#,##0"),IF(AND(ISNUMBER($O573),N($K573)&lt;0),"請求額より多く消し込んでいます",IF($F573="","消込先が未定","OK")))))))</f>
        <v/>
      </c>
      <c r="M573" s="19" t="n"/>
      <c r="N573" s="56" t="n"/>
      <c r="O573" s="32">
        <f>IF($F573="","",IFERROR(MATCH($F573,'請求台帳'!$A$5:$A$1004,0),"なし"))</f>
        <v/>
      </c>
      <c r="P573" s="37">
        <f>IF(NOT(OR($A573&lt;&gt;"",$E573&lt;&gt;"",$F573&lt;&gt;"",$G573&lt;&gt;"",$H573&lt;&gt;"",$I573&lt;&gt;"")),"",IF(ISNUMBER($O573),IF(INDEX('請求台帳'!$C$5:$C$1004,$O573)="","",INDEX('請求台帳'!$C$5:$C$1004,$O573)),IF($C573="","",$C573)))</f>
        <v/>
      </c>
      <c r="Q573" s="35">
        <f>IF(OR(NOT(OR($A573&lt;&gt;"",$E573&lt;&gt;"",$F573&lt;&gt;"",$G573&lt;&gt;"",$H573&lt;&gt;"",$I573&lt;&gt;"")),$P573="",$P573&lt;&gt;'売掛帳'!$B$3,NOT(ISNUMBER($A573)),N($G573)+N($H573)+N($I573)=0),"",IF(AND($A573&gt;='売掛帳'!$Q$3,$A573&lt;='売掛帳'!$Q$4),$A573+0.5+ROW()/10000000,""))</f>
        <v/>
      </c>
      <c r="R573" s="32">
        <f>IF(AND(OR($A573&lt;&gt;"",$E573&lt;&gt;"",$F573&lt;&gt;"",$G573&lt;&gt;"",$H573&lt;&gt;"",$I573&lt;&gt;""),NOT(ISNUMBER($O573))),1,"")</f>
        <v/>
      </c>
    </row>
    <row r="574" ht="18" customHeight="1">
      <c r="A574" s="26" t="n"/>
      <c r="B574" s="18" t="n"/>
      <c r="C574" s="18" t="n"/>
      <c r="D574" s="20">
        <f>IF($P574="","",IFERROR(INDEX('得意先'!$C$5:$C$104,MATCH($P574,'得意先'!$B$5:$B$104,0))&amp;"","※得意先にないコード"))</f>
        <v/>
      </c>
      <c r="E574" s="27" t="n"/>
      <c r="F574" s="18" t="n"/>
      <c r="G574" s="27" t="n"/>
      <c r="H574" s="27" t="n"/>
      <c r="I574" s="27" t="n"/>
      <c r="J574" s="28">
        <f>IF(NOT(OR($A574&lt;&gt;"",$E574&lt;&gt;"",$F574&lt;&gt;"",$G574&lt;&gt;"",$H574&lt;&gt;"",$I574&lt;&gt;"")),"",N($G574)+N($H574)+N($I574))</f>
        <v/>
      </c>
      <c r="K574" s="28">
        <f>IF(ISNUMBER($O574),INDEX('請求台帳'!$R$5:$R$1004,$O574),"")</f>
        <v/>
      </c>
      <c r="L574" s="20">
        <f>IF(NOT(OR($A574&lt;&gt;"",$E574&lt;&gt;"",$F574&lt;&gt;"",$G574&lt;&gt;"",$H574&lt;&gt;"",$I574&lt;&gt;"")),"",IF(NOT(ISNUMBER($A574)),"入金日がありません",IF(AND($F574&lt;&gt;"",$O574="なし"),"請求Noが請求台帳にありません",IF(AND(ISNUMBER($O574),$C574&lt;&gt;"",$C574&lt;&gt;$P574),"請求の得意先は "&amp;$P574&amp;" です",IF(ROUND(IF($B574&lt;&gt;"",SUMIF($B$5:$B$1004,$B574,$E$5:$E$1004)-SUMIF($B$5:$B$1004,$B574,$G$5:$G$1004),N($E574)-N($G574)),0)&lt;&gt;0,"通帳の額と当てた額の差 "&amp;TEXT(IF($B574&lt;&gt;"",SUMIF($B$5:$B$1004,$B574,$E$5:$E$1004)-SUMIF($B$5:$B$1004,$B574,$G$5:$G$1004),N($E574)-N($G574)),"#,##0"),IF(AND(ISNUMBER($O574),N($K574)&lt;0),"請求額より多く消し込んでいます",IF($F574="","消込先が未定","OK")))))))</f>
        <v/>
      </c>
      <c r="M574" s="19" t="n"/>
      <c r="N574" s="56" t="n"/>
      <c r="O574" s="32">
        <f>IF($F574="","",IFERROR(MATCH($F574,'請求台帳'!$A$5:$A$1004,0),"なし"))</f>
        <v/>
      </c>
      <c r="P574" s="37">
        <f>IF(NOT(OR($A574&lt;&gt;"",$E574&lt;&gt;"",$F574&lt;&gt;"",$G574&lt;&gt;"",$H574&lt;&gt;"",$I574&lt;&gt;"")),"",IF(ISNUMBER($O574),IF(INDEX('請求台帳'!$C$5:$C$1004,$O574)="","",INDEX('請求台帳'!$C$5:$C$1004,$O574)),IF($C574="","",$C574)))</f>
        <v/>
      </c>
      <c r="Q574" s="35">
        <f>IF(OR(NOT(OR($A574&lt;&gt;"",$E574&lt;&gt;"",$F574&lt;&gt;"",$G574&lt;&gt;"",$H574&lt;&gt;"",$I574&lt;&gt;"")),$P574="",$P574&lt;&gt;'売掛帳'!$B$3,NOT(ISNUMBER($A574)),N($G574)+N($H574)+N($I574)=0),"",IF(AND($A574&gt;='売掛帳'!$Q$3,$A574&lt;='売掛帳'!$Q$4),$A574+0.5+ROW()/10000000,""))</f>
        <v/>
      </c>
      <c r="R574" s="32">
        <f>IF(AND(OR($A574&lt;&gt;"",$E574&lt;&gt;"",$F574&lt;&gt;"",$G574&lt;&gt;"",$H574&lt;&gt;"",$I574&lt;&gt;""),NOT(ISNUMBER($O574))),1,"")</f>
        <v/>
      </c>
    </row>
    <row r="575" ht="18" customHeight="1">
      <c r="A575" s="26" t="n"/>
      <c r="B575" s="18" t="n"/>
      <c r="C575" s="18" t="n"/>
      <c r="D575" s="20">
        <f>IF($P575="","",IFERROR(INDEX('得意先'!$C$5:$C$104,MATCH($P575,'得意先'!$B$5:$B$104,0))&amp;"","※得意先にないコード"))</f>
        <v/>
      </c>
      <c r="E575" s="27" t="n"/>
      <c r="F575" s="18" t="n"/>
      <c r="G575" s="27" t="n"/>
      <c r="H575" s="27" t="n"/>
      <c r="I575" s="27" t="n"/>
      <c r="J575" s="28">
        <f>IF(NOT(OR($A575&lt;&gt;"",$E575&lt;&gt;"",$F575&lt;&gt;"",$G575&lt;&gt;"",$H575&lt;&gt;"",$I575&lt;&gt;"")),"",N($G575)+N($H575)+N($I575))</f>
        <v/>
      </c>
      <c r="K575" s="28">
        <f>IF(ISNUMBER($O575),INDEX('請求台帳'!$R$5:$R$1004,$O575),"")</f>
        <v/>
      </c>
      <c r="L575" s="20">
        <f>IF(NOT(OR($A575&lt;&gt;"",$E575&lt;&gt;"",$F575&lt;&gt;"",$G575&lt;&gt;"",$H575&lt;&gt;"",$I575&lt;&gt;"")),"",IF(NOT(ISNUMBER($A575)),"入金日がありません",IF(AND($F575&lt;&gt;"",$O575="なし"),"請求Noが請求台帳にありません",IF(AND(ISNUMBER($O575),$C575&lt;&gt;"",$C575&lt;&gt;$P575),"請求の得意先は "&amp;$P575&amp;" です",IF(ROUND(IF($B575&lt;&gt;"",SUMIF($B$5:$B$1004,$B575,$E$5:$E$1004)-SUMIF($B$5:$B$1004,$B575,$G$5:$G$1004),N($E575)-N($G575)),0)&lt;&gt;0,"通帳の額と当てた額の差 "&amp;TEXT(IF($B575&lt;&gt;"",SUMIF($B$5:$B$1004,$B575,$E$5:$E$1004)-SUMIF($B$5:$B$1004,$B575,$G$5:$G$1004),N($E575)-N($G575)),"#,##0"),IF(AND(ISNUMBER($O575),N($K575)&lt;0),"請求額より多く消し込んでいます",IF($F575="","消込先が未定","OK")))))))</f>
        <v/>
      </c>
      <c r="M575" s="19" t="n"/>
      <c r="N575" s="56" t="n"/>
      <c r="O575" s="32">
        <f>IF($F575="","",IFERROR(MATCH($F575,'請求台帳'!$A$5:$A$1004,0),"なし"))</f>
        <v/>
      </c>
      <c r="P575" s="37">
        <f>IF(NOT(OR($A575&lt;&gt;"",$E575&lt;&gt;"",$F575&lt;&gt;"",$G575&lt;&gt;"",$H575&lt;&gt;"",$I575&lt;&gt;"")),"",IF(ISNUMBER($O575),IF(INDEX('請求台帳'!$C$5:$C$1004,$O575)="","",INDEX('請求台帳'!$C$5:$C$1004,$O575)),IF($C575="","",$C575)))</f>
        <v/>
      </c>
      <c r="Q575" s="35">
        <f>IF(OR(NOT(OR($A575&lt;&gt;"",$E575&lt;&gt;"",$F575&lt;&gt;"",$G575&lt;&gt;"",$H575&lt;&gt;"",$I575&lt;&gt;"")),$P575="",$P575&lt;&gt;'売掛帳'!$B$3,NOT(ISNUMBER($A575)),N($G575)+N($H575)+N($I575)=0),"",IF(AND($A575&gt;='売掛帳'!$Q$3,$A575&lt;='売掛帳'!$Q$4),$A575+0.5+ROW()/10000000,""))</f>
        <v/>
      </c>
      <c r="R575" s="32">
        <f>IF(AND(OR($A575&lt;&gt;"",$E575&lt;&gt;"",$F575&lt;&gt;"",$G575&lt;&gt;"",$H575&lt;&gt;"",$I575&lt;&gt;""),NOT(ISNUMBER($O575))),1,"")</f>
        <v/>
      </c>
    </row>
    <row r="576" ht="18" customHeight="1">
      <c r="A576" s="26" t="n"/>
      <c r="B576" s="18" t="n"/>
      <c r="C576" s="18" t="n"/>
      <c r="D576" s="20">
        <f>IF($P576="","",IFERROR(INDEX('得意先'!$C$5:$C$104,MATCH($P576,'得意先'!$B$5:$B$104,0))&amp;"","※得意先にないコード"))</f>
        <v/>
      </c>
      <c r="E576" s="27" t="n"/>
      <c r="F576" s="18" t="n"/>
      <c r="G576" s="27" t="n"/>
      <c r="H576" s="27" t="n"/>
      <c r="I576" s="27" t="n"/>
      <c r="J576" s="28">
        <f>IF(NOT(OR($A576&lt;&gt;"",$E576&lt;&gt;"",$F576&lt;&gt;"",$G576&lt;&gt;"",$H576&lt;&gt;"",$I576&lt;&gt;"")),"",N($G576)+N($H576)+N($I576))</f>
        <v/>
      </c>
      <c r="K576" s="28">
        <f>IF(ISNUMBER($O576),INDEX('請求台帳'!$R$5:$R$1004,$O576),"")</f>
        <v/>
      </c>
      <c r="L576" s="20">
        <f>IF(NOT(OR($A576&lt;&gt;"",$E576&lt;&gt;"",$F576&lt;&gt;"",$G576&lt;&gt;"",$H576&lt;&gt;"",$I576&lt;&gt;"")),"",IF(NOT(ISNUMBER($A576)),"入金日がありません",IF(AND($F576&lt;&gt;"",$O576="なし"),"請求Noが請求台帳にありません",IF(AND(ISNUMBER($O576),$C576&lt;&gt;"",$C576&lt;&gt;$P576),"請求の得意先は "&amp;$P576&amp;" です",IF(ROUND(IF($B576&lt;&gt;"",SUMIF($B$5:$B$1004,$B576,$E$5:$E$1004)-SUMIF($B$5:$B$1004,$B576,$G$5:$G$1004),N($E576)-N($G576)),0)&lt;&gt;0,"通帳の額と当てた額の差 "&amp;TEXT(IF($B576&lt;&gt;"",SUMIF($B$5:$B$1004,$B576,$E$5:$E$1004)-SUMIF($B$5:$B$1004,$B576,$G$5:$G$1004),N($E576)-N($G576)),"#,##0"),IF(AND(ISNUMBER($O576),N($K576)&lt;0),"請求額より多く消し込んでいます",IF($F576="","消込先が未定","OK")))))))</f>
        <v/>
      </c>
      <c r="M576" s="19" t="n"/>
      <c r="N576" s="56" t="n"/>
      <c r="O576" s="32">
        <f>IF($F576="","",IFERROR(MATCH($F576,'請求台帳'!$A$5:$A$1004,0),"なし"))</f>
        <v/>
      </c>
      <c r="P576" s="37">
        <f>IF(NOT(OR($A576&lt;&gt;"",$E576&lt;&gt;"",$F576&lt;&gt;"",$G576&lt;&gt;"",$H576&lt;&gt;"",$I576&lt;&gt;"")),"",IF(ISNUMBER($O576),IF(INDEX('請求台帳'!$C$5:$C$1004,$O576)="","",INDEX('請求台帳'!$C$5:$C$1004,$O576)),IF($C576="","",$C576)))</f>
        <v/>
      </c>
      <c r="Q576" s="35">
        <f>IF(OR(NOT(OR($A576&lt;&gt;"",$E576&lt;&gt;"",$F576&lt;&gt;"",$G576&lt;&gt;"",$H576&lt;&gt;"",$I576&lt;&gt;"")),$P576="",$P576&lt;&gt;'売掛帳'!$B$3,NOT(ISNUMBER($A576)),N($G576)+N($H576)+N($I576)=0),"",IF(AND($A576&gt;='売掛帳'!$Q$3,$A576&lt;='売掛帳'!$Q$4),$A576+0.5+ROW()/10000000,""))</f>
        <v/>
      </c>
      <c r="R576" s="32">
        <f>IF(AND(OR($A576&lt;&gt;"",$E576&lt;&gt;"",$F576&lt;&gt;"",$G576&lt;&gt;"",$H576&lt;&gt;"",$I576&lt;&gt;""),NOT(ISNUMBER($O576))),1,"")</f>
        <v/>
      </c>
    </row>
    <row r="577" ht="18" customHeight="1">
      <c r="A577" s="26" t="n"/>
      <c r="B577" s="18" t="n"/>
      <c r="C577" s="18" t="n"/>
      <c r="D577" s="20">
        <f>IF($P577="","",IFERROR(INDEX('得意先'!$C$5:$C$104,MATCH($P577,'得意先'!$B$5:$B$104,0))&amp;"","※得意先にないコード"))</f>
        <v/>
      </c>
      <c r="E577" s="27" t="n"/>
      <c r="F577" s="18" t="n"/>
      <c r="G577" s="27" t="n"/>
      <c r="H577" s="27" t="n"/>
      <c r="I577" s="27" t="n"/>
      <c r="J577" s="28">
        <f>IF(NOT(OR($A577&lt;&gt;"",$E577&lt;&gt;"",$F577&lt;&gt;"",$G577&lt;&gt;"",$H577&lt;&gt;"",$I577&lt;&gt;"")),"",N($G577)+N($H577)+N($I577))</f>
        <v/>
      </c>
      <c r="K577" s="28">
        <f>IF(ISNUMBER($O577),INDEX('請求台帳'!$R$5:$R$1004,$O577),"")</f>
        <v/>
      </c>
      <c r="L577" s="20">
        <f>IF(NOT(OR($A577&lt;&gt;"",$E577&lt;&gt;"",$F577&lt;&gt;"",$G577&lt;&gt;"",$H577&lt;&gt;"",$I577&lt;&gt;"")),"",IF(NOT(ISNUMBER($A577)),"入金日がありません",IF(AND($F577&lt;&gt;"",$O577="なし"),"請求Noが請求台帳にありません",IF(AND(ISNUMBER($O577),$C577&lt;&gt;"",$C577&lt;&gt;$P577),"請求の得意先は "&amp;$P577&amp;" です",IF(ROUND(IF($B577&lt;&gt;"",SUMIF($B$5:$B$1004,$B577,$E$5:$E$1004)-SUMIF($B$5:$B$1004,$B577,$G$5:$G$1004),N($E577)-N($G577)),0)&lt;&gt;0,"通帳の額と当てた額の差 "&amp;TEXT(IF($B577&lt;&gt;"",SUMIF($B$5:$B$1004,$B577,$E$5:$E$1004)-SUMIF($B$5:$B$1004,$B577,$G$5:$G$1004),N($E577)-N($G577)),"#,##0"),IF(AND(ISNUMBER($O577),N($K577)&lt;0),"請求額より多く消し込んでいます",IF($F577="","消込先が未定","OK")))))))</f>
        <v/>
      </c>
      <c r="M577" s="19" t="n"/>
      <c r="N577" s="56" t="n"/>
      <c r="O577" s="32">
        <f>IF($F577="","",IFERROR(MATCH($F577,'請求台帳'!$A$5:$A$1004,0),"なし"))</f>
        <v/>
      </c>
      <c r="P577" s="37">
        <f>IF(NOT(OR($A577&lt;&gt;"",$E577&lt;&gt;"",$F577&lt;&gt;"",$G577&lt;&gt;"",$H577&lt;&gt;"",$I577&lt;&gt;"")),"",IF(ISNUMBER($O577),IF(INDEX('請求台帳'!$C$5:$C$1004,$O577)="","",INDEX('請求台帳'!$C$5:$C$1004,$O577)),IF($C577="","",$C577)))</f>
        <v/>
      </c>
      <c r="Q577" s="35">
        <f>IF(OR(NOT(OR($A577&lt;&gt;"",$E577&lt;&gt;"",$F577&lt;&gt;"",$G577&lt;&gt;"",$H577&lt;&gt;"",$I577&lt;&gt;"")),$P577="",$P577&lt;&gt;'売掛帳'!$B$3,NOT(ISNUMBER($A577)),N($G577)+N($H577)+N($I577)=0),"",IF(AND($A577&gt;='売掛帳'!$Q$3,$A577&lt;='売掛帳'!$Q$4),$A577+0.5+ROW()/10000000,""))</f>
        <v/>
      </c>
      <c r="R577" s="32">
        <f>IF(AND(OR($A577&lt;&gt;"",$E577&lt;&gt;"",$F577&lt;&gt;"",$G577&lt;&gt;"",$H577&lt;&gt;"",$I577&lt;&gt;""),NOT(ISNUMBER($O577))),1,"")</f>
        <v/>
      </c>
    </row>
    <row r="578" ht="18" customHeight="1">
      <c r="A578" s="26" t="n"/>
      <c r="B578" s="18" t="n"/>
      <c r="C578" s="18" t="n"/>
      <c r="D578" s="20">
        <f>IF($P578="","",IFERROR(INDEX('得意先'!$C$5:$C$104,MATCH($P578,'得意先'!$B$5:$B$104,0))&amp;"","※得意先にないコード"))</f>
        <v/>
      </c>
      <c r="E578" s="27" t="n"/>
      <c r="F578" s="18" t="n"/>
      <c r="G578" s="27" t="n"/>
      <c r="H578" s="27" t="n"/>
      <c r="I578" s="27" t="n"/>
      <c r="J578" s="28">
        <f>IF(NOT(OR($A578&lt;&gt;"",$E578&lt;&gt;"",$F578&lt;&gt;"",$G578&lt;&gt;"",$H578&lt;&gt;"",$I578&lt;&gt;"")),"",N($G578)+N($H578)+N($I578))</f>
        <v/>
      </c>
      <c r="K578" s="28">
        <f>IF(ISNUMBER($O578),INDEX('請求台帳'!$R$5:$R$1004,$O578),"")</f>
        <v/>
      </c>
      <c r="L578" s="20">
        <f>IF(NOT(OR($A578&lt;&gt;"",$E578&lt;&gt;"",$F578&lt;&gt;"",$G578&lt;&gt;"",$H578&lt;&gt;"",$I578&lt;&gt;"")),"",IF(NOT(ISNUMBER($A578)),"入金日がありません",IF(AND($F578&lt;&gt;"",$O578="なし"),"請求Noが請求台帳にありません",IF(AND(ISNUMBER($O578),$C578&lt;&gt;"",$C578&lt;&gt;$P578),"請求の得意先は "&amp;$P578&amp;" です",IF(ROUND(IF($B578&lt;&gt;"",SUMIF($B$5:$B$1004,$B578,$E$5:$E$1004)-SUMIF($B$5:$B$1004,$B578,$G$5:$G$1004),N($E578)-N($G578)),0)&lt;&gt;0,"通帳の額と当てた額の差 "&amp;TEXT(IF($B578&lt;&gt;"",SUMIF($B$5:$B$1004,$B578,$E$5:$E$1004)-SUMIF($B$5:$B$1004,$B578,$G$5:$G$1004),N($E578)-N($G578)),"#,##0"),IF(AND(ISNUMBER($O578),N($K578)&lt;0),"請求額より多く消し込んでいます",IF($F578="","消込先が未定","OK")))))))</f>
        <v/>
      </c>
      <c r="M578" s="19" t="n"/>
      <c r="N578" s="56" t="n"/>
      <c r="O578" s="32">
        <f>IF($F578="","",IFERROR(MATCH($F578,'請求台帳'!$A$5:$A$1004,0),"なし"))</f>
        <v/>
      </c>
      <c r="P578" s="37">
        <f>IF(NOT(OR($A578&lt;&gt;"",$E578&lt;&gt;"",$F578&lt;&gt;"",$G578&lt;&gt;"",$H578&lt;&gt;"",$I578&lt;&gt;"")),"",IF(ISNUMBER($O578),IF(INDEX('請求台帳'!$C$5:$C$1004,$O578)="","",INDEX('請求台帳'!$C$5:$C$1004,$O578)),IF($C578="","",$C578)))</f>
        <v/>
      </c>
      <c r="Q578" s="35">
        <f>IF(OR(NOT(OR($A578&lt;&gt;"",$E578&lt;&gt;"",$F578&lt;&gt;"",$G578&lt;&gt;"",$H578&lt;&gt;"",$I578&lt;&gt;"")),$P578="",$P578&lt;&gt;'売掛帳'!$B$3,NOT(ISNUMBER($A578)),N($G578)+N($H578)+N($I578)=0),"",IF(AND($A578&gt;='売掛帳'!$Q$3,$A578&lt;='売掛帳'!$Q$4),$A578+0.5+ROW()/10000000,""))</f>
        <v/>
      </c>
      <c r="R578" s="32">
        <f>IF(AND(OR($A578&lt;&gt;"",$E578&lt;&gt;"",$F578&lt;&gt;"",$G578&lt;&gt;"",$H578&lt;&gt;"",$I578&lt;&gt;""),NOT(ISNUMBER($O578))),1,"")</f>
        <v/>
      </c>
    </row>
    <row r="579" ht="18" customHeight="1">
      <c r="A579" s="26" t="n"/>
      <c r="B579" s="18" t="n"/>
      <c r="C579" s="18" t="n"/>
      <c r="D579" s="20">
        <f>IF($P579="","",IFERROR(INDEX('得意先'!$C$5:$C$104,MATCH($P579,'得意先'!$B$5:$B$104,0))&amp;"","※得意先にないコード"))</f>
        <v/>
      </c>
      <c r="E579" s="27" t="n"/>
      <c r="F579" s="18" t="n"/>
      <c r="G579" s="27" t="n"/>
      <c r="H579" s="27" t="n"/>
      <c r="I579" s="27" t="n"/>
      <c r="J579" s="28">
        <f>IF(NOT(OR($A579&lt;&gt;"",$E579&lt;&gt;"",$F579&lt;&gt;"",$G579&lt;&gt;"",$H579&lt;&gt;"",$I579&lt;&gt;"")),"",N($G579)+N($H579)+N($I579))</f>
        <v/>
      </c>
      <c r="K579" s="28">
        <f>IF(ISNUMBER($O579),INDEX('請求台帳'!$R$5:$R$1004,$O579),"")</f>
        <v/>
      </c>
      <c r="L579" s="20">
        <f>IF(NOT(OR($A579&lt;&gt;"",$E579&lt;&gt;"",$F579&lt;&gt;"",$G579&lt;&gt;"",$H579&lt;&gt;"",$I579&lt;&gt;"")),"",IF(NOT(ISNUMBER($A579)),"入金日がありません",IF(AND($F579&lt;&gt;"",$O579="なし"),"請求Noが請求台帳にありません",IF(AND(ISNUMBER($O579),$C579&lt;&gt;"",$C579&lt;&gt;$P579),"請求の得意先は "&amp;$P579&amp;" です",IF(ROUND(IF($B579&lt;&gt;"",SUMIF($B$5:$B$1004,$B579,$E$5:$E$1004)-SUMIF($B$5:$B$1004,$B579,$G$5:$G$1004),N($E579)-N($G579)),0)&lt;&gt;0,"通帳の額と当てた額の差 "&amp;TEXT(IF($B579&lt;&gt;"",SUMIF($B$5:$B$1004,$B579,$E$5:$E$1004)-SUMIF($B$5:$B$1004,$B579,$G$5:$G$1004),N($E579)-N($G579)),"#,##0"),IF(AND(ISNUMBER($O579),N($K579)&lt;0),"請求額より多く消し込んでいます",IF($F579="","消込先が未定","OK")))))))</f>
        <v/>
      </c>
      <c r="M579" s="19" t="n"/>
      <c r="N579" s="56" t="n"/>
      <c r="O579" s="32">
        <f>IF($F579="","",IFERROR(MATCH($F579,'請求台帳'!$A$5:$A$1004,0),"なし"))</f>
        <v/>
      </c>
      <c r="P579" s="37">
        <f>IF(NOT(OR($A579&lt;&gt;"",$E579&lt;&gt;"",$F579&lt;&gt;"",$G579&lt;&gt;"",$H579&lt;&gt;"",$I579&lt;&gt;"")),"",IF(ISNUMBER($O579),IF(INDEX('請求台帳'!$C$5:$C$1004,$O579)="","",INDEX('請求台帳'!$C$5:$C$1004,$O579)),IF($C579="","",$C579)))</f>
        <v/>
      </c>
      <c r="Q579" s="35">
        <f>IF(OR(NOT(OR($A579&lt;&gt;"",$E579&lt;&gt;"",$F579&lt;&gt;"",$G579&lt;&gt;"",$H579&lt;&gt;"",$I579&lt;&gt;"")),$P579="",$P579&lt;&gt;'売掛帳'!$B$3,NOT(ISNUMBER($A579)),N($G579)+N($H579)+N($I579)=0),"",IF(AND($A579&gt;='売掛帳'!$Q$3,$A579&lt;='売掛帳'!$Q$4),$A579+0.5+ROW()/10000000,""))</f>
        <v/>
      </c>
      <c r="R579" s="32">
        <f>IF(AND(OR($A579&lt;&gt;"",$E579&lt;&gt;"",$F579&lt;&gt;"",$G579&lt;&gt;"",$H579&lt;&gt;"",$I579&lt;&gt;""),NOT(ISNUMBER($O579))),1,"")</f>
        <v/>
      </c>
    </row>
    <row r="580" ht="18" customHeight="1">
      <c r="A580" s="26" t="n"/>
      <c r="B580" s="18" t="n"/>
      <c r="C580" s="18" t="n"/>
      <c r="D580" s="20">
        <f>IF($P580="","",IFERROR(INDEX('得意先'!$C$5:$C$104,MATCH($P580,'得意先'!$B$5:$B$104,0))&amp;"","※得意先にないコード"))</f>
        <v/>
      </c>
      <c r="E580" s="27" t="n"/>
      <c r="F580" s="18" t="n"/>
      <c r="G580" s="27" t="n"/>
      <c r="H580" s="27" t="n"/>
      <c r="I580" s="27" t="n"/>
      <c r="J580" s="28">
        <f>IF(NOT(OR($A580&lt;&gt;"",$E580&lt;&gt;"",$F580&lt;&gt;"",$G580&lt;&gt;"",$H580&lt;&gt;"",$I580&lt;&gt;"")),"",N($G580)+N($H580)+N($I580))</f>
        <v/>
      </c>
      <c r="K580" s="28">
        <f>IF(ISNUMBER($O580),INDEX('請求台帳'!$R$5:$R$1004,$O580),"")</f>
        <v/>
      </c>
      <c r="L580" s="20">
        <f>IF(NOT(OR($A580&lt;&gt;"",$E580&lt;&gt;"",$F580&lt;&gt;"",$G580&lt;&gt;"",$H580&lt;&gt;"",$I580&lt;&gt;"")),"",IF(NOT(ISNUMBER($A580)),"入金日がありません",IF(AND($F580&lt;&gt;"",$O580="なし"),"請求Noが請求台帳にありません",IF(AND(ISNUMBER($O580),$C580&lt;&gt;"",$C580&lt;&gt;$P580),"請求の得意先は "&amp;$P580&amp;" です",IF(ROUND(IF($B580&lt;&gt;"",SUMIF($B$5:$B$1004,$B580,$E$5:$E$1004)-SUMIF($B$5:$B$1004,$B580,$G$5:$G$1004),N($E580)-N($G580)),0)&lt;&gt;0,"通帳の額と当てた額の差 "&amp;TEXT(IF($B580&lt;&gt;"",SUMIF($B$5:$B$1004,$B580,$E$5:$E$1004)-SUMIF($B$5:$B$1004,$B580,$G$5:$G$1004),N($E580)-N($G580)),"#,##0"),IF(AND(ISNUMBER($O580),N($K580)&lt;0),"請求額より多く消し込んでいます",IF($F580="","消込先が未定","OK")))))))</f>
        <v/>
      </c>
      <c r="M580" s="19" t="n"/>
      <c r="N580" s="56" t="n"/>
      <c r="O580" s="32">
        <f>IF($F580="","",IFERROR(MATCH($F580,'請求台帳'!$A$5:$A$1004,0),"なし"))</f>
        <v/>
      </c>
      <c r="P580" s="37">
        <f>IF(NOT(OR($A580&lt;&gt;"",$E580&lt;&gt;"",$F580&lt;&gt;"",$G580&lt;&gt;"",$H580&lt;&gt;"",$I580&lt;&gt;"")),"",IF(ISNUMBER($O580),IF(INDEX('請求台帳'!$C$5:$C$1004,$O580)="","",INDEX('請求台帳'!$C$5:$C$1004,$O580)),IF($C580="","",$C580)))</f>
        <v/>
      </c>
      <c r="Q580" s="35">
        <f>IF(OR(NOT(OR($A580&lt;&gt;"",$E580&lt;&gt;"",$F580&lt;&gt;"",$G580&lt;&gt;"",$H580&lt;&gt;"",$I580&lt;&gt;"")),$P580="",$P580&lt;&gt;'売掛帳'!$B$3,NOT(ISNUMBER($A580)),N($G580)+N($H580)+N($I580)=0),"",IF(AND($A580&gt;='売掛帳'!$Q$3,$A580&lt;='売掛帳'!$Q$4),$A580+0.5+ROW()/10000000,""))</f>
        <v/>
      </c>
      <c r="R580" s="32">
        <f>IF(AND(OR($A580&lt;&gt;"",$E580&lt;&gt;"",$F580&lt;&gt;"",$G580&lt;&gt;"",$H580&lt;&gt;"",$I580&lt;&gt;""),NOT(ISNUMBER($O580))),1,"")</f>
        <v/>
      </c>
    </row>
    <row r="581" ht="18" customHeight="1">
      <c r="A581" s="26" t="n"/>
      <c r="B581" s="18" t="n"/>
      <c r="C581" s="18" t="n"/>
      <c r="D581" s="20">
        <f>IF($P581="","",IFERROR(INDEX('得意先'!$C$5:$C$104,MATCH($P581,'得意先'!$B$5:$B$104,0))&amp;"","※得意先にないコード"))</f>
        <v/>
      </c>
      <c r="E581" s="27" t="n"/>
      <c r="F581" s="18" t="n"/>
      <c r="G581" s="27" t="n"/>
      <c r="H581" s="27" t="n"/>
      <c r="I581" s="27" t="n"/>
      <c r="J581" s="28">
        <f>IF(NOT(OR($A581&lt;&gt;"",$E581&lt;&gt;"",$F581&lt;&gt;"",$G581&lt;&gt;"",$H581&lt;&gt;"",$I581&lt;&gt;"")),"",N($G581)+N($H581)+N($I581))</f>
        <v/>
      </c>
      <c r="K581" s="28">
        <f>IF(ISNUMBER($O581),INDEX('請求台帳'!$R$5:$R$1004,$O581),"")</f>
        <v/>
      </c>
      <c r="L581" s="20">
        <f>IF(NOT(OR($A581&lt;&gt;"",$E581&lt;&gt;"",$F581&lt;&gt;"",$G581&lt;&gt;"",$H581&lt;&gt;"",$I581&lt;&gt;"")),"",IF(NOT(ISNUMBER($A581)),"入金日がありません",IF(AND($F581&lt;&gt;"",$O581="なし"),"請求Noが請求台帳にありません",IF(AND(ISNUMBER($O581),$C581&lt;&gt;"",$C581&lt;&gt;$P581),"請求の得意先は "&amp;$P581&amp;" です",IF(ROUND(IF($B581&lt;&gt;"",SUMIF($B$5:$B$1004,$B581,$E$5:$E$1004)-SUMIF($B$5:$B$1004,$B581,$G$5:$G$1004),N($E581)-N($G581)),0)&lt;&gt;0,"通帳の額と当てた額の差 "&amp;TEXT(IF($B581&lt;&gt;"",SUMIF($B$5:$B$1004,$B581,$E$5:$E$1004)-SUMIF($B$5:$B$1004,$B581,$G$5:$G$1004),N($E581)-N($G581)),"#,##0"),IF(AND(ISNUMBER($O581),N($K581)&lt;0),"請求額より多く消し込んでいます",IF($F581="","消込先が未定","OK")))))))</f>
        <v/>
      </c>
      <c r="M581" s="19" t="n"/>
      <c r="N581" s="56" t="n"/>
      <c r="O581" s="32">
        <f>IF($F581="","",IFERROR(MATCH($F581,'請求台帳'!$A$5:$A$1004,0),"なし"))</f>
        <v/>
      </c>
      <c r="P581" s="37">
        <f>IF(NOT(OR($A581&lt;&gt;"",$E581&lt;&gt;"",$F581&lt;&gt;"",$G581&lt;&gt;"",$H581&lt;&gt;"",$I581&lt;&gt;"")),"",IF(ISNUMBER($O581),IF(INDEX('請求台帳'!$C$5:$C$1004,$O581)="","",INDEX('請求台帳'!$C$5:$C$1004,$O581)),IF($C581="","",$C581)))</f>
        <v/>
      </c>
      <c r="Q581" s="35">
        <f>IF(OR(NOT(OR($A581&lt;&gt;"",$E581&lt;&gt;"",$F581&lt;&gt;"",$G581&lt;&gt;"",$H581&lt;&gt;"",$I581&lt;&gt;"")),$P581="",$P581&lt;&gt;'売掛帳'!$B$3,NOT(ISNUMBER($A581)),N($G581)+N($H581)+N($I581)=0),"",IF(AND($A581&gt;='売掛帳'!$Q$3,$A581&lt;='売掛帳'!$Q$4),$A581+0.5+ROW()/10000000,""))</f>
        <v/>
      </c>
      <c r="R581" s="32">
        <f>IF(AND(OR($A581&lt;&gt;"",$E581&lt;&gt;"",$F581&lt;&gt;"",$G581&lt;&gt;"",$H581&lt;&gt;"",$I581&lt;&gt;""),NOT(ISNUMBER($O581))),1,"")</f>
        <v/>
      </c>
    </row>
    <row r="582" ht="18" customHeight="1">
      <c r="A582" s="26" t="n"/>
      <c r="B582" s="18" t="n"/>
      <c r="C582" s="18" t="n"/>
      <c r="D582" s="20">
        <f>IF($P582="","",IFERROR(INDEX('得意先'!$C$5:$C$104,MATCH($P582,'得意先'!$B$5:$B$104,0))&amp;"","※得意先にないコード"))</f>
        <v/>
      </c>
      <c r="E582" s="27" t="n"/>
      <c r="F582" s="18" t="n"/>
      <c r="G582" s="27" t="n"/>
      <c r="H582" s="27" t="n"/>
      <c r="I582" s="27" t="n"/>
      <c r="J582" s="28">
        <f>IF(NOT(OR($A582&lt;&gt;"",$E582&lt;&gt;"",$F582&lt;&gt;"",$G582&lt;&gt;"",$H582&lt;&gt;"",$I582&lt;&gt;"")),"",N($G582)+N($H582)+N($I582))</f>
        <v/>
      </c>
      <c r="K582" s="28">
        <f>IF(ISNUMBER($O582),INDEX('請求台帳'!$R$5:$R$1004,$O582),"")</f>
        <v/>
      </c>
      <c r="L582" s="20">
        <f>IF(NOT(OR($A582&lt;&gt;"",$E582&lt;&gt;"",$F582&lt;&gt;"",$G582&lt;&gt;"",$H582&lt;&gt;"",$I582&lt;&gt;"")),"",IF(NOT(ISNUMBER($A582)),"入金日がありません",IF(AND($F582&lt;&gt;"",$O582="なし"),"請求Noが請求台帳にありません",IF(AND(ISNUMBER($O582),$C582&lt;&gt;"",$C582&lt;&gt;$P582),"請求の得意先は "&amp;$P582&amp;" です",IF(ROUND(IF($B582&lt;&gt;"",SUMIF($B$5:$B$1004,$B582,$E$5:$E$1004)-SUMIF($B$5:$B$1004,$B582,$G$5:$G$1004),N($E582)-N($G582)),0)&lt;&gt;0,"通帳の額と当てた額の差 "&amp;TEXT(IF($B582&lt;&gt;"",SUMIF($B$5:$B$1004,$B582,$E$5:$E$1004)-SUMIF($B$5:$B$1004,$B582,$G$5:$G$1004),N($E582)-N($G582)),"#,##0"),IF(AND(ISNUMBER($O582),N($K582)&lt;0),"請求額より多く消し込んでいます",IF($F582="","消込先が未定","OK")))))))</f>
        <v/>
      </c>
      <c r="M582" s="19" t="n"/>
      <c r="N582" s="56" t="n"/>
      <c r="O582" s="32">
        <f>IF($F582="","",IFERROR(MATCH($F582,'請求台帳'!$A$5:$A$1004,0),"なし"))</f>
        <v/>
      </c>
      <c r="P582" s="37">
        <f>IF(NOT(OR($A582&lt;&gt;"",$E582&lt;&gt;"",$F582&lt;&gt;"",$G582&lt;&gt;"",$H582&lt;&gt;"",$I582&lt;&gt;"")),"",IF(ISNUMBER($O582),IF(INDEX('請求台帳'!$C$5:$C$1004,$O582)="","",INDEX('請求台帳'!$C$5:$C$1004,$O582)),IF($C582="","",$C582)))</f>
        <v/>
      </c>
      <c r="Q582" s="35">
        <f>IF(OR(NOT(OR($A582&lt;&gt;"",$E582&lt;&gt;"",$F582&lt;&gt;"",$G582&lt;&gt;"",$H582&lt;&gt;"",$I582&lt;&gt;"")),$P582="",$P582&lt;&gt;'売掛帳'!$B$3,NOT(ISNUMBER($A582)),N($G582)+N($H582)+N($I582)=0),"",IF(AND($A582&gt;='売掛帳'!$Q$3,$A582&lt;='売掛帳'!$Q$4),$A582+0.5+ROW()/10000000,""))</f>
        <v/>
      </c>
      <c r="R582" s="32">
        <f>IF(AND(OR($A582&lt;&gt;"",$E582&lt;&gt;"",$F582&lt;&gt;"",$G582&lt;&gt;"",$H582&lt;&gt;"",$I582&lt;&gt;""),NOT(ISNUMBER($O582))),1,"")</f>
        <v/>
      </c>
    </row>
    <row r="583" ht="18" customHeight="1">
      <c r="A583" s="26" t="n"/>
      <c r="B583" s="18" t="n"/>
      <c r="C583" s="18" t="n"/>
      <c r="D583" s="20">
        <f>IF($P583="","",IFERROR(INDEX('得意先'!$C$5:$C$104,MATCH($P583,'得意先'!$B$5:$B$104,0))&amp;"","※得意先にないコード"))</f>
        <v/>
      </c>
      <c r="E583" s="27" t="n"/>
      <c r="F583" s="18" t="n"/>
      <c r="G583" s="27" t="n"/>
      <c r="H583" s="27" t="n"/>
      <c r="I583" s="27" t="n"/>
      <c r="J583" s="28">
        <f>IF(NOT(OR($A583&lt;&gt;"",$E583&lt;&gt;"",$F583&lt;&gt;"",$G583&lt;&gt;"",$H583&lt;&gt;"",$I583&lt;&gt;"")),"",N($G583)+N($H583)+N($I583))</f>
        <v/>
      </c>
      <c r="K583" s="28">
        <f>IF(ISNUMBER($O583),INDEX('請求台帳'!$R$5:$R$1004,$O583),"")</f>
        <v/>
      </c>
      <c r="L583" s="20">
        <f>IF(NOT(OR($A583&lt;&gt;"",$E583&lt;&gt;"",$F583&lt;&gt;"",$G583&lt;&gt;"",$H583&lt;&gt;"",$I583&lt;&gt;"")),"",IF(NOT(ISNUMBER($A583)),"入金日がありません",IF(AND($F583&lt;&gt;"",$O583="なし"),"請求Noが請求台帳にありません",IF(AND(ISNUMBER($O583),$C583&lt;&gt;"",$C583&lt;&gt;$P583),"請求の得意先は "&amp;$P583&amp;" です",IF(ROUND(IF($B583&lt;&gt;"",SUMIF($B$5:$B$1004,$B583,$E$5:$E$1004)-SUMIF($B$5:$B$1004,$B583,$G$5:$G$1004),N($E583)-N($G583)),0)&lt;&gt;0,"通帳の額と当てた額の差 "&amp;TEXT(IF($B583&lt;&gt;"",SUMIF($B$5:$B$1004,$B583,$E$5:$E$1004)-SUMIF($B$5:$B$1004,$B583,$G$5:$G$1004),N($E583)-N($G583)),"#,##0"),IF(AND(ISNUMBER($O583),N($K583)&lt;0),"請求額より多く消し込んでいます",IF($F583="","消込先が未定","OK")))))))</f>
        <v/>
      </c>
      <c r="M583" s="19" t="n"/>
      <c r="N583" s="56" t="n"/>
      <c r="O583" s="32">
        <f>IF($F583="","",IFERROR(MATCH($F583,'請求台帳'!$A$5:$A$1004,0),"なし"))</f>
        <v/>
      </c>
      <c r="P583" s="37">
        <f>IF(NOT(OR($A583&lt;&gt;"",$E583&lt;&gt;"",$F583&lt;&gt;"",$G583&lt;&gt;"",$H583&lt;&gt;"",$I583&lt;&gt;"")),"",IF(ISNUMBER($O583),IF(INDEX('請求台帳'!$C$5:$C$1004,$O583)="","",INDEX('請求台帳'!$C$5:$C$1004,$O583)),IF($C583="","",$C583)))</f>
        <v/>
      </c>
      <c r="Q583" s="35">
        <f>IF(OR(NOT(OR($A583&lt;&gt;"",$E583&lt;&gt;"",$F583&lt;&gt;"",$G583&lt;&gt;"",$H583&lt;&gt;"",$I583&lt;&gt;"")),$P583="",$P583&lt;&gt;'売掛帳'!$B$3,NOT(ISNUMBER($A583)),N($G583)+N($H583)+N($I583)=0),"",IF(AND($A583&gt;='売掛帳'!$Q$3,$A583&lt;='売掛帳'!$Q$4),$A583+0.5+ROW()/10000000,""))</f>
        <v/>
      </c>
      <c r="R583" s="32">
        <f>IF(AND(OR($A583&lt;&gt;"",$E583&lt;&gt;"",$F583&lt;&gt;"",$G583&lt;&gt;"",$H583&lt;&gt;"",$I583&lt;&gt;""),NOT(ISNUMBER($O583))),1,"")</f>
        <v/>
      </c>
    </row>
    <row r="584" ht="18" customHeight="1">
      <c r="A584" s="26" t="n"/>
      <c r="B584" s="18" t="n"/>
      <c r="C584" s="18" t="n"/>
      <c r="D584" s="20">
        <f>IF($P584="","",IFERROR(INDEX('得意先'!$C$5:$C$104,MATCH($P584,'得意先'!$B$5:$B$104,0))&amp;"","※得意先にないコード"))</f>
        <v/>
      </c>
      <c r="E584" s="27" t="n"/>
      <c r="F584" s="18" t="n"/>
      <c r="G584" s="27" t="n"/>
      <c r="H584" s="27" t="n"/>
      <c r="I584" s="27" t="n"/>
      <c r="J584" s="28">
        <f>IF(NOT(OR($A584&lt;&gt;"",$E584&lt;&gt;"",$F584&lt;&gt;"",$G584&lt;&gt;"",$H584&lt;&gt;"",$I584&lt;&gt;"")),"",N($G584)+N($H584)+N($I584))</f>
        <v/>
      </c>
      <c r="K584" s="28">
        <f>IF(ISNUMBER($O584),INDEX('請求台帳'!$R$5:$R$1004,$O584),"")</f>
        <v/>
      </c>
      <c r="L584" s="20">
        <f>IF(NOT(OR($A584&lt;&gt;"",$E584&lt;&gt;"",$F584&lt;&gt;"",$G584&lt;&gt;"",$H584&lt;&gt;"",$I584&lt;&gt;"")),"",IF(NOT(ISNUMBER($A584)),"入金日がありません",IF(AND($F584&lt;&gt;"",$O584="なし"),"請求Noが請求台帳にありません",IF(AND(ISNUMBER($O584),$C584&lt;&gt;"",$C584&lt;&gt;$P584),"請求の得意先は "&amp;$P584&amp;" です",IF(ROUND(IF($B584&lt;&gt;"",SUMIF($B$5:$B$1004,$B584,$E$5:$E$1004)-SUMIF($B$5:$B$1004,$B584,$G$5:$G$1004),N($E584)-N($G584)),0)&lt;&gt;0,"通帳の額と当てた額の差 "&amp;TEXT(IF($B584&lt;&gt;"",SUMIF($B$5:$B$1004,$B584,$E$5:$E$1004)-SUMIF($B$5:$B$1004,$B584,$G$5:$G$1004),N($E584)-N($G584)),"#,##0"),IF(AND(ISNUMBER($O584),N($K584)&lt;0),"請求額より多く消し込んでいます",IF($F584="","消込先が未定","OK")))))))</f>
        <v/>
      </c>
      <c r="M584" s="19" t="n"/>
      <c r="N584" s="56" t="n"/>
      <c r="O584" s="32">
        <f>IF($F584="","",IFERROR(MATCH($F584,'請求台帳'!$A$5:$A$1004,0),"なし"))</f>
        <v/>
      </c>
      <c r="P584" s="37">
        <f>IF(NOT(OR($A584&lt;&gt;"",$E584&lt;&gt;"",$F584&lt;&gt;"",$G584&lt;&gt;"",$H584&lt;&gt;"",$I584&lt;&gt;"")),"",IF(ISNUMBER($O584),IF(INDEX('請求台帳'!$C$5:$C$1004,$O584)="","",INDEX('請求台帳'!$C$5:$C$1004,$O584)),IF($C584="","",$C584)))</f>
        <v/>
      </c>
      <c r="Q584" s="35">
        <f>IF(OR(NOT(OR($A584&lt;&gt;"",$E584&lt;&gt;"",$F584&lt;&gt;"",$G584&lt;&gt;"",$H584&lt;&gt;"",$I584&lt;&gt;"")),$P584="",$P584&lt;&gt;'売掛帳'!$B$3,NOT(ISNUMBER($A584)),N($G584)+N($H584)+N($I584)=0),"",IF(AND($A584&gt;='売掛帳'!$Q$3,$A584&lt;='売掛帳'!$Q$4),$A584+0.5+ROW()/10000000,""))</f>
        <v/>
      </c>
      <c r="R584" s="32">
        <f>IF(AND(OR($A584&lt;&gt;"",$E584&lt;&gt;"",$F584&lt;&gt;"",$G584&lt;&gt;"",$H584&lt;&gt;"",$I584&lt;&gt;""),NOT(ISNUMBER($O584))),1,"")</f>
        <v/>
      </c>
    </row>
    <row r="585" ht="18" customHeight="1">
      <c r="A585" s="26" t="n"/>
      <c r="B585" s="18" t="n"/>
      <c r="C585" s="18" t="n"/>
      <c r="D585" s="20">
        <f>IF($P585="","",IFERROR(INDEX('得意先'!$C$5:$C$104,MATCH($P585,'得意先'!$B$5:$B$104,0))&amp;"","※得意先にないコード"))</f>
        <v/>
      </c>
      <c r="E585" s="27" t="n"/>
      <c r="F585" s="18" t="n"/>
      <c r="G585" s="27" t="n"/>
      <c r="H585" s="27" t="n"/>
      <c r="I585" s="27" t="n"/>
      <c r="J585" s="28">
        <f>IF(NOT(OR($A585&lt;&gt;"",$E585&lt;&gt;"",$F585&lt;&gt;"",$G585&lt;&gt;"",$H585&lt;&gt;"",$I585&lt;&gt;"")),"",N($G585)+N($H585)+N($I585))</f>
        <v/>
      </c>
      <c r="K585" s="28">
        <f>IF(ISNUMBER($O585),INDEX('請求台帳'!$R$5:$R$1004,$O585),"")</f>
        <v/>
      </c>
      <c r="L585" s="20">
        <f>IF(NOT(OR($A585&lt;&gt;"",$E585&lt;&gt;"",$F585&lt;&gt;"",$G585&lt;&gt;"",$H585&lt;&gt;"",$I585&lt;&gt;"")),"",IF(NOT(ISNUMBER($A585)),"入金日がありません",IF(AND($F585&lt;&gt;"",$O585="なし"),"請求Noが請求台帳にありません",IF(AND(ISNUMBER($O585),$C585&lt;&gt;"",$C585&lt;&gt;$P585),"請求の得意先は "&amp;$P585&amp;" です",IF(ROUND(IF($B585&lt;&gt;"",SUMIF($B$5:$B$1004,$B585,$E$5:$E$1004)-SUMIF($B$5:$B$1004,$B585,$G$5:$G$1004),N($E585)-N($G585)),0)&lt;&gt;0,"通帳の額と当てた額の差 "&amp;TEXT(IF($B585&lt;&gt;"",SUMIF($B$5:$B$1004,$B585,$E$5:$E$1004)-SUMIF($B$5:$B$1004,$B585,$G$5:$G$1004),N($E585)-N($G585)),"#,##0"),IF(AND(ISNUMBER($O585),N($K585)&lt;0),"請求額より多く消し込んでいます",IF($F585="","消込先が未定","OK")))))))</f>
        <v/>
      </c>
      <c r="M585" s="19" t="n"/>
      <c r="N585" s="56" t="n"/>
      <c r="O585" s="32">
        <f>IF($F585="","",IFERROR(MATCH($F585,'請求台帳'!$A$5:$A$1004,0),"なし"))</f>
        <v/>
      </c>
      <c r="P585" s="37">
        <f>IF(NOT(OR($A585&lt;&gt;"",$E585&lt;&gt;"",$F585&lt;&gt;"",$G585&lt;&gt;"",$H585&lt;&gt;"",$I585&lt;&gt;"")),"",IF(ISNUMBER($O585),IF(INDEX('請求台帳'!$C$5:$C$1004,$O585)="","",INDEX('請求台帳'!$C$5:$C$1004,$O585)),IF($C585="","",$C585)))</f>
        <v/>
      </c>
      <c r="Q585" s="35">
        <f>IF(OR(NOT(OR($A585&lt;&gt;"",$E585&lt;&gt;"",$F585&lt;&gt;"",$G585&lt;&gt;"",$H585&lt;&gt;"",$I585&lt;&gt;"")),$P585="",$P585&lt;&gt;'売掛帳'!$B$3,NOT(ISNUMBER($A585)),N($G585)+N($H585)+N($I585)=0),"",IF(AND($A585&gt;='売掛帳'!$Q$3,$A585&lt;='売掛帳'!$Q$4),$A585+0.5+ROW()/10000000,""))</f>
        <v/>
      </c>
      <c r="R585" s="32">
        <f>IF(AND(OR($A585&lt;&gt;"",$E585&lt;&gt;"",$F585&lt;&gt;"",$G585&lt;&gt;"",$H585&lt;&gt;"",$I585&lt;&gt;""),NOT(ISNUMBER($O585))),1,"")</f>
        <v/>
      </c>
    </row>
    <row r="586" ht="18" customHeight="1">
      <c r="A586" s="26" t="n"/>
      <c r="B586" s="18" t="n"/>
      <c r="C586" s="18" t="n"/>
      <c r="D586" s="20">
        <f>IF($P586="","",IFERROR(INDEX('得意先'!$C$5:$C$104,MATCH($P586,'得意先'!$B$5:$B$104,0))&amp;"","※得意先にないコード"))</f>
        <v/>
      </c>
      <c r="E586" s="27" t="n"/>
      <c r="F586" s="18" t="n"/>
      <c r="G586" s="27" t="n"/>
      <c r="H586" s="27" t="n"/>
      <c r="I586" s="27" t="n"/>
      <c r="J586" s="28">
        <f>IF(NOT(OR($A586&lt;&gt;"",$E586&lt;&gt;"",$F586&lt;&gt;"",$G586&lt;&gt;"",$H586&lt;&gt;"",$I586&lt;&gt;"")),"",N($G586)+N($H586)+N($I586))</f>
        <v/>
      </c>
      <c r="K586" s="28">
        <f>IF(ISNUMBER($O586),INDEX('請求台帳'!$R$5:$R$1004,$O586),"")</f>
        <v/>
      </c>
      <c r="L586" s="20">
        <f>IF(NOT(OR($A586&lt;&gt;"",$E586&lt;&gt;"",$F586&lt;&gt;"",$G586&lt;&gt;"",$H586&lt;&gt;"",$I586&lt;&gt;"")),"",IF(NOT(ISNUMBER($A586)),"入金日がありません",IF(AND($F586&lt;&gt;"",$O586="なし"),"請求Noが請求台帳にありません",IF(AND(ISNUMBER($O586),$C586&lt;&gt;"",$C586&lt;&gt;$P586),"請求の得意先は "&amp;$P586&amp;" です",IF(ROUND(IF($B586&lt;&gt;"",SUMIF($B$5:$B$1004,$B586,$E$5:$E$1004)-SUMIF($B$5:$B$1004,$B586,$G$5:$G$1004),N($E586)-N($G586)),0)&lt;&gt;0,"通帳の額と当てた額の差 "&amp;TEXT(IF($B586&lt;&gt;"",SUMIF($B$5:$B$1004,$B586,$E$5:$E$1004)-SUMIF($B$5:$B$1004,$B586,$G$5:$G$1004),N($E586)-N($G586)),"#,##0"),IF(AND(ISNUMBER($O586),N($K586)&lt;0),"請求額より多く消し込んでいます",IF($F586="","消込先が未定","OK")))))))</f>
        <v/>
      </c>
      <c r="M586" s="19" t="n"/>
      <c r="N586" s="56" t="n"/>
      <c r="O586" s="32">
        <f>IF($F586="","",IFERROR(MATCH($F586,'請求台帳'!$A$5:$A$1004,0),"なし"))</f>
        <v/>
      </c>
      <c r="P586" s="37">
        <f>IF(NOT(OR($A586&lt;&gt;"",$E586&lt;&gt;"",$F586&lt;&gt;"",$G586&lt;&gt;"",$H586&lt;&gt;"",$I586&lt;&gt;"")),"",IF(ISNUMBER($O586),IF(INDEX('請求台帳'!$C$5:$C$1004,$O586)="","",INDEX('請求台帳'!$C$5:$C$1004,$O586)),IF($C586="","",$C586)))</f>
        <v/>
      </c>
      <c r="Q586" s="35">
        <f>IF(OR(NOT(OR($A586&lt;&gt;"",$E586&lt;&gt;"",$F586&lt;&gt;"",$G586&lt;&gt;"",$H586&lt;&gt;"",$I586&lt;&gt;"")),$P586="",$P586&lt;&gt;'売掛帳'!$B$3,NOT(ISNUMBER($A586)),N($G586)+N($H586)+N($I586)=0),"",IF(AND($A586&gt;='売掛帳'!$Q$3,$A586&lt;='売掛帳'!$Q$4),$A586+0.5+ROW()/10000000,""))</f>
        <v/>
      </c>
      <c r="R586" s="32">
        <f>IF(AND(OR($A586&lt;&gt;"",$E586&lt;&gt;"",$F586&lt;&gt;"",$G586&lt;&gt;"",$H586&lt;&gt;"",$I586&lt;&gt;""),NOT(ISNUMBER($O586))),1,"")</f>
        <v/>
      </c>
    </row>
    <row r="587" ht="18" customHeight="1">
      <c r="A587" s="26" t="n"/>
      <c r="B587" s="18" t="n"/>
      <c r="C587" s="18" t="n"/>
      <c r="D587" s="20">
        <f>IF($P587="","",IFERROR(INDEX('得意先'!$C$5:$C$104,MATCH($P587,'得意先'!$B$5:$B$104,0))&amp;"","※得意先にないコード"))</f>
        <v/>
      </c>
      <c r="E587" s="27" t="n"/>
      <c r="F587" s="18" t="n"/>
      <c r="G587" s="27" t="n"/>
      <c r="H587" s="27" t="n"/>
      <c r="I587" s="27" t="n"/>
      <c r="J587" s="28">
        <f>IF(NOT(OR($A587&lt;&gt;"",$E587&lt;&gt;"",$F587&lt;&gt;"",$G587&lt;&gt;"",$H587&lt;&gt;"",$I587&lt;&gt;"")),"",N($G587)+N($H587)+N($I587))</f>
        <v/>
      </c>
      <c r="K587" s="28">
        <f>IF(ISNUMBER($O587),INDEX('請求台帳'!$R$5:$R$1004,$O587),"")</f>
        <v/>
      </c>
      <c r="L587" s="20">
        <f>IF(NOT(OR($A587&lt;&gt;"",$E587&lt;&gt;"",$F587&lt;&gt;"",$G587&lt;&gt;"",$H587&lt;&gt;"",$I587&lt;&gt;"")),"",IF(NOT(ISNUMBER($A587)),"入金日がありません",IF(AND($F587&lt;&gt;"",$O587="なし"),"請求Noが請求台帳にありません",IF(AND(ISNUMBER($O587),$C587&lt;&gt;"",$C587&lt;&gt;$P587),"請求の得意先は "&amp;$P587&amp;" です",IF(ROUND(IF($B587&lt;&gt;"",SUMIF($B$5:$B$1004,$B587,$E$5:$E$1004)-SUMIF($B$5:$B$1004,$B587,$G$5:$G$1004),N($E587)-N($G587)),0)&lt;&gt;0,"通帳の額と当てた額の差 "&amp;TEXT(IF($B587&lt;&gt;"",SUMIF($B$5:$B$1004,$B587,$E$5:$E$1004)-SUMIF($B$5:$B$1004,$B587,$G$5:$G$1004),N($E587)-N($G587)),"#,##0"),IF(AND(ISNUMBER($O587),N($K587)&lt;0),"請求額より多く消し込んでいます",IF($F587="","消込先が未定","OK")))))))</f>
        <v/>
      </c>
      <c r="M587" s="19" t="n"/>
      <c r="N587" s="56" t="n"/>
      <c r="O587" s="32">
        <f>IF($F587="","",IFERROR(MATCH($F587,'請求台帳'!$A$5:$A$1004,0),"なし"))</f>
        <v/>
      </c>
      <c r="P587" s="37">
        <f>IF(NOT(OR($A587&lt;&gt;"",$E587&lt;&gt;"",$F587&lt;&gt;"",$G587&lt;&gt;"",$H587&lt;&gt;"",$I587&lt;&gt;"")),"",IF(ISNUMBER($O587),IF(INDEX('請求台帳'!$C$5:$C$1004,$O587)="","",INDEX('請求台帳'!$C$5:$C$1004,$O587)),IF($C587="","",$C587)))</f>
        <v/>
      </c>
      <c r="Q587" s="35">
        <f>IF(OR(NOT(OR($A587&lt;&gt;"",$E587&lt;&gt;"",$F587&lt;&gt;"",$G587&lt;&gt;"",$H587&lt;&gt;"",$I587&lt;&gt;"")),$P587="",$P587&lt;&gt;'売掛帳'!$B$3,NOT(ISNUMBER($A587)),N($G587)+N($H587)+N($I587)=0),"",IF(AND($A587&gt;='売掛帳'!$Q$3,$A587&lt;='売掛帳'!$Q$4),$A587+0.5+ROW()/10000000,""))</f>
        <v/>
      </c>
      <c r="R587" s="32">
        <f>IF(AND(OR($A587&lt;&gt;"",$E587&lt;&gt;"",$F587&lt;&gt;"",$G587&lt;&gt;"",$H587&lt;&gt;"",$I587&lt;&gt;""),NOT(ISNUMBER($O587))),1,"")</f>
        <v/>
      </c>
    </row>
    <row r="588" ht="18" customHeight="1">
      <c r="A588" s="26" t="n"/>
      <c r="B588" s="18" t="n"/>
      <c r="C588" s="18" t="n"/>
      <c r="D588" s="20">
        <f>IF($P588="","",IFERROR(INDEX('得意先'!$C$5:$C$104,MATCH($P588,'得意先'!$B$5:$B$104,0))&amp;"","※得意先にないコード"))</f>
        <v/>
      </c>
      <c r="E588" s="27" t="n"/>
      <c r="F588" s="18" t="n"/>
      <c r="G588" s="27" t="n"/>
      <c r="H588" s="27" t="n"/>
      <c r="I588" s="27" t="n"/>
      <c r="J588" s="28">
        <f>IF(NOT(OR($A588&lt;&gt;"",$E588&lt;&gt;"",$F588&lt;&gt;"",$G588&lt;&gt;"",$H588&lt;&gt;"",$I588&lt;&gt;"")),"",N($G588)+N($H588)+N($I588))</f>
        <v/>
      </c>
      <c r="K588" s="28">
        <f>IF(ISNUMBER($O588),INDEX('請求台帳'!$R$5:$R$1004,$O588),"")</f>
        <v/>
      </c>
      <c r="L588" s="20">
        <f>IF(NOT(OR($A588&lt;&gt;"",$E588&lt;&gt;"",$F588&lt;&gt;"",$G588&lt;&gt;"",$H588&lt;&gt;"",$I588&lt;&gt;"")),"",IF(NOT(ISNUMBER($A588)),"入金日がありません",IF(AND($F588&lt;&gt;"",$O588="なし"),"請求Noが請求台帳にありません",IF(AND(ISNUMBER($O588),$C588&lt;&gt;"",$C588&lt;&gt;$P588),"請求の得意先は "&amp;$P588&amp;" です",IF(ROUND(IF($B588&lt;&gt;"",SUMIF($B$5:$B$1004,$B588,$E$5:$E$1004)-SUMIF($B$5:$B$1004,$B588,$G$5:$G$1004),N($E588)-N($G588)),0)&lt;&gt;0,"通帳の額と当てた額の差 "&amp;TEXT(IF($B588&lt;&gt;"",SUMIF($B$5:$B$1004,$B588,$E$5:$E$1004)-SUMIF($B$5:$B$1004,$B588,$G$5:$G$1004),N($E588)-N($G588)),"#,##0"),IF(AND(ISNUMBER($O588),N($K588)&lt;0),"請求額より多く消し込んでいます",IF($F588="","消込先が未定","OK")))))))</f>
        <v/>
      </c>
      <c r="M588" s="19" t="n"/>
      <c r="N588" s="56" t="n"/>
      <c r="O588" s="32">
        <f>IF($F588="","",IFERROR(MATCH($F588,'請求台帳'!$A$5:$A$1004,0),"なし"))</f>
        <v/>
      </c>
      <c r="P588" s="37">
        <f>IF(NOT(OR($A588&lt;&gt;"",$E588&lt;&gt;"",$F588&lt;&gt;"",$G588&lt;&gt;"",$H588&lt;&gt;"",$I588&lt;&gt;"")),"",IF(ISNUMBER($O588),IF(INDEX('請求台帳'!$C$5:$C$1004,$O588)="","",INDEX('請求台帳'!$C$5:$C$1004,$O588)),IF($C588="","",$C588)))</f>
        <v/>
      </c>
      <c r="Q588" s="35">
        <f>IF(OR(NOT(OR($A588&lt;&gt;"",$E588&lt;&gt;"",$F588&lt;&gt;"",$G588&lt;&gt;"",$H588&lt;&gt;"",$I588&lt;&gt;"")),$P588="",$P588&lt;&gt;'売掛帳'!$B$3,NOT(ISNUMBER($A588)),N($G588)+N($H588)+N($I588)=0),"",IF(AND($A588&gt;='売掛帳'!$Q$3,$A588&lt;='売掛帳'!$Q$4),$A588+0.5+ROW()/10000000,""))</f>
        <v/>
      </c>
      <c r="R588" s="32">
        <f>IF(AND(OR($A588&lt;&gt;"",$E588&lt;&gt;"",$F588&lt;&gt;"",$G588&lt;&gt;"",$H588&lt;&gt;"",$I588&lt;&gt;""),NOT(ISNUMBER($O588))),1,"")</f>
        <v/>
      </c>
    </row>
    <row r="589" ht="18" customHeight="1">
      <c r="A589" s="26" t="n"/>
      <c r="B589" s="18" t="n"/>
      <c r="C589" s="18" t="n"/>
      <c r="D589" s="20">
        <f>IF($P589="","",IFERROR(INDEX('得意先'!$C$5:$C$104,MATCH($P589,'得意先'!$B$5:$B$104,0))&amp;"","※得意先にないコード"))</f>
        <v/>
      </c>
      <c r="E589" s="27" t="n"/>
      <c r="F589" s="18" t="n"/>
      <c r="G589" s="27" t="n"/>
      <c r="H589" s="27" t="n"/>
      <c r="I589" s="27" t="n"/>
      <c r="J589" s="28">
        <f>IF(NOT(OR($A589&lt;&gt;"",$E589&lt;&gt;"",$F589&lt;&gt;"",$G589&lt;&gt;"",$H589&lt;&gt;"",$I589&lt;&gt;"")),"",N($G589)+N($H589)+N($I589))</f>
        <v/>
      </c>
      <c r="K589" s="28">
        <f>IF(ISNUMBER($O589),INDEX('請求台帳'!$R$5:$R$1004,$O589),"")</f>
        <v/>
      </c>
      <c r="L589" s="20">
        <f>IF(NOT(OR($A589&lt;&gt;"",$E589&lt;&gt;"",$F589&lt;&gt;"",$G589&lt;&gt;"",$H589&lt;&gt;"",$I589&lt;&gt;"")),"",IF(NOT(ISNUMBER($A589)),"入金日がありません",IF(AND($F589&lt;&gt;"",$O589="なし"),"請求Noが請求台帳にありません",IF(AND(ISNUMBER($O589),$C589&lt;&gt;"",$C589&lt;&gt;$P589),"請求の得意先は "&amp;$P589&amp;" です",IF(ROUND(IF($B589&lt;&gt;"",SUMIF($B$5:$B$1004,$B589,$E$5:$E$1004)-SUMIF($B$5:$B$1004,$B589,$G$5:$G$1004),N($E589)-N($G589)),0)&lt;&gt;0,"通帳の額と当てた額の差 "&amp;TEXT(IF($B589&lt;&gt;"",SUMIF($B$5:$B$1004,$B589,$E$5:$E$1004)-SUMIF($B$5:$B$1004,$B589,$G$5:$G$1004),N($E589)-N($G589)),"#,##0"),IF(AND(ISNUMBER($O589),N($K589)&lt;0),"請求額より多く消し込んでいます",IF($F589="","消込先が未定","OK")))))))</f>
        <v/>
      </c>
      <c r="M589" s="19" t="n"/>
      <c r="N589" s="56" t="n"/>
      <c r="O589" s="32">
        <f>IF($F589="","",IFERROR(MATCH($F589,'請求台帳'!$A$5:$A$1004,0),"なし"))</f>
        <v/>
      </c>
      <c r="P589" s="37">
        <f>IF(NOT(OR($A589&lt;&gt;"",$E589&lt;&gt;"",$F589&lt;&gt;"",$G589&lt;&gt;"",$H589&lt;&gt;"",$I589&lt;&gt;"")),"",IF(ISNUMBER($O589),IF(INDEX('請求台帳'!$C$5:$C$1004,$O589)="","",INDEX('請求台帳'!$C$5:$C$1004,$O589)),IF($C589="","",$C589)))</f>
        <v/>
      </c>
      <c r="Q589" s="35">
        <f>IF(OR(NOT(OR($A589&lt;&gt;"",$E589&lt;&gt;"",$F589&lt;&gt;"",$G589&lt;&gt;"",$H589&lt;&gt;"",$I589&lt;&gt;"")),$P589="",$P589&lt;&gt;'売掛帳'!$B$3,NOT(ISNUMBER($A589)),N($G589)+N($H589)+N($I589)=0),"",IF(AND($A589&gt;='売掛帳'!$Q$3,$A589&lt;='売掛帳'!$Q$4),$A589+0.5+ROW()/10000000,""))</f>
        <v/>
      </c>
      <c r="R589" s="32">
        <f>IF(AND(OR($A589&lt;&gt;"",$E589&lt;&gt;"",$F589&lt;&gt;"",$G589&lt;&gt;"",$H589&lt;&gt;"",$I589&lt;&gt;""),NOT(ISNUMBER($O589))),1,"")</f>
        <v/>
      </c>
    </row>
    <row r="590" ht="18" customHeight="1">
      <c r="A590" s="26" t="n"/>
      <c r="B590" s="18" t="n"/>
      <c r="C590" s="18" t="n"/>
      <c r="D590" s="20">
        <f>IF($P590="","",IFERROR(INDEX('得意先'!$C$5:$C$104,MATCH($P590,'得意先'!$B$5:$B$104,0))&amp;"","※得意先にないコード"))</f>
        <v/>
      </c>
      <c r="E590" s="27" t="n"/>
      <c r="F590" s="18" t="n"/>
      <c r="G590" s="27" t="n"/>
      <c r="H590" s="27" t="n"/>
      <c r="I590" s="27" t="n"/>
      <c r="J590" s="28">
        <f>IF(NOT(OR($A590&lt;&gt;"",$E590&lt;&gt;"",$F590&lt;&gt;"",$G590&lt;&gt;"",$H590&lt;&gt;"",$I590&lt;&gt;"")),"",N($G590)+N($H590)+N($I590))</f>
        <v/>
      </c>
      <c r="K590" s="28">
        <f>IF(ISNUMBER($O590),INDEX('請求台帳'!$R$5:$R$1004,$O590),"")</f>
        <v/>
      </c>
      <c r="L590" s="20">
        <f>IF(NOT(OR($A590&lt;&gt;"",$E590&lt;&gt;"",$F590&lt;&gt;"",$G590&lt;&gt;"",$H590&lt;&gt;"",$I590&lt;&gt;"")),"",IF(NOT(ISNUMBER($A590)),"入金日がありません",IF(AND($F590&lt;&gt;"",$O590="なし"),"請求Noが請求台帳にありません",IF(AND(ISNUMBER($O590),$C590&lt;&gt;"",$C590&lt;&gt;$P590),"請求の得意先は "&amp;$P590&amp;" です",IF(ROUND(IF($B590&lt;&gt;"",SUMIF($B$5:$B$1004,$B590,$E$5:$E$1004)-SUMIF($B$5:$B$1004,$B590,$G$5:$G$1004),N($E590)-N($G590)),0)&lt;&gt;0,"通帳の額と当てた額の差 "&amp;TEXT(IF($B590&lt;&gt;"",SUMIF($B$5:$B$1004,$B590,$E$5:$E$1004)-SUMIF($B$5:$B$1004,$B590,$G$5:$G$1004),N($E590)-N($G590)),"#,##0"),IF(AND(ISNUMBER($O590),N($K590)&lt;0),"請求額より多く消し込んでいます",IF($F590="","消込先が未定","OK")))))))</f>
        <v/>
      </c>
      <c r="M590" s="19" t="n"/>
      <c r="N590" s="56" t="n"/>
      <c r="O590" s="32">
        <f>IF($F590="","",IFERROR(MATCH($F590,'請求台帳'!$A$5:$A$1004,0),"なし"))</f>
        <v/>
      </c>
      <c r="P590" s="37">
        <f>IF(NOT(OR($A590&lt;&gt;"",$E590&lt;&gt;"",$F590&lt;&gt;"",$G590&lt;&gt;"",$H590&lt;&gt;"",$I590&lt;&gt;"")),"",IF(ISNUMBER($O590),IF(INDEX('請求台帳'!$C$5:$C$1004,$O590)="","",INDEX('請求台帳'!$C$5:$C$1004,$O590)),IF($C590="","",$C590)))</f>
        <v/>
      </c>
      <c r="Q590" s="35">
        <f>IF(OR(NOT(OR($A590&lt;&gt;"",$E590&lt;&gt;"",$F590&lt;&gt;"",$G590&lt;&gt;"",$H590&lt;&gt;"",$I590&lt;&gt;"")),$P590="",$P590&lt;&gt;'売掛帳'!$B$3,NOT(ISNUMBER($A590)),N($G590)+N($H590)+N($I590)=0),"",IF(AND($A590&gt;='売掛帳'!$Q$3,$A590&lt;='売掛帳'!$Q$4),$A590+0.5+ROW()/10000000,""))</f>
        <v/>
      </c>
      <c r="R590" s="32">
        <f>IF(AND(OR($A590&lt;&gt;"",$E590&lt;&gt;"",$F590&lt;&gt;"",$G590&lt;&gt;"",$H590&lt;&gt;"",$I590&lt;&gt;""),NOT(ISNUMBER($O590))),1,"")</f>
        <v/>
      </c>
    </row>
    <row r="591" ht="18" customHeight="1">
      <c r="A591" s="26" t="n"/>
      <c r="B591" s="18" t="n"/>
      <c r="C591" s="18" t="n"/>
      <c r="D591" s="20">
        <f>IF($P591="","",IFERROR(INDEX('得意先'!$C$5:$C$104,MATCH($P591,'得意先'!$B$5:$B$104,0))&amp;"","※得意先にないコード"))</f>
        <v/>
      </c>
      <c r="E591" s="27" t="n"/>
      <c r="F591" s="18" t="n"/>
      <c r="G591" s="27" t="n"/>
      <c r="H591" s="27" t="n"/>
      <c r="I591" s="27" t="n"/>
      <c r="J591" s="28">
        <f>IF(NOT(OR($A591&lt;&gt;"",$E591&lt;&gt;"",$F591&lt;&gt;"",$G591&lt;&gt;"",$H591&lt;&gt;"",$I591&lt;&gt;"")),"",N($G591)+N($H591)+N($I591))</f>
        <v/>
      </c>
      <c r="K591" s="28">
        <f>IF(ISNUMBER($O591),INDEX('請求台帳'!$R$5:$R$1004,$O591),"")</f>
        <v/>
      </c>
      <c r="L591" s="20">
        <f>IF(NOT(OR($A591&lt;&gt;"",$E591&lt;&gt;"",$F591&lt;&gt;"",$G591&lt;&gt;"",$H591&lt;&gt;"",$I591&lt;&gt;"")),"",IF(NOT(ISNUMBER($A591)),"入金日がありません",IF(AND($F591&lt;&gt;"",$O591="なし"),"請求Noが請求台帳にありません",IF(AND(ISNUMBER($O591),$C591&lt;&gt;"",$C591&lt;&gt;$P591),"請求の得意先は "&amp;$P591&amp;" です",IF(ROUND(IF($B591&lt;&gt;"",SUMIF($B$5:$B$1004,$B591,$E$5:$E$1004)-SUMIF($B$5:$B$1004,$B591,$G$5:$G$1004),N($E591)-N($G591)),0)&lt;&gt;0,"通帳の額と当てた額の差 "&amp;TEXT(IF($B591&lt;&gt;"",SUMIF($B$5:$B$1004,$B591,$E$5:$E$1004)-SUMIF($B$5:$B$1004,$B591,$G$5:$G$1004),N($E591)-N($G591)),"#,##0"),IF(AND(ISNUMBER($O591),N($K591)&lt;0),"請求額より多く消し込んでいます",IF($F591="","消込先が未定","OK")))))))</f>
        <v/>
      </c>
      <c r="M591" s="19" t="n"/>
      <c r="N591" s="56" t="n"/>
      <c r="O591" s="32">
        <f>IF($F591="","",IFERROR(MATCH($F591,'請求台帳'!$A$5:$A$1004,0),"なし"))</f>
        <v/>
      </c>
      <c r="P591" s="37">
        <f>IF(NOT(OR($A591&lt;&gt;"",$E591&lt;&gt;"",$F591&lt;&gt;"",$G591&lt;&gt;"",$H591&lt;&gt;"",$I591&lt;&gt;"")),"",IF(ISNUMBER($O591),IF(INDEX('請求台帳'!$C$5:$C$1004,$O591)="","",INDEX('請求台帳'!$C$5:$C$1004,$O591)),IF($C591="","",$C591)))</f>
        <v/>
      </c>
      <c r="Q591" s="35">
        <f>IF(OR(NOT(OR($A591&lt;&gt;"",$E591&lt;&gt;"",$F591&lt;&gt;"",$G591&lt;&gt;"",$H591&lt;&gt;"",$I591&lt;&gt;"")),$P591="",$P591&lt;&gt;'売掛帳'!$B$3,NOT(ISNUMBER($A591)),N($G591)+N($H591)+N($I591)=0),"",IF(AND($A591&gt;='売掛帳'!$Q$3,$A591&lt;='売掛帳'!$Q$4),$A591+0.5+ROW()/10000000,""))</f>
        <v/>
      </c>
      <c r="R591" s="32">
        <f>IF(AND(OR($A591&lt;&gt;"",$E591&lt;&gt;"",$F591&lt;&gt;"",$G591&lt;&gt;"",$H591&lt;&gt;"",$I591&lt;&gt;""),NOT(ISNUMBER($O591))),1,"")</f>
        <v/>
      </c>
    </row>
    <row r="592" ht="18" customHeight="1">
      <c r="A592" s="26" t="n"/>
      <c r="B592" s="18" t="n"/>
      <c r="C592" s="18" t="n"/>
      <c r="D592" s="20">
        <f>IF($P592="","",IFERROR(INDEX('得意先'!$C$5:$C$104,MATCH($P592,'得意先'!$B$5:$B$104,0))&amp;"","※得意先にないコード"))</f>
        <v/>
      </c>
      <c r="E592" s="27" t="n"/>
      <c r="F592" s="18" t="n"/>
      <c r="G592" s="27" t="n"/>
      <c r="H592" s="27" t="n"/>
      <c r="I592" s="27" t="n"/>
      <c r="J592" s="28">
        <f>IF(NOT(OR($A592&lt;&gt;"",$E592&lt;&gt;"",$F592&lt;&gt;"",$G592&lt;&gt;"",$H592&lt;&gt;"",$I592&lt;&gt;"")),"",N($G592)+N($H592)+N($I592))</f>
        <v/>
      </c>
      <c r="K592" s="28">
        <f>IF(ISNUMBER($O592),INDEX('請求台帳'!$R$5:$R$1004,$O592),"")</f>
        <v/>
      </c>
      <c r="L592" s="20">
        <f>IF(NOT(OR($A592&lt;&gt;"",$E592&lt;&gt;"",$F592&lt;&gt;"",$G592&lt;&gt;"",$H592&lt;&gt;"",$I592&lt;&gt;"")),"",IF(NOT(ISNUMBER($A592)),"入金日がありません",IF(AND($F592&lt;&gt;"",$O592="なし"),"請求Noが請求台帳にありません",IF(AND(ISNUMBER($O592),$C592&lt;&gt;"",$C592&lt;&gt;$P592),"請求の得意先は "&amp;$P592&amp;" です",IF(ROUND(IF($B592&lt;&gt;"",SUMIF($B$5:$B$1004,$B592,$E$5:$E$1004)-SUMIF($B$5:$B$1004,$B592,$G$5:$G$1004),N($E592)-N($G592)),0)&lt;&gt;0,"通帳の額と当てた額の差 "&amp;TEXT(IF($B592&lt;&gt;"",SUMIF($B$5:$B$1004,$B592,$E$5:$E$1004)-SUMIF($B$5:$B$1004,$B592,$G$5:$G$1004),N($E592)-N($G592)),"#,##0"),IF(AND(ISNUMBER($O592),N($K592)&lt;0),"請求額より多く消し込んでいます",IF($F592="","消込先が未定","OK")))))))</f>
        <v/>
      </c>
      <c r="M592" s="19" t="n"/>
      <c r="N592" s="56" t="n"/>
      <c r="O592" s="32">
        <f>IF($F592="","",IFERROR(MATCH($F592,'請求台帳'!$A$5:$A$1004,0),"なし"))</f>
        <v/>
      </c>
      <c r="P592" s="37">
        <f>IF(NOT(OR($A592&lt;&gt;"",$E592&lt;&gt;"",$F592&lt;&gt;"",$G592&lt;&gt;"",$H592&lt;&gt;"",$I592&lt;&gt;"")),"",IF(ISNUMBER($O592),IF(INDEX('請求台帳'!$C$5:$C$1004,$O592)="","",INDEX('請求台帳'!$C$5:$C$1004,$O592)),IF($C592="","",$C592)))</f>
        <v/>
      </c>
      <c r="Q592" s="35">
        <f>IF(OR(NOT(OR($A592&lt;&gt;"",$E592&lt;&gt;"",$F592&lt;&gt;"",$G592&lt;&gt;"",$H592&lt;&gt;"",$I592&lt;&gt;"")),$P592="",$P592&lt;&gt;'売掛帳'!$B$3,NOT(ISNUMBER($A592)),N($G592)+N($H592)+N($I592)=0),"",IF(AND($A592&gt;='売掛帳'!$Q$3,$A592&lt;='売掛帳'!$Q$4),$A592+0.5+ROW()/10000000,""))</f>
        <v/>
      </c>
      <c r="R592" s="32">
        <f>IF(AND(OR($A592&lt;&gt;"",$E592&lt;&gt;"",$F592&lt;&gt;"",$G592&lt;&gt;"",$H592&lt;&gt;"",$I592&lt;&gt;""),NOT(ISNUMBER($O592))),1,"")</f>
        <v/>
      </c>
    </row>
    <row r="593" ht="18" customHeight="1">
      <c r="A593" s="26" t="n"/>
      <c r="B593" s="18" t="n"/>
      <c r="C593" s="18" t="n"/>
      <c r="D593" s="20">
        <f>IF($P593="","",IFERROR(INDEX('得意先'!$C$5:$C$104,MATCH($P593,'得意先'!$B$5:$B$104,0))&amp;"","※得意先にないコード"))</f>
        <v/>
      </c>
      <c r="E593" s="27" t="n"/>
      <c r="F593" s="18" t="n"/>
      <c r="G593" s="27" t="n"/>
      <c r="H593" s="27" t="n"/>
      <c r="I593" s="27" t="n"/>
      <c r="J593" s="28">
        <f>IF(NOT(OR($A593&lt;&gt;"",$E593&lt;&gt;"",$F593&lt;&gt;"",$G593&lt;&gt;"",$H593&lt;&gt;"",$I593&lt;&gt;"")),"",N($G593)+N($H593)+N($I593))</f>
        <v/>
      </c>
      <c r="K593" s="28">
        <f>IF(ISNUMBER($O593),INDEX('請求台帳'!$R$5:$R$1004,$O593),"")</f>
        <v/>
      </c>
      <c r="L593" s="20">
        <f>IF(NOT(OR($A593&lt;&gt;"",$E593&lt;&gt;"",$F593&lt;&gt;"",$G593&lt;&gt;"",$H593&lt;&gt;"",$I593&lt;&gt;"")),"",IF(NOT(ISNUMBER($A593)),"入金日がありません",IF(AND($F593&lt;&gt;"",$O593="なし"),"請求Noが請求台帳にありません",IF(AND(ISNUMBER($O593),$C593&lt;&gt;"",$C593&lt;&gt;$P593),"請求の得意先は "&amp;$P593&amp;" です",IF(ROUND(IF($B593&lt;&gt;"",SUMIF($B$5:$B$1004,$B593,$E$5:$E$1004)-SUMIF($B$5:$B$1004,$B593,$G$5:$G$1004),N($E593)-N($G593)),0)&lt;&gt;0,"通帳の額と当てた額の差 "&amp;TEXT(IF($B593&lt;&gt;"",SUMIF($B$5:$B$1004,$B593,$E$5:$E$1004)-SUMIF($B$5:$B$1004,$B593,$G$5:$G$1004),N($E593)-N($G593)),"#,##0"),IF(AND(ISNUMBER($O593),N($K593)&lt;0),"請求額より多く消し込んでいます",IF($F593="","消込先が未定","OK")))))))</f>
        <v/>
      </c>
      <c r="M593" s="19" t="n"/>
      <c r="N593" s="56" t="n"/>
      <c r="O593" s="32">
        <f>IF($F593="","",IFERROR(MATCH($F593,'請求台帳'!$A$5:$A$1004,0),"なし"))</f>
        <v/>
      </c>
      <c r="P593" s="37">
        <f>IF(NOT(OR($A593&lt;&gt;"",$E593&lt;&gt;"",$F593&lt;&gt;"",$G593&lt;&gt;"",$H593&lt;&gt;"",$I593&lt;&gt;"")),"",IF(ISNUMBER($O593),IF(INDEX('請求台帳'!$C$5:$C$1004,$O593)="","",INDEX('請求台帳'!$C$5:$C$1004,$O593)),IF($C593="","",$C593)))</f>
        <v/>
      </c>
      <c r="Q593" s="35">
        <f>IF(OR(NOT(OR($A593&lt;&gt;"",$E593&lt;&gt;"",$F593&lt;&gt;"",$G593&lt;&gt;"",$H593&lt;&gt;"",$I593&lt;&gt;"")),$P593="",$P593&lt;&gt;'売掛帳'!$B$3,NOT(ISNUMBER($A593)),N($G593)+N($H593)+N($I593)=0),"",IF(AND($A593&gt;='売掛帳'!$Q$3,$A593&lt;='売掛帳'!$Q$4),$A593+0.5+ROW()/10000000,""))</f>
        <v/>
      </c>
      <c r="R593" s="32">
        <f>IF(AND(OR($A593&lt;&gt;"",$E593&lt;&gt;"",$F593&lt;&gt;"",$G593&lt;&gt;"",$H593&lt;&gt;"",$I593&lt;&gt;""),NOT(ISNUMBER($O593))),1,"")</f>
        <v/>
      </c>
    </row>
    <row r="594" ht="18" customHeight="1">
      <c r="A594" s="26" t="n"/>
      <c r="B594" s="18" t="n"/>
      <c r="C594" s="18" t="n"/>
      <c r="D594" s="20">
        <f>IF($P594="","",IFERROR(INDEX('得意先'!$C$5:$C$104,MATCH($P594,'得意先'!$B$5:$B$104,0))&amp;"","※得意先にないコード"))</f>
        <v/>
      </c>
      <c r="E594" s="27" t="n"/>
      <c r="F594" s="18" t="n"/>
      <c r="G594" s="27" t="n"/>
      <c r="H594" s="27" t="n"/>
      <c r="I594" s="27" t="n"/>
      <c r="J594" s="28">
        <f>IF(NOT(OR($A594&lt;&gt;"",$E594&lt;&gt;"",$F594&lt;&gt;"",$G594&lt;&gt;"",$H594&lt;&gt;"",$I594&lt;&gt;"")),"",N($G594)+N($H594)+N($I594))</f>
        <v/>
      </c>
      <c r="K594" s="28">
        <f>IF(ISNUMBER($O594),INDEX('請求台帳'!$R$5:$R$1004,$O594),"")</f>
        <v/>
      </c>
      <c r="L594" s="20">
        <f>IF(NOT(OR($A594&lt;&gt;"",$E594&lt;&gt;"",$F594&lt;&gt;"",$G594&lt;&gt;"",$H594&lt;&gt;"",$I594&lt;&gt;"")),"",IF(NOT(ISNUMBER($A594)),"入金日がありません",IF(AND($F594&lt;&gt;"",$O594="なし"),"請求Noが請求台帳にありません",IF(AND(ISNUMBER($O594),$C594&lt;&gt;"",$C594&lt;&gt;$P594),"請求の得意先は "&amp;$P594&amp;" です",IF(ROUND(IF($B594&lt;&gt;"",SUMIF($B$5:$B$1004,$B594,$E$5:$E$1004)-SUMIF($B$5:$B$1004,$B594,$G$5:$G$1004),N($E594)-N($G594)),0)&lt;&gt;0,"通帳の額と当てた額の差 "&amp;TEXT(IF($B594&lt;&gt;"",SUMIF($B$5:$B$1004,$B594,$E$5:$E$1004)-SUMIF($B$5:$B$1004,$B594,$G$5:$G$1004),N($E594)-N($G594)),"#,##0"),IF(AND(ISNUMBER($O594),N($K594)&lt;0),"請求額より多く消し込んでいます",IF($F594="","消込先が未定","OK")))))))</f>
        <v/>
      </c>
      <c r="M594" s="19" t="n"/>
      <c r="N594" s="56" t="n"/>
      <c r="O594" s="32">
        <f>IF($F594="","",IFERROR(MATCH($F594,'請求台帳'!$A$5:$A$1004,0),"なし"))</f>
        <v/>
      </c>
      <c r="P594" s="37">
        <f>IF(NOT(OR($A594&lt;&gt;"",$E594&lt;&gt;"",$F594&lt;&gt;"",$G594&lt;&gt;"",$H594&lt;&gt;"",$I594&lt;&gt;"")),"",IF(ISNUMBER($O594),IF(INDEX('請求台帳'!$C$5:$C$1004,$O594)="","",INDEX('請求台帳'!$C$5:$C$1004,$O594)),IF($C594="","",$C594)))</f>
        <v/>
      </c>
      <c r="Q594" s="35">
        <f>IF(OR(NOT(OR($A594&lt;&gt;"",$E594&lt;&gt;"",$F594&lt;&gt;"",$G594&lt;&gt;"",$H594&lt;&gt;"",$I594&lt;&gt;"")),$P594="",$P594&lt;&gt;'売掛帳'!$B$3,NOT(ISNUMBER($A594)),N($G594)+N($H594)+N($I594)=0),"",IF(AND($A594&gt;='売掛帳'!$Q$3,$A594&lt;='売掛帳'!$Q$4),$A594+0.5+ROW()/10000000,""))</f>
        <v/>
      </c>
      <c r="R594" s="32">
        <f>IF(AND(OR($A594&lt;&gt;"",$E594&lt;&gt;"",$F594&lt;&gt;"",$G594&lt;&gt;"",$H594&lt;&gt;"",$I594&lt;&gt;""),NOT(ISNUMBER($O594))),1,"")</f>
        <v/>
      </c>
    </row>
    <row r="595" ht="18" customHeight="1">
      <c r="A595" s="26" t="n"/>
      <c r="B595" s="18" t="n"/>
      <c r="C595" s="18" t="n"/>
      <c r="D595" s="20">
        <f>IF($P595="","",IFERROR(INDEX('得意先'!$C$5:$C$104,MATCH($P595,'得意先'!$B$5:$B$104,0))&amp;"","※得意先にないコード"))</f>
        <v/>
      </c>
      <c r="E595" s="27" t="n"/>
      <c r="F595" s="18" t="n"/>
      <c r="G595" s="27" t="n"/>
      <c r="H595" s="27" t="n"/>
      <c r="I595" s="27" t="n"/>
      <c r="J595" s="28">
        <f>IF(NOT(OR($A595&lt;&gt;"",$E595&lt;&gt;"",$F595&lt;&gt;"",$G595&lt;&gt;"",$H595&lt;&gt;"",$I595&lt;&gt;"")),"",N($G595)+N($H595)+N($I595))</f>
        <v/>
      </c>
      <c r="K595" s="28">
        <f>IF(ISNUMBER($O595),INDEX('請求台帳'!$R$5:$R$1004,$O595),"")</f>
        <v/>
      </c>
      <c r="L595" s="20">
        <f>IF(NOT(OR($A595&lt;&gt;"",$E595&lt;&gt;"",$F595&lt;&gt;"",$G595&lt;&gt;"",$H595&lt;&gt;"",$I595&lt;&gt;"")),"",IF(NOT(ISNUMBER($A595)),"入金日がありません",IF(AND($F595&lt;&gt;"",$O595="なし"),"請求Noが請求台帳にありません",IF(AND(ISNUMBER($O595),$C595&lt;&gt;"",$C595&lt;&gt;$P595),"請求の得意先は "&amp;$P595&amp;" です",IF(ROUND(IF($B595&lt;&gt;"",SUMIF($B$5:$B$1004,$B595,$E$5:$E$1004)-SUMIF($B$5:$B$1004,$B595,$G$5:$G$1004),N($E595)-N($G595)),0)&lt;&gt;0,"通帳の額と当てた額の差 "&amp;TEXT(IF($B595&lt;&gt;"",SUMIF($B$5:$B$1004,$B595,$E$5:$E$1004)-SUMIF($B$5:$B$1004,$B595,$G$5:$G$1004),N($E595)-N($G595)),"#,##0"),IF(AND(ISNUMBER($O595),N($K595)&lt;0),"請求額より多く消し込んでいます",IF($F595="","消込先が未定","OK")))))))</f>
        <v/>
      </c>
      <c r="M595" s="19" t="n"/>
      <c r="N595" s="56" t="n"/>
      <c r="O595" s="32">
        <f>IF($F595="","",IFERROR(MATCH($F595,'請求台帳'!$A$5:$A$1004,0),"なし"))</f>
        <v/>
      </c>
      <c r="P595" s="37">
        <f>IF(NOT(OR($A595&lt;&gt;"",$E595&lt;&gt;"",$F595&lt;&gt;"",$G595&lt;&gt;"",$H595&lt;&gt;"",$I595&lt;&gt;"")),"",IF(ISNUMBER($O595),IF(INDEX('請求台帳'!$C$5:$C$1004,$O595)="","",INDEX('請求台帳'!$C$5:$C$1004,$O595)),IF($C595="","",$C595)))</f>
        <v/>
      </c>
      <c r="Q595" s="35">
        <f>IF(OR(NOT(OR($A595&lt;&gt;"",$E595&lt;&gt;"",$F595&lt;&gt;"",$G595&lt;&gt;"",$H595&lt;&gt;"",$I595&lt;&gt;"")),$P595="",$P595&lt;&gt;'売掛帳'!$B$3,NOT(ISNUMBER($A595)),N($G595)+N($H595)+N($I595)=0),"",IF(AND($A595&gt;='売掛帳'!$Q$3,$A595&lt;='売掛帳'!$Q$4),$A595+0.5+ROW()/10000000,""))</f>
        <v/>
      </c>
      <c r="R595" s="32">
        <f>IF(AND(OR($A595&lt;&gt;"",$E595&lt;&gt;"",$F595&lt;&gt;"",$G595&lt;&gt;"",$H595&lt;&gt;"",$I595&lt;&gt;""),NOT(ISNUMBER($O595))),1,"")</f>
        <v/>
      </c>
    </row>
    <row r="596" ht="18" customHeight="1">
      <c r="A596" s="26" t="n"/>
      <c r="B596" s="18" t="n"/>
      <c r="C596" s="18" t="n"/>
      <c r="D596" s="20">
        <f>IF($P596="","",IFERROR(INDEX('得意先'!$C$5:$C$104,MATCH($P596,'得意先'!$B$5:$B$104,0))&amp;"","※得意先にないコード"))</f>
        <v/>
      </c>
      <c r="E596" s="27" t="n"/>
      <c r="F596" s="18" t="n"/>
      <c r="G596" s="27" t="n"/>
      <c r="H596" s="27" t="n"/>
      <c r="I596" s="27" t="n"/>
      <c r="J596" s="28">
        <f>IF(NOT(OR($A596&lt;&gt;"",$E596&lt;&gt;"",$F596&lt;&gt;"",$G596&lt;&gt;"",$H596&lt;&gt;"",$I596&lt;&gt;"")),"",N($G596)+N($H596)+N($I596))</f>
        <v/>
      </c>
      <c r="K596" s="28">
        <f>IF(ISNUMBER($O596),INDEX('請求台帳'!$R$5:$R$1004,$O596),"")</f>
        <v/>
      </c>
      <c r="L596" s="20">
        <f>IF(NOT(OR($A596&lt;&gt;"",$E596&lt;&gt;"",$F596&lt;&gt;"",$G596&lt;&gt;"",$H596&lt;&gt;"",$I596&lt;&gt;"")),"",IF(NOT(ISNUMBER($A596)),"入金日がありません",IF(AND($F596&lt;&gt;"",$O596="なし"),"請求Noが請求台帳にありません",IF(AND(ISNUMBER($O596),$C596&lt;&gt;"",$C596&lt;&gt;$P596),"請求の得意先は "&amp;$P596&amp;" です",IF(ROUND(IF($B596&lt;&gt;"",SUMIF($B$5:$B$1004,$B596,$E$5:$E$1004)-SUMIF($B$5:$B$1004,$B596,$G$5:$G$1004),N($E596)-N($G596)),0)&lt;&gt;0,"通帳の額と当てた額の差 "&amp;TEXT(IF($B596&lt;&gt;"",SUMIF($B$5:$B$1004,$B596,$E$5:$E$1004)-SUMIF($B$5:$B$1004,$B596,$G$5:$G$1004),N($E596)-N($G596)),"#,##0"),IF(AND(ISNUMBER($O596),N($K596)&lt;0),"請求額より多く消し込んでいます",IF($F596="","消込先が未定","OK")))))))</f>
        <v/>
      </c>
      <c r="M596" s="19" t="n"/>
      <c r="N596" s="56" t="n"/>
      <c r="O596" s="32">
        <f>IF($F596="","",IFERROR(MATCH($F596,'請求台帳'!$A$5:$A$1004,0),"なし"))</f>
        <v/>
      </c>
      <c r="P596" s="37">
        <f>IF(NOT(OR($A596&lt;&gt;"",$E596&lt;&gt;"",$F596&lt;&gt;"",$G596&lt;&gt;"",$H596&lt;&gt;"",$I596&lt;&gt;"")),"",IF(ISNUMBER($O596),IF(INDEX('請求台帳'!$C$5:$C$1004,$O596)="","",INDEX('請求台帳'!$C$5:$C$1004,$O596)),IF($C596="","",$C596)))</f>
        <v/>
      </c>
      <c r="Q596" s="35">
        <f>IF(OR(NOT(OR($A596&lt;&gt;"",$E596&lt;&gt;"",$F596&lt;&gt;"",$G596&lt;&gt;"",$H596&lt;&gt;"",$I596&lt;&gt;"")),$P596="",$P596&lt;&gt;'売掛帳'!$B$3,NOT(ISNUMBER($A596)),N($G596)+N($H596)+N($I596)=0),"",IF(AND($A596&gt;='売掛帳'!$Q$3,$A596&lt;='売掛帳'!$Q$4),$A596+0.5+ROW()/10000000,""))</f>
        <v/>
      </c>
      <c r="R596" s="32">
        <f>IF(AND(OR($A596&lt;&gt;"",$E596&lt;&gt;"",$F596&lt;&gt;"",$G596&lt;&gt;"",$H596&lt;&gt;"",$I596&lt;&gt;""),NOT(ISNUMBER($O596))),1,"")</f>
        <v/>
      </c>
    </row>
    <row r="597" ht="18" customHeight="1">
      <c r="A597" s="26" t="n"/>
      <c r="B597" s="18" t="n"/>
      <c r="C597" s="18" t="n"/>
      <c r="D597" s="20">
        <f>IF($P597="","",IFERROR(INDEX('得意先'!$C$5:$C$104,MATCH($P597,'得意先'!$B$5:$B$104,0))&amp;"","※得意先にないコード"))</f>
        <v/>
      </c>
      <c r="E597" s="27" t="n"/>
      <c r="F597" s="18" t="n"/>
      <c r="G597" s="27" t="n"/>
      <c r="H597" s="27" t="n"/>
      <c r="I597" s="27" t="n"/>
      <c r="J597" s="28">
        <f>IF(NOT(OR($A597&lt;&gt;"",$E597&lt;&gt;"",$F597&lt;&gt;"",$G597&lt;&gt;"",$H597&lt;&gt;"",$I597&lt;&gt;"")),"",N($G597)+N($H597)+N($I597))</f>
        <v/>
      </c>
      <c r="K597" s="28">
        <f>IF(ISNUMBER($O597),INDEX('請求台帳'!$R$5:$R$1004,$O597),"")</f>
        <v/>
      </c>
      <c r="L597" s="20">
        <f>IF(NOT(OR($A597&lt;&gt;"",$E597&lt;&gt;"",$F597&lt;&gt;"",$G597&lt;&gt;"",$H597&lt;&gt;"",$I597&lt;&gt;"")),"",IF(NOT(ISNUMBER($A597)),"入金日がありません",IF(AND($F597&lt;&gt;"",$O597="なし"),"請求Noが請求台帳にありません",IF(AND(ISNUMBER($O597),$C597&lt;&gt;"",$C597&lt;&gt;$P597),"請求の得意先は "&amp;$P597&amp;" です",IF(ROUND(IF($B597&lt;&gt;"",SUMIF($B$5:$B$1004,$B597,$E$5:$E$1004)-SUMIF($B$5:$B$1004,$B597,$G$5:$G$1004),N($E597)-N($G597)),0)&lt;&gt;0,"通帳の額と当てた額の差 "&amp;TEXT(IF($B597&lt;&gt;"",SUMIF($B$5:$B$1004,$B597,$E$5:$E$1004)-SUMIF($B$5:$B$1004,$B597,$G$5:$G$1004),N($E597)-N($G597)),"#,##0"),IF(AND(ISNUMBER($O597),N($K597)&lt;0),"請求額より多く消し込んでいます",IF($F597="","消込先が未定","OK")))))))</f>
        <v/>
      </c>
      <c r="M597" s="19" t="n"/>
      <c r="N597" s="56" t="n"/>
      <c r="O597" s="32">
        <f>IF($F597="","",IFERROR(MATCH($F597,'請求台帳'!$A$5:$A$1004,0),"なし"))</f>
        <v/>
      </c>
      <c r="P597" s="37">
        <f>IF(NOT(OR($A597&lt;&gt;"",$E597&lt;&gt;"",$F597&lt;&gt;"",$G597&lt;&gt;"",$H597&lt;&gt;"",$I597&lt;&gt;"")),"",IF(ISNUMBER($O597),IF(INDEX('請求台帳'!$C$5:$C$1004,$O597)="","",INDEX('請求台帳'!$C$5:$C$1004,$O597)),IF($C597="","",$C597)))</f>
        <v/>
      </c>
      <c r="Q597" s="35">
        <f>IF(OR(NOT(OR($A597&lt;&gt;"",$E597&lt;&gt;"",$F597&lt;&gt;"",$G597&lt;&gt;"",$H597&lt;&gt;"",$I597&lt;&gt;"")),$P597="",$P597&lt;&gt;'売掛帳'!$B$3,NOT(ISNUMBER($A597)),N($G597)+N($H597)+N($I597)=0),"",IF(AND($A597&gt;='売掛帳'!$Q$3,$A597&lt;='売掛帳'!$Q$4),$A597+0.5+ROW()/10000000,""))</f>
        <v/>
      </c>
      <c r="R597" s="32">
        <f>IF(AND(OR($A597&lt;&gt;"",$E597&lt;&gt;"",$F597&lt;&gt;"",$G597&lt;&gt;"",$H597&lt;&gt;"",$I597&lt;&gt;""),NOT(ISNUMBER($O597))),1,"")</f>
        <v/>
      </c>
    </row>
    <row r="598" ht="18" customHeight="1">
      <c r="A598" s="26" t="n"/>
      <c r="B598" s="18" t="n"/>
      <c r="C598" s="18" t="n"/>
      <c r="D598" s="20">
        <f>IF($P598="","",IFERROR(INDEX('得意先'!$C$5:$C$104,MATCH($P598,'得意先'!$B$5:$B$104,0))&amp;"","※得意先にないコード"))</f>
        <v/>
      </c>
      <c r="E598" s="27" t="n"/>
      <c r="F598" s="18" t="n"/>
      <c r="G598" s="27" t="n"/>
      <c r="H598" s="27" t="n"/>
      <c r="I598" s="27" t="n"/>
      <c r="J598" s="28">
        <f>IF(NOT(OR($A598&lt;&gt;"",$E598&lt;&gt;"",$F598&lt;&gt;"",$G598&lt;&gt;"",$H598&lt;&gt;"",$I598&lt;&gt;"")),"",N($G598)+N($H598)+N($I598))</f>
        <v/>
      </c>
      <c r="K598" s="28">
        <f>IF(ISNUMBER($O598),INDEX('請求台帳'!$R$5:$R$1004,$O598),"")</f>
        <v/>
      </c>
      <c r="L598" s="20">
        <f>IF(NOT(OR($A598&lt;&gt;"",$E598&lt;&gt;"",$F598&lt;&gt;"",$G598&lt;&gt;"",$H598&lt;&gt;"",$I598&lt;&gt;"")),"",IF(NOT(ISNUMBER($A598)),"入金日がありません",IF(AND($F598&lt;&gt;"",$O598="なし"),"請求Noが請求台帳にありません",IF(AND(ISNUMBER($O598),$C598&lt;&gt;"",$C598&lt;&gt;$P598),"請求の得意先は "&amp;$P598&amp;" です",IF(ROUND(IF($B598&lt;&gt;"",SUMIF($B$5:$B$1004,$B598,$E$5:$E$1004)-SUMIF($B$5:$B$1004,$B598,$G$5:$G$1004),N($E598)-N($G598)),0)&lt;&gt;0,"通帳の額と当てた額の差 "&amp;TEXT(IF($B598&lt;&gt;"",SUMIF($B$5:$B$1004,$B598,$E$5:$E$1004)-SUMIF($B$5:$B$1004,$B598,$G$5:$G$1004),N($E598)-N($G598)),"#,##0"),IF(AND(ISNUMBER($O598),N($K598)&lt;0),"請求額より多く消し込んでいます",IF($F598="","消込先が未定","OK")))))))</f>
        <v/>
      </c>
      <c r="M598" s="19" t="n"/>
      <c r="N598" s="56" t="n"/>
      <c r="O598" s="32">
        <f>IF($F598="","",IFERROR(MATCH($F598,'請求台帳'!$A$5:$A$1004,0),"なし"))</f>
        <v/>
      </c>
      <c r="P598" s="37">
        <f>IF(NOT(OR($A598&lt;&gt;"",$E598&lt;&gt;"",$F598&lt;&gt;"",$G598&lt;&gt;"",$H598&lt;&gt;"",$I598&lt;&gt;"")),"",IF(ISNUMBER($O598),IF(INDEX('請求台帳'!$C$5:$C$1004,$O598)="","",INDEX('請求台帳'!$C$5:$C$1004,$O598)),IF($C598="","",$C598)))</f>
        <v/>
      </c>
      <c r="Q598" s="35">
        <f>IF(OR(NOT(OR($A598&lt;&gt;"",$E598&lt;&gt;"",$F598&lt;&gt;"",$G598&lt;&gt;"",$H598&lt;&gt;"",$I598&lt;&gt;"")),$P598="",$P598&lt;&gt;'売掛帳'!$B$3,NOT(ISNUMBER($A598)),N($G598)+N($H598)+N($I598)=0),"",IF(AND($A598&gt;='売掛帳'!$Q$3,$A598&lt;='売掛帳'!$Q$4),$A598+0.5+ROW()/10000000,""))</f>
        <v/>
      </c>
      <c r="R598" s="32">
        <f>IF(AND(OR($A598&lt;&gt;"",$E598&lt;&gt;"",$F598&lt;&gt;"",$G598&lt;&gt;"",$H598&lt;&gt;"",$I598&lt;&gt;""),NOT(ISNUMBER($O598))),1,"")</f>
        <v/>
      </c>
    </row>
    <row r="599" ht="18" customHeight="1">
      <c r="A599" s="26" t="n"/>
      <c r="B599" s="18" t="n"/>
      <c r="C599" s="18" t="n"/>
      <c r="D599" s="20">
        <f>IF($P599="","",IFERROR(INDEX('得意先'!$C$5:$C$104,MATCH($P599,'得意先'!$B$5:$B$104,0))&amp;"","※得意先にないコード"))</f>
        <v/>
      </c>
      <c r="E599" s="27" t="n"/>
      <c r="F599" s="18" t="n"/>
      <c r="G599" s="27" t="n"/>
      <c r="H599" s="27" t="n"/>
      <c r="I599" s="27" t="n"/>
      <c r="J599" s="28">
        <f>IF(NOT(OR($A599&lt;&gt;"",$E599&lt;&gt;"",$F599&lt;&gt;"",$G599&lt;&gt;"",$H599&lt;&gt;"",$I599&lt;&gt;"")),"",N($G599)+N($H599)+N($I599))</f>
        <v/>
      </c>
      <c r="K599" s="28">
        <f>IF(ISNUMBER($O599),INDEX('請求台帳'!$R$5:$R$1004,$O599),"")</f>
        <v/>
      </c>
      <c r="L599" s="20">
        <f>IF(NOT(OR($A599&lt;&gt;"",$E599&lt;&gt;"",$F599&lt;&gt;"",$G599&lt;&gt;"",$H599&lt;&gt;"",$I599&lt;&gt;"")),"",IF(NOT(ISNUMBER($A599)),"入金日がありません",IF(AND($F599&lt;&gt;"",$O599="なし"),"請求Noが請求台帳にありません",IF(AND(ISNUMBER($O599),$C599&lt;&gt;"",$C599&lt;&gt;$P599),"請求の得意先は "&amp;$P599&amp;" です",IF(ROUND(IF($B599&lt;&gt;"",SUMIF($B$5:$B$1004,$B599,$E$5:$E$1004)-SUMIF($B$5:$B$1004,$B599,$G$5:$G$1004),N($E599)-N($G599)),0)&lt;&gt;0,"通帳の額と当てた額の差 "&amp;TEXT(IF($B599&lt;&gt;"",SUMIF($B$5:$B$1004,$B599,$E$5:$E$1004)-SUMIF($B$5:$B$1004,$B599,$G$5:$G$1004),N($E599)-N($G599)),"#,##0"),IF(AND(ISNUMBER($O599),N($K599)&lt;0),"請求額より多く消し込んでいます",IF($F599="","消込先が未定","OK")))))))</f>
        <v/>
      </c>
      <c r="M599" s="19" t="n"/>
      <c r="N599" s="56" t="n"/>
      <c r="O599" s="32">
        <f>IF($F599="","",IFERROR(MATCH($F599,'請求台帳'!$A$5:$A$1004,0),"なし"))</f>
        <v/>
      </c>
      <c r="P599" s="37">
        <f>IF(NOT(OR($A599&lt;&gt;"",$E599&lt;&gt;"",$F599&lt;&gt;"",$G599&lt;&gt;"",$H599&lt;&gt;"",$I599&lt;&gt;"")),"",IF(ISNUMBER($O599),IF(INDEX('請求台帳'!$C$5:$C$1004,$O599)="","",INDEX('請求台帳'!$C$5:$C$1004,$O599)),IF($C599="","",$C599)))</f>
        <v/>
      </c>
      <c r="Q599" s="35">
        <f>IF(OR(NOT(OR($A599&lt;&gt;"",$E599&lt;&gt;"",$F599&lt;&gt;"",$G599&lt;&gt;"",$H599&lt;&gt;"",$I599&lt;&gt;"")),$P599="",$P599&lt;&gt;'売掛帳'!$B$3,NOT(ISNUMBER($A599)),N($G599)+N($H599)+N($I599)=0),"",IF(AND($A599&gt;='売掛帳'!$Q$3,$A599&lt;='売掛帳'!$Q$4),$A599+0.5+ROW()/10000000,""))</f>
        <v/>
      </c>
      <c r="R599" s="32">
        <f>IF(AND(OR($A599&lt;&gt;"",$E599&lt;&gt;"",$F599&lt;&gt;"",$G599&lt;&gt;"",$H599&lt;&gt;"",$I599&lt;&gt;""),NOT(ISNUMBER($O599))),1,"")</f>
        <v/>
      </c>
    </row>
    <row r="600" ht="18" customHeight="1">
      <c r="A600" s="26" t="n"/>
      <c r="B600" s="18" t="n"/>
      <c r="C600" s="18" t="n"/>
      <c r="D600" s="20">
        <f>IF($P600="","",IFERROR(INDEX('得意先'!$C$5:$C$104,MATCH($P600,'得意先'!$B$5:$B$104,0))&amp;"","※得意先にないコード"))</f>
        <v/>
      </c>
      <c r="E600" s="27" t="n"/>
      <c r="F600" s="18" t="n"/>
      <c r="G600" s="27" t="n"/>
      <c r="H600" s="27" t="n"/>
      <c r="I600" s="27" t="n"/>
      <c r="J600" s="28">
        <f>IF(NOT(OR($A600&lt;&gt;"",$E600&lt;&gt;"",$F600&lt;&gt;"",$G600&lt;&gt;"",$H600&lt;&gt;"",$I600&lt;&gt;"")),"",N($G600)+N($H600)+N($I600))</f>
        <v/>
      </c>
      <c r="K600" s="28">
        <f>IF(ISNUMBER($O600),INDEX('請求台帳'!$R$5:$R$1004,$O600),"")</f>
        <v/>
      </c>
      <c r="L600" s="20">
        <f>IF(NOT(OR($A600&lt;&gt;"",$E600&lt;&gt;"",$F600&lt;&gt;"",$G600&lt;&gt;"",$H600&lt;&gt;"",$I600&lt;&gt;"")),"",IF(NOT(ISNUMBER($A600)),"入金日がありません",IF(AND($F600&lt;&gt;"",$O600="なし"),"請求Noが請求台帳にありません",IF(AND(ISNUMBER($O600),$C600&lt;&gt;"",$C600&lt;&gt;$P600),"請求の得意先は "&amp;$P600&amp;" です",IF(ROUND(IF($B600&lt;&gt;"",SUMIF($B$5:$B$1004,$B600,$E$5:$E$1004)-SUMIF($B$5:$B$1004,$B600,$G$5:$G$1004),N($E600)-N($G600)),0)&lt;&gt;0,"通帳の額と当てた額の差 "&amp;TEXT(IF($B600&lt;&gt;"",SUMIF($B$5:$B$1004,$B600,$E$5:$E$1004)-SUMIF($B$5:$B$1004,$B600,$G$5:$G$1004),N($E600)-N($G600)),"#,##0"),IF(AND(ISNUMBER($O600),N($K600)&lt;0),"請求額より多く消し込んでいます",IF($F600="","消込先が未定","OK")))))))</f>
        <v/>
      </c>
      <c r="M600" s="19" t="n"/>
      <c r="N600" s="56" t="n"/>
      <c r="O600" s="32">
        <f>IF($F600="","",IFERROR(MATCH($F600,'請求台帳'!$A$5:$A$1004,0),"なし"))</f>
        <v/>
      </c>
      <c r="P600" s="37">
        <f>IF(NOT(OR($A600&lt;&gt;"",$E600&lt;&gt;"",$F600&lt;&gt;"",$G600&lt;&gt;"",$H600&lt;&gt;"",$I600&lt;&gt;"")),"",IF(ISNUMBER($O600),IF(INDEX('請求台帳'!$C$5:$C$1004,$O600)="","",INDEX('請求台帳'!$C$5:$C$1004,$O600)),IF($C600="","",$C600)))</f>
        <v/>
      </c>
      <c r="Q600" s="35">
        <f>IF(OR(NOT(OR($A600&lt;&gt;"",$E600&lt;&gt;"",$F600&lt;&gt;"",$G600&lt;&gt;"",$H600&lt;&gt;"",$I600&lt;&gt;"")),$P600="",$P600&lt;&gt;'売掛帳'!$B$3,NOT(ISNUMBER($A600)),N($G600)+N($H600)+N($I600)=0),"",IF(AND($A600&gt;='売掛帳'!$Q$3,$A600&lt;='売掛帳'!$Q$4),$A600+0.5+ROW()/10000000,""))</f>
        <v/>
      </c>
      <c r="R600" s="32">
        <f>IF(AND(OR($A600&lt;&gt;"",$E600&lt;&gt;"",$F600&lt;&gt;"",$G600&lt;&gt;"",$H600&lt;&gt;"",$I600&lt;&gt;""),NOT(ISNUMBER($O600))),1,"")</f>
        <v/>
      </c>
    </row>
    <row r="601" ht="18" customHeight="1">
      <c r="A601" s="26" t="n"/>
      <c r="B601" s="18" t="n"/>
      <c r="C601" s="18" t="n"/>
      <c r="D601" s="20">
        <f>IF($P601="","",IFERROR(INDEX('得意先'!$C$5:$C$104,MATCH($P601,'得意先'!$B$5:$B$104,0))&amp;"","※得意先にないコード"))</f>
        <v/>
      </c>
      <c r="E601" s="27" t="n"/>
      <c r="F601" s="18" t="n"/>
      <c r="G601" s="27" t="n"/>
      <c r="H601" s="27" t="n"/>
      <c r="I601" s="27" t="n"/>
      <c r="J601" s="28">
        <f>IF(NOT(OR($A601&lt;&gt;"",$E601&lt;&gt;"",$F601&lt;&gt;"",$G601&lt;&gt;"",$H601&lt;&gt;"",$I601&lt;&gt;"")),"",N($G601)+N($H601)+N($I601))</f>
        <v/>
      </c>
      <c r="K601" s="28">
        <f>IF(ISNUMBER($O601),INDEX('請求台帳'!$R$5:$R$1004,$O601),"")</f>
        <v/>
      </c>
      <c r="L601" s="20">
        <f>IF(NOT(OR($A601&lt;&gt;"",$E601&lt;&gt;"",$F601&lt;&gt;"",$G601&lt;&gt;"",$H601&lt;&gt;"",$I601&lt;&gt;"")),"",IF(NOT(ISNUMBER($A601)),"入金日がありません",IF(AND($F601&lt;&gt;"",$O601="なし"),"請求Noが請求台帳にありません",IF(AND(ISNUMBER($O601),$C601&lt;&gt;"",$C601&lt;&gt;$P601),"請求の得意先は "&amp;$P601&amp;" です",IF(ROUND(IF($B601&lt;&gt;"",SUMIF($B$5:$B$1004,$B601,$E$5:$E$1004)-SUMIF($B$5:$B$1004,$B601,$G$5:$G$1004),N($E601)-N($G601)),0)&lt;&gt;0,"通帳の額と当てた額の差 "&amp;TEXT(IF($B601&lt;&gt;"",SUMIF($B$5:$B$1004,$B601,$E$5:$E$1004)-SUMIF($B$5:$B$1004,$B601,$G$5:$G$1004),N($E601)-N($G601)),"#,##0"),IF(AND(ISNUMBER($O601),N($K601)&lt;0),"請求額より多く消し込んでいます",IF($F601="","消込先が未定","OK")))))))</f>
        <v/>
      </c>
      <c r="M601" s="19" t="n"/>
      <c r="N601" s="56" t="n"/>
      <c r="O601" s="32">
        <f>IF($F601="","",IFERROR(MATCH($F601,'請求台帳'!$A$5:$A$1004,0),"なし"))</f>
        <v/>
      </c>
      <c r="P601" s="37">
        <f>IF(NOT(OR($A601&lt;&gt;"",$E601&lt;&gt;"",$F601&lt;&gt;"",$G601&lt;&gt;"",$H601&lt;&gt;"",$I601&lt;&gt;"")),"",IF(ISNUMBER($O601),IF(INDEX('請求台帳'!$C$5:$C$1004,$O601)="","",INDEX('請求台帳'!$C$5:$C$1004,$O601)),IF($C601="","",$C601)))</f>
        <v/>
      </c>
      <c r="Q601" s="35">
        <f>IF(OR(NOT(OR($A601&lt;&gt;"",$E601&lt;&gt;"",$F601&lt;&gt;"",$G601&lt;&gt;"",$H601&lt;&gt;"",$I601&lt;&gt;"")),$P601="",$P601&lt;&gt;'売掛帳'!$B$3,NOT(ISNUMBER($A601)),N($G601)+N($H601)+N($I601)=0),"",IF(AND($A601&gt;='売掛帳'!$Q$3,$A601&lt;='売掛帳'!$Q$4),$A601+0.5+ROW()/10000000,""))</f>
        <v/>
      </c>
      <c r="R601" s="32">
        <f>IF(AND(OR($A601&lt;&gt;"",$E601&lt;&gt;"",$F601&lt;&gt;"",$G601&lt;&gt;"",$H601&lt;&gt;"",$I601&lt;&gt;""),NOT(ISNUMBER($O601))),1,"")</f>
        <v/>
      </c>
    </row>
    <row r="602" ht="18" customHeight="1">
      <c r="A602" s="26" t="n"/>
      <c r="B602" s="18" t="n"/>
      <c r="C602" s="18" t="n"/>
      <c r="D602" s="20">
        <f>IF($P602="","",IFERROR(INDEX('得意先'!$C$5:$C$104,MATCH($P602,'得意先'!$B$5:$B$104,0))&amp;"","※得意先にないコード"))</f>
        <v/>
      </c>
      <c r="E602" s="27" t="n"/>
      <c r="F602" s="18" t="n"/>
      <c r="G602" s="27" t="n"/>
      <c r="H602" s="27" t="n"/>
      <c r="I602" s="27" t="n"/>
      <c r="J602" s="28">
        <f>IF(NOT(OR($A602&lt;&gt;"",$E602&lt;&gt;"",$F602&lt;&gt;"",$G602&lt;&gt;"",$H602&lt;&gt;"",$I602&lt;&gt;"")),"",N($G602)+N($H602)+N($I602))</f>
        <v/>
      </c>
      <c r="K602" s="28">
        <f>IF(ISNUMBER($O602),INDEX('請求台帳'!$R$5:$R$1004,$O602),"")</f>
        <v/>
      </c>
      <c r="L602" s="20">
        <f>IF(NOT(OR($A602&lt;&gt;"",$E602&lt;&gt;"",$F602&lt;&gt;"",$G602&lt;&gt;"",$H602&lt;&gt;"",$I602&lt;&gt;"")),"",IF(NOT(ISNUMBER($A602)),"入金日がありません",IF(AND($F602&lt;&gt;"",$O602="なし"),"請求Noが請求台帳にありません",IF(AND(ISNUMBER($O602),$C602&lt;&gt;"",$C602&lt;&gt;$P602),"請求の得意先は "&amp;$P602&amp;" です",IF(ROUND(IF($B602&lt;&gt;"",SUMIF($B$5:$B$1004,$B602,$E$5:$E$1004)-SUMIF($B$5:$B$1004,$B602,$G$5:$G$1004),N($E602)-N($G602)),0)&lt;&gt;0,"通帳の額と当てた額の差 "&amp;TEXT(IF($B602&lt;&gt;"",SUMIF($B$5:$B$1004,$B602,$E$5:$E$1004)-SUMIF($B$5:$B$1004,$B602,$G$5:$G$1004),N($E602)-N($G602)),"#,##0"),IF(AND(ISNUMBER($O602),N($K602)&lt;0),"請求額より多く消し込んでいます",IF($F602="","消込先が未定","OK")))))))</f>
        <v/>
      </c>
      <c r="M602" s="19" t="n"/>
      <c r="N602" s="56" t="n"/>
      <c r="O602" s="32">
        <f>IF($F602="","",IFERROR(MATCH($F602,'請求台帳'!$A$5:$A$1004,0),"なし"))</f>
        <v/>
      </c>
      <c r="P602" s="37">
        <f>IF(NOT(OR($A602&lt;&gt;"",$E602&lt;&gt;"",$F602&lt;&gt;"",$G602&lt;&gt;"",$H602&lt;&gt;"",$I602&lt;&gt;"")),"",IF(ISNUMBER($O602),IF(INDEX('請求台帳'!$C$5:$C$1004,$O602)="","",INDEX('請求台帳'!$C$5:$C$1004,$O602)),IF($C602="","",$C602)))</f>
        <v/>
      </c>
      <c r="Q602" s="35">
        <f>IF(OR(NOT(OR($A602&lt;&gt;"",$E602&lt;&gt;"",$F602&lt;&gt;"",$G602&lt;&gt;"",$H602&lt;&gt;"",$I602&lt;&gt;"")),$P602="",$P602&lt;&gt;'売掛帳'!$B$3,NOT(ISNUMBER($A602)),N($G602)+N($H602)+N($I602)=0),"",IF(AND($A602&gt;='売掛帳'!$Q$3,$A602&lt;='売掛帳'!$Q$4),$A602+0.5+ROW()/10000000,""))</f>
        <v/>
      </c>
      <c r="R602" s="32">
        <f>IF(AND(OR($A602&lt;&gt;"",$E602&lt;&gt;"",$F602&lt;&gt;"",$G602&lt;&gt;"",$H602&lt;&gt;"",$I602&lt;&gt;""),NOT(ISNUMBER($O602))),1,"")</f>
        <v/>
      </c>
    </row>
    <row r="603" ht="18" customHeight="1">
      <c r="A603" s="26" t="n"/>
      <c r="B603" s="18" t="n"/>
      <c r="C603" s="18" t="n"/>
      <c r="D603" s="20">
        <f>IF($P603="","",IFERROR(INDEX('得意先'!$C$5:$C$104,MATCH($P603,'得意先'!$B$5:$B$104,0))&amp;"","※得意先にないコード"))</f>
        <v/>
      </c>
      <c r="E603" s="27" t="n"/>
      <c r="F603" s="18" t="n"/>
      <c r="G603" s="27" t="n"/>
      <c r="H603" s="27" t="n"/>
      <c r="I603" s="27" t="n"/>
      <c r="J603" s="28">
        <f>IF(NOT(OR($A603&lt;&gt;"",$E603&lt;&gt;"",$F603&lt;&gt;"",$G603&lt;&gt;"",$H603&lt;&gt;"",$I603&lt;&gt;"")),"",N($G603)+N($H603)+N($I603))</f>
        <v/>
      </c>
      <c r="K603" s="28">
        <f>IF(ISNUMBER($O603),INDEX('請求台帳'!$R$5:$R$1004,$O603),"")</f>
        <v/>
      </c>
      <c r="L603" s="20">
        <f>IF(NOT(OR($A603&lt;&gt;"",$E603&lt;&gt;"",$F603&lt;&gt;"",$G603&lt;&gt;"",$H603&lt;&gt;"",$I603&lt;&gt;"")),"",IF(NOT(ISNUMBER($A603)),"入金日がありません",IF(AND($F603&lt;&gt;"",$O603="なし"),"請求Noが請求台帳にありません",IF(AND(ISNUMBER($O603),$C603&lt;&gt;"",$C603&lt;&gt;$P603),"請求の得意先は "&amp;$P603&amp;" です",IF(ROUND(IF($B603&lt;&gt;"",SUMIF($B$5:$B$1004,$B603,$E$5:$E$1004)-SUMIF($B$5:$B$1004,$B603,$G$5:$G$1004),N($E603)-N($G603)),0)&lt;&gt;0,"通帳の額と当てた額の差 "&amp;TEXT(IF($B603&lt;&gt;"",SUMIF($B$5:$B$1004,$B603,$E$5:$E$1004)-SUMIF($B$5:$B$1004,$B603,$G$5:$G$1004),N($E603)-N($G603)),"#,##0"),IF(AND(ISNUMBER($O603),N($K603)&lt;0),"請求額より多く消し込んでいます",IF($F603="","消込先が未定","OK")))))))</f>
        <v/>
      </c>
      <c r="M603" s="19" t="n"/>
      <c r="N603" s="56" t="n"/>
      <c r="O603" s="32">
        <f>IF($F603="","",IFERROR(MATCH($F603,'請求台帳'!$A$5:$A$1004,0),"なし"))</f>
        <v/>
      </c>
      <c r="P603" s="37">
        <f>IF(NOT(OR($A603&lt;&gt;"",$E603&lt;&gt;"",$F603&lt;&gt;"",$G603&lt;&gt;"",$H603&lt;&gt;"",$I603&lt;&gt;"")),"",IF(ISNUMBER($O603),IF(INDEX('請求台帳'!$C$5:$C$1004,$O603)="","",INDEX('請求台帳'!$C$5:$C$1004,$O603)),IF($C603="","",$C603)))</f>
        <v/>
      </c>
      <c r="Q603" s="35">
        <f>IF(OR(NOT(OR($A603&lt;&gt;"",$E603&lt;&gt;"",$F603&lt;&gt;"",$G603&lt;&gt;"",$H603&lt;&gt;"",$I603&lt;&gt;"")),$P603="",$P603&lt;&gt;'売掛帳'!$B$3,NOT(ISNUMBER($A603)),N($G603)+N($H603)+N($I603)=0),"",IF(AND($A603&gt;='売掛帳'!$Q$3,$A603&lt;='売掛帳'!$Q$4),$A603+0.5+ROW()/10000000,""))</f>
        <v/>
      </c>
      <c r="R603" s="32">
        <f>IF(AND(OR($A603&lt;&gt;"",$E603&lt;&gt;"",$F603&lt;&gt;"",$G603&lt;&gt;"",$H603&lt;&gt;"",$I603&lt;&gt;""),NOT(ISNUMBER($O603))),1,"")</f>
        <v/>
      </c>
    </row>
    <row r="604" ht="18" customHeight="1">
      <c r="A604" s="26" t="n"/>
      <c r="B604" s="18" t="n"/>
      <c r="C604" s="18" t="n"/>
      <c r="D604" s="20">
        <f>IF($P604="","",IFERROR(INDEX('得意先'!$C$5:$C$104,MATCH($P604,'得意先'!$B$5:$B$104,0))&amp;"","※得意先にないコード"))</f>
        <v/>
      </c>
      <c r="E604" s="27" t="n"/>
      <c r="F604" s="18" t="n"/>
      <c r="G604" s="27" t="n"/>
      <c r="H604" s="27" t="n"/>
      <c r="I604" s="27" t="n"/>
      <c r="J604" s="28">
        <f>IF(NOT(OR($A604&lt;&gt;"",$E604&lt;&gt;"",$F604&lt;&gt;"",$G604&lt;&gt;"",$H604&lt;&gt;"",$I604&lt;&gt;"")),"",N($G604)+N($H604)+N($I604))</f>
        <v/>
      </c>
      <c r="K604" s="28">
        <f>IF(ISNUMBER($O604),INDEX('請求台帳'!$R$5:$R$1004,$O604),"")</f>
        <v/>
      </c>
      <c r="L604" s="20">
        <f>IF(NOT(OR($A604&lt;&gt;"",$E604&lt;&gt;"",$F604&lt;&gt;"",$G604&lt;&gt;"",$H604&lt;&gt;"",$I604&lt;&gt;"")),"",IF(NOT(ISNUMBER($A604)),"入金日がありません",IF(AND($F604&lt;&gt;"",$O604="なし"),"請求Noが請求台帳にありません",IF(AND(ISNUMBER($O604),$C604&lt;&gt;"",$C604&lt;&gt;$P604),"請求の得意先は "&amp;$P604&amp;" です",IF(ROUND(IF($B604&lt;&gt;"",SUMIF($B$5:$B$1004,$B604,$E$5:$E$1004)-SUMIF($B$5:$B$1004,$B604,$G$5:$G$1004),N($E604)-N($G604)),0)&lt;&gt;0,"通帳の額と当てた額の差 "&amp;TEXT(IF($B604&lt;&gt;"",SUMIF($B$5:$B$1004,$B604,$E$5:$E$1004)-SUMIF($B$5:$B$1004,$B604,$G$5:$G$1004),N($E604)-N($G604)),"#,##0"),IF(AND(ISNUMBER($O604),N($K604)&lt;0),"請求額より多く消し込んでいます",IF($F604="","消込先が未定","OK")))))))</f>
        <v/>
      </c>
      <c r="M604" s="19" t="n"/>
      <c r="N604" s="56" t="n"/>
      <c r="O604" s="32">
        <f>IF($F604="","",IFERROR(MATCH($F604,'請求台帳'!$A$5:$A$1004,0),"なし"))</f>
        <v/>
      </c>
      <c r="P604" s="37">
        <f>IF(NOT(OR($A604&lt;&gt;"",$E604&lt;&gt;"",$F604&lt;&gt;"",$G604&lt;&gt;"",$H604&lt;&gt;"",$I604&lt;&gt;"")),"",IF(ISNUMBER($O604),IF(INDEX('請求台帳'!$C$5:$C$1004,$O604)="","",INDEX('請求台帳'!$C$5:$C$1004,$O604)),IF($C604="","",$C604)))</f>
        <v/>
      </c>
      <c r="Q604" s="35">
        <f>IF(OR(NOT(OR($A604&lt;&gt;"",$E604&lt;&gt;"",$F604&lt;&gt;"",$G604&lt;&gt;"",$H604&lt;&gt;"",$I604&lt;&gt;"")),$P604="",$P604&lt;&gt;'売掛帳'!$B$3,NOT(ISNUMBER($A604)),N($G604)+N($H604)+N($I604)=0),"",IF(AND($A604&gt;='売掛帳'!$Q$3,$A604&lt;='売掛帳'!$Q$4),$A604+0.5+ROW()/10000000,""))</f>
        <v/>
      </c>
      <c r="R604" s="32">
        <f>IF(AND(OR($A604&lt;&gt;"",$E604&lt;&gt;"",$F604&lt;&gt;"",$G604&lt;&gt;"",$H604&lt;&gt;"",$I604&lt;&gt;""),NOT(ISNUMBER($O604))),1,"")</f>
        <v/>
      </c>
    </row>
    <row r="605" ht="18" customHeight="1">
      <c r="A605" s="26" t="n"/>
      <c r="B605" s="18" t="n"/>
      <c r="C605" s="18" t="n"/>
      <c r="D605" s="20">
        <f>IF($P605="","",IFERROR(INDEX('得意先'!$C$5:$C$104,MATCH($P605,'得意先'!$B$5:$B$104,0))&amp;"","※得意先にないコード"))</f>
        <v/>
      </c>
      <c r="E605" s="27" t="n"/>
      <c r="F605" s="18" t="n"/>
      <c r="G605" s="27" t="n"/>
      <c r="H605" s="27" t="n"/>
      <c r="I605" s="27" t="n"/>
      <c r="J605" s="28">
        <f>IF(NOT(OR($A605&lt;&gt;"",$E605&lt;&gt;"",$F605&lt;&gt;"",$G605&lt;&gt;"",$H605&lt;&gt;"",$I605&lt;&gt;"")),"",N($G605)+N($H605)+N($I605))</f>
        <v/>
      </c>
      <c r="K605" s="28">
        <f>IF(ISNUMBER($O605),INDEX('請求台帳'!$R$5:$R$1004,$O605),"")</f>
        <v/>
      </c>
      <c r="L605" s="20">
        <f>IF(NOT(OR($A605&lt;&gt;"",$E605&lt;&gt;"",$F605&lt;&gt;"",$G605&lt;&gt;"",$H605&lt;&gt;"",$I605&lt;&gt;"")),"",IF(NOT(ISNUMBER($A605)),"入金日がありません",IF(AND($F605&lt;&gt;"",$O605="なし"),"請求Noが請求台帳にありません",IF(AND(ISNUMBER($O605),$C605&lt;&gt;"",$C605&lt;&gt;$P605),"請求の得意先は "&amp;$P605&amp;" です",IF(ROUND(IF($B605&lt;&gt;"",SUMIF($B$5:$B$1004,$B605,$E$5:$E$1004)-SUMIF($B$5:$B$1004,$B605,$G$5:$G$1004),N($E605)-N($G605)),0)&lt;&gt;0,"通帳の額と当てた額の差 "&amp;TEXT(IF($B605&lt;&gt;"",SUMIF($B$5:$B$1004,$B605,$E$5:$E$1004)-SUMIF($B$5:$B$1004,$B605,$G$5:$G$1004),N($E605)-N($G605)),"#,##0"),IF(AND(ISNUMBER($O605),N($K605)&lt;0),"請求額より多く消し込んでいます",IF($F605="","消込先が未定","OK")))))))</f>
        <v/>
      </c>
      <c r="M605" s="19" t="n"/>
      <c r="N605" s="56" t="n"/>
      <c r="O605" s="32">
        <f>IF($F605="","",IFERROR(MATCH($F605,'請求台帳'!$A$5:$A$1004,0),"なし"))</f>
        <v/>
      </c>
      <c r="P605" s="37">
        <f>IF(NOT(OR($A605&lt;&gt;"",$E605&lt;&gt;"",$F605&lt;&gt;"",$G605&lt;&gt;"",$H605&lt;&gt;"",$I605&lt;&gt;"")),"",IF(ISNUMBER($O605),IF(INDEX('請求台帳'!$C$5:$C$1004,$O605)="","",INDEX('請求台帳'!$C$5:$C$1004,$O605)),IF($C605="","",$C605)))</f>
        <v/>
      </c>
      <c r="Q605" s="35">
        <f>IF(OR(NOT(OR($A605&lt;&gt;"",$E605&lt;&gt;"",$F605&lt;&gt;"",$G605&lt;&gt;"",$H605&lt;&gt;"",$I605&lt;&gt;"")),$P605="",$P605&lt;&gt;'売掛帳'!$B$3,NOT(ISNUMBER($A605)),N($G605)+N($H605)+N($I605)=0),"",IF(AND($A605&gt;='売掛帳'!$Q$3,$A605&lt;='売掛帳'!$Q$4),$A605+0.5+ROW()/10000000,""))</f>
        <v/>
      </c>
      <c r="R605" s="32">
        <f>IF(AND(OR($A605&lt;&gt;"",$E605&lt;&gt;"",$F605&lt;&gt;"",$G605&lt;&gt;"",$H605&lt;&gt;"",$I605&lt;&gt;""),NOT(ISNUMBER($O605))),1,"")</f>
        <v/>
      </c>
    </row>
    <row r="606" ht="18" customHeight="1">
      <c r="A606" s="26" t="n"/>
      <c r="B606" s="18" t="n"/>
      <c r="C606" s="18" t="n"/>
      <c r="D606" s="20">
        <f>IF($P606="","",IFERROR(INDEX('得意先'!$C$5:$C$104,MATCH($P606,'得意先'!$B$5:$B$104,0))&amp;"","※得意先にないコード"))</f>
        <v/>
      </c>
      <c r="E606" s="27" t="n"/>
      <c r="F606" s="18" t="n"/>
      <c r="G606" s="27" t="n"/>
      <c r="H606" s="27" t="n"/>
      <c r="I606" s="27" t="n"/>
      <c r="J606" s="28">
        <f>IF(NOT(OR($A606&lt;&gt;"",$E606&lt;&gt;"",$F606&lt;&gt;"",$G606&lt;&gt;"",$H606&lt;&gt;"",$I606&lt;&gt;"")),"",N($G606)+N($H606)+N($I606))</f>
        <v/>
      </c>
      <c r="K606" s="28">
        <f>IF(ISNUMBER($O606),INDEX('請求台帳'!$R$5:$R$1004,$O606),"")</f>
        <v/>
      </c>
      <c r="L606" s="20">
        <f>IF(NOT(OR($A606&lt;&gt;"",$E606&lt;&gt;"",$F606&lt;&gt;"",$G606&lt;&gt;"",$H606&lt;&gt;"",$I606&lt;&gt;"")),"",IF(NOT(ISNUMBER($A606)),"入金日がありません",IF(AND($F606&lt;&gt;"",$O606="なし"),"請求Noが請求台帳にありません",IF(AND(ISNUMBER($O606),$C606&lt;&gt;"",$C606&lt;&gt;$P606),"請求の得意先は "&amp;$P606&amp;" です",IF(ROUND(IF($B606&lt;&gt;"",SUMIF($B$5:$B$1004,$B606,$E$5:$E$1004)-SUMIF($B$5:$B$1004,$B606,$G$5:$G$1004),N($E606)-N($G606)),0)&lt;&gt;0,"通帳の額と当てた額の差 "&amp;TEXT(IF($B606&lt;&gt;"",SUMIF($B$5:$B$1004,$B606,$E$5:$E$1004)-SUMIF($B$5:$B$1004,$B606,$G$5:$G$1004),N($E606)-N($G606)),"#,##0"),IF(AND(ISNUMBER($O606),N($K606)&lt;0),"請求額より多く消し込んでいます",IF($F606="","消込先が未定","OK")))))))</f>
        <v/>
      </c>
      <c r="M606" s="19" t="n"/>
      <c r="N606" s="56" t="n"/>
      <c r="O606" s="32">
        <f>IF($F606="","",IFERROR(MATCH($F606,'請求台帳'!$A$5:$A$1004,0),"なし"))</f>
        <v/>
      </c>
      <c r="P606" s="37">
        <f>IF(NOT(OR($A606&lt;&gt;"",$E606&lt;&gt;"",$F606&lt;&gt;"",$G606&lt;&gt;"",$H606&lt;&gt;"",$I606&lt;&gt;"")),"",IF(ISNUMBER($O606),IF(INDEX('請求台帳'!$C$5:$C$1004,$O606)="","",INDEX('請求台帳'!$C$5:$C$1004,$O606)),IF($C606="","",$C606)))</f>
        <v/>
      </c>
      <c r="Q606" s="35">
        <f>IF(OR(NOT(OR($A606&lt;&gt;"",$E606&lt;&gt;"",$F606&lt;&gt;"",$G606&lt;&gt;"",$H606&lt;&gt;"",$I606&lt;&gt;"")),$P606="",$P606&lt;&gt;'売掛帳'!$B$3,NOT(ISNUMBER($A606)),N($G606)+N($H606)+N($I606)=0),"",IF(AND($A606&gt;='売掛帳'!$Q$3,$A606&lt;='売掛帳'!$Q$4),$A606+0.5+ROW()/10000000,""))</f>
        <v/>
      </c>
      <c r="R606" s="32">
        <f>IF(AND(OR($A606&lt;&gt;"",$E606&lt;&gt;"",$F606&lt;&gt;"",$G606&lt;&gt;"",$H606&lt;&gt;"",$I606&lt;&gt;""),NOT(ISNUMBER($O606))),1,"")</f>
        <v/>
      </c>
    </row>
    <row r="607" ht="18" customHeight="1">
      <c r="A607" s="26" t="n"/>
      <c r="B607" s="18" t="n"/>
      <c r="C607" s="18" t="n"/>
      <c r="D607" s="20">
        <f>IF($P607="","",IFERROR(INDEX('得意先'!$C$5:$C$104,MATCH($P607,'得意先'!$B$5:$B$104,0))&amp;"","※得意先にないコード"))</f>
        <v/>
      </c>
      <c r="E607" s="27" t="n"/>
      <c r="F607" s="18" t="n"/>
      <c r="G607" s="27" t="n"/>
      <c r="H607" s="27" t="n"/>
      <c r="I607" s="27" t="n"/>
      <c r="J607" s="28">
        <f>IF(NOT(OR($A607&lt;&gt;"",$E607&lt;&gt;"",$F607&lt;&gt;"",$G607&lt;&gt;"",$H607&lt;&gt;"",$I607&lt;&gt;"")),"",N($G607)+N($H607)+N($I607))</f>
        <v/>
      </c>
      <c r="K607" s="28">
        <f>IF(ISNUMBER($O607),INDEX('請求台帳'!$R$5:$R$1004,$O607),"")</f>
        <v/>
      </c>
      <c r="L607" s="20">
        <f>IF(NOT(OR($A607&lt;&gt;"",$E607&lt;&gt;"",$F607&lt;&gt;"",$G607&lt;&gt;"",$H607&lt;&gt;"",$I607&lt;&gt;"")),"",IF(NOT(ISNUMBER($A607)),"入金日がありません",IF(AND($F607&lt;&gt;"",$O607="なし"),"請求Noが請求台帳にありません",IF(AND(ISNUMBER($O607),$C607&lt;&gt;"",$C607&lt;&gt;$P607),"請求の得意先は "&amp;$P607&amp;" です",IF(ROUND(IF($B607&lt;&gt;"",SUMIF($B$5:$B$1004,$B607,$E$5:$E$1004)-SUMIF($B$5:$B$1004,$B607,$G$5:$G$1004),N($E607)-N($G607)),0)&lt;&gt;0,"通帳の額と当てた額の差 "&amp;TEXT(IF($B607&lt;&gt;"",SUMIF($B$5:$B$1004,$B607,$E$5:$E$1004)-SUMIF($B$5:$B$1004,$B607,$G$5:$G$1004),N($E607)-N($G607)),"#,##0"),IF(AND(ISNUMBER($O607),N($K607)&lt;0),"請求額より多く消し込んでいます",IF($F607="","消込先が未定","OK")))))))</f>
        <v/>
      </c>
      <c r="M607" s="19" t="n"/>
      <c r="N607" s="56" t="n"/>
      <c r="O607" s="32">
        <f>IF($F607="","",IFERROR(MATCH($F607,'請求台帳'!$A$5:$A$1004,0),"なし"))</f>
        <v/>
      </c>
      <c r="P607" s="37">
        <f>IF(NOT(OR($A607&lt;&gt;"",$E607&lt;&gt;"",$F607&lt;&gt;"",$G607&lt;&gt;"",$H607&lt;&gt;"",$I607&lt;&gt;"")),"",IF(ISNUMBER($O607),IF(INDEX('請求台帳'!$C$5:$C$1004,$O607)="","",INDEX('請求台帳'!$C$5:$C$1004,$O607)),IF($C607="","",$C607)))</f>
        <v/>
      </c>
      <c r="Q607" s="35">
        <f>IF(OR(NOT(OR($A607&lt;&gt;"",$E607&lt;&gt;"",$F607&lt;&gt;"",$G607&lt;&gt;"",$H607&lt;&gt;"",$I607&lt;&gt;"")),$P607="",$P607&lt;&gt;'売掛帳'!$B$3,NOT(ISNUMBER($A607)),N($G607)+N($H607)+N($I607)=0),"",IF(AND($A607&gt;='売掛帳'!$Q$3,$A607&lt;='売掛帳'!$Q$4),$A607+0.5+ROW()/10000000,""))</f>
        <v/>
      </c>
      <c r="R607" s="32">
        <f>IF(AND(OR($A607&lt;&gt;"",$E607&lt;&gt;"",$F607&lt;&gt;"",$G607&lt;&gt;"",$H607&lt;&gt;"",$I607&lt;&gt;""),NOT(ISNUMBER($O607))),1,"")</f>
        <v/>
      </c>
    </row>
    <row r="608" ht="18" customHeight="1">
      <c r="A608" s="26" t="n"/>
      <c r="B608" s="18" t="n"/>
      <c r="C608" s="18" t="n"/>
      <c r="D608" s="20">
        <f>IF($P608="","",IFERROR(INDEX('得意先'!$C$5:$C$104,MATCH($P608,'得意先'!$B$5:$B$104,0))&amp;"","※得意先にないコード"))</f>
        <v/>
      </c>
      <c r="E608" s="27" t="n"/>
      <c r="F608" s="18" t="n"/>
      <c r="G608" s="27" t="n"/>
      <c r="H608" s="27" t="n"/>
      <c r="I608" s="27" t="n"/>
      <c r="J608" s="28">
        <f>IF(NOT(OR($A608&lt;&gt;"",$E608&lt;&gt;"",$F608&lt;&gt;"",$G608&lt;&gt;"",$H608&lt;&gt;"",$I608&lt;&gt;"")),"",N($G608)+N($H608)+N($I608))</f>
        <v/>
      </c>
      <c r="K608" s="28">
        <f>IF(ISNUMBER($O608),INDEX('請求台帳'!$R$5:$R$1004,$O608),"")</f>
        <v/>
      </c>
      <c r="L608" s="20">
        <f>IF(NOT(OR($A608&lt;&gt;"",$E608&lt;&gt;"",$F608&lt;&gt;"",$G608&lt;&gt;"",$H608&lt;&gt;"",$I608&lt;&gt;"")),"",IF(NOT(ISNUMBER($A608)),"入金日がありません",IF(AND($F608&lt;&gt;"",$O608="なし"),"請求Noが請求台帳にありません",IF(AND(ISNUMBER($O608),$C608&lt;&gt;"",$C608&lt;&gt;$P608),"請求の得意先は "&amp;$P608&amp;" です",IF(ROUND(IF($B608&lt;&gt;"",SUMIF($B$5:$B$1004,$B608,$E$5:$E$1004)-SUMIF($B$5:$B$1004,$B608,$G$5:$G$1004),N($E608)-N($G608)),0)&lt;&gt;0,"通帳の額と当てた額の差 "&amp;TEXT(IF($B608&lt;&gt;"",SUMIF($B$5:$B$1004,$B608,$E$5:$E$1004)-SUMIF($B$5:$B$1004,$B608,$G$5:$G$1004),N($E608)-N($G608)),"#,##0"),IF(AND(ISNUMBER($O608),N($K608)&lt;0),"請求額より多く消し込んでいます",IF($F608="","消込先が未定","OK")))))))</f>
        <v/>
      </c>
      <c r="M608" s="19" t="n"/>
      <c r="N608" s="56" t="n"/>
      <c r="O608" s="32">
        <f>IF($F608="","",IFERROR(MATCH($F608,'請求台帳'!$A$5:$A$1004,0),"なし"))</f>
        <v/>
      </c>
      <c r="P608" s="37">
        <f>IF(NOT(OR($A608&lt;&gt;"",$E608&lt;&gt;"",$F608&lt;&gt;"",$G608&lt;&gt;"",$H608&lt;&gt;"",$I608&lt;&gt;"")),"",IF(ISNUMBER($O608),IF(INDEX('請求台帳'!$C$5:$C$1004,$O608)="","",INDEX('請求台帳'!$C$5:$C$1004,$O608)),IF($C608="","",$C608)))</f>
        <v/>
      </c>
      <c r="Q608" s="35">
        <f>IF(OR(NOT(OR($A608&lt;&gt;"",$E608&lt;&gt;"",$F608&lt;&gt;"",$G608&lt;&gt;"",$H608&lt;&gt;"",$I608&lt;&gt;"")),$P608="",$P608&lt;&gt;'売掛帳'!$B$3,NOT(ISNUMBER($A608)),N($G608)+N($H608)+N($I608)=0),"",IF(AND($A608&gt;='売掛帳'!$Q$3,$A608&lt;='売掛帳'!$Q$4),$A608+0.5+ROW()/10000000,""))</f>
        <v/>
      </c>
      <c r="R608" s="32">
        <f>IF(AND(OR($A608&lt;&gt;"",$E608&lt;&gt;"",$F608&lt;&gt;"",$G608&lt;&gt;"",$H608&lt;&gt;"",$I608&lt;&gt;""),NOT(ISNUMBER($O608))),1,"")</f>
        <v/>
      </c>
    </row>
    <row r="609" ht="18" customHeight="1">
      <c r="A609" s="26" t="n"/>
      <c r="B609" s="18" t="n"/>
      <c r="C609" s="18" t="n"/>
      <c r="D609" s="20">
        <f>IF($P609="","",IFERROR(INDEX('得意先'!$C$5:$C$104,MATCH($P609,'得意先'!$B$5:$B$104,0))&amp;"","※得意先にないコード"))</f>
        <v/>
      </c>
      <c r="E609" s="27" t="n"/>
      <c r="F609" s="18" t="n"/>
      <c r="G609" s="27" t="n"/>
      <c r="H609" s="27" t="n"/>
      <c r="I609" s="27" t="n"/>
      <c r="J609" s="28">
        <f>IF(NOT(OR($A609&lt;&gt;"",$E609&lt;&gt;"",$F609&lt;&gt;"",$G609&lt;&gt;"",$H609&lt;&gt;"",$I609&lt;&gt;"")),"",N($G609)+N($H609)+N($I609))</f>
        <v/>
      </c>
      <c r="K609" s="28">
        <f>IF(ISNUMBER($O609),INDEX('請求台帳'!$R$5:$R$1004,$O609),"")</f>
        <v/>
      </c>
      <c r="L609" s="20">
        <f>IF(NOT(OR($A609&lt;&gt;"",$E609&lt;&gt;"",$F609&lt;&gt;"",$G609&lt;&gt;"",$H609&lt;&gt;"",$I609&lt;&gt;"")),"",IF(NOT(ISNUMBER($A609)),"入金日がありません",IF(AND($F609&lt;&gt;"",$O609="なし"),"請求Noが請求台帳にありません",IF(AND(ISNUMBER($O609),$C609&lt;&gt;"",$C609&lt;&gt;$P609),"請求の得意先は "&amp;$P609&amp;" です",IF(ROUND(IF($B609&lt;&gt;"",SUMIF($B$5:$B$1004,$B609,$E$5:$E$1004)-SUMIF($B$5:$B$1004,$B609,$G$5:$G$1004),N($E609)-N($G609)),0)&lt;&gt;0,"通帳の額と当てた額の差 "&amp;TEXT(IF($B609&lt;&gt;"",SUMIF($B$5:$B$1004,$B609,$E$5:$E$1004)-SUMIF($B$5:$B$1004,$B609,$G$5:$G$1004),N($E609)-N($G609)),"#,##0"),IF(AND(ISNUMBER($O609),N($K609)&lt;0),"請求額より多く消し込んでいます",IF($F609="","消込先が未定","OK")))))))</f>
        <v/>
      </c>
      <c r="M609" s="19" t="n"/>
      <c r="N609" s="56" t="n"/>
      <c r="O609" s="32">
        <f>IF($F609="","",IFERROR(MATCH($F609,'請求台帳'!$A$5:$A$1004,0),"なし"))</f>
        <v/>
      </c>
      <c r="P609" s="37">
        <f>IF(NOT(OR($A609&lt;&gt;"",$E609&lt;&gt;"",$F609&lt;&gt;"",$G609&lt;&gt;"",$H609&lt;&gt;"",$I609&lt;&gt;"")),"",IF(ISNUMBER($O609),IF(INDEX('請求台帳'!$C$5:$C$1004,$O609)="","",INDEX('請求台帳'!$C$5:$C$1004,$O609)),IF($C609="","",$C609)))</f>
        <v/>
      </c>
      <c r="Q609" s="35">
        <f>IF(OR(NOT(OR($A609&lt;&gt;"",$E609&lt;&gt;"",$F609&lt;&gt;"",$G609&lt;&gt;"",$H609&lt;&gt;"",$I609&lt;&gt;"")),$P609="",$P609&lt;&gt;'売掛帳'!$B$3,NOT(ISNUMBER($A609)),N($G609)+N($H609)+N($I609)=0),"",IF(AND($A609&gt;='売掛帳'!$Q$3,$A609&lt;='売掛帳'!$Q$4),$A609+0.5+ROW()/10000000,""))</f>
        <v/>
      </c>
      <c r="R609" s="32">
        <f>IF(AND(OR($A609&lt;&gt;"",$E609&lt;&gt;"",$F609&lt;&gt;"",$G609&lt;&gt;"",$H609&lt;&gt;"",$I609&lt;&gt;""),NOT(ISNUMBER($O609))),1,"")</f>
        <v/>
      </c>
    </row>
    <row r="610" ht="18" customHeight="1">
      <c r="A610" s="26" t="n"/>
      <c r="B610" s="18" t="n"/>
      <c r="C610" s="18" t="n"/>
      <c r="D610" s="20">
        <f>IF($P610="","",IFERROR(INDEX('得意先'!$C$5:$C$104,MATCH($P610,'得意先'!$B$5:$B$104,0))&amp;"","※得意先にないコード"))</f>
        <v/>
      </c>
      <c r="E610" s="27" t="n"/>
      <c r="F610" s="18" t="n"/>
      <c r="G610" s="27" t="n"/>
      <c r="H610" s="27" t="n"/>
      <c r="I610" s="27" t="n"/>
      <c r="J610" s="28">
        <f>IF(NOT(OR($A610&lt;&gt;"",$E610&lt;&gt;"",$F610&lt;&gt;"",$G610&lt;&gt;"",$H610&lt;&gt;"",$I610&lt;&gt;"")),"",N($G610)+N($H610)+N($I610))</f>
        <v/>
      </c>
      <c r="K610" s="28">
        <f>IF(ISNUMBER($O610),INDEX('請求台帳'!$R$5:$R$1004,$O610),"")</f>
        <v/>
      </c>
      <c r="L610" s="20">
        <f>IF(NOT(OR($A610&lt;&gt;"",$E610&lt;&gt;"",$F610&lt;&gt;"",$G610&lt;&gt;"",$H610&lt;&gt;"",$I610&lt;&gt;"")),"",IF(NOT(ISNUMBER($A610)),"入金日がありません",IF(AND($F610&lt;&gt;"",$O610="なし"),"請求Noが請求台帳にありません",IF(AND(ISNUMBER($O610),$C610&lt;&gt;"",$C610&lt;&gt;$P610),"請求の得意先は "&amp;$P610&amp;" です",IF(ROUND(IF($B610&lt;&gt;"",SUMIF($B$5:$B$1004,$B610,$E$5:$E$1004)-SUMIF($B$5:$B$1004,$B610,$G$5:$G$1004),N($E610)-N($G610)),0)&lt;&gt;0,"通帳の額と当てた額の差 "&amp;TEXT(IF($B610&lt;&gt;"",SUMIF($B$5:$B$1004,$B610,$E$5:$E$1004)-SUMIF($B$5:$B$1004,$B610,$G$5:$G$1004),N($E610)-N($G610)),"#,##0"),IF(AND(ISNUMBER($O610),N($K610)&lt;0),"請求額より多く消し込んでいます",IF($F610="","消込先が未定","OK")))))))</f>
        <v/>
      </c>
      <c r="M610" s="19" t="n"/>
      <c r="N610" s="56" t="n"/>
      <c r="O610" s="32">
        <f>IF($F610="","",IFERROR(MATCH($F610,'請求台帳'!$A$5:$A$1004,0),"なし"))</f>
        <v/>
      </c>
      <c r="P610" s="37">
        <f>IF(NOT(OR($A610&lt;&gt;"",$E610&lt;&gt;"",$F610&lt;&gt;"",$G610&lt;&gt;"",$H610&lt;&gt;"",$I610&lt;&gt;"")),"",IF(ISNUMBER($O610),IF(INDEX('請求台帳'!$C$5:$C$1004,$O610)="","",INDEX('請求台帳'!$C$5:$C$1004,$O610)),IF($C610="","",$C610)))</f>
        <v/>
      </c>
      <c r="Q610" s="35">
        <f>IF(OR(NOT(OR($A610&lt;&gt;"",$E610&lt;&gt;"",$F610&lt;&gt;"",$G610&lt;&gt;"",$H610&lt;&gt;"",$I610&lt;&gt;"")),$P610="",$P610&lt;&gt;'売掛帳'!$B$3,NOT(ISNUMBER($A610)),N($G610)+N($H610)+N($I610)=0),"",IF(AND($A610&gt;='売掛帳'!$Q$3,$A610&lt;='売掛帳'!$Q$4),$A610+0.5+ROW()/10000000,""))</f>
        <v/>
      </c>
      <c r="R610" s="32">
        <f>IF(AND(OR($A610&lt;&gt;"",$E610&lt;&gt;"",$F610&lt;&gt;"",$G610&lt;&gt;"",$H610&lt;&gt;"",$I610&lt;&gt;""),NOT(ISNUMBER($O610))),1,"")</f>
        <v/>
      </c>
    </row>
    <row r="611" ht="18" customHeight="1">
      <c r="A611" s="26" t="n"/>
      <c r="B611" s="18" t="n"/>
      <c r="C611" s="18" t="n"/>
      <c r="D611" s="20">
        <f>IF($P611="","",IFERROR(INDEX('得意先'!$C$5:$C$104,MATCH($P611,'得意先'!$B$5:$B$104,0))&amp;"","※得意先にないコード"))</f>
        <v/>
      </c>
      <c r="E611" s="27" t="n"/>
      <c r="F611" s="18" t="n"/>
      <c r="G611" s="27" t="n"/>
      <c r="H611" s="27" t="n"/>
      <c r="I611" s="27" t="n"/>
      <c r="J611" s="28">
        <f>IF(NOT(OR($A611&lt;&gt;"",$E611&lt;&gt;"",$F611&lt;&gt;"",$G611&lt;&gt;"",$H611&lt;&gt;"",$I611&lt;&gt;"")),"",N($G611)+N($H611)+N($I611))</f>
        <v/>
      </c>
      <c r="K611" s="28">
        <f>IF(ISNUMBER($O611),INDEX('請求台帳'!$R$5:$R$1004,$O611),"")</f>
        <v/>
      </c>
      <c r="L611" s="20">
        <f>IF(NOT(OR($A611&lt;&gt;"",$E611&lt;&gt;"",$F611&lt;&gt;"",$G611&lt;&gt;"",$H611&lt;&gt;"",$I611&lt;&gt;"")),"",IF(NOT(ISNUMBER($A611)),"入金日がありません",IF(AND($F611&lt;&gt;"",$O611="なし"),"請求Noが請求台帳にありません",IF(AND(ISNUMBER($O611),$C611&lt;&gt;"",$C611&lt;&gt;$P611),"請求の得意先は "&amp;$P611&amp;" です",IF(ROUND(IF($B611&lt;&gt;"",SUMIF($B$5:$B$1004,$B611,$E$5:$E$1004)-SUMIF($B$5:$B$1004,$B611,$G$5:$G$1004),N($E611)-N($G611)),0)&lt;&gt;0,"通帳の額と当てた額の差 "&amp;TEXT(IF($B611&lt;&gt;"",SUMIF($B$5:$B$1004,$B611,$E$5:$E$1004)-SUMIF($B$5:$B$1004,$B611,$G$5:$G$1004),N($E611)-N($G611)),"#,##0"),IF(AND(ISNUMBER($O611),N($K611)&lt;0),"請求額より多く消し込んでいます",IF($F611="","消込先が未定","OK")))))))</f>
        <v/>
      </c>
      <c r="M611" s="19" t="n"/>
      <c r="N611" s="56" t="n"/>
      <c r="O611" s="32">
        <f>IF($F611="","",IFERROR(MATCH($F611,'請求台帳'!$A$5:$A$1004,0),"なし"))</f>
        <v/>
      </c>
      <c r="P611" s="37">
        <f>IF(NOT(OR($A611&lt;&gt;"",$E611&lt;&gt;"",$F611&lt;&gt;"",$G611&lt;&gt;"",$H611&lt;&gt;"",$I611&lt;&gt;"")),"",IF(ISNUMBER($O611),IF(INDEX('請求台帳'!$C$5:$C$1004,$O611)="","",INDEX('請求台帳'!$C$5:$C$1004,$O611)),IF($C611="","",$C611)))</f>
        <v/>
      </c>
      <c r="Q611" s="35">
        <f>IF(OR(NOT(OR($A611&lt;&gt;"",$E611&lt;&gt;"",$F611&lt;&gt;"",$G611&lt;&gt;"",$H611&lt;&gt;"",$I611&lt;&gt;"")),$P611="",$P611&lt;&gt;'売掛帳'!$B$3,NOT(ISNUMBER($A611)),N($G611)+N($H611)+N($I611)=0),"",IF(AND($A611&gt;='売掛帳'!$Q$3,$A611&lt;='売掛帳'!$Q$4),$A611+0.5+ROW()/10000000,""))</f>
        <v/>
      </c>
      <c r="R611" s="32">
        <f>IF(AND(OR($A611&lt;&gt;"",$E611&lt;&gt;"",$F611&lt;&gt;"",$G611&lt;&gt;"",$H611&lt;&gt;"",$I611&lt;&gt;""),NOT(ISNUMBER($O611))),1,"")</f>
        <v/>
      </c>
    </row>
    <row r="612" ht="18" customHeight="1">
      <c r="A612" s="26" t="n"/>
      <c r="B612" s="18" t="n"/>
      <c r="C612" s="18" t="n"/>
      <c r="D612" s="20">
        <f>IF($P612="","",IFERROR(INDEX('得意先'!$C$5:$C$104,MATCH($P612,'得意先'!$B$5:$B$104,0))&amp;"","※得意先にないコード"))</f>
        <v/>
      </c>
      <c r="E612" s="27" t="n"/>
      <c r="F612" s="18" t="n"/>
      <c r="G612" s="27" t="n"/>
      <c r="H612" s="27" t="n"/>
      <c r="I612" s="27" t="n"/>
      <c r="J612" s="28">
        <f>IF(NOT(OR($A612&lt;&gt;"",$E612&lt;&gt;"",$F612&lt;&gt;"",$G612&lt;&gt;"",$H612&lt;&gt;"",$I612&lt;&gt;"")),"",N($G612)+N($H612)+N($I612))</f>
        <v/>
      </c>
      <c r="K612" s="28">
        <f>IF(ISNUMBER($O612),INDEX('請求台帳'!$R$5:$R$1004,$O612),"")</f>
        <v/>
      </c>
      <c r="L612" s="20">
        <f>IF(NOT(OR($A612&lt;&gt;"",$E612&lt;&gt;"",$F612&lt;&gt;"",$G612&lt;&gt;"",$H612&lt;&gt;"",$I612&lt;&gt;"")),"",IF(NOT(ISNUMBER($A612)),"入金日がありません",IF(AND($F612&lt;&gt;"",$O612="なし"),"請求Noが請求台帳にありません",IF(AND(ISNUMBER($O612),$C612&lt;&gt;"",$C612&lt;&gt;$P612),"請求の得意先は "&amp;$P612&amp;" です",IF(ROUND(IF($B612&lt;&gt;"",SUMIF($B$5:$B$1004,$B612,$E$5:$E$1004)-SUMIF($B$5:$B$1004,$B612,$G$5:$G$1004),N($E612)-N($G612)),0)&lt;&gt;0,"通帳の額と当てた額の差 "&amp;TEXT(IF($B612&lt;&gt;"",SUMIF($B$5:$B$1004,$B612,$E$5:$E$1004)-SUMIF($B$5:$B$1004,$B612,$G$5:$G$1004),N($E612)-N($G612)),"#,##0"),IF(AND(ISNUMBER($O612),N($K612)&lt;0),"請求額より多く消し込んでいます",IF($F612="","消込先が未定","OK")))))))</f>
        <v/>
      </c>
      <c r="M612" s="19" t="n"/>
      <c r="N612" s="56" t="n"/>
      <c r="O612" s="32">
        <f>IF($F612="","",IFERROR(MATCH($F612,'請求台帳'!$A$5:$A$1004,0),"なし"))</f>
        <v/>
      </c>
      <c r="P612" s="37">
        <f>IF(NOT(OR($A612&lt;&gt;"",$E612&lt;&gt;"",$F612&lt;&gt;"",$G612&lt;&gt;"",$H612&lt;&gt;"",$I612&lt;&gt;"")),"",IF(ISNUMBER($O612),IF(INDEX('請求台帳'!$C$5:$C$1004,$O612)="","",INDEX('請求台帳'!$C$5:$C$1004,$O612)),IF($C612="","",$C612)))</f>
        <v/>
      </c>
      <c r="Q612" s="35">
        <f>IF(OR(NOT(OR($A612&lt;&gt;"",$E612&lt;&gt;"",$F612&lt;&gt;"",$G612&lt;&gt;"",$H612&lt;&gt;"",$I612&lt;&gt;"")),$P612="",$P612&lt;&gt;'売掛帳'!$B$3,NOT(ISNUMBER($A612)),N($G612)+N($H612)+N($I612)=0),"",IF(AND($A612&gt;='売掛帳'!$Q$3,$A612&lt;='売掛帳'!$Q$4),$A612+0.5+ROW()/10000000,""))</f>
        <v/>
      </c>
      <c r="R612" s="32">
        <f>IF(AND(OR($A612&lt;&gt;"",$E612&lt;&gt;"",$F612&lt;&gt;"",$G612&lt;&gt;"",$H612&lt;&gt;"",$I612&lt;&gt;""),NOT(ISNUMBER($O612))),1,"")</f>
        <v/>
      </c>
    </row>
    <row r="613" ht="18" customHeight="1">
      <c r="A613" s="26" t="n"/>
      <c r="B613" s="18" t="n"/>
      <c r="C613" s="18" t="n"/>
      <c r="D613" s="20">
        <f>IF($P613="","",IFERROR(INDEX('得意先'!$C$5:$C$104,MATCH($P613,'得意先'!$B$5:$B$104,0))&amp;"","※得意先にないコード"))</f>
        <v/>
      </c>
      <c r="E613" s="27" t="n"/>
      <c r="F613" s="18" t="n"/>
      <c r="G613" s="27" t="n"/>
      <c r="H613" s="27" t="n"/>
      <c r="I613" s="27" t="n"/>
      <c r="J613" s="28">
        <f>IF(NOT(OR($A613&lt;&gt;"",$E613&lt;&gt;"",$F613&lt;&gt;"",$G613&lt;&gt;"",$H613&lt;&gt;"",$I613&lt;&gt;"")),"",N($G613)+N($H613)+N($I613))</f>
        <v/>
      </c>
      <c r="K613" s="28">
        <f>IF(ISNUMBER($O613),INDEX('請求台帳'!$R$5:$R$1004,$O613),"")</f>
        <v/>
      </c>
      <c r="L613" s="20">
        <f>IF(NOT(OR($A613&lt;&gt;"",$E613&lt;&gt;"",$F613&lt;&gt;"",$G613&lt;&gt;"",$H613&lt;&gt;"",$I613&lt;&gt;"")),"",IF(NOT(ISNUMBER($A613)),"入金日がありません",IF(AND($F613&lt;&gt;"",$O613="なし"),"請求Noが請求台帳にありません",IF(AND(ISNUMBER($O613),$C613&lt;&gt;"",$C613&lt;&gt;$P613),"請求の得意先は "&amp;$P613&amp;" です",IF(ROUND(IF($B613&lt;&gt;"",SUMIF($B$5:$B$1004,$B613,$E$5:$E$1004)-SUMIF($B$5:$B$1004,$B613,$G$5:$G$1004),N($E613)-N($G613)),0)&lt;&gt;0,"通帳の額と当てた額の差 "&amp;TEXT(IF($B613&lt;&gt;"",SUMIF($B$5:$B$1004,$B613,$E$5:$E$1004)-SUMIF($B$5:$B$1004,$B613,$G$5:$G$1004),N($E613)-N($G613)),"#,##0"),IF(AND(ISNUMBER($O613),N($K613)&lt;0),"請求額より多く消し込んでいます",IF($F613="","消込先が未定","OK")))))))</f>
        <v/>
      </c>
      <c r="M613" s="19" t="n"/>
      <c r="N613" s="56" t="n"/>
      <c r="O613" s="32">
        <f>IF($F613="","",IFERROR(MATCH($F613,'請求台帳'!$A$5:$A$1004,0),"なし"))</f>
        <v/>
      </c>
      <c r="P613" s="37">
        <f>IF(NOT(OR($A613&lt;&gt;"",$E613&lt;&gt;"",$F613&lt;&gt;"",$G613&lt;&gt;"",$H613&lt;&gt;"",$I613&lt;&gt;"")),"",IF(ISNUMBER($O613),IF(INDEX('請求台帳'!$C$5:$C$1004,$O613)="","",INDEX('請求台帳'!$C$5:$C$1004,$O613)),IF($C613="","",$C613)))</f>
        <v/>
      </c>
      <c r="Q613" s="35">
        <f>IF(OR(NOT(OR($A613&lt;&gt;"",$E613&lt;&gt;"",$F613&lt;&gt;"",$G613&lt;&gt;"",$H613&lt;&gt;"",$I613&lt;&gt;"")),$P613="",$P613&lt;&gt;'売掛帳'!$B$3,NOT(ISNUMBER($A613)),N($G613)+N($H613)+N($I613)=0),"",IF(AND($A613&gt;='売掛帳'!$Q$3,$A613&lt;='売掛帳'!$Q$4),$A613+0.5+ROW()/10000000,""))</f>
        <v/>
      </c>
      <c r="R613" s="32">
        <f>IF(AND(OR($A613&lt;&gt;"",$E613&lt;&gt;"",$F613&lt;&gt;"",$G613&lt;&gt;"",$H613&lt;&gt;"",$I613&lt;&gt;""),NOT(ISNUMBER($O613))),1,"")</f>
        <v/>
      </c>
    </row>
    <row r="614" ht="18" customHeight="1">
      <c r="A614" s="26" t="n"/>
      <c r="B614" s="18" t="n"/>
      <c r="C614" s="18" t="n"/>
      <c r="D614" s="20">
        <f>IF($P614="","",IFERROR(INDEX('得意先'!$C$5:$C$104,MATCH($P614,'得意先'!$B$5:$B$104,0))&amp;"","※得意先にないコード"))</f>
        <v/>
      </c>
      <c r="E614" s="27" t="n"/>
      <c r="F614" s="18" t="n"/>
      <c r="G614" s="27" t="n"/>
      <c r="H614" s="27" t="n"/>
      <c r="I614" s="27" t="n"/>
      <c r="J614" s="28">
        <f>IF(NOT(OR($A614&lt;&gt;"",$E614&lt;&gt;"",$F614&lt;&gt;"",$G614&lt;&gt;"",$H614&lt;&gt;"",$I614&lt;&gt;"")),"",N($G614)+N($H614)+N($I614))</f>
        <v/>
      </c>
      <c r="K614" s="28">
        <f>IF(ISNUMBER($O614),INDEX('請求台帳'!$R$5:$R$1004,$O614),"")</f>
        <v/>
      </c>
      <c r="L614" s="20">
        <f>IF(NOT(OR($A614&lt;&gt;"",$E614&lt;&gt;"",$F614&lt;&gt;"",$G614&lt;&gt;"",$H614&lt;&gt;"",$I614&lt;&gt;"")),"",IF(NOT(ISNUMBER($A614)),"入金日がありません",IF(AND($F614&lt;&gt;"",$O614="なし"),"請求Noが請求台帳にありません",IF(AND(ISNUMBER($O614),$C614&lt;&gt;"",$C614&lt;&gt;$P614),"請求の得意先は "&amp;$P614&amp;" です",IF(ROUND(IF($B614&lt;&gt;"",SUMIF($B$5:$B$1004,$B614,$E$5:$E$1004)-SUMIF($B$5:$B$1004,$B614,$G$5:$G$1004),N($E614)-N($G614)),0)&lt;&gt;0,"通帳の額と当てた額の差 "&amp;TEXT(IF($B614&lt;&gt;"",SUMIF($B$5:$B$1004,$B614,$E$5:$E$1004)-SUMIF($B$5:$B$1004,$B614,$G$5:$G$1004),N($E614)-N($G614)),"#,##0"),IF(AND(ISNUMBER($O614),N($K614)&lt;0),"請求額より多く消し込んでいます",IF($F614="","消込先が未定","OK")))))))</f>
        <v/>
      </c>
      <c r="M614" s="19" t="n"/>
      <c r="N614" s="56" t="n"/>
      <c r="O614" s="32">
        <f>IF($F614="","",IFERROR(MATCH($F614,'請求台帳'!$A$5:$A$1004,0),"なし"))</f>
        <v/>
      </c>
      <c r="P614" s="37">
        <f>IF(NOT(OR($A614&lt;&gt;"",$E614&lt;&gt;"",$F614&lt;&gt;"",$G614&lt;&gt;"",$H614&lt;&gt;"",$I614&lt;&gt;"")),"",IF(ISNUMBER($O614),IF(INDEX('請求台帳'!$C$5:$C$1004,$O614)="","",INDEX('請求台帳'!$C$5:$C$1004,$O614)),IF($C614="","",$C614)))</f>
        <v/>
      </c>
      <c r="Q614" s="35">
        <f>IF(OR(NOT(OR($A614&lt;&gt;"",$E614&lt;&gt;"",$F614&lt;&gt;"",$G614&lt;&gt;"",$H614&lt;&gt;"",$I614&lt;&gt;"")),$P614="",$P614&lt;&gt;'売掛帳'!$B$3,NOT(ISNUMBER($A614)),N($G614)+N($H614)+N($I614)=0),"",IF(AND($A614&gt;='売掛帳'!$Q$3,$A614&lt;='売掛帳'!$Q$4),$A614+0.5+ROW()/10000000,""))</f>
        <v/>
      </c>
      <c r="R614" s="32">
        <f>IF(AND(OR($A614&lt;&gt;"",$E614&lt;&gt;"",$F614&lt;&gt;"",$G614&lt;&gt;"",$H614&lt;&gt;"",$I614&lt;&gt;""),NOT(ISNUMBER($O614))),1,"")</f>
        <v/>
      </c>
    </row>
    <row r="615" ht="18" customHeight="1">
      <c r="A615" s="26" t="n"/>
      <c r="B615" s="18" t="n"/>
      <c r="C615" s="18" t="n"/>
      <c r="D615" s="20">
        <f>IF($P615="","",IFERROR(INDEX('得意先'!$C$5:$C$104,MATCH($P615,'得意先'!$B$5:$B$104,0))&amp;"","※得意先にないコード"))</f>
        <v/>
      </c>
      <c r="E615" s="27" t="n"/>
      <c r="F615" s="18" t="n"/>
      <c r="G615" s="27" t="n"/>
      <c r="H615" s="27" t="n"/>
      <c r="I615" s="27" t="n"/>
      <c r="J615" s="28">
        <f>IF(NOT(OR($A615&lt;&gt;"",$E615&lt;&gt;"",$F615&lt;&gt;"",$G615&lt;&gt;"",$H615&lt;&gt;"",$I615&lt;&gt;"")),"",N($G615)+N($H615)+N($I615))</f>
        <v/>
      </c>
      <c r="K615" s="28">
        <f>IF(ISNUMBER($O615),INDEX('請求台帳'!$R$5:$R$1004,$O615),"")</f>
        <v/>
      </c>
      <c r="L615" s="20">
        <f>IF(NOT(OR($A615&lt;&gt;"",$E615&lt;&gt;"",$F615&lt;&gt;"",$G615&lt;&gt;"",$H615&lt;&gt;"",$I615&lt;&gt;"")),"",IF(NOT(ISNUMBER($A615)),"入金日がありません",IF(AND($F615&lt;&gt;"",$O615="なし"),"請求Noが請求台帳にありません",IF(AND(ISNUMBER($O615),$C615&lt;&gt;"",$C615&lt;&gt;$P615),"請求の得意先は "&amp;$P615&amp;" です",IF(ROUND(IF($B615&lt;&gt;"",SUMIF($B$5:$B$1004,$B615,$E$5:$E$1004)-SUMIF($B$5:$B$1004,$B615,$G$5:$G$1004),N($E615)-N($G615)),0)&lt;&gt;0,"通帳の額と当てた額の差 "&amp;TEXT(IF($B615&lt;&gt;"",SUMIF($B$5:$B$1004,$B615,$E$5:$E$1004)-SUMIF($B$5:$B$1004,$B615,$G$5:$G$1004),N($E615)-N($G615)),"#,##0"),IF(AND(ISNUMBER($O615),N($K615)&lt;0),"請求額より多く消し込んでいます",IF($F615="","消込先が未定","OK")))))))</f>
        <v/>
      </c>
      <c r="M615" s="19" t="n"/>
      <c r="N615" s="56" t="n"/>
      <c r="O615" s="32">
        <f>IF($F615="","",IFERROR(MATCH($F615,'請求台帳'!$A$5:$A$1004,0),"なし"))</f>
        <v/>
      </c>
      <c r="P615" s="37">
        <f>IF(NOT(OR($A615&lt;&gt;"",$E615&lt;&gt;"",$F615&lt;&gt;"",$G615&lt;&gt;"",$H615&lt;&gt;"",$I615&lt;&gt;"")),"",IF(ISNUMBER($O615),IF(INDEX('請求台帳'!$C$5:$C$1004,$O615)="","",INDEX('請求台帳'!$C$5:$C$1004,$O615)),IF($C615="","",$C615)))</f>
        <v/>
      </c>
      <c r="Q615" s="35">
        <f>IF(OR(NOT(OR($A615&lt;&gt;"",$E615&lt;&gt;"",$F615&lt;&gt;"",$G615&lt;&gt;"",$H615&lt;&gt;"",$I615&lt;&gt;"")),$P615="",$P615&lt;&gt;'売掛帳'!$B$3,NOT(ISNUMBER($A615)),N($G615)+N($H615)+N($I615)=0),"",IF(AND($A615&gt;='売掛帳'!$Q$3,$A615&lt;='売掛帳'!$Q$4),$A615+0.5+ROW()/10000000,""))</f>
        <v/>
      </c>
      <c r="R615" s="32">
        <f>IF(AND(OR($A615&lt;&gt;"",$E615&lt;&gt;"",$F615&lt;&gt;"",$G615&lt;&gt;"",$H615&lt;&gt;"",$I615&lt;&gt;""),NOT(ISNUMBER($O615))),1,"")</f>
        <v/>
      </c>
    </row>
    <row r="616" ht="18" customHeight="1">
      <c r="A616" s="26" t="n"/>
      <c r="B616" s="18" t="n"/>
      <c r="C616" s="18" t="n"/>
      <c r="D616" s="20">
        <f>IF($P616="","",IFERROR(INDEX('得意先'!$C$5:$C$104,MATCH($P616,'得意先'!$B$5:$B$104,0))&amp;"","※得意先にないコード"))</f>
        <v/>
      </c>
      <c r="E616" s="27" t="n"/>
      <c r="F616" s="18" t="n"/>
      <c r="G616" s="27" t="n"/>
      <c r="H616" s="27" t="n"/>
      <c r="I616" s="27" t="n"/>
      <c r="J616" s="28">
        <f>IF(NOT(OR($A616&lt;&gt;"",$E616&lt;&gt;"",$F616&lt;&gt;"",$G616&lt;&gt;"",$H616&lt;&gt;"",$I616&lt;&gt;"")),"",N($G616)+N($H616)+N($I616))</f>
        <v/>
      </c>
      <c r="K616" s="28">
        <f>IF(ISNUMBER($O616),INDEX('請求台帳'!$R$5:$R$1004,$O616),"")</f>
        <v/>
      </c>
      <c r="L616" s="20">
        <f>IF(NOT(OR($A616&lt;&gt;"",$E616&lt;&gt;"",$F616&lt;&gt;"",$G616&lt;&gt;"",$H616&lt;&gt;"",$I616&lt;&gt;"")),"",IF(NOT(ISNUMBER($A616)),"入金日がありません",IF(AND($F616&lt;&gt;"",$O616="なし"),"請求Noが請求台帳にありません",IF(AND(ISNUMBER($O616),$C616&lt;&gt;"",$C616&lt;&gt;$P616),"請求の得意先は "&amp;$P616&amp;" です",IF(ROUND(IF($B616&lt;&gt;"",SUMIF($B$5:$B$1004,$B616,$E$5:$E$1004)-SUMIF($B$5:$B$1004,$B616,$G$5:$G$1004),N($E616)-N($G616)),0)&lt;&gt;0,"通帳の額と当てた額の差 "&amp;TEXT(IF($B616&lt;&gt;"",SUMIF($B$5:$B$1004,$B616,$E$5:$E$1004)-SUMIF($B$5:$B$1004,$B616,$G$5:$G$1004),N($E616)-N($G616)),"#,##0"),IF(AND(ISNUMBER($O616),N($K616)&lt;0),"請求額より多く消し込んでいます",IF($F616="","消込先が未定","OK")))))))</f>
        <v/>
      </c>
      <c r="M616" s="19" t="n"/>
      <c r="N616" s="56" t="n"/>
      <c r="O616" s="32">
        <f>IF($F616="","",IFERROR(MATCH($F616,'請求台帳'!$A$5:$A$1004,0),"なし"))</f>
        <v/>
      </c>
      <c r="P616" s="37">
        <f>IF(NOT(OR($A616&lt;&gt;"",$E616&lt;&gt;"",$F616&lt;&gt;"",$G616&lt;&gt;"",$H616&lt;&gt;"",$I616&lt;&gt;"")),"",IF(ISNUMBER($O616),IF(INDEX('請求台帳'!$C$5:$C$1004,$O616)="","",INDEX('請求台帳'!$C$5:$C$1004,$O616)),IF($C616="","",$C616)))</f>
        <v/>
      </c>
      <c r="Q616" s="35">
        <f>IF(OR(NOT(OR($A616&lt;&gt;"",$E616&lt;&gt;"",$F616&lt;&gt;"",$G616&lt;&gt;"",$H616&lt;&gt;"",$I616&lt;&gt;"")),$P616="",$P616&lt;&gt;'売掛帳'!$B$3,NOT(ISNUMBER($A616)),N($G616)+N($H616)+N($I616)=0),"",IF(AND($A616&gt;='売掛帳'!$Q$3,$A616&lt;='売掛帳'!$Q$4),$A616+0.5+ROW()/10000000,""))</f>
        <v/>
      </c>
      <c r="R616" s="32">
        <f>IF(AND(OR($A616&lt;&gt;"",$E616&lt;&gt;"",$F616&lt;&gt;"",$G616&lt;&gt;"",$H616&lt;&gt;"",$I616&lt;&gt;""),NOT(ISNUMBER($O616))),1,"")</f>
        <v/>
      </c>
    </row>
    <row r="617" ht="18" customHeight="1">
      <c r="A617" s="26" t="n"/>
      <c r="B617" s="18" t="n"/>
      <c r="C617" s="18" t="n"/>
      <c r="D617" s="20">
        <f>IF($P617="","",IFERROR(INDEX('得意先'!$C$5:$C$104,MATCH($P617,'得意先'!$B$5:$B$104,0))&amp;"","※得意先にないコード"))</f>
        <v/>
      </c>
      <c r="E617" s="27" t="n"/>
      <c r="F617" s="18" t="n"/>
      <c r="G617" s="27" t="n"/>
      <c r="H617" s="27" t="n"/>
      <c r="I617" s="27" t="n"/>
      <c r="J617" s="28">
        <f>IF(NOT(OR($A617&lt;&gt;"",$E617&lt;&gt;"",$F617&lt;&gt;"",$G617&lt;&gt;"",$H617&lt;&gt;"",$I617&lt;&gt;"")),"",N($G617)+N($H617)+N($I617))</f>
        <v/>
      </c>
      <c r="K617" s="28">
        <f>IF(ISNUMBER($O617),INDEX('請求台帳'!$R$5:$R$1004,$O617),"")</f>
        <v/>
      </c>
      <c r="L617" s="20">
        <f>IF(NOT(OR($A617&lt;&gt;"",$E617&lt;&gt;"",$F617&lt;&gt;"",$G617&lt;&gt;"",$H617&lt;&gt;"",$I617&lt;&gt;"")),"",IF(NOT(ISNUMBER($A617)),"入金日がありません",IF(AND($F617&lt;&gt;"",$O617="なし"),"請求Noが請求台帳にありません",IF(AND(ISNUMBER($O617),$C617&lt;&gt;"",$C617&lt;&gt;$P617),"請求の得意先は "&amp;$P617&amp;" です",IF(ROUND(IF($B617&lt;&gt;"",SUMIF($B$5:$B$1004,$B617,$E$5:$E$1004)-SUMIF($B$5:$B$1004,$B617,$G$5:$G$1004),N($E617)-N($G617)),0)&lt;&gt;0,"通帳の額と当てた額の差 "&amp;TEXT(IF($B617&lt;&gt;"",SUMIF($B$5:$B$1004,$B617,$E$5:$E$1004)-SUMIF($B$5:$B$1004,$B617,$G$5:$G$1004),N($E617)-N($G617)),"#,##0"),IF(AND(ISNUMBER($O617),N($K617)&lt;0),"請求額より多く消し込んでいます",IF($F617="","消込先が未定","OK")))))))</f>
        <v/>
      </c>
      <c r="M617" s="19" t="n"/>
      <c r="N617" s="56" t="n"/>
      <c r="O617" s="32">
        <f>IF($F617="","",IFERROR(MATCH($F617,'請求台帳'!$A$5:$A$1004,0),"なし"))</f>
        <v/>
      </c>
      <c r="P617" s="37">
        <f>IF(NOT(OR($A617&lt;&gt;"",$E617&lt;&gt;"",$F617&lt;&gt;"",$G617&lt;&gt;"",$H617&lt;&gt;"",$I617&lt;&gt;"")),"",IF(ISNUMBER($O617),IF(INDEX('請求台帳'!$C$5:$C$1004,$O617)="","",INDEX('請求台帳'!$C$5:$C$1004,$O617)),IF($C617="","",$C617)))</f>
        <v/>
      </c>
      <c r="Q617" s="35">
        <f>IF(OR(NOT(OR($A617&lt;&gt;"",$E617&lt;&gt;"",$F617&lt;&gt;"",$G617&lt;&gt;"",$H617&lt;&gt;"",$I617&lt;&gt;"")),$P617="",$P617&lt;&gt;'売掛帳'!$B$3,NOT(ISNUMBER($A617)),N($G617)+N($H617)+N($I617)=0),"",IF(AND($A617&gt;='売掛帳'!$Q$3,$A617&lt;='売掛帳'!$Q$4),$A617+0.5+ROW()/10000000,""))</f>
        <v/>
      </c>
      <c r="R617" s="32">
        <f>IF(AND(OR($A617&lt;&gt;"",$E617&lt;&gt;"",$F617&lt;&gt;"",$G617&lt;&gt;"",$H617&lt;&gt;"",$I617&lt;&gt;""),NOT(ISNUMBER($O617))),1,"")</f>
        <v/>
      </c>
    </row>
    <row r="618" ht="18" customHeight="1">
      <c r="A618" s="26" t="n"/>
      <c r="B618" s="18" t="n"/>
      <c r="C618" s="18" t="n"/>
      <c r="D618" s="20">
        <f>IF($P618="","",IFERROR(INDEX('得意先'!$C$5:$C$104,MATCH($P618,'得意先'!$B$5:$B$104,0))&amp;"","※得意先にないコード"))</f>
        <v/>
      </c>
      <c r="E618" s="27" t="n"/>
      <c r="F618" s="18" t="n"/>
      <c r="G618" s="27" t="n"/>
      <c r="H618" s="27" t="n"/>
      <c r="I618" s="27" t="n"/>
      <c r="J618" s="28">
        <f>IF(NOT(OR($A618&lt;&gt;"",$E618&lt;&gt;"",$F618&lt;&gt;"",$G618&lt;&gt;"",$H618&lt;&gt;"",$I618&lt;&gt;"")),"",N($G618)+N($H618)+N($I618))</f>
        <v/>
      </c>
      <c r="K618" s="28">
        <f>IF(ISNUMBER($O618),INDEX('請求台帳'!$R$5:$R$1004,$O618),"")</f>
        <v/>
      </c>
      <c r="L618" s="20">
        <f>IF(NOT(OR($A618&lt;&gt;"",$E618&lt;&gt;"",$F618&lt;&gt;"",$G618&lt;&gt;"",$H618&lt;&gt;"",$I618&lt;&gt;"")),"",IF(NOT(ISNUMBER($A618)),"入金日がありません",IF(AND($F618&lt;&gt;"",$O618="なし"),"請求Noが請求台帳にありません",IF(AND(ISNUMBER($O618),$C618&lt;&gt;"",$C618&lt;&gt;$P618),"請求の得意先は "&amp;$P618&amp;" です",IF(ROUND(IF($B618&lt;&gt;"",SUMIF($B$5:$B$1004,$B618,$E$5:$E$1004)-SUMIF($B$5:$B$1004,$B618,$G$5:$G$1004),N($E618)-N($G618)),0)&lt;&gt;0,"通帳の額と当てた額の差 "&amp;TEXT(IF($B618&lt;&gt;"",SUMIF($B$5:$B$1004,$B618,$E$5:$E$1004)-SUMIF($B$5:$B$1004,$B618,$G$5:$G$1004),N($E618)-N($G618)),"#,##0"),IF(AND(ISNUMBER($O618),N($K618)&lt;0),"請求額より多く消し込んでいます",IF($F618="","消込先が未定","OK")))))))</f>
        <v/>
      </c>
      <c r="M618" s="19" t="n"/>
      <c r="N618" s="56" t="n"/>
      <c r="O618" s="32">
        <f>IF($F618="","",IFERROR(MATCH($F618,'請求台帳'!$A$5:$A$1004,0),"なし"))</f>
        <v/>
      </c>
      <c r="P618" s="37">
        <f>IF(NOT(OR($A618&lt;&gt;"",$E618&lt;&gt;"",$F618&lt;&gt;"",$G618&lt;&gt;"",$H618&lt;&gt;"",$I618&lt;&gt;"")),"",IF(ISNUMBER($O618),IF(INDEX('請求台帳'!$C$5:$C$1004,$O618)="","",INDEX('請求台帳'!$C$5:$C$1004,$O618)),IF($C618="","",$C618)))</f>
        <v/>
      </c>
      <c r="Q618" s="35">
        <f>IF(OR(NOT(OR($A618&lt;&gt;"",$E618&lt;&gt;"",$F618&lt;&gt;"",$G618&lt;&gt;"",$H618&lt;&gt;"",$I618&lt;&gt;"")),$P618="",$P618&lt;&gt;'売掛帳'!$B$3,NOT(ISNUMBER($A618)),N($G618)+N($H618)+N($I618)=0),"",IF(AND($A618&gt;='売掛帳'!$Q$3,$A618&lt;='売掛帳'!$Q$4),$A618+0.5+ROW()/10000000,""))</f>
        <v/>
      </c>
      <c r="R618" s="32">
        <f>IF(AND(OR($A618&lt;&gt;"",$E618&lt;&gt;"",$F618&lt;&gt;"",$G618&lt;&gt;"",$H618&lt;&gt;"",$I618&lt;&gt;""),NOT(ISNUMBER($O618))),1,"")</f>
        <v/>
      </c>
    </row>
    <row r="619" ht="18" customHeight="1">
      <c r="A619" s="26" t="n"/>
      <c r="B619" s="18" t="n"/>
      <c r="C619" s="18" t="n"/>
      <c r="D619" s="20">
        <f>IF($P619="","",IFERROR(INDEX('得意先'!$C$5:$C$104,MATCH($P619,'得意先'!$B$5:$B$104,0))&amp;"","※得意先にないコード"))</f>
        <v/>
      </c>
      <c r="E619" s="27" t="n"/>
      <c r="F619" s="18" t="n"/>
      <c r="G619" s="27" t="n"/>
      <c r="H619" s="27" t="n"/>
      <c r="I619" s="27" t="n"/>
      <c r="J619" s="28">
        <f>IF(NOT(OR($A619&lt;&gt;"",$E619&lt;&gt;"",$F619&lt;&gt;"",$G619&lt;&gt;"",$H619&lt;&gt;"",$I619&lt;&gt;"")),"",N($G619)+N($H619)+N($I619))</f>
        <v/>
      </c>
      <c r="K619" s="28">
        <f>IF(ISNUMBER($O619),INDEX('請求台帳'!$R$5:$R$1004,$O619),"")</f>
        <v/>
      </c>
      <c r="L619" s="20">
        <f>IF(NOT(OR($A619&lt;&gt;"",$E619&lt;&gt;"",$F619&lt;&gt;"",$G619&lt;&gt;"",$H619&lt;&gt;"",$I619&lt;&gt;"")),"",IF(NOT(ISNUMBER($A619)),"入金日がありません",IF(AND($F619&lt;&gt;"",$O619="なし"),"請求Noが請求台帳にありません",IF(AND(ISNUMBER($O619),$C619&lt;&gt;"",$C619&lt;&gt;$P619),"請求の得意先は "&amp;$P619&amp;" です",IF(ROUND(IF($B619&lt;&gt;"",SUMIF($B$5:$B$1004,$B619,$E$5:$E$1004)-SUMIF($B$5:$B$1004,$B619,$G$5:$G$1004),N($E619)-N($G619)),0)&lt;&gt;0,"通帳の額と当てた額の差 "&amp;TEXT(IF($B619&lt;&gt;"",SUMIF($B$5:$B$1004,$B619,$E$5:$E$1004)-SUMIF($B$5:$B$1004,$B619,$G$5:$G$1004),N($E619)-N($G619)),"#,##0"),IF(AND(ISNUMBER($O619),N($K619)&lt;0),"請求額より多く消し込んでいます",IF($F619="","消込先が未定","OK")))))))</f>
        <v/>
      </c>
      <c r="M619" s="19" t="n"/>
      <c r="N619" s="56" t="n"/>
      <c r="O619" s="32">
        <f>IF($F619="","",IFERROR(MATCH($F619,'請求台帳'!$A$5:$A$1004,0),"なし"))</f>
        <v/>
      </c>
      <c r="P619" s="37">
        <f>IF(NOT(OR($A619&lt;&gt;"",$E619&lt;&gt;"",$F619&lt;&gt;"",$G619&lt;&gt;"",$H619&lt;&gt;"",$I619&lt;&gt;"")),"",IF(ISNUMBER($O619),IF(INDEX('請求台帳'!$C$5:$C$1004,$O619)="","",INDEX('請求台帳'!$C$5:$C$1004,$O619)),IF($C619="","",$C619)))</f>
        <v/>
      </c>
      <c r="Q619" s="35">
        <f>IF(OR(NOT(OR($A619&lt;&gt;"",$E619&lt;&gt;"",$F619&lt;&gt;"",$G619&lt;&gt;"",$H619&lt;&gt;"",$I619&lt;&gt;"")),$P619="",$P619&lt;&gt;'売掛帳'!$B$3,NOT(ISNUMBER($A619)),N($G619)+N($H619)+N($I619)=0),"",IF(AND($A619&gt;='売掛帳'!$Q$3,$A619&lt;='売掛帳'!$Q$4),$A619+0.5+ROW()/10000000,""))</f>
        <v/>
      </c>
      <c r="R619" s="32">
        <f>IF(AND(OR($A619&lt;&gt;"",$E619&lt;&gt;"",$F619&lt;&gt;"",$G619&lt;&gt;"",$H619&lt;&gt;"",$I619&lt;&gt;""),NOT(ISNUMBER($O619))),1,"")</f>
        <v/>
      </c>
    </row>
    <row r="620" ht="18" customHeight="1">
      <c r="A620" s="26" t="n"/>
      <c r="B620" s="18" t="n"/>
      <c r="C620" s="18" t="n"/>
      <c r="D620" s="20">
        <f>IF($P620="","",IFERROR(INDEX('得意先'!$C$5:$C$104,MATCH($P620,'得意先'!$B$5:$B$104,0))&amp;"","※得意先にないコード"))</f>
        <v/>
      </c>
      <c r="E620" s="27" t="n"/>
      <c r="F620" s="18" t="n"/>
      <c r="G620" s="27" t="n"/>
      <c r="H620" s="27" t="n"/>
      <c r="I620" s="27" t="n"/>
      <c r="J620" s="28">
        <f>IF(NOT(OR($A620&lt;&gt;"",$E620&lt;&gt;"",$F620&lt;&gt;"",$G620&lt;&gt;"",$H620&lt;&gt;"",$I620&lt;&gt;"")),"",N($G620)+N($H620)+N($I620))</f>
        <v/>
      </c>
      <c r="K620" s="28">
        <f>IF(ISNUMBER($O620),INDEX('請求台帳'!$R$5:$R$1004,$O620),"")</f>
        <v/>
      </c>
      <c r="L620" s="20">
        <f>IF(NOT(OR($A620&lt;&gt;"",$E620&lt;&gt;"",$F620&lt;&gt;"",$G620&lt;&gt;"",$H620&lt;&gt;"",$I620&lt;&gt;"")),"",IF(NOT(ISNUMBER($A620)),"入金日がありません",IF(AND($F620&lt;&gt;"",$O620="なし"),"請求Noが請求台帳にありません",IF(AND(ISNUMBER($O620),$C620&lt;&gt;"",$C620&lt;&gt;$P620),"請求の得意先は "&amp;$P620&amp;" です",IF(ROUND(IF($B620&lt;&gt;"",SUMIF($B$5:$B$1004,$B620,$E$5:$E$1004)-SUMIF($B$5:$B$1004,$B620,$G$5:$G$1004),N($E620)-N($G620)),0)&lt;&gt;0,"通帳の額と当てた額の差 "&amp;TEXT(IF($B620&lt;&gt;"",SUMIF($B$5:$B$1004,$B620,$E$5:$E$1004)-SUMIF($B$5:$B$1004,$B620,$G$5:$G$1004),N($E620)-N($G620)),"#,##0"),IF(AND(ISNUMBER($O620),N($K620)&lt;0),"請求額より多く消し込んでいます",IF($F620="","消込先が未定","OK")))))))</f>
        <v/>
      </c>
      <c r="M620" s="19" t="n"/>
      <c r="N620" s="56" t="n"/>
      <c r="O620" s="32">
        <f>IF($F620="","",IFERROR(MATCH($F620,'請求台帳'!$A$5:$A$1004,0),"なし"))</f>
        <v/>
      </c>
      <c r="P620" s="37">
        <f>IF(NOT(OR($A620&lt;&gt;"",$E620&lt;&gt;"",$F620&lt;&gt;"",$G620&lt;&gt;"",$H620&lt;&gt;"",$I620&lt;&gt;"")),"",IF(ISNUMBER($O620),IF(INDEX('請求台帳'!$C$5:$C$1004,$O620)="","",INDEX('請求台帳'!$C$5:$C$1004,$O620)),IF($C620="","",$C620)))</f>
        <v/>
      </c>
      <c r="Q620" s="35">
        <f>IF(OR(NOT(OR($A620&lt;&gt;"",$E620&lt;&gt;"",$F620&lt;&gt;"",$G620&lt;&gt;"",$H620&lt;&gt;"",$I620&lt;&gt;"")),$P620="",$P620&lt;&gt;'売掛帳'!$B$3,NOT(ISNUMBER($A620)),N($G620)+N($H620)+N($I620)=0),"",IF(AND($A620&gt;='売掛帳'!$Q$3,$A620&lt;='売掛帳'!$Q$4),$A620+0.5+ROW()/10000000,""))</f>
        <v/>
      </c>
      <c r="R620" s="32">
        <f>IF(AND(OR($A620&lt;&gt;"",$E620&lt;&gt;"",$F620&lt;&gt;"",$G620&lt;&gt;"",$H620&lt;&gt;"",$I620&lt;&gt;""),NOT(ISNUMBER($O620))),1,"")</f>
        <v/>
      </c>
    </row>
    <row r="621" ht="18" customHeight="1">
      <c r="A621" s="26" t="n"/>
      <c r="B621" s="18" t="n"/>
      <c r="C621" s="18" t="n"/>
      <c r="D621" s="20">
        <f>IF($P621="","",IFERROR(INDEX('得意先'!$C$5:$C$104,MATCH($P621,'得意先'!$B$5:$B$104,0))&amp;"","※得意先にないコード"))</f>
        <v/>
      </c>
      <c r="E621" s="27" t="n"/>
      <c r="F621" s="18" t="n"/>
      <c r="G621" s="27" t="n"/>
      <c r="H621" s="27" t="n"/>
      <c r="I621" s="27" t="n"/>
      <c r="J621" s="28">
        <f>IF(NOT(OR($A621&lt;&gt;"",$E621&lt;&gt;"",$F621&lt;&gt;"",$G621&lt;&gt;"",$H621&lt;&gt;"",$I621&lt;&gt;"")),"",N($G621)+N($H621)+N($I621))</f>
        <v/>
      </c>
      <c r="K621" s="28">
        <f>IF(ISNUMBER($O621),INDEX('請求台帳'!$R$5:$R$1004,$O621),"")</f>
        <v/>
      </c>
      <c r="L621" s="20">
        <f>IF(NOT(OR($A621&lt;&gt;"",$E621&lt;&gt;"",$F621&lt;&gt;"",$G621&lt;&gt;"",$H621&lt;&gt;"",$I621&lt;&gt;"")),"",IF(NOT(ISNUMBER($A621)),"入金日がありません",IF(AND($F621&lt;&gt;"",$O621="なし"),"請求Noが請求台帳にありません",IF(AND(ISNUMBER($O621),$C621&lt;&gt;"",$C621&lt;&gt;$P621),"請求の得意先は "&amp;$P621&amp;" です",IF(ROUND(IF($B621&lt;&gt;"",SUMIF($B$5:$B$1004,$B621,$E$5:$E$1004)-SUMIF($B$5:$B$1004,$B621,$G$5:$G$1004),N($E621)-N($G621)),0)&lt;&gt;0,"通帳の額と当てた額の差 "&amp;TEXT(IF($B621&lt;&gt;"",SUMIF($B$5:$B$1004,$B621,$E$5:$E$1004)-SUMIF($B$5:$B$1004,$B621,$G$5:$G$1004),N($E621)-N($G621)),"#,##0"),IF(AND(ISNUMBER($O621),N($K621)&lt;0),"請求額より多く消し込んでいます",IF($F621="","消込先が未定","OK")))))))</f>
        <v/>
      </c>
      <c r="M621" s="19" t="n"/>
      <c r="N621" s="56" t="n"/>
      <c r="O621" s="32">
        <f>IF($F621="","",IFERROR(MATCH($F621,'請求台帳'!$A$5:$A$1004,0),"なし"))</f>
        <v/>
      </c>
      <c r="P621" s="37">
        <f>IF(NOT(OR($A621&lt;&gt;"",$E621&lt;&gt;"",$F621&lt;&gt;"",$G621&lt;&gt;"",$H621&lt;&gt;"",$I621&lt;&gt;"")),"",IF(ISNUMBER($O621),IF(INDEX('請求台帳'!$C$5:$C$1004,$O621)="","",INDEX('請求台帳'!$C$5:$C$1004,$O621)),IF($C621="","",$C621)))</f>
        <v/>
      </c>
      <c r="Q621" s="35">
        <f>IF(OR(NOT(OR($A621&lt;&gt;"",$E621&lt;&gt;"",$F621&lt;&gt;"",$G621&lt;&gt;"",$H621&lt;&gt;"",$I621&lt;&gt;"")),$P621="",$P621&lt;&gt;'売掛帳'!$B$3,NOT(ISNUMBER($A621)),N($G621)+N($H621)+N($I621)=0),"",IF(AND($A621&gt;='売掛帳'!$Q$3,$A621&lt;='売掛帳'!$Q$4),$A621+0.5+ROW()/10000000,""))</f>
        <v/>
      </c>
      <c r="R621" s="32">
        <f>IF(AND(OR($A621&lt;&gt;"",$E621&lt;&gt;"",$F621&lt;&gt;"",$G621&lt;&gt;"",$H621&lt;&gt;"",$I621&lt;&gt;""),NOT(ISNUMBER($O621))),1,"")</f>
        <v/>
      </c>
    </row>
    <row r="622" ht="18" customHeight="1">
      <c r="A622" s="26" t="n"/>
      <c r="B622" s="18" t="n"/>
      <c r="C622" s="18" t="n"/>
      <c r="D622" s="20">
        <f>IF($P622="","",IFERROR(INDEX('得意先'!$C$5:$C$104,MATCH($P622,'得意先'!$B$5:$B$104,0))&amp;"","※得意先にないコード"))</f>
        <v/>
      </c>
      <c r="E622" s="27" t="n"/>
      <c r="F622" s="18" t="n"/>
      <c r="G622" s="27" t="n"/>
      <c r="H622" s="27" t="n"/>
      <c r="I622" s="27" t="n"/>
      <c r="J622" s="28">
        <f>IF(NOT(OR($A622&lt;&gt;"",$E622&lt;&gt;"",$F622&lt;&gt;"",$G622&lt;&gt;"",$H622&lt;&gt;"",$I622&lt;&gt;"")),"",N($G622)+N($H622)+N($I622))</f>
        <v/>
      </c>
      <c r="K622" s="28">
        <f>IF(ISNUMBER($O622),INDEX('請求台帳'!$R$5:$R$1004,$O622),"")</f>
        <v/>
      </c>
      <c r="L622" s="20">
        <f>IF(NOT(OR($A622&lt;&gt;"",$E622&lt;&gt;"",$F622&lt;&gt;"",$G622&lt;&gt;"",$H622&lt;&gt;"",$I622&lt;&gt;"")),"",IF(NOT(ISNUMBER($A622)),"入金日がありません",IF(AND($F622&lt;&gt;"",$O622="なし"),"請求Noが請求台帳にありません",IF(AND(ISNUMBER($O622),$C622&lt;&gt;"",$C622&lt;&gt;$P622),"請求の得意先は "&amp;$P622&amp;" です",IF(ROUND(IF($B622&lt;&gt;"",SUMIF($B$5:$B$1004,$B622,$E$5:$E$1004)-SUMIF($B$5:$B$1004,$B622,$G$5:$G$1004),N($E622)-N($G622)),0)&lt;&gt;0,"通帳の額と当てた額の差 "&amp;TEXT(IF($B622&lt;&gt;"",SUMIF($B$5:$B$1004,$B622,$E$5:$E$1004)-SUMIF($B$5:$B$1004,$B622,$G$5:$G$1004),N($E622)-N($G622)),"#,##0"),IF(AND(ISNUMBER($O622),N($K622)&lt;0),"請求額より多く消し込んでいます",IF($F622="","消込先が未定","OK")))))))</f>
        <v/>
      </c>
      <c r="M622" s="19" t="n"/>
      <c r="N622" s="56" t="n"/>
      <c r="O622" s="32">
        <f>IF($F622="","",IFERROR(MATCH($F622,'請求台帳'!$A$5:$A$1004,0),"なし"))</f>
        <v/>
      </c>
      <c r="P622" s="37">
        <f>IF(NOT(OR($A622&lt;&gt;"",$E622&lt;&gt;"",$F622&lt;&gt;"",$G622&lt;&gt;"",$H622&lt;&gt;"",$I622&lt;&gt;"")),"",IF(ISNUMBER($O622),IF(INDEX('請求台帳'!$C$5:$C$1004,$O622)="","",INDEX('請求台帳'!$C$5:$C$1004,$O622)),IF($C622="","",$C622)))</f>
        <v/>
      </c>
      <c r="Q622" s="35">
        <f>IF(OR(NOT(OR($A622&lt;&gt;"",$E622&lt;&gt;"",$F622&lt;&gt;"",$G622&lt;&gt;"",$H622&lt;&gt;"",$I622&lt;&gt;"")),$P622="",$P622&lt;&gt;'売掛帳'!$B$3,NOT(ISNUMBER($A622)),N($G622)+N($H622)+N($I622)=0),"",IF(AND($A622&gt;='売掛帳'!$Q$3,$A622&lt;='売掛帳'!$Q$4),$A622+0.5+ROW()/10000000,""))</f>
        <v/>
      </c>
      <c r="R622" s="32">
        <f>IF(AND(OR($A622&lt;&gt;"",$E622&lt;&gt;"",$F622&lt;&gt;"",$G622&lt;&gt;"",$H622&lt;&gt;"",$I622&lt;&gt;""),NOT(ISNUMBER($O622))),1,"")</f>
        <v/>
      </c>
    </row>
    <row r="623" ht="18" customHeight="1">
      <c r="A623" s="26" t="n"/>
      <c r="B623" s="18" t="n"/>
      <c r="C623" s="18" t="n"/>
      <c r="D623" s="20">
        <f>IF($P623="","",IFERROR(INDEX('得意先'!$C$5:$C$104,MATCH($P623,'得意先'!$B$5:$B$104,0))&amp;"","※得意先にないコード"))</f>
        <v/>
      </c>
      <c r="E623" s="27" t="n"/>
      <c r="F623" s="18" t="n"/>
      <c r="G623" s="27" t="n"/>
      <c r="H623" s="27" t="n"/>
      <c r="I623" s="27" t="n"/>
      <c r="J623" s="28">
        <f>IF(NOT(OR($A623&lt;&gt;"",$E623&lt;&gt;"",$F623&lt;&gt;"",$G623&lt;&gt;"",$H623&lt;&gt;"",$I623&lt;&gt;"")),"",N($G623)+N($H623)+N($I623))</f>
        <v/>
      </c>
      <c r="K623" s="28">
        <f>IF(ISNUMBER($O623),INDEX('請求台帳'!$R$5:$R$1004,$O623),"")</f>
        <v/>
      </c>
      <c r="L623" s="20">
        <f>IF(NOT(OR($A623&lt;&gt;"",$E623&lt;&gt;"",$F623&lt;&gt;"",$G623&lt;&gt;"",$H623&lt;&gt;"",$I623&lt;&gt;"")),"",IF(NOT(ISNUMBER($A623)),"入金日がありません",IF(AND($F623&lt;&gt;"",$O623="なし"),"請求Noが請求台帳にありません",IF(AND(ISNUMBER($O623),$C623&lt;&gt;"",$C623&lt;&gt;$P623),"請求の得意先は "&amp;$P623&amp;" です",IF(ROUND(IF($B623&lt;&gt;"",SUMIF($B$5:$B$1004,$B623,$E$5:$E$1004)-SUMIF($B$5:$B$1004,$B623,$G$5:$G$1004),N($E623)-N($G623)),0)&lt;&gt;0,"通帳の額と当てた額の差 "&amp;TEXT(IF($B623&lt;&gt;"",SUMIF($B$5:$B$1004,$B623,$E$5:$E$1004)-SUMIF($B$5:$B$1004,$B623,$G$5:$G$1004),N($E623)-N($G623)),"#,##0"),IF(AND(ISNUMBER($O623),N($K623)&lt;0),"請求額より多く消し込んでいます",IF($F623="","消込先が未定","OK")))))))</f>
        <v/>
      </c>
      <c r="M623" s="19" t="n"/>
      <c r="N623" s="56" t="n"/>
      <c r="O623" s="32">
        <f>IF($F623="","",IFERROR(MATCH($F623,'請求台帳'!$A$5:$A$1004,0),"なし"))</f>
        <v/>
      </c>
      <c r="P623" s="37">
        <f>IF(NOT(OR($A623&lt;&gt;"",$E623&lt;&gt;"",$F623&lt;&gt;"",$G623&lt;&gt;"",$H623&lt;&gt;"",$I623&lt;&gt;"")),"",IF(ISNUMBER($O623),IF(INDEX('請求台帳'!$C$5:$C$1004,$O623)="","",INDEX('請求台帳'!$C$5:$C$1004,$O623)),IF($C623="","",$C623)))</f>
        <v/>
      </c>
      <c r="Q623" s="35">
        <f>IF(OR(NOT(OR($A623&lt;&gt;"",$E623&lt;&gt;"",$F623&lt;&gt;"",$G623&lt;&gt;"",$H623&lt;&gt;"",$I623&lt;&gt;"")),$P623="",$P623&lt;&gt;'売掛帳'!$B$3,NOT(ISNUMBER($A623)),N($G623)+N($H623)+N($I623)=0),"",IF(AND($A623&gt;='売掛帳'!$Q$3,$A623&lt;='売掛帳'!$Q$4),$A623+0.5+ROW()/10000000,""))</f>
        <v/>
      </c>
      <c r="R623" s="32">
        <f>IF(AND(OR($A623&lt;&gt;"",$E623&lt;&gt;"",$F623&lt;&gt;"",$G623&lt;&gt;"",$H623&lt;&gt;"",$I623&lt;&gt;""),NOT(ISNUMBER($O623))),1,"")</f>
        <v/>
      </c>
    </row>
    <row r="624" ht="18" customHeight="1">
      <c r="A624" s="26" t="n"/>
      <c r="B624" s="18" t="n"/>
      <c r="C624" s="18" t="n"/>
      <c r="D624" s="20">
        <f>IF($P624="","",IFERROR(INDEX('得意先'!$C$5:$C$104,MATCH($P624,'得意先'!$B$5:$B$104,0))&amp;"","※得意先にないコード"))</f>
        <v/>
      </c>
      <c r="E624" s="27" t="n"/>
      <c r="F624" s="18" t="n"/>
      <c r="G624" s="27" t="n"/>
      <c r="H624" s="27" t="n"/>
      <c r="I624" s="27" t="n"/>
      <c r="J624" s="28">
        <f>IF(NOT(OR($A624&lt;&gt;"",$E624&lt;&gt;"",$F624&lt;&gt;"",$G624&lt;&gt;"",$H624&lt;&gt;"",$I624&lt;&gt;"")),"",N($G624)+N($H624)+N($I624))</f>
        <v/>
      </c>
      <c r="K624" s="28">
        <f>IF(ISNUMBER($O624),INDEX('請求台帳'!$R$5:$R$1004,$O624),"")</f>
        <v/>
      </c>
      <c r="L624" s="20">
        <f>IF(NOT(OR($A624&lt;&gt;"",$E624&lt;&gt;"",$F624&lt;&gt;"",$G624&lt;&gt;"",$H624&lt;&gt;"",$I624&lt;&gt;"")),"",IF(NOT(ISNUMBER($A624)),"入金日がありません",IF(AND($F624&lt;&gt;"",$O624="なし"),"請求Noが請求台帳にありません",IF(AND(ISNUMBER($O624),$C624&lt;&gt;"",$C624&lt;&gt;$P624),"請求の得意先は "&amp;$P624&amp;" です",IF(ROUND(IF($B624&lt;&gt;"",SUMIF($B$5:$B$1004,$B624,$E$5:$E$1004)-SUMIF($B$5:$B$1004,$B624,$G$5:$G$1004),N($E624)-N($G624)),0)&lt;&gt;0,"通帳の額と当てた額の差 "&amp;TEXT(IF($B624&lt;&gt;"",SUMIF($B$5:$B$1004,$B624,$E$5:$E$1004)-SUMIF($B$5:$B$1004,$B624,$G$5:$G$1004),N($E624)-N($G624)),"#,##0"),IF(AND(ISNUMBER($O624),N($K624)&lt;0),"請求額より多く消し込んでいます",IF($F624="","消込先が未定","OK")))))))</f>
        <v/>
      </c>
      <c r="M624" s="19" t="n"/>
      <c r="N624" s="56" t="n"/>
      <c r="O624" s="32">
        <f>IF($F624="","",IFERROR(MATCH($F624,'請求台帳'!$A$5:$A$1004,0),"なし"))</f>
        <v/>
      </c>
      <c r="P624" s="37">
        <f>IF(NOT(OR($A624&lt;&gt;"",$E624&lt;&gt;"",$F624&lt;&gt;"",$G624&lt;&gt;"",$H624&lt;&gt;"",$I624&lt;&gt;"")),"",IF(ISNUMBER($O624),IF(INDEX('請求台帳'!$C$5:$C$1004,$O624)="","",INDEX('請求台帳'!$C$5:$C$1004,$O624)),IF($C624="","",$C624)))</f>
        <v/>
      </c>
      <c r="Q624" s="35">
        <f>IF(OR(NOT(OR($A624&lt;&gt;"",$E624&lt;&gt;"",$F624&lt;&gt;"",$G624&lt;&gt;"",$H624&lt;&gt;"",$I624&lt;&gt;"")),$P624="",$P624&lt;&gt;'売掛帳'!$B$3,NOT(ISNUMBER($A624)),N($G624)+N($H624)+N($I624)=0),"",IF(AND($A624&gt;='売掛帳'!$Q$3,$A624&lt;='売掛帳'!$Q$4),$A624+0.5+ROW()/10000000,""))</f>
        <v/>
      </c>
      <c r="R624" s="32">
        <f>IF(AND(OR($A624&lt;&gt;"",$E624&lt;&gt;"",$F624&lt;&gt;"",$G624&lt;&gt;"",$H624&lt;&gt;"",$I624&lt;&gt;""),NOT(ISNUMBER($O624))),1,"")</f>
        <v/>
      </c>
    </row>
    <row r="625" ht="18" customHeight="1">
      <c r="A625" s="26" t="n"/>
      <c r="B625" s="18" t="n"/>
      <c r="C625" s="18" t="n"/>
      <c r="D625" s="20">
        <f>IF($P625="","",IFERROR(INDEX('得意先'!$C$5:$C$104,MATCH($P625,'得意先'!$B$5:$B$104,0))&amp;"","※得意先にないコード"))</f>
        <v/>
      </c>
      <c r="E625" s="27" t="n"/>
      <c r="F625" s="18" t="n"/>
      <c r="G625" s="27" t="n"/>
      <c r="H625" s="27" t="n"/>
      <c r="I625" s="27" t="n"/>
      <c r="J625" s="28">
        <f>IF(NOT(OR($A625&lt;&gt;"",$E625&lt;&gt;"",$F625&lt;&gt;"",$G625&lt;&gt;"",$H625&lt;&gt;"",$I625&lt;&gt;"")),"",N($G625)+N($H625)+N($I625))</f>
        <v/>
      </c>
      <c r="K625" s="28">
        <f>IF(ISNUMBER($O625),INDEX('請求台帳'!$R$5:$R$1004,$O625),"")</f>
        <v/>
      </c>
      <c r="L625" s="20">
        <f>IF(NOT(OR($A625&lt;&gt;"",$E625&lt;&gt;"",$F625&lt;&gt;"",$G625&lt;&gt;"",$H625&lt;&gt;"",$I625&lt;&gt;"")),"",IF(NOT(ISNUMBER($A625)),"入金日がありません",IF(AND($F625&lt;&gt;"",$O625="なし"),"請求Noが請求台帳にありません",IF(AND(ISNUMBER($O625),$C625&lt;&gt;"",$C625&lt;&gt;$P625),"請求の得意先は "&amp;$P625&amp;" です",IF(ROUND(IF($B625&lt;&gt;"",SUMIF($B$5:$B$1004,$B625,$E$5:$E$1004)-SUMIF($B$5:$B$1004,$B625,$G$5:$G$1004),N($E625)-N($G625)),0)&lt;&gt;0,"通帳の額と当てた額の差 "&amp;TEXT(IF($B625&lt;&gt;"",SUMIF($B$5:$B$1004,$B625,$E$5:$E$1004)-SUMIF($B$5:$B$1004,$B625,$G$5:$G$1004),N($E625)-N($G625)),"#,##0"),IF(AND(ISNUMBER($O625),N($K625)&lt;0),"請求額より多く消し込んでいます",IF($F625="","消込先が未定","OK")))))))</f>
        <v/>
      </c>
      <c r="M625" s="19" t="n"/>
      <c r="N625" s="56" t="n"/>
      <c r="O625" s="32">
        <f>IF($F625="","",IFERROR(MATCH($F625,'請求台帳'!$A$5:$A$1004,0),"なし"))</f>
        <v/>
      </c>
      <c r="P625" s="37">
        <f>IF(NOT(OR($A625&lt;&gt;"",$E625&lt;&gt;"",$F625&lt;&gt;"",$G625&lt;&gt;"",$H625&lt;&gt;"",$I625&lt;&gt;"")),"",IF(ISNUMBER($O625),IF(INDEX('請求台帳'!$C$5:$C$1004,$O625)="","",INDEX('請求台帳'!$C$5:$C$1004,$O625)),IF($C625="","",$C625)))</f>
        <v/>
      </c>
      <c r="Q625" s="35">
        <f>IF(OR(NOT(OR($A625&lt;&gt;"",$E625&lt;&gt;"",$F625&lt;&gt;"",$G625&lt;&gt;"",$H625&lt;&gt;"",$I625&lt;&gt;"")),$P625="",$P625&lt;&gt;'売掛帳'!$B$3,NOT(ISNUMBER($A625)),N($G625)+N($H625)+N($I625)=0),"",IF(AND($A625&gt;='売掛帳'!$Q$3,$A625&lt;='売掛帳'!$Q$4),$A625+0.5+ROW()/10000000,""))</f>
        <v/>
      </c>
      <c r="R625" s="32">
        <f>IF(AND(OR($A625&lt;&gt;"",$E625&lt;&gt;"",$F625&lt;&gt;"",$G625&lt;&gt;"",$H625&lt;&gt;"",$I625&lt;&gt;""),NOT(ISNUMBER($O625))),1,"")</f>
        <v/>
      </c>
    </row>
    <row r="626" ht="18" customHeight="1">
      <c r="A626" s="26" t="n"/>
      <c r="B626" s="18" t="n"/>
      <c r="C626" s="18" t="n"/>
      <c r="D626" s="20">
        <f>IF($P626="","",IFERROR(INDEX('得意先'!$C$5:$C$104,MATCH($P626,'得意先'!$B$5:$B$104,0))&amp;"","※得意先にないコード"))</f>
        <v/>
      </c>
      <c r="E626" s="27" t="n"/>
      <c r="F626" s="18" t="n"/>
      <c r="G626" s="27" t="n"/>
      <c r="H626" s="27" t="n"/>
      <c r="I626" s="27" t="n"/>
      <c r="J626" s="28">
        <f>IF(NOT(OR($A626&lt;&gt;"",$E626&lt;&gt;"",$F626&lt;&gt;"",$G626&lt;&gt;"",$H626&lt;&gt;"",$I626&lt;&gt;"")),"",N($G626)+N($H626)+N($I626))</f>
        <v/>
      </c>
      <c r="K626" s="28">
        <f>IF(ISNUMBER($O626),INDEX('請求台帳'!$R$5:$R$1004,$O626),"")</f>
        <v/>
      </c>
      <c r="L626" s="20">
        <f>IF(NOT(OR($A626&lt;&gt;"",$E626&lt;&gt;"",$F626&lt;&gt;"",$G626&lt;&gt;"",$H626&lt;&gt;"",$I626&lt;&gt;"")),"",IF(NOT(ISNUMBER($A626)),"入金日がありません",IF(AND($F626&lt;&gt;"",$O626="なし"),"請求Noが請求台帳にありません",IF(AND(ISNUMBER($O626),$C626&lt;&gt;"",$C626&lt;&gt;$P626),"請求の得意先は "&amp;$P626&amp;" です",IF(ROUND(IF($B626&lt;&gt;"",SUMIF($B$5:$B$1004,$B626,$E$5:$E$1004)-SUMIF($B$5:$B$1004,$B626,$G$5:$G$1004),N($E626)-N($G626)),0)&lt;&gt;0,"通帳の額と当てた額の差 "&amp;TEXT(IF($B626&lt;&gt;"",SUMIF($B$5:$B$1004,$B626,$E$5:$E$1004)-SUMIF($B$5:$B$1004,$B626,$G$5:$G$1004),N($E626)-N($G626)),"#,##0"),IF(AND(ISNUMBER($O626),N($K626)&lt;0),"請求額より多く消し込んでいます",IF($F626="","消込先が未定","OK")))))))</f>
        <v/>
      </c>
      <c r="M626" s="19" t="n"/>
      <c r="N626" s="56" t="n"/>
      <c r="O626" s="32">
        <f>IF($F626="","",IFERROR(MATCH($F626,'請求台帳'!$A$5:$A$1004,0),"なし"))</f>
        <v/>
      </c>
      <c r="P626" s="37">
        <f>IF(NOT(OR($A626&lt;&gt;"",$E626&lt;&gt;"",$F626&lt;&gt;"",$G626&lt;&gt;"",$H626&lt;&gt;"",$I626&lt;&gt;"")),"",IF(ISNUMBER($O626),IF(INDEX('請求台帳'!$C$5:$C$1004,$O626)="","",INDEX('請求台帳'!$C$5:$C$1004,$O626)),IF($C626="","",$C626)))</f>
        <v/>
      </c>
      <c r="Q626" s="35">
        <f>IF(OR(NOT(OR($A626&lt;&gt;"",$E626&lt;&gt;"",$F626&lt;&gt;"",$G626&lt;&gt;"",$H626&lt;&gt;"",$I626&lt;&gt;"")),$P626="",$P626&lt;&gt;'売掛帳'!$B$3,NOT(ISNUMBER($A626)),N($G626)+N($H626)+N($I626)=0),"",IF(AND($A626&gt;='売掛帳'!$Q$3,$A626&lt;='売掛帳'!$Q$4),$A626+0.5+ROW()/10000000,""))</f>
        <v/>
      </c>
      <c r="R626" s="32">
        <f>IF(AND(OR($A626&lt;&gt;"",$E626&lt;&gt;"",$F626&lt;&gt;"",$G626&lt;&gt;"",$H626&lt;&gt;"",$I626&lt;&gt;""),NOT(ISNUMBER($O626))),1,"")</f>
        <v/>
      </c>
    </row>
    <row r="627" ht="18" customHeight="1">
      <c r="A627" s="26" t="n"/>
      <c r="B627" s="18" t="n"/>
      <c r="C627" s="18" t="n"/>
      <c r="D627" s="20">
        <f>IF($P627="","",IFERROR(INDEX('得意先'!$C$5:$C$104,MATCH($P627,'得意先'!$B$5:$B$104,0))&amp;"","※得意先にないコード"))</f>
        <v/>
      </c>
      <c r="E627" s="27" t="n"/>
      <c r="F627" s="18" t="n"/>
      <c r="G627" s="27" t="n"/>
      <c r="H627" s="27" t="n"/>
      <c r="I627" s="27" t="n"/>
      <c r="J627" s="28">
        <f>IF(NOT(OR($A627&lt;&gt;"",$E627&lt;&gt;"",$F627&lt;&gt;"",$G627&lt;&gt;"",$H627&lt;&gt;"",$I627&lt;&gt;"")),"",N($G627)+N($H627)+N($I627))</f>
        <v/>
      </c>
      <c r="K627" s="28">
        <f>IF(ISNUMBER($O627),INDEX('請求台帳'!$R$5:$R$1004,$O627),"")</f>
        <v/>
      </c>
      <c r="L627" s="20">
        <f>IF(NOT(OR($A627&lt;&gt;"",$E627&lt;&gt;"",$F627&lt;&gt;"",$G627&lt;&gt;"",$H627&lt;&gt;"",$I627&lt;&gt;"")),"",IF(NOT(ISNUMBER($A627)),"入金日がありません",IF(AND($F627&lt;&gt;"",$O627="なし"),"請求Noが請求台帳にありません",IF(AND(ISNUMBER($O627),$C627&lt;&gt;"",$C627&lt;&gt;$P627),"請求の得意先は "&amp;$P627&amp;" です",IF(ROUND(IF($B627&lt;&gt;"",SUMIF($B$5:$B$1004,$B627,$E$5:$E$1004)-SUMIF($B$5:$B$1004,$B627,$G$5:$G$1004),N($E627)-N($G627)),0)&lt;&gt;0,"通帳の額と当てた額の差 "&amp;TEXT(IF($B627&lt;&gt;"",SUMIF($B$5:$B$1004,$B627,$E$5:$E$1004)-SUMIF($B$5:$B$1004,$B627,$G$5:$G$1004),N($E627)-N($G627)),"#,##0"),IF(AND(ISNUMBER($O627),N($K627)&lt;0),"請求額より多く消し込んでいます",IF($F627="","消込先が未定","OK")))))))</f>
        <v/>
      </c>
      <c r="M627" s="19" t="n"/>
      <c r="N627" s="56" t="n"/>
      <c r="O627" s="32">
        <f>IF($F627="","",IFERROR(MATCH($F627,'請求台帳'!$A$5:$A$1004,0),"なし"))</f>
        <v/>
      </c>
      <c r="P627" s="37">
        <f>IF(NOT(OR($A627&lt;&gt;"",$E627&lt;&gt;"",$F627&lt;&gt;"",$G627&lt;&gt;"",$H627&lt;&gt;"",$I627&lt;&gt;"")),"",IF(ISNUMBER($O627),IF(INDEX('請求台帳'!$C$5:$C$1004,$O627)="","",INDEX('請求台帳'!$C$5:$C$1004,$O627)),IF($C627="","",$C627)))</f>
        <v/>
      </c>
      <c r="Q627" s="35">
        <f>IF(OR(NOT(OR($A627&lt;&gt;"",$E627&lt;&gt;"",$F627&lt;&gt;"",$G627&lt;&gt;"",$H627&lt;&gt;"",$I627&lt;&gt;"")),$P627="",$P627&lt;&gt;'売掛帳'!$B$3,NOT(ISNUMBER($A627)),N($G627)+N($H627)+N($I627)=0),"",IF(AND($A627&gt;='売掛帳'!$Q$3,$A627&lt;='売掛帳'!$Q$4),$A627+0.5+ROW()/10000000,""))</f>
        <v/>
      </c>
      <c r="R627" s="32">
        <f>IF(AND(OR($A627&lt;&gt;"",$E627&lt;&gt;"",$F627&lt;&gt;"",$G627&lt;&gt;"",$H627&lt;&gt;"",$I627&lt;&gt;""),NOT(ISNUMBER($O627))),1,"")</f>
        <v/>
      </c>
    </row>
    <row r="628" ht="18" customHeight="1">
      <c r="A628" s="26" t="n"/>
      <c r="B628" s="18" t="n"/>
      <c r="C628" s="18" t="n"/>
      <c r="D628" s="20">
        <f>IF($P628="","",IFERROR(INDEX('得意先'!$C$5:$C$104,MATCH($P628,'得意先'!$B$5:$B$104,0))&amp;"","※得意先にないコード"))</f>
        <v/>
      </c>
      <c r="E628" s="27" t="n"/>
      <c r="F628" s="18" t="n"/>
      <c r="G628" s="27" t="n"/>
      <c r="H628" s="27" t="n"/>
      <c r="I628" s="27" t="n"/>
      <c r="J628" s="28">
        <f>IF(NOT(OR($A628&lt;&gt;"",$E628&lt;&gt;"",$F628&lt;&gt;"",$G628&lt;&gt;"",$H628&lt;&gt;"",$I628&lt;&gt;"")),"",N($G628)+N($H628)+N($I628))</f>
        <v/>
      </c>
      <c r="K628" s="28">
        <f>IF(ISNUMBER($O628),INDEX('請求台帳'!$R$5:$R$1004,$O628),"")</f>
        <v/>
      </c>
      <c r="L628" s="20">
        <f>IF(NOT(OR($A628&lt;&gt;"",$E628&lt;&gt;"",$F628&lt;&gt;"",$G628&lt;&gt;"",$H628&lt;&gt;"",$I628&lt;&gt;"")),"",IF(NOT(ISNUMBER($A628)),"入金日がありません",IF(AND($F628&lt;&gt;"",$O628="なし"),"請求Noが請求台帳にありません",IF(AND(ISNUMBER($O628),$C628&lt;&gt;"",$C628&lt;&gt;$P628),"請求の得意先は "&amp;$P628&amp;" です",IF(ROUND(IF($B628&lt;&gt;"",SUMIF($B$5:$B$1004,$B628,$E$5:$E$1004)-SUMIF($B$5:$B$1004,$B628,$G$5:$G$1004),N($E628)-N($G628)),0)&lt;&gt;0,"通帳の額と当てた額の差 "&amp;TEXT(IF($B628&lt;&gt;"",SUMIF($B$5:$B$1004,$B628,$E$5:$E$1004)-SUMIF($B$5:$B$1004,$B628,$G$5:$G$1004),N($E628)-N($G628)),"#,##0"),IF(AND(ISNUMBER($O628),N($K628)&lt;0),"請求額より多く消し込んでいます",IF($F628="","消込先が未定","OK")))))))</f>
        <v/>
      </c>
      <c r="M628" s="19" t="n"/>
      <c r="N628" s="56" t="n"/>
      <c r="O628" s="32">
        <f>IF($F628="","",IFERROR(MATCH($F628,'請求台帳'!$A$5:$A$1004,0),"なし"))</f>
        <v/>
      </c>
      <c r="P628" s="37">
        <f>IF(NOT(OR($A628&lt;&gt;"",$E628&lt;&gt;"",$F628&lt;&gt;"",$G628&lt;&gt;"",$H628&lt;&gt;"",$I628&lt;&gt;"")),"",IF(ISNUMBER($O628),IF(INDEX('請求台帳'!$C$5:$C$1004,$O628)="","",INDEX('請求台帳'!$C$5:$C$1004,$O628)),IF($C628="","",$C628)))</f>
        <v/>
      </c>
      <c r="Q628" s="35">
        <f>IF(OR(NOT(OR($A628&lt;&gt;"",$E628&lt;&gt;"",$F628&lt;&gt;"",$G628&lt;&gt;"",$H628&lt;&gt;"",$I628&lt;&gt;"")),$P628="",$P628&lt;&gt;'売掛帳'!$B$3,NOT(ISNUMBER($A628)),N($G628)+N($H628)+N($I628)=0),"",IF(AND($A628&gt;='売掛帳'!$Q$3,$A628&lt;='売掛帳'!$Q$4),$A628+0.5+ROW()/10000000,""))</f>
        <v/>
      </c>
      <c r="R628" s="32">
        <f>IF(AND(OR($A628&lt;&gt;"",$E628&lt;&gt;"",$F628&lt;&gt;"",$G628&lt;&gt;"",$H628&lt;&gt;"",$I628&lt;&gt;""),NOT(ISNUMBER($O628))),1,"")</f>
        <v/>
      </c>
    </row>
    <row r="629" ht="18" customHeight="1">
      <c r="A629" s="26" t="n"/>
      <c r="B629" s="18" t="n"/>
      <c r="C629" s="18" t="n"/>
      <c r="D629" s="20">
        <f>IF($P629="","",IFERROR(INDEX('得意先'!$C$5:$C$104,MATCH($P629,'得意先'!$B$5:$B$104,0))&amp;"","※得意先にないコード"))</f>
        <v/>
      </c>
      <c r="E629" s="27" t="n"/>
      <c r="F629" s="18" t="n"/>
      <c r="G629" s="27" t="n"/>
      <c r="H629" s="27" t="n"/>
      <c r="I629" s="27" t="n"/>
      <c r="J629" s="28">
        <f>IF(NOT(OR($A629&lt;&gt;"",$E629&lt;&gt;"",$F629&lt;&gt;"",$G629&lt;&gt;"",$H629&lt;&gt;"",$I629&lt;&gt;"")),"",N($G629)+N($H629)+N($I629))</f>
        <v/>
      </c>
      <c r="K629" s="28">
        <f>IF(ISNUMBER($O629),INDEX('請求台帳'!$R$5:$R$1004,$O629),"")</f>
        <v/>
      </c>
      <c r="L629" s="20">
        <f>IF(NOT(OR($A629&lt;&gt;"",$E629&lt;&gt;"",$F629&lt;&gt;"",$G629&lt;&gt;"",$H629&lt;&gt;"",$I629&lt;&gt;"")),"",IF(NOT(ISNUMBER($A629)),"入金日がありません",IF(AND($F629&lt;&gt;"",$O629="なし"),"請求Noが請求台帳にありません",IF(AND(ISNUMBER($O629),$C629&lt;&gt;"",$C629&lt;&gt;$P629),"請求の得意先は "&amp;$P629&amp;" です",IF(ROUND(IF($B629&lt;&gt;"",SUMIF($B$5:$B$1004,$B629,$E$5:$E$1004)-SUMIF($B$5:$B$1004,$B629,$G$5:$G$1004),N($E629)-N($G629)),0)&lt;&gt;0,"通帳の額と当てた額の差 "&amp;TEXT(IF($B629&lt;&gt;"",SUMIF($B$5:$B$1004,$B629,$E$5:$E$1004)-SUMIF($B$5:$B$1004,$B629,$G$5:$G$1004),N($E629)-N($G629)),"#,##0"),IF(AND(ISNUMBER($O629),N($K629)&lt;0),"請求額より多く消し込んでいます",IF($F629="","消込先が未定","OK")))))))</f>
        <v/>
      </c>
      <c r="M629" s="19" t="n"/>
      <c r="N629" s="56" t="n"/>
      <c r="O629" s="32">
        <f>IF($F629="","",IFERROR(MATCH($F629,'請求台帳'!$A$5:$A$1004,0),"なし"))</f>
        <v/>
      </c>
      <c r="P629" s="37">
        <f>IF(NOT(OR($A629&lt;&gt;"",$E629&lt;&gt;"",$F629&lt;&gt;"",$G629&lt;&gt;"",$H629&lt;&gt;"",$I629&lt;&gt;"")),"",IF(ISNUMBER($O629),IF(INDEX('請求台帳'!$C$5:$C$1004,$O629)="","",INDEX('請求台帳'!$C$5:$C$1004,$O629)),IF($C629="","",$C629)))</f>
        <v/>
      </c>
      <c r="Q629" s="35">
        <f>IF(OR(NOT(OR($A629&lt;&gt;"",$E629&lt;&gt;"",$F629&lt;&gt;"",$G629&lt;&gt;"",$H629&lt;&gt;"",$I629&lt;&gt;"")),$P629="",$P629&lt;&gt;'売掛帳'!$B$3,NOT(ISNUMBER($A629)),N($G629)+N($H629)+N($I629)=0),"",IF(AND($A629&gt;='売掛帳'!$Q$3,$A629&lt;='売掛帳'!$Q$4),$A629+0.5+ROW()/10000000,""))</f>
        <v/>
      </c>
      <c r="R629" s="32">
        <f>IF(AND(OR($A629&lt;&gt;"",$E629&lt;&gt;"",$F629&lt;&gt;"",$G629&lt;&gt;"",$H629&lt;&gt;"",$I629&lt;&gt;""),NOT(ISNUMBER($O629))),1,"")</f>
        <v/>
      </c>
    </row>
    <row r="630" ht="18" customHeight="1">
      <c r="A630" s="26" t="n"/>
      <c r="B630" s="18" t="n"/>
      <c r="C630" s="18" t="n"/>
      <c r="D630" s="20">
        <f>IF($P630="","",IFERROR(INDEX('得意先'!$C$5:$C$104,MATCH($P630,'得意先'!$B$5:$B$104,0))&amp;"","※得意先にないコード"))</f>
        <v/>
      </c>
      <c r="E630" s="27" t="n"/>
      <c r="F630" s="18" t="n"/>
      <c r="G630" s="27" t="n"/>
      <c r="H630" s="27" t="n"/>
      <c r="I630" s="27" t="n"/>
      <c r="J630" s="28">
        <f>IF(NOT(OR($A630&lt;&gt;"",$E630&lt;&gt;"",$F630&lt;&gt;"",$G630&lt;&gt;"",$H630&lt;&gt;"",$I630&lt;&gt;"")),"",N($G630)+N($H630)+N($I630))</f>
        <v/>
      </c>
      <c r="K630" s="28">
        <f>IF(ISNUMBER($O630),INDEX('請求台帳'!$R$5:$R$1004,$O630),"")</f>
        <v/>
      </c>
      <c r="L630" s="20">
        <f>IF(NOT(OR($A630&lt;&gt;"",$E630&lt;&gt;"",$F630&lt;&gt;"",$G630&lt;&gt;"",$H630&lt;&gt;"",$I630&lt;&gt;"")),"",IF(NOT(ISNUMBER($A630)),"入金日がありません",IF(AND($F630&lt;&gt;"",$O630="なし"),"請求Noが請求台帳にありません",IF(AND(ISNUMBER($O630),$C630&lt;&gt;"",$C630&lt;&gt;$P630),"請求の得意先は "&amp;$P630&amp;" です",IF(ROUND(IF($B630&lt;&gt;"",SUMIF($B$5:$B$1004,$B630,$E$5:$E$1004)-SUMIF($B$5:$B$1004,$B630,$G$5:$G$1004),N($E630)-N($G630)),0)&lt;&gt;0,"通帳の額と当てた額の差 "&amp;TEXT(IF($B630&lt;&gt;"",SUMIF($B$5:$B$1004,$B630,$E$5:$E$1004)-SUMIF($B$5:$B$1004,$B630,$G$5:$G$1004),N($E630)-N($G630)),"#,##0"),IF(AND(ISNUMBER($O630),N($K630)&lt;0),"請求額より多く消し込んでいます",IF($F630="","消込先が未定","OK")))))))</f>
        <v/>
      </c>
      <c r="M630" s="19" t="n"/>
      <c r="N630" s="56" t="n"/>
      <c r="O630" s="32">
        <f>IF($F630="","",IFERROR(MATCH($F630,'請求台帳'!$A$5:$A$1004,0),"なし"))</f>
        <v/>
      </c>
      <c r="P630" s="37">
        <f>IF(NOT(OR($A630&lt;&gt;"",$E630&lt;&gt;"",$F630&lt;&gt;"",$G630&lt;&gt;"",$H630&lt;&gt;"",$I630&lt;&gt;"")),"",IF(ISNUMBER($O630),IF(INDEX('請求台帳'!$C$5:$C$1004,$O630)="","",INDEX('請求台帳'!$C$5:$C$1004,$O630)),IF($C630="","",$C630)))</f>
        <v/>
      </c>
      <c r="Q630" s="35">
        <f>IF(OR(NOT(OR($A630&lt;&gt;"",$E630&lt;&gt;"",$F630&lt;&gt;"",$G630&lt;&gt;"",$H630&lt;&gt;"",$I630&lt;&gt;"")),$P630="",$P630&lt;&gt;'売掛帳'!$B$3,NOT(ISNUMBER($A630)),N($G630)+N($H630)+N($I630)=0),"",IF(AND($A630&gt;='売掛帳'!$Q$3,$A630&lt;='売掛帳'!$Q$4),$A630+0.5+ROW()/10000000,""))</f>
        <v/>
      </c>
      <c r="R630" s="32">
        <f>IF(AND(OR($A630&lt;&gt;"",$E630&lt;&gt;"",$F630&lt;&gt;"",$G630&lt;&gt;"",$H630&lt;&gt;"",$I630&lt;&gt;""),NOT(ISNUMBER($O630))),1,"")</f>
        <v/>
      </c>
    </row>
    <row r="631" ht="18" customHeight="1">
      <c r="A631" s="26" t="n"/>
      <c r="B631" s="18" t="n"/>
      <c r="C631" s="18" t="n"/>
      <c r="D631" s="20">
        <f>IF($P631="","",IFERROR(INDEX('得意先'!$C$5:$C$104,MATCH($P631,'得意先'!$B$5:$B$104,0))&amp;"","※得意先にないコード"))</f>
        <v/>
      </c>
      <c r="E631" s="27" t="n"/>
      <c r="F631" s="18" t="n"/>
      <c r="G631" s="27" t="n"/>
      <c r="H631" s="27" t="n"/>
      <c r="I631" s="27" t="n"/>
      <c r="J631" s="28">
        <f>IF(NOT(OR($A631&lt;&gt;"",$E631&lt;&gt;"",$F631&lt;&gt;"",$G631&lt;&gt;"",$H631&lt;&gt;"",$I631&lt;&gt;"")),"",N($G631)+N($H631)+N($I631))</f>
        <v/>
      </c>
      <c r="K631" s="28">
        <f>IF(ISNUMBER($O631),INDEX('請求台帳'!$R$5:$R$1004,$O631),"")</f>
        <v/>
      </c>
      <c r="L631" s="20">
        <f>IF(NOT(OR($A631&lt;&gt;"",$E631&lt;&gt;"",$F631&lt;&gt;"",$G631&lt;&gt;"",$H631&lt;&gt;"",$I631&lt;&gt;"")),"",IF(NOT(ISNUMBER($A631)),"入金日がありません",IF(AND($F631&lt;&gt;"",$O631="なし"),"請求Noが請求台帳にありません",IF(AND(ISNUMBER($O631),$C631&lt;&gt;"",$C631&lt;&gt;$P631),"請求の得意先は "&amp;$P631&amp;" です",IF(ROUND(IF($B631&lt;&gt;"",SUMIF($B$5:$B$1004,$B631,$E$5:$E$1004)-SUMIF($B$5:$B$1004,$B631,$G$5:$G$1004),N($E631)-N($G631)),0)&lt;&gt;0,"通帳の額と当てた額の差 "&amp;TEXT(IF($B631&lt;&gt;"",SUMIF($B$5:$B$1004,$B631,$E$5:$E$1004)-SUMIF($B$5:$B$1004,$B631,$G$5:$G$1004),N($E631)-N($G631)),"#,##0"),IF(AND(ISNUMBER($O631),N($K631)&lt;0),"請求額より多く消し込んでいます",IF($F631="","消込先が未定","OK")))))))</f>
        <v/>
      </c>
      <c r="M631" s="19" t="n"/>
      <c r="N631" s="56" t="n"/>
      <c r="O631" s="32">
        <f>IF($F631="","",IFERROR(MATCH($F631,'請求台帳'!$A$5:$A$1004,0),"なし"))</f>
        <v/>
      </c>
      <c r="P631" s="37">
        <f>IF(NOT(OR($A631&lt;&gt;"",$E631&lt;&gt;"",$F631&lt;&gt;"",$G631&lt;&gt;"",$H631&lt;&gt;"",$I631&lt;&gt;"")),"",IF(ISNUMBER($O631),IF(INDEX('請求台帳'!$C$5:$C$1004,$O631)="","",INDEX('請求台帳'!$C$5:$C$1004,$O631)),IF($C631="","",$C631)))</f>
        <v/>
      </c>
      <c r="Q631" s="35">
        <f>IF(OR(NOT(OR($A631&lt;&gt;"",$E631&lt;&gt;"",$F631&lt;&gt;"",$G631&lt;&gt;"",$H631&lt;&gt;"",$I631&lt;&gt;"")),$P631="",$P631&lt;&gt;'売掛帳'!$B$3,NOT(ISNUMBER($A631)),N($G631)+N($H631)+N($I631)=0),"",IF(AND($A631&gt;='売掛帳'!$Q$3,$A631&lt;='売掛帳'!$Q$4),$A631+0.5+ROW()/10000000,""))</f>
        <v/>
      </c>
      <c r="R631" s="32">
        <f>IF(AND(OR($A631&lt;&gt;"",$E631&lt;&gt;"",$F631&lt;&gt;"",$G631&lt;&gt;"",$H631&lt;&gt;"",$I631&lt;&gt;""),NOT(ISNUMBER($O631))),1,"")</f>
        <v/>
      </c>
    </row>
    <row r="632" ht="18" customHeight="1">
      <c r="A632" s="26" t="n"/>
      <c r="B632" s="18" t="n"/>
      <c r="C632" s="18" t="n"/>
      <c r="D632" s="20">
        <f>IF($P632="","",IFERROR(INDEX('得意先'!$C$5:$C$104,MATCH($P632,'得意先'!$B$5:$B$104,0))&amp;"","※得意先にないコード"))</f>
        <v/>
      </c>
      <c r="E632" s="27" t="n"/>
      <c r="F632" s="18" t="n"/>
      <c r="G632" s="27" t="n"/>
      <c r="H632" s="27" t="n"/>
      <c r="I632" s="27" t="n"/>
      <c r="J632" s="28">
        <f>IF(NOT(OR($A632&lt;&gt;"",$E632&lt;&gt;"",$F632&lt;&gt;"",$G632&lt;&gt;"",$H632&lt;&gt;"",$I632&lt;&gt;"")),"",N($G632)+N($H632)+N($I632))</f>
        <v/>
      </c>
      <c r="K632" s="28">
        <f>IF(ISNUMBER($O632),INDEX('請求台帳'!$R$5:$R$1004,$O632),"")</f>
        <v/>
      </c>
      <c r="L632" s="20">
        <f>IF(NOT(OR($A632&lt;&gt;"",$E632&lt;&gt;"",$F632&lt;&gt;"",$G632&lt;&gt;"",$H632&lt;&gt;"",$I632&lt;&gt;"")),"",IF(NOT(ISNUMBER($A632)),"入金日がありません",IF(AND($F632&lt;&gt;"",$O632="なし"),"請求Noが請求台帳にありません",IF(AND(ISNUMBER($O632),$C632&lt;&gt;"",$C632&lt;&gt;$P632),"請求の得意先は "&amp;$P632&amp;" です",IF(ROUND(IF($B632&lt;&gt;"",SUMIF($B$5:$B$1004,$B632,$E$5:$E$1004)-SUMIF($B$5:$B$1004,$B632,$G$5:$G$1004),N($E632)-N($G632)),0)&lt;&gt;0,"通帳の額と当てた額の差 "&amp;TEXT(IF($B632&lt;&gt;"",SUMIF($B$5:$B$1004,$B632,$E$5:$E$1004)-SUMIF($B$5:$B$1004,$B632,$G$5:$G$1004),N($E632)-N($G632)),"#,##0"),IF(AND(ISNUMBER($O632),N($K632)&lt;0),"請求額より多く消し込んでいます",IF($F632="","消込先が未定","OK")))))))</f>
        <v/>
      </c>
      <c r="M632" s="19" t="n"/>
      <c r="N632" s="56" t="n"/>
      <c r="O632" s="32">
        <f>IF($F632="","",IFERROR(MATCH($F632,'請求台帳'!$A$5:$A$1004,0),"なし"))</f>
        <v/>
      </c>
      <c r="P632" s="37">
        <f>IF(NOT(OR($A632&lt;&gt;"",$E632&lt;&gt;"",$F632&lt;&gt;"",$G632&lt;&gt;"",$H632&lt;&gt;"",$I632&lt;&gt;"")),"",IF(ISNUMBER($O632),IF(INDEX('請求台帳'!$C$5:$C$1004,$O632)="","",INDEX('請求台帳'!$C$5:$C$1004,$O632)),IF($C632="","",$C632)))</f>
        <v/>
      </c>
      <c r="Q632" s="35">
        <f>IF(OR(NOT(OR($A632&lt;&gt;"",$E632&lt;&gt;"",$F632&lt;&gt;"",$G632&lt;&gt;"",$H632&lt;&gt;"",$I632&lt;&gt;"")),$P632="",$P632&lt;&gt;'売掛帳'!$B$3,NOT(ISNUMBER($A632)),N($G632)+N($H632)+N($I632)=0),"",IF(AND($A632&gt;='売掛帳'!$Q$3,$A632&lt;='売掛帳'!$Q$4),$A632+0.5+ROW()/10000000,""))</f>
        <v/>
      </c>
      <c r="R632" s="32">
        <f>IF(AND(OR($A632&lt;&gt;"",$E632&lt;&gt;"",$F632&lt;&gt;"",$G632&lt;&gt;"",$H632&lt;&gt;"",$I632&lt;&gt;""),NOT(ISNUMBER($O632))),1,"")</f>
        <v/>
      </c>
    </row>
    <row r="633" ht="18" customHeight="1">
      <c r="A633" s="26" t="n"/>
      <c r="B633" s="18" t="n"/>
      <c r="C633" s="18" t="n"/>
      <c r="D633" s="20">
        <f>IF($P633="","",IFERROR(INDEX('得意先'!$C$5:$C$104,MATCH($P633,'得意先'!$B$5:$B$104,0))&amp;"","※得意先にないコード"))</f>
        <v/>
      </c>
      <c r="E633" s="27" t="n"/>
      <c r="F633" s="18" t="n"/>
      <c r="G633" s="27" t="n"/>
      <c r="H633" s="27" t="n"/>
      <c r="I633" s="27" t="n"/>
      <c r="J633" s="28">
        <f>IF(NOT(OR($A633&lt;&gt;"",$E633&lt;&gt;"",$F633&lt;&gt;"",$G633&lt;&gt;"",$H633&lt;&gt;"",$I633&lt;&gt;"")),"",N($G633)+N($H633)+N($I633))</f>
        <v/>
      </c>
      <c r="K633" s="28">
        <f>IF(ISNUMBER($O633),INDEX('請求台帳'!$R$5:$R$1004,$O633),"")</f>
        <v/>
      </c>
      <c r="L633" s="20">
        <f>IF(NOT(OR($A633&lt;&gt;"",$E633&lt;&gt;"",$F633&lt;&gt;"",$G633&lt;&gt;"",$H633&lt;&gt;"",$I633&lt;&gt;"")),"",IF(NOT(ISNUMBER($A633)),"入金日がありません",IF(AND($F633&lt;&gt;"",$O633="なし"),"請求Noが請求台帳にありません",IF(AND(ISNUMBER($O633),$C633&lt;&gt;"",$C633&lt;&gt;$P633),"請求の得意先は "&amp;$P633&amp;" です",IF(ROUND(IF($B633&lt;&gt;"",SUMIF($B$5:$B$1004,$B633,$E$5:$E$1004)-SUMIF($B$5:$B$1004,$B633,$G$5:$G$1004),N($E633)-N($G633)),0)&lt;&gt;0,"通帳の額と当てた額の差 "&amp;TEXT(IF($B633&lt;&gt;"",SUMIF($B$5:$B$1004,$B633,$E$5:$E$1004)-SUMIF($B$5:$B$1004,$B633,$G$5:$G$1004),N($E633)-N($G633)),"#,##0"),IF(AND(ISNUMBER($O633),N($K633)&lt;0),"請求額より多く消し込んでいます",IF($F633="","消込先が未定","OK")))))))</f>
        <v/>
      </c>
      <c r="M633" s="19" t="n"/>
      <c r="N633" s="56" t="n"/>
      <c r="O633" s="32">
        <f>IF($F633="","",IFERROR(MATCH($F633,'請求台帳'!$A$5:$A$1004,0),"なし"))</f>
        <v/>
      </c>
      <c r="P633" s="37">
        <f>IF(NOT(OR($A633&lt;&gt;"",$E633&lt;&gt;"",$F633&lt;&gt;"",$G633&lt;&gt;"",$H633&lt;&gt;"",$I633&lt;&gt;"")),"",IF(ISNUMBER($O633),IF(INDEX('請求台帳'!$C$5:$C$1004,$O633)="","",INDEX('請求台帳'!$C$5:$C$1004,$O633)),IF($C633="","",$C633)))</f>
        <v/>
      </c>
      <c r="Q633" s="35">
        <f>IF(OR(NOT(OR($A633&lt;&gt;"",$E633&lt;&gt;"",$F633&lt;&gt;"",$G633&lt;&gt;"",$H633&lt;&gt;"",$I633&lt;&gt;"")),$P633="",$P633&lt;&gt;'売掛帳'!$B$3,NOT(ISNUMBER($A633)),N($G633)+N($H633)+N($I633)=0),"",IF(AND($A633&gt;='売掛帳'!$Q$3,$A633&lt;='売掛帳'!$Q$4),$A633+0.5+ROW()/10000000,""))</f>
        <v/>
      </c>
      <c r="R633" s="32">
        <f>IF(AND(OR($A633&lt;&gt;"",$E633&lt;&gt;"",$F633&lt;&gt;"",$G633&lt;&gt;"",$H633&lt;&gt;"",$I633&lt;&gt;""),NOT(ISNUMBER($O633))),1,"")</f>
        <v/>
      </c>
    </row>
    <row r="634" ht="18" customHeight="1">
      <c r="A634" s="26" t="n"/>
      <c r="B634" s="18" t="n"/>
      <c r="C634" s="18" t="n"/>
      <c r="D634" s="20">
        <f>IF($P634="","",IFERROR(INDEX('得意先'!$C$5:$C$104,MATCH($P634,'得意先'!$B$5:$B$104,0))&amp;"","※得意先にないコード"))</f>
        <v/>
      </c>
      <c r="E634" s="27" t="n"/>
      <c r="F634" s="18" t="n"/>
      <c r="G634" s="27" t="n"/>
      <c r="H634" s="27" t="n"/>
      <c r="I634" s="27" t="n"/>
      <c r="J634" s="28">
        <f>IF(NOT(OR($A634&lt;&gt;"",$E634&lt;&gt;"",$F634&lt;&gt;"",$G634&lt;&gt;"",$H634&lt;&gt;"",$I634&lt;&gt;"")),"",N($G634)+N($H634)+N($I634))</f>
        <v/>
      </c>
      <c r="K634" s="28">
        <f>IF(ISNUMBER($O634),INDEX('請求台帳'!$R$5:$R$1004,$O634),"")</f>
        <v/>
      </c>
      <c r="L634" s="20">
        <f>IF(NOT(OR($A634&lt;&gt;"",$E634&lt;&gt;"",$F634&lt;&gt;"",$G634&lt;&gt;"",$H634&lt;&gt;"",$I634&lt;&gt;"")),"",IF(NOT(ISNUMBER($A634)),"入金日がありません",IF(AND($F634&lt;&gt;"",$O634="なし"),"請求Noが請求台帳にありません",IF(AND(ISNUMBER($O634),$C634&lt;&gt;"",$C634&lt;&gt;$P634),"請求の得意先は "&amp;$P634&amp;" です",IF(ROUND(IF($B634&lt;&gt;"",SUMIF($B$5:$B$1004,$B634,$E$5:$E$1004)-SUMIF($B$5:$B$1004,$B634,$G$5:$G$1004),N($E634)-N($G634)),0)&lt;&gt;0,"通帳の額と当てた額の差 "&amp;TEXT(IF($B634&lt;&gt;"",SUMIF($B$5:$B$1004,$B634,$E$5:$E$1004)-SUMIF($B$5:$B$1004,$B634,$G$5:$G$1004),N($E634)-N($G634)),"#,##0"),IF(AND(ISNUMBER($O634),N($K634)&lt;0),"請求額より多く消し込んでいます",IF($F634="","消込先が未定","OK")))))))</f>
        <v/>
      </c>
      <c r="M634" s="19" t="n"/>
      <c r="N634" s="56" t="n"/>
      <c r="O634" s="32">
        <f>IF($F634="","",IFERROR(MATCH($F634,'請求台帳'!$A$5:$A$1004,0),"なし"))</f>
        <v/>
      </c>
      <c r="P634" s="37">
        <f>IF(NOT(OR($A634&lt;&gt;"",$E634&lt;&gt;"",$F634&lt;&gt;"",$G634&lt;&gt;"",$H634&lt;&gt;"",$I634&lt;&gt;"")),"",IF(ISNUMBER($O634),IF(INDEX('請求台帳'!$C$5:$C$1004,$O634)="","",INDEX('請求台帳'!$C$5:$C$1004,$O634)),IF($C634="","",$C634)))</f>
        <v/>
      </c>
      <c r="Q634" s="35">
        <f>IF(OR(NOT(OR($A634&lt;&gt;"",$E634&lt;&gt;"",$F634&lt;&gt;"",$G634&lt;&gt;"",$H634&lt;&gt;"",$I634&lt;&gt;"")),$P634="",$P634&lt;&gt;'売掛帳'!$B$3,NOT(ISNUMBER($A634)),N($G634)+N($H634)+N($I634)=0),"",IF(AND($A634&gt;='売掛帳'!$Q$3,$A634&lt;='売掛帳'!$Q$4),$A634+0.5+ROW()/10000000,""))</f>
        <v/>
      </c>
      <c r="R634" s="32">
        <f>IF(AND(OR($A634&lt;&gt;"",$E634&lt;&gt;"",$F634&lt;&gt;"",$G634&lt;&gt;"",$H634&lt;&gt;"",$I634&lt;&gt;""),NOT(ISNUMBER($O634))),1,"")</f>
        <v/>
      </c>
    </row>
    <row r="635" ht="18" customHeight="1">
      <c r="A635" s="26" t="n"/>
      <c r="B635" s="18" t="n"/>
      <c r="C635" s="18" t="n"/>
      <c r="D635" s="20">
        <f>IF($P635="","",IFERROR(INDEX('得意先'!$C$5:$C$104,MATCH($P635,'得意先'!$B$5:$B$104,0))&amp;"","※得意先にないコード"))</f>
        <v/>
      </c>
      <c r="E635" s="27" t="n"/>
      <c r="F635" s="18" t="n"/>
      <c r="G635" s="27" t="n"/>
      <c r="H635" s="27" t="n"/>
      <c r="I635" s="27" t="n"/>
      <c r="J635" s="28">
        <f>IF(NOT(OR($A635&lt;&gt;"",$E635&lt;&gt;"",$F635&lt;&gt;"",$G635&lt;&gt;"",$H635&lt;&gt;"",$I635&lt;&gt;"")),"",N($G635)+N($H635)+N($I635))</f>
        <v/>
      </c>
      <c r="K635" s="28">
        <f>IF(ISNUMBER($O635),INDEX('請求台帳'!$R$5:$R$1004,$O635),"")</f>
        <v/>
      </c>
      <c r="L635" s="20">
        <f>IF(NOT(OR($A635&lt;&gt;"",$E635&lt;&gt;"",$F635&lt;&gt;"",$G635&lt;&gt;"",$H635&lt;&gt;"",$I635&lt;&gt;"")),"",IF(NOT(ISNUMBER($A635)),"入金日がありません",IF(AND($F635&lt;&gt;"",$O635="なし"),"請求Noが請求台帳にありません",IF(AND(ISNUMBER($O635),$C635&lt;&gt;"",$C635&lt;&gt;$P635),"請求の得意先は "&amp;$P635&amp;" です",IF(ROUND(IF($B635&lt;&gt;"",SUMIF($B$5:$B$1004,$B635,$E$5:$E$1004)-SUMIF($B$5:$B$1004,$B635,$G$5:$G$1004),N($E635)-N($G635)),0)&lt;&gt;0,"通帳の額と当てた額の差 "&amp;TEXT(IF($B635&lt;&gt;"",SUMIF($B$5:$B$1004,$B635,$E$5:$E$1004)-SUMIF($B$5:$B$1004,$B635,$G$5:$G$1004),N($E635)-N($G635)),"#,##0"),IF(AND(ISNUMBER($O635),N($K635)&lt;0),"請求額より多く消し込んでいます",IF($F635="","消込先が未定","OK")))))))</f>
        <v/>
      </c>
      <c r="M635" s="19" t="n"/>
      <c r="N635" s="56" t="n"/>
      <c r="O635" s="32">
        <f>IF($F635="","",IFERROR(MATCH($F635,'請求台帳'!$A$5:$A$1004,0),"なし"))</f>
        <v/>
      </c>
      <c r="P635" s="37">
        <f>IF(NOT(OR($A635&lt;&gt;"",$E635&lt;&gt;"",$F635&lt;&gt;"",$G635&lt;&gt;"",$H635&lt;&gt;"",$I635&lt;&gt;"")),"",IF(ISNUMBER($O635),IF(INDEX('請求台帳'!$C$5:$C$1004,$O635)="","",INDEX('請求台帳'!$C$5:$C$1004,$O635)),IF($C635="","",$C635)))</f>
        <v/>
      </c>
      <c r="Q635" s="35">
        <f>IF(OR(NOT(OR($A635&lt;&gt;"",$E635&lt;&gt;"",$F635&lt;&gt;"",$G635&lt;&gt;"",$H635&lt;&gt;"",$I635&lt;&gt;"")),$P635="",$P635&lt;&gt;'売掛帳'!$B$3,NOT(ISNUMBER($A635)),N($G635)+N($H635)+N($I635)=0),"",IF(AND($A635&gt;='売掛帳'!$Q$3,$A635&lt;='売掛帳'!$Q$4),$A635+0.5+ROW()/10000000,""))</f>
        <v/>
      </c>
      <c r="R635" s="32">
        <f>IF(AND(OR($A635&lt;&gt;"",$E635&lt;&gt;"",$F635&lt;&gt;"",$G635&lt;&gt;"",$H635&lt;&gt;"",$I635&lt;&gt;""),NOT(ISNUMBER($O635))),1,"")</f>
        <v/>
      </c>
    </row>
    <row r="636" ht="18" customHeight="1">
      <c r="A636" s="26" t="n"/>
      <c r="B636" s="18" t="n"/>
      <c r="C636" s="18" t="n"/>
      <c r="D636" s="20">
        <f>IF($P636="","",IFERROR(INDEX('得意先'!$C$5:$C$104,MATCH($P636,'得意先'!$B$5:$B$104,0))&amp;"","※得意先にないコード"))</f>
        <v/>
      </c>
      <c r="E636" s="27" t="n"/>
      <c r="F636" s="18" t="n"/>
      <c r="G636" s="27" t="n"/>
      <c r="H636" s="27" t="n"/>
      <c r="I636" s="27" t="n"/>
      <c r="J636" s="28">
        <f>IF(NOT(OR($A636&lt;&gt;"",$E636&lt;&gt;"",$F636&lt;&gt;"",$G636&lt;&gt;"",$H636&lt;&gt;"",$I636&lt;&gt;"")),"",N($G636)+N($H636)+N($I636))</f>
        <v/>
      </c>
      <c r="K636" s="28">
        <f>IF(ISNUMBER($O636),INDEX('請求台帳'!$R$5:$R$1004,$O636),"")</f>
        <v/>
      </c>
      <c r="L636" s="20">
        <f>IF(NOT(OR($A636&lt;&gt;"",$E636&lt;&gt;"",$F636&lt;&gt;"",$G636&lt;&gt;"",$H636&lt;&gt;"",$I636&lt;&gt;"")),"",IF(NOT(ISNUMBER($A636)),"入金日がありません",IF(AND($F636&lt;&gt;"",$O636="なし"),"請求Noが請求台帳にありません",IF(AND(ISNUMBER($O636),$C636&lt;&gt;"",$C636&lt;&gt;$P636),"請求の得意先は "&amp;$P636&amp;" です",IF(ROUND(IF($B636&lt;&gt;"",SUMIF($B$5:$B$1004,$B636,$E$5:$E$1004)-SUMIF($B$5:$B$1004,$B636,$G$5:$G$1004),N($E636)-N($G636)),0)&lt;&gt;0,"通帳の額と当てた額の差 "&amp;TEXT(IF($B636&lt;&gt;"",SUMIF($B$5:$B$1004,$B636,$E$5:$E$1004)-SUMIF($B$5:$B$1004,$B636,$G$5:$G$1004),N($E636)-N($G636)),"#,##0"),IF(AND(ISNUMBER($O636),N($K636)&lt;0),"請求額より多く消し込んでいます",IF($F636="","消込先が未定","OK")))))))</f>
        <v/>
      </c>
      <c r="M636" s="19" t="n"/>
      <c r="N636" s="56" t="n"/>
      <c r="O636" s="32">
        <f>IF($F636="","",IFERROR(MATCH($F636,'請求台帳'!$A$5:$A$1004,0),"なし"))</f>
        <v/>
      </c>
      <c r="P636" s="37">
        <f>IF(NOT(OR($A636&lt;&gt;"",$E636&lt;&gt;"",$F636&lt;&gt;"",$G636&lt;&gt;"",$H636&lt;&gt;"",$I636&lt;&gt;"")),"",IF(ISNUMBER($O636),IF(INDEX('請求台帳'!$C$5:$C$1004,$O636)="","",INDEX('請求台帳'!$C$5:$C$1004,$O636)),IF($C636="","",$C636)))</f>
        <v/>
      </c>
      <c r="Q636" s="35">
        <f>IF(OR(NOT(OR($A636&lt;&gt;"",$E636&lt;&gt;"",$F636&lt;&gt;"",$G636&lt;&gt;"",$H636&lt;&gt;"",$I636&lt;&gt;"")),$P636="",$P636&lt;&gt;'売掛帳'!$B$3,NOT(ISNUMBER($A636)),N($G636)+N($H636)+N($I636)=0),"",IF(AND($A636&gt;='売掛帳'!$Q$3,$A636&lt;='売掛帳'!$Q$4),$A636+0.5+ROW()/10000000,""))</f>
        <v/>
      </c>
      <c r="R636" s="32">
        <f>IF(AND(OR($A636&lt;&gt;"",$E636&lt;&gt;"",$F636&lt;&gt;"",$G636&lt;&gt;"",$H636&lt;&gt;"",$I636&lt;&gt;""),NOT(ISNUMBER($O636))),1,"")</f>
        <v/>
      </c>
    </row>
    <row r="637" ht="18" customHeight="1">
      <c r="A637" s="26" t="n"/>
      <c r="B637" s="18" t="n"/>
      <c r="C637" s="18" t="n"/>
      <c r="D637" s="20">
        <f>IF($P637="","",IFERROR(INDEX('得意先'!$C$5:$C$104,MATCH($P637,'得意先'!$B$5:$B$104,0))&amp;"","※得意先にないコード"))</f>
        <v/>
      </c>
      <c r="E637" s="27" t="n"/>
      <c r="F637" s="18" t="n"/>
      <c r="G637" s="27" t="n"/>
      <c r="H637" s="27" t="n"/>
      <c r="I637" s="27" t="n"/>
      <c r="J637" s="28">
        <f>IF(NOT(OR($A637&lt;&gt;"",$E637&lt;&gt;"",$F637&lt;&gt;"",$G637&lt;&gt;"",$H637&lt;&gt;"",$I637&lt;&gt;"")),"",N($G637)+N($H637)+N($I637))</f>
        <v/>
      </c>
      <c r="K637" s="28">
        <f>IF(ISNUMBER($O637),INDEX('請求台帳'!$R$5:$R$1004,$O637),"")</f>
        <v/>
      </c>
      <c r="L637" s="20">
        <f>IF(NOT(OR($A637&lt;&gt;"",$E637&lt;&gt;"",$F637&lt;&gt;"",$G637&lt;&gt;"",$H637&lt;&gt;"",$I637&lt;&gt;"")),"",IF(NOT(ISNUMBER($A637)),"入金日がありません",IF(AND($F637&lt;&gt;"",$O637="なし"),"請求Noが請求台帳にありません",IF(AND(ISNUMBER($O637),$C637&lt;&gt;"",$C637&lt;&gt;$P637),"請求の得意先は "&amp;$P637&amp;" です",IF(ROUND(IF($B637&lt;&gt;"",SUMIF($B$5:$B$1004,$B637,$E$5:$E$1004)-SUMIF($B$5:$B$1004,$B637,$G$5:$G$1004),N($E637)-N($G637)),0)&lt;&gt;0,"通帳の額と当てた額の差 "&amp;TEXT(IF($B637&lt;&gt;"",SUMIF($B$5:$B$1004,$B637,$E$5:$E$1004)-SUMIF($B$5:$B$1004,$B637,$G$5:$G$1004),N($E637)-N($G637)),"#,##0"),IF(AND(ISNUMBER($O637),N($K637)&lt;0),"請求額より多く消し込んでいます",IF($F637="","消込先が未定","OK")))))))</f>
        <v/>
      </c>
      <c r="M637" s="19" t="n"/>
      <c r="N637" s="56" t="n"/>
      <c r="O637" s="32">
        <f>IF($F637="","",IFERROR(MATCH($F637,'請求台帳'!$A$5:$A$1004,0),"なし"))</f>
        <v/>
      </c>
      <c r="P637" s="37">
        <f>IF(NOT(OR($A637&lt;&gt;"",$E637&lt;&gt;"",$F637&lt;&gt;"",$G637&lt;&gt;"",$H637&lt;&gt;"",$I637&lt;&gt;"")),"",IF(ISNUMBER($O637),IF(INDEX('請求台帳'!$C$5:$C$1004,$O637)="","",INDEX('請求台帳'!$C$5:$C$1004,$O637)),IF($C637="","",$C637)))</f>
        <v/>
      </c>
      <c r="Q637" s="35">
        <f>IF(OR(NOT(OR($A637&lt;&gt;"",$E637&lt;&gt;"",$F637&lt;&gt;"",$G637&lt;&gt;"",$H637&lt;&gt;"",$I637&lt;&gt;"")),$P637="",$P637&lt;&gt;'売掛帳'!$B$3,NOT(ISNUMBER($A637)),N($G637)+N($H637)+N($I637)=0),"",IF(AND($A637&gt;='売掛帳'!$Q$3,$A637&lt;='売掛帳'!$Q$4),$A637+0.5+ROW()/10000000,""))</f>
        <v/>
      </c>
      <c r="R637" s="32">
        <f>IF(AND(OR($A637&lt;&gt;"",$E637&lt;&gt;"",$F637&lt;&gt;"",$G637&lt;&gt;"",$H637&lt;&gt;"",$I637&lt;&gt;""),NOT(ISNUMBER($O637))),1,"")</f>
        <v/>
      </c>
    </row>
    <row r="638" ht="18" customHeight="1">
      <c r="A638" s="26" t="n"/>
      <c r="B638" s="18" t="n"/>
      <c r="C638" s="18" t="n"/>
      <c r="D638" s="20">
        <f>IF($P638="","",IFERROR(INDEX('得意先'!$C$5:$C$104,MATCH($P638,'得意先'!$B$5:$B$104,0))&amp;"","※得意先にないコード"))</f>
        <v/>
      </c>
      <c r="E638" s="27" t="n"/>
      <c r="F638" s="18" t="n"/>
      <c r="G638" s="27" t="n"/>
      <c r="H638" s="27" t="n"/>
      <c r="I638" s="27" t="n"/>
      <c r="J638" s="28">
        <f>IF(NOT(OR($A638&lt;&gt;"",$E638&lt;&gt;"",$F638&lt;&gt;"",$G638&lt;&gt;"",$H638&lt;&gt;"",$I638&lt;&gt;"")),"",N($G638)+N($H638)+N($I638))</f>
        <v/>
      </c>
      <c r="K638" s="28">
        <f>IF(ISNUMBER($O638),INDEX('請求台帳'!$R$5:$R$1004,$O638),"")</f>
        <v/>
      </c>
      <c r="L638" s="20">
        <f>IF(NOT(OR($A638&lt;&gt;"",$E638&lt;&gt;"",$F638&lt;&gt;"",$G638&lt;&gt;"",$H638&lt;&gt;"",$I638&lt;&gt;"")),"",IF(NOT(ISNUMBER($A638)),"入金日がありません",IF(AND($F638&lt;&gt;"",$O638="なし"),"請求Noが請求台帳にありません",IF(AND(ISNUMBER($O638),$C638&lt;&gt;"",$C638&lt;&gt;$P638),"請求の得意先は "&amp;$P638&amp;" です",IF(ROUND(IF($B638&lt;&gt;"",SUMIF($B$5:$B$1004,$B638,$E$5:$E$1004)-SUMIF($B$5:$B$1004,$B638,$G$5:$G$1004),N($E638)-N($G638)),0)&lt;&gt;0,"通帳の額と当てた額の差 "&amp;TEXT(IF($B638&lt;&gt;"",SUMIF($B$5:$B$1004,$B638,$E$5:$E$1004)-SUMIF($B$5:$B$1004,$B638,$G$5:$G$1004),N($E638)-N($G638)),"#,##0"),IF(AND(ISNUMBER($O638),N($K638)&lt;0),"請求額より多く消し込んでいます",IF($F638="","消込先が未定","OK")))))))</f>
        <v/>
      </c>
      <c r="M638" s="19" t="n"/>
      <c r="N638" s="56" t="n"/>
      <c r="O638" s="32">
        <f>IF($F638="","",IFERROR(MATCH($F638,'請求台帳'!$A$5:$A$1004,0),"なし"))</f>
        <v/>
      </c>
      <c r="P638" s="37">
        <f>IF(NOT(OR($A638&lt;&gt;"",$E638&lt;&gt;"",$F638&lt;&gt;"",$G638&lt;&gt;"",$H638&lt;&gt;"",$I638&lt;&gt;"")),"",IF(ISNUMBER($O638),IF(INDEX('請求台帳'!$C$5:$C$1004,$O638)="","",INDEX('請求台帳'!$C$5:$C$1004,$O638)),IF($C638="","",$C638)))</f>
        <v/>
      </c>
      <c r="Q638" s="35">
        <f>IF(OR(NOT(OR($A638&lt;&gt;"",$E638&lt;&gt;"",$F638&lt;&gt;"",$G638&lt;&gt;"",$H638&lt;&gt;"",$I638&lt;&gt;"")),$P638="",$P638&lt;&gt;'売掛帳'!$B$3,NOT(ISNUMBER($A638)),N($G638)+N($H638)+N($I638)=0),"",IF(AND($A638&gt;='売掛帳'!$Q$3,$A638&lt;='売掛帳'!$Q$4),$A638+0.5+ROW()/10000000,""))</f>
        <v/>
      </c>
      <c r="R638" s="32">
        <f>IF(AND(OR($A638&lt;&gt;"",$E638&lt;&gt;"",$F638&lt;&gt;"",$G638&lt;&gt;"",$H638&lt;&gt;"",$I638&lt;&gt;""),NOT(ISNUMBER($O638))),1,"")</f>
        <v/>
      </c>
    </row>
    <row r="639" ht="18" customHeight="1">
      <c r="A639" s="26" t="n"/>
      <c r="B639" s="18" t="n"/>
      <c r="C639" s="18" t="n"/>
      <c r="D639" s="20">
        <f>IF($P639="","",IFERROR(INDEX('得意先'!$C$5:$C$104,MATCH($P639,'得意先'!$B$5:$B$104,0))&amp;"","※得意先にないコード"))</f>
        <v/>
      </c>
      <c r="E639" s="27" t="n"/>
      <c r="F639" s="18" t="n"/>
      <c r="G639" s="27" t="n"/>
      <c r="H639" s="27" t="n"/>
      <c r="I639" s="27" t="n"/>
      <c r="J639" s="28">
        <f>IF(NOT(OR($A639&lt;&gt;"",$E639&lt;&gt;"",$F639&lt;&gt;"",$G639&lt;&gt;"",$H639&lt;&gt;"",$I639&lt;&gt;"")),"",N($G639)+N($H639)+N($I639))</f>
        <v/>
      </c>
      <c r="K639" s="28">
        <f>IF(ISNUMBER($O639),INDEX('請求台帳'!$R$5:$R$1004,$O639),"")</f>
        <v/>
      </c>
      <c r="L639" s="20">
        <f>IF(NOT(OR($A639&lt;&gt;"",$E639&lt;&gt;"",$F639&lt;&gt;"",$G639&lt;&gt;"",$H639&lt;&gt;"",$I639&lt;&gt;"")),"",IF(NOT(ISNUMBER($A639)),"入金日がありません",IF(AND($F639&lt;&gt;"",$O639="なし"),"請求Noが請求台帳にありません",IF(AND(ISNUMBER($O639),$C639&lt;&gt;"",$C639&lt;&gt;$P639),"請求の得意先は "&amp;$P639&amp;" です",IF(ROUND(IF($B639&lt;&gt;"",SUMIF($B$5:$B$1004,$B639,$E$5:$E$1004)-SUMIF($B$5:$B$1004,$B639,$G$5:$G$1004),N($E639)-N($G639)),0)&lt;&gt;0,"通帳の額と当てた額の差 "&amp;TEXT(IF($B639&lt;&gt;"",SUMIF($B$5:$B$1004,$B639,$E$5:$E$1004)-SUMIF($B$5:$B$1004,$B639,$G$5:$G$1004),N($E639)-N($G639)),"#,##0"),IF(AND(ISNUMBER($O639),N($K639)&lt;0),"請求額より多く消し込んでいます",IF($F639="","消込先が未定","OK")))))))</f>
        <v/>
      </c>
      <c r="M639" s="19" t="n"/>
      <c r="N639" s="56" t="n"/>
      <c r="O639" s="32">
        <f>IF($F639="","",IFERROR(MATCH($F639,'請求台帳'!$A$5:$A$1004,0),"なし"))</f>
        <v/>
      </c>
      <c r="P639" s="37">
        <f>IF(NOT(OR($A639&lt;&gt;"",$E639&lt;&gt;"",$F639&lt;&gt;"",$G639&lt;&gt;"",$H639&lt;&gt;"",$I639&lt;&gt;"")),"",IF(ISNUMBER($O639),IF(INDEX('請求台帳'!$C$5:$C$1004,$O639)="","",INDEX('請求台帳'!$C$5:$C$1004,$O639)),IF($C639="","",$C639)))</f>
        <v/>
      </c>
      <c r="Q639" s="35">
        <f>IF(OR(NOT(OR($A639&lt;&gt;"",$E639&lt;&gt;"",$F639&lt;&gt;"",$G639&lt;&gt;"",$H639&lt;&gt;"",$I639&lt;&gt;"")),$P639="",$P639&lt;&gt;'売掛帳'!$B$3,NOT(ISNUMBER($A639)),N($G639)+N($H639)+N($I639)=0),"",IF(AND($A639&gt;='売掛帳'!$Q$3,$A639&lt;='売掛帳'!$Q$4),$A639+0.5+ROW()/10000000,""))</f>
        <v/>
      </c>
      <c r="R639" s="32">
        <f>IF(AND(OR($A639&lt;&gt;"",$E639&lt;&gt;"",$F639&lt;&gt;"",$G639&lt;&gt;"",$H639&lt;&gt;"",$I639&lt;&gt;""),NOT(ISNUMBER($O639))),1,"")</f>
        <v/>
      </c>
    </row>
    <row r="640" ht="18" customHeight="1">
      <c r="A640" s="26" t="n"/>
      <c r="B640" s="18" t="n"/>
      <c r="C640" s="18" t="n"/>
      <c r="D640" s="20">
        <f>IF($P640="","",IFERROR(INDEX('得意先'!$C$5:$C$104,MATCH($P640,'得意先'!$B$5:$B$104,0))&amp;"","※得意先にないコード"))</f>
        <v/>
      </c>
      <c r="E640" s="27" t="n"/>
      <c r="F640" s="18" t="n"/>
      <c r="G640" s="27" t="n"/>
      <c r="H640" s="27" t="n"/>
      <c r="I640" s="27" t="n"/>
      <c r="J640" s="28">
        <f>IF(NOT(OR($A640&lt;&gt;"",$E640&lt;&gt;"",$F640&lt;&gt;"",$G640&lt;&gt;"",$H640&lt;&gt;"",$I640&lt;&gt;"")),"",N($G640)+N($H640)+N($I640))</f>
        <v/>
      </c>
      <c r="K640" s="28">
        <f>IF(ISNUMBER($O640),INDEX('請求台帳'!$R$5:$R$1004,$O640),"")</f>
        <v/>
      </c>
      <c r="L640" s="20">
        <f>IF(NOT(OR($A640&lt;&gt;"",$E640&lt;&gt;"",$F640&lt;&gt;"",$G640&lt;&gt;"",$H640&lt;&gt;"",$I640&lt;&gt;"")),"",IF(NOT(ISNUMBER($A640)),"入金日がありません",IF(AND($F640&lt;&gt;"",$O640="なし"),"請求Noが請求台帳にありません",IF(AND(ISNUMBER($O640),$C640&lt;&gt;"",$C640&lt;&gt;$P640),"請求の得意先は "&amp;$P640&amp;" です",IF(ROUND(IF($B640&lt;&gt;"",SUMIF($B$5:$B$1004,$B640,$E$5:$E$1004)-SUMIF($B$5:$B$1004,$B640,$G$5:$G$1004),N($E640)-N($G640)),0)&lt;&gt;0,"通帳の額と当てた額の差 "&amp;TEXT(IF($B640&lt;&gt;"",SUMIF($B$5:$B$1004,$B640,$E$5:$E$1004)-SUMIF($B$5:$B$1004,$B640,$G$5:$G$1004),N($E640)-N($G640)),"#,##0"),IF(AND(ISNUMBER($O640),N($K640)&lt;0),"請求額より多く消し込んでいます",IF($F640="","消込先が未定","OK")))))))</f>
        <v/>
      </c>
      <c r="M640" s="19" t="n"/>
      <c r="N640" s="56" t="n"/>
      <c r="O640" s="32">
        <f>IF($F640="","",IFERROR(MATCH($F640,'請求台帳'!$A$5:$A$1004,0),"なし"))</f>
        <v/>
      </c>
      <c r="P640" s="37">
        <f>IF(NOT(OR($A640&lt;&gt;"",$E640&lt;&gt;"",$F640&lt;&gt;"",$G640&lt;&gt;"",$H640&lt;&gt;"",$I640&lt;&gt;"")),"",IF(ISNUMBER($O640),IF(INDEX('請求台帳'!$C$5:$C$1004,$O640)="","",INDEX('請求台帳'!$C$5:$C$1004,$O640)),IF($C640="","",$C640)))</f>
        <v/>
      </c>
      <c r="Q640" s="35">
        <f>IF(OR(NOT(OR($A640&lt;&gt;"",$E640&lt;&gt;"",$F640&lt;&gt;"",$G640&lt;&gt;"",$H640&lt;&gt;"",$I640&lt;&gt;"")),$P640="",$P640&lt;&gt;'売掛帳'!$B$3,NOT(ISNUMBER($A640)),N($G640)+N($H640)+N($I640)=0),"",IF(AND($A640&gt;='売掛帳'!$Q$3,$A640&lt;='売掛帳'!$Q$4),$A640+0.5+ROW()/10000000,""))</f>
        <v/>
      </c>
      <c r="R640" s="32">
        <f>IF(AND(OR($A640&lt;&gt;"",$E640&lt;&gt;"",$F640&lt;&gt;"",$G640&lt;&gt;"",$H640&lt;&gt;"",$I640&lt;&gt;""),NOT(ISNUMBER($O640))),1,"")</f>
        <v/>
      </c>
    </row>
    <row r="641" ht="18" customHeight="1">
      <c r="A641" s="26" t="n"/>
      <c r="B641" s="18" t="n"/>
      <c r="C641" s="18" t="n"/>
      <c r="D641" s="20">
        <f>IF($P641="","",IFERROR(INDEX('得意先'!$C$5:$C$104,MATCH($P641,'得意先'!$B$5:$B$104,0))&amp;"","※得意先にないコード"))</f>
        <v/>
      </c>
      <c r="E641" s="27" t="n"/>
      <c r="F641" s="18" t="n"/>
      <c r="G641" s="27" t="n"/>
      <c r="H641" s="27" t="n"/>
      <c r="I641" s="27" t="n"/>
      <c r="J641" s="28">
        <f>IF(NOT(OR($A641&lt;&gt;"",$E641&lt;&gt;"",$F641&lt;&gt;"",$G641&lt;&gt;"",$H641&lt;&gt;"",$I641&lt;&gt;"")),"",N($G641)+N($H641)+N($I641))</f>
        <v/>
      </c>
      <c r="K641" s="28">
        <f>IF(ISNUMBER($O641),INDEX('請求台帳'!$R$5:$R$1004,$O641),"")</f>
        <v/>
      </c>
      <c r="L641" s="20">
        <f>IF(NOT(OR($A641&lt;&gt;"",$E641&lt;&gt;"",$F641&lt;&gt;"",$G641&lt;&gt;"",$H641&lt;&gt;"",$I641&lt;&gt;"")),"",IF(NOT(ISNUMBER($A641)),"入金日がありません",IF(AND($F641&lt;&gt;"",$O641="なし"),"請求Noが請求台帳にありません",IF(AND(ISNUMBER($O641),$C641&lt;&gt;"",$C641&lt;&gt;$P641),"請求の得意先は "&amp;$P641&amp;" です",IF(ROUND(IF($B641&lt;&gt;"",SUMIF($B$5:$B$1004,$B641,$E$5:$E$1004)-SUMIF($B$5:$B$1004,$B641,$G$5:$G$1004),N($E641)-N($G641)),0)&lt;&gt;0,"通帳の額と当てた額の差 "&amp;TEXT(IF($B641&lt;&gt;"",SUMIF($B$5:$B$1004,$B641,$E$5:$E$1004)-SUMIF($B$5:$B$1004,$B641,$G$5:$G$1004),N($E641)-N($G641)),"#,##0"),IF(AND(ISNUMBER($O641),N($K641)&lt;0),"請求額より多く消し込んでいます",IF($F641="","消込先が未定","OK")))))))</f>
        <v/>
      </c>
      <c r="M641" s="19" t="n"/>
      <c r="N641" s="56" t="n"/>
      <c r="O641" s="32">
        <f>IF($F641="","",IFERROR(MATCH($F641,'請求台帳'!$A$5:$A$1004,0),"なし"))</f>
        <v/>
      </c>
      <c r="P641" s="37">
        <f>IF(NOT(OR($A641&lt;&gt;"",$E641&lt;&gt;"",$F641&lt;&gt;"",$G641&lt;&gt;"",$H641&lt;&gt;"",$I641&lt;&gt;"")),"",IF(ISNUMBER($O641),IF(INDEX('請求台帳'!$C$5:$C$1004,$O641)="","",INDEX('請求台帳'!$C$5:$C$1004,$O641)),IF($C641="","",$C641)))</f>
        <v/>
      </c>
      <c r="Q641" s="35">
        <f>IF(OR(NOT(OR($A641&lt;&gt;"",$E641&lt;&gt;"",$F641&lt;&gt;"",$G641&lt;&gt;"",$H641&lt;&gt;"",$I641&lt;&gt;"")),$P641="",$P641&lt;&gt;'売掛帳'!$B$3,NOT(ISNUMBER($A641)),N($G641)+N($H641)+N($I641)=0),"",IF(AND($A641&gt;='売掛帳'!$Q$3,$A641&lt;='売掛帳'!$Q$4),$A641+0.5+ROW()/10000000,""))</f>
        <v/>
      </c>
      <c r="R641" s="32">
        <f>IF(AND(OR($A641&lt;&gt;"",$E641&lt;&gt;"",$F641&lt;&gt;"",$G641&lt;&gt;"",$H641&lt;&gt;"",$I641&lt;&gt;""),NOT(ISNUMBER($O641))),1,"")</f>
        <v/>
      </c>
    </row>
    <row r="642" ht="18" customHeight="1">
      <c r="A642" s="26" t="n"/>
      <c r="B642" s="18" t="n"/>
      <c r="C642" s="18" t="n"/>
      <c r="D642" s="20">
        <f>IF($P642="","",IFERROR(INDEX('得意先'!$C$5:$C$104,MATCH($P642,'得意先'!$B$5:$B$104,0))&amp;"","※得意先にないコード"))</f>
        <v/>
      </c>
      <c r="E642" s="27" t="n"/>
      <c r="F642" s="18" t="n"/>
      <c r="G642" s="27" t="n"/>
      <c r="H642" s="27" t="n"/>
      <c r="I642" s="27" t="n"/>
      <c r="J642" s="28">
        <f>IF(NOT(OR($A642&lt;&gt;"",$E642&lt;&gt;"",$F642&lt;&gt;"",$G642&lt;&gt;"",$H642&lt;&gt;"",$I642&lt;&gt;"")),"",N($G642)+N($H642)+N($I642))</f>
        <v/>
      </c>
      <c r="K642" s="28">
        <f>IF(ISNUMBER($O642),INDEX('請求台帳'!$R$5:$R$1004,$O642),"")</f>
        <v/>
      </c>
      <c r="L642" s="20">
        <f>IF(NOT(OR($A642&lt;&gt;"",$E642&lt;&gt;"",$F642&lt;&gt;"",$G642&lt;&gt;"",$H642&lt;&gt;"",$I642&lt;&gt;"")),"",IF(NOT(ISNUMBER($A642)),"入金日がありません",IF(AND($F642&lt;&gt;"",$O642="なし"),"請求Noが請求台帳にありません",IF(AND(ISNUMBER($O642),$C642&lt;&gt;"",$C642&lt;&gt;$P642),"請求の得意先は "&amp;$P642&amp;" です",IF(ROUND(IF($B642&lt;&gt;"",SUMIF($B$5:$B$1004,$B642,$E$5:$E$1004)-SUMIF($B$5:$B$1004,$B642,$G$5:$G$1004),N($E642)-N($G642)),0)&lt;&gt;0,"通帳の額と当てた額の差 "&amp;TEXT(IF($B642&lt;&gt;"",SUMIF($B$5:$B$1004,$B642,$E$5:$E$1004)-SUMIF($B$5:$B$1004,$B642,$G$5:$G$1004),N($E642)-N($G642)),"#,##0"),IF(AND(ISNUMBER($O642),N($K642)&lt;0),"請求額より多く消し込んでいます",IF($F642="","消込先が未定","OK")))))))</f>
        <v/>
      </c>
      <c r="M642" s="19" t="n"/>
      <c r="N642" s="56" t="n"/>
      <c r="O642" s="32">
        <f>IF($F642="","",IFERROR(MATCH($F642,'請求台帳'!$A$5:$A$1004,0),"なし"))</f>
        <v/>
      </c>
      <c r="P642" s="37">
        <f>IF(NOT(OR($A642&lt;&gt;"",$E642&lt;&gt;"",$F642&lt;&gt;"",$G642&lt;&gt;"",$H642&lt;&gt;"",$I642&lt;&gt;"")),"",IF(ISNUMBER($O642),IF(INDEX('請求台帳'!$C$5:$C$1004,$O642)="","",INDEX('請求台帳'!$C$5:$C$1004,$O642)),IF($C642="","",$C642)))</f>
        <v/>
      </c>
      <c r="Q642" s="35">
        <f>IF(OR(NOT(OR($A642&lt;&gt;"",$E642&lt;&gt;"",$F642&lt;&gt;"",$G642&lt;&gt;"",$H642&lt;&gt;"",$I642&lt;&gt;"")),$P642="",$P642&lt;&gt;'売掛帳'!$B$3,NOT(ISNUMBER($A642)),N($G642)+N($H642)+N($I642)=0),"",IF(AND($A642&gt;='売掛帳'!$Q$3,$A642&lt;='売掛帳'!$Q$4),$A642+0.5+ROW()/10000000,""))</f>
        <v/>
      </c>
      <c r="R642" s="32">
        <f>IF(AND(OR($A642&lt;&gt;"",$E642&lt;&gt;"",$F642&lt;&gt;"",$G642&lt;&gt;"",$H642&lt;&gt;"",$I642&lt;&gt;""),NOT(ISNUMBER($O642))),1,"")</f>
        <v/>
      </c>
    </row>
    <row r="643" ht="18" customHeight="1">
      <c r="A643" s="26" t="n"/>
      <c r="B643" s="18" t="n"/>
      <c r="C643" s="18" t="n"/>
      <c r="D643" s="20">
        <f>IF($P643="","",IFERROR(INDEX('得意先'!$C$5:$C$104,MATCH($P643,'得意先'!$B$5:$B$104,0))&amp;"","※得意先にないコード"))</f>
        <v/>
      </c>
      <c r="E643" s="27" t="n"/>
      <c r="F643" s="18" t="n"/>
      <c r="G643" s="27" t="n"/>
      <c r="H643" s="27" t="n"/>
      <c r="I643" s="27" t="n"/>
      <c r="J643" s="28">
        <f>IF(NOT(OR($A643&lt;&gt;"",$E643&lt;&gt;"",$F643&lt;&gt;"",$G643&lt;&gt;"",$H643&lt;&gt;"",$I643&lt;&gt;"")),"",N($G643)+N($H643)+N($I643))</f>
        <v/>
      </c>
      <c r="K643" s="28">
        <f>IF(ISNUMBER($O643),INDEX('請求台帳'!$R$5:$R$1004,$O643),"")</f>
        <v/>
      </c>
      <c r="L643" s="20">
        <f>IF(NOT(OR($A643&lt;&gt;"",$E643&lt;&gt;"",$F643&lt;&gt;"",$G643&lt;&gt;"",$H643&lt;&gt;"",$I643&lt;&gt;"")),"",IF(NOT(ISNUMBER($A643)),"入金日がありません",IF(AND($F643&lt;&gt;"",$O643="なし"),"請求Noが請求台帳にありません",IF(AND(ISNUMBER($O643),$C643&lt;&gt;"",$C643&lt;&gt;$P643),"請求の得意先は "&amp;$P643&amp;" です",IF(ROUND(IF($B643&lt;&gt;"",SUMIF($B$5:$B$1004,$B643,$E$5:$E$1004)-SUMIF($B$5:$B$1004,$B643,$G$5:$G$1004),N($E643)-N($G643)),0)&lt;&gt;0,"通帳の額と当てた額の差 "&amp;TEXT(IF($B643&lt;&gt;"",SUMIF($B$5:$B$1004,$B643,$E$5:$E$1004)-SUMIF($B$5:$B$1004,$B643,$G$5:$G$1004),N($E643)-N($G643)),"#,##0"),IF(AND(ISNUMBER($O643),N($K643)&lt;0),"請求額より多く消し込んでいます",IF($F643="","消込先が未定","OK")))))))</f>
        <v/>
      </c>
      <c r="M643" s="19" t="n"/>
      <c r="N643" s="56" t="n"/>
      <c r="O643" s="32">
        <f>IF($F643="","",IFERROR(MATCH($F643,'請求台帳'!$A$5:$A$1004,0),"なし"))</f>
        <v/>
      </c>
      <c r="P643" s="37">
        <f>IF(NOT(OR($A643&lt;&gt;"",$E643&lt;&gt;"",$F643&lt;&gt;"",$G643&lt;&gt;"",$H643&lt;&gt;"",$I643&lt;&gt;"")),"",IF(ISNUMBER($O643),IF(INDEX('請求台帳'!$C$5:$C$1004,$O643)="","",INDEX('請求台帳'!$C$5:$C$1004,$O643)),IF($C643="","",$C643)))</f>
        <v/>
      </c>
      <c r="Q643" s="35">
        <f>IF(OR(NOT(OR($A643&lt;&gt;"",$E643&lt;&gt;"",$F643&lt;&gt;"",$G643&lt;&gt;"",$H643&lt;&gt;"",$I643&lt;&gt;"")),$P643="",$P643&lt;&gt;'売掛帳'!$B$3,NOT(ISNUMBER($A643)),N($G643)+N($H643)+N($I643)=0),"",IF(AND($A643&gt;='売掛帳'!$Q$3,$A643&lt;='売掛帳'!$Q$4),$A643+0.5+ROW()/10000000,""))</f>
        <v/>
      </c>
      <c r="R643" s="32">
        <f>IF(AND(OR($A643&lt;&gt;"",$E643&lt;&gt;"",$F643&lt;&gt;"",$G643&lt;&gt;"",$H643&lt;&gt;"",$I643&lt;&gt;""),NOT(ISNUMBER($O643))),1,"")</f>
        <v/>
      </c>
    </row>
    <row r="644" ht="18" customHeight="1">
      <c r="A644" s="26" t="n"/>
      <c r="B644" s="18" t="n"/>
      <c r="C644" s="18" t="n"/>
      <c r="D644" s="20">
        <f>IF($P644="","",IFERROR(INDEX('得意先'!$C$5:$C$104,MATCH($P644,'得意先'!$B$5:$B$104,0))&amp;"","※得意先にないコード"))</f>
        <v/>
      </c>
      <c r="E644" s="27" t="n"/>
      <c r="F644" s="18" t="n"/>
      <c r="G644" s="27" t="n"/>
      <c r="H644" s="27" t="n"/>
      <c r="I644" s="27" t="n"/>
      <c r="J644" s="28">
        <f>IF(NOT(OR($A644&lt;&gt;"",$E644&lt;&gt;"",$F644&lt;&gt;"",$G644&lt;&gt;"",$H644&lt;&gt;"",$I644&lt;&gt;"")),"",N($G644)+N($H644)+N($I644))</f>
        <v/>
      </c>
      <c r="K644" s="28">
        <f>IF(ISNUMBER($O644),INDEX('請求台帳'!$R$5:$R$1004,$O644),"")</f>
        <v/>
      </c>
      <c r="L644" s="20">
        <f>IF(NOT(OR($A644&lt;&gt;"",$E644&lt;&gt;"",$F644&lt;&gt;"",$G644&lt;&gt;"",$H644&lt;&gt;"",$I644&lt;&gt;"")),"",IF(NOT(ISNUMBER($A644)),"入金日がありません",IF(AND($F644&lt;&gt;"",$O644="なし"),"請求Noが請求台帳にありません",IF(AND(ISNUMBER($O644),$C644&lt;&gt;"",$C644&lt;&gt;$P644),"請求の得意先は "&amp;$P644&amp;" です",IF(ROUND(IF($B644&lt;&gt;"",SUMIF($B$5:$B$1004,$B644,$E$5:$E$1004)-SUMIF($B$5:$B$1004,$B644,$G$5:$G$1004),N($E644)-N($G644)),0)&lt;&gt;0,"通帳の額と当てた額の差 "&amp;TEXT(IF($B644&lt;&gt;"",SUMIF($B$5:$B$1004,$B644,$E$5:$E$1004)-SUMIF($B$5:$B$1004,$B644,$G$5:$G$1004),N($E644)-N($G644)),"#,##0"),IF(AND(ISNUMBER($O644),N($K644)&lt;0),"請求額より多く消し込んでいます",IF($F644="","消込先が未定","OK")))))))</f>
        <v/>
      </c>
      <c r="M644" s="19" t="n"/>
      <c r="N644" s="56" t="n"/>
      <c r="O644" s="32">
        <f>IF($F644="","",IFERROR(MATCH($F644,'請求台帳'!$A$5:$A$1004,0),"なし"))</f>
        <v/>
      </c>
      <c r="P644" s="37">
        <f>IF(NOT(OR($A644&lt;&gt;"",$E644&lt;&gt;"",$F644&lt;&gt;"",$G644&lt;&gt;"",$H644&lt;&gt;"",$I644&lt;&gt;"")),"",IF(ISNUMBER($O644),IF(INDEX('請求台帳'!$C$5:$C$1004,$O644)="","",INDEX('請求台帳'!$C$5:$C$1004,$O644)),IF($C644="","",$C644)))</f>
        <v/>
      </c>
      <c r="Q644" s="35">
        <f>IF(OR(NOT(OR($A644&lt;&gt;"",$E644&lt;&gt;"",$F644&lt;&gt;"",$G644&lt;&gt;"",$H644&lt;&gt;"",$I644&lt;&gt;"")),$P644="",$P644&lt;&gt;'売掛帳'!$B$3,NOT(ISNUMBER($A644)),N($G644)+N($H644)+N($I644)=0),"",IF(AND($A644&gt;='売掛帳'!$Q$3,$A644&lt;='売掛帳'!$Q$4),$A644+0.5+ROW()/10000000,""))</f>
        <v/>
      </c>
      <c r="R644" s="32">
        <f>IF(AND(OR($A644&lt;&gt;"",$E644&lt;&gt;"",$F644&lt;&gt;"",$G644&lt;&gt;"",$H644&lt;&gt;"",$I644&lt;&gt;""),NOT(ISNUMBER($O644))),1,"")</f>
        <v/>
      </c>
    </row>
    <row r="645" ht="18" customHeight="1">
      <c r="A645" s="26" t="n"/>
      <c r="B645" s="18" t="n"/>
      <c r="C645" s="18" t="n"/>
      <c r="D645" s="20">
        <f>IF($P645="","",IFERROR(INDEX('得意先'!$C$5:$C$104,MATCH($P645,'得意先'!$B$5:$B$104,0))&amp;"","※得意先にないコード"))</f>
        <v/>
      </c>
      <c r="E645" s="27" t="n"/>
      <c r="F645" s="18" t="n"/>
      <c r="G645" s="27" t="n"/>
      <c r="H645" s="27" t="n"/>
      <c r="I645" s="27" t="n"/>
      <c r="J645" s="28">
        <f>IF(NOT(OR($A645&lt;&gt;"",$E645&lt;&gt;"",$F645&lt;&gt;"",$G645&lt;&gt;"",$H645&lt;&gt;"",$I645&lt;&gt;"")),"",N($G645)+N($H645)+N($I645))</f>
        <v/>
      </c>
      <c r="K645" s="28">
        <f>IF(ISNUMBER($O645),INDEX('請求台帳'!$R$5:$R$1004,$O645),"")</f>
        <v/>
      </c>
      <c r="L645" s="20">
        <f>IF(NOT(OR($A645&lt;&gt;"",$E645&lt;&gt;"",$F645&lt;&gt;"",$G645&lt;&gt;"",$H645&lt;&gt;"",$I645&lt;&gt;"")),"",IF(NOT(ISNUMBER($A645)),"入金日がありません",IF(AND($F645&lt;&gt;"",$O645="なし"),"請求Noが請求台帳にありません",IF(AND(ISNUMBER($O645),$C645&lt;&gt;"",$C645&lt;&gt;$P645),"請求の得意先は "&amp;$P645&amp;" です",IF(ROUND(IF($B645&lt;&gt;"",SUMIF($B$5:$B$1004,$B645,$E$5:$E$1004)-SUMIF($B$5:$B$1004,$B645,$G$5:$G$1004),N($E645)-N($G645)),0)&lt;&gt;0,"通帳の額と当てた額の差 "&amp;TEXT(IF($B645&lt;&gt;"",SUMIF($B$5:$B$1004,$B645,$E$5:$E$1004)-SUMIF($B$5:$B$1004,$B645,$G$5:$G$1004),N($E645)-N($G645)),"#,##0"),IF(AND(ISNUMBER($O645),N($K645)&lt;0),"請求額より多く消し込んでいます",IF($F645="","消込先が未定","OK")))))))</f>
        <v/>
      </c>
      <c r="M645" s="19" t="n"/>
      <c r="N645" s="56" t="n"/>
      <c r="O645" s="32">
        <f>IF($F645="","",IFERROR(MATCH($F645,'請求台帳'!$A$5:$A$1004,0),"なし"))</f>
        <v/>
      </c>
      <c r="P645" s="37">
        <f>IF(NOT(OR($A645&lt;&gt;"",$E645&lt;&gt;"",$F645&lt;&gt;"",$G645&lt;&gt;"",$H645&lt;&gt;"",$I645&lt;&gt;"")),"",IF(ISNUMBER($O645),IF(INDEX('請求台帳'!$C$5:$C$1004,$O645)="","",INDEX('請求台帳'!$C$5:$C$1004,$O645)),IF($C645="","",$C645)))</f>
        <v/>
      </c>
      <c r="Q645" s="35">
        <f>IF(OR(NOT(OR($A645&lt;&gt;"",$E645&lt;&gt;"",$F645&lt;&gt;"",$G645&lt;&gt;"",$H645&lt;&gt;"",$I645&lt;&gt;"")),$P645="",$P645&lt;&gt;'売掛帳'!$B$3,NOT(ISNUMBER($A645)),N($G645)+N($H645)+N($I645)=0),"",IF(AND($A645&gt;='売掛帳'!$Q$3,$A645&lt;='売掛帳'!$Q$4),$A645+0.5+ROW()/10000000,""))</f>
        <v/>
      </c>
      <c r="R645" s="32">
        <f>IF(AND(OR($A645&lt;&gt;"",$E645&lt;&gt;"",$F645&lt;&gt;"",$G645&lt;&gt;"",$H645&lt;&gt;"",$I645&lt;&gt;""),NOT(ISNUMBER($O645))),1,"")</f>
        <v/>
      </c>
    </row>
    <row r="646" ht="18" customHeight="1">
      <c r="A646" s="26" t="n"/>
      <c r="B646" s="18" t="n"/>
      <c r="C646" s="18" t="n"/>
      <c r="D646" s="20">
        <f>IF($P646="","",IFERROR(INDEX('得意先'!$C$5:$C$104,MATCH($P646,'得意先'!$B$5:$B$104,0))&amp;"","※得意先にないコード"))</f>
        <v/>
      </c>
      <c r="E646" s="27" t="n"/>
      <c r="F646" s="18" t="n"/>
      <c r="G646" s="27" t="n"/>
      <c r="H646" s="27" t="n"/>
      <c r="I646" s="27" t="n"/>
      <c r="J646" s="28">
        <f>IF(NOT(OR($A646&lt;&gt;"",$E646&lt;&gt;"",$F646&lt;&gt;"",$G646&lt;&gt;"",$H646&lt;&gt;"",$I646&lt;&gt;"")),"",N($G646)+N($H646)+N($I646))</f>
        <v/>
      </c>
      <c r="K646" s="28">
        <f>IF(ISNUMBER($O646),INDEX('請求台帳'!$R$5:$R$1004,$O646),"")</f>
        <v/>
      </c>
      <c r="L646" s="20">
        <f>IF(NOT(OR($A646&lt;&gt;"",$E646&lt;&gt;"",$F646&lt;&gt;"",$G646&lt;&gt;"",$H646&lt;&gt;"",$I646&lt;&gt;"")),"",IF(NOT(ISNUMBER($A646)),"入金日がありません",IF(AND($F646&lt;&gt;"",$O646="なし"),"請求Noが請求台帳にありません",IF(AND(ISNUMBER($O646),$C646&lt;&gt;"",$C646&lt;&gt;$P646),"請求の得意先は "&amp;$P646&amp;" です",IF(ROUND(IF($B646&lt;&gt;"",SUMIF($B$5:$B$1004,$B646,$E$5:$E$1004)-SUMIF($B$5:$B$1004,$B646,$G$5:$G$1004),N($E646)-N($G646)),0)&lt;&gt;0,"通帳の額と当てた額の差 "&amp;TEXT(IF($B646&lt;&gt;"",SUMIF($B$5:$B$1004,$B646,$E$5:$E$1004)-SUMIF($B$5:$B$1004,$B646,$G$5:$G$1004),N($E646)-N($G646)),"#,##0"),IF(AND(ISNUMBER($O646),N($K646)&lt;0),"請求額より多く消し込んでいます",IF($F646="","消込先が未定","OK")))))))</f>
        <v/>
      </c>
      <c r="M646" s="19" t="n"/>
      <c r="N646" s="56" t="n"/>
      <c r="O646" s="32">
        <f>IF($F646="","",IFERROR(MATCH($F646,'請求台帳'!$A$5:$A$1004,0),"なし"))</f>
        <v/>
      </c>
      <c r="P646" s="37">
        <f>IF(NOT(OR($A646&lt;&gt;"",$E646&lt;&gt;"",$F646&lt;&gt;"",$G646&lt;&gt;"",$H646&lt;&gt;"",$I646&lt;&gt;"")),"",IF(ISNUMBER($O646),IF(INDEX('請求台帳'!$C$5:$C$1004,$O646)="","",INDEX('請求台帳'!$C$5:$C$1004,$O646)),IF($C646="","",$C646)))</f>
        <v/>
      </c>
      <c r="Q646" s="35">
        <f>IF(OR(NOT(OR($A646&lt;&gt;"",$E646&lt;&gt;"",$F646&lt;&gt;"",$G646&lt;&gt;"",$H646&lt;&gt;"",$I646&lt;&gt;"")),$P646="",$P646&lt;&gt;'売掛帳'!$B$3,NOT(ISNUMBER($A646)),N($G646)+N($H646)+N($I646)=0),"",IF(AND($A646&gt;='売掛帳'!$Q$3,$A646&lt;='売掛帳'!$Q$4),$A646+0.5+ROW()/10000000,""))</f>
        <v/>
      </c>
      <c r="R646" s="32">
        <f>IF(AND(OR($A646&lt;&gt;"",$E646&lt;&gt;"",$F646&lt;&gt;"",$G646&lt;&gt;"",$H646&lt;&gt;"",$I646&lt;&gt;""),NOT(ISNUMBER($O646))),1,"")</f>
        <v/>
      </c>
    </row>
    <row r="647" ht="18" customHeight="1">
      <c r="A647" s="26" t="n"/>
      <c r="B647" s="18" t="n"/>
      <c r="C647" s="18" t="n"/>
      <c r="D647" s="20">
        <f>IF($P647="","",IFERROR(INDEX('得意先'!$C$5:$C$104,MATCH($P647,'得意先'!$B$5:$B$104,0))&amp;"","※得意先にないコード"))</f>
        <v/>
      </c>
      <c r="E647" s="27" t="n"/>
      <c r="F647" s="18" t="n"/>
      <c r="G647" s="27" t="n"/>
      <c r="H647" s="27" t="n"/>
      <c r="I647" s="27" t="n"/>
      <c r="J647" s="28">
        <f>IF(NOT(OR($A647&lt;&gt;"",$E647&lt;&gt;"",$F647&lt;&gt;"",$G647&lt;&gt;"",$H647&lt;&gt;"",$I647&lt;&gt;"")),"",N($G647)+N($H647)+N($I647))</f>
        <v/>
      </c>
      <c r="K647" s="28">
        <f>IF(ISNUMBER($O647),INDEX('請求台帳'!$R$5:$R$1004,$O647),"")</f>
        <v/>
      </c>
      <c r="L647" s="20">
        <f>IF(NOT(OR($A647&lt;&gt;"",$E647&lt;&gt;"",$F647&lt;&gt;"",$G647&lt;&gt;"",$H647&lt;&gt;"",$I647&lt;&gt;"")),"",IF(NOT(ISNUMBER($A647)),"入金日がありません",IF(AND($F647&lt;&gt;"",$O647="なし"),"請求Noが請求台帳にありません",IF(AND(ISNUMBER($O647),$C647&lt;&gt;"",$C647&lt;&gt;$P647),"請求の得意先は "&amp;$P647&amp;" です",IF(ROUND(IF($B647&lt;&gt;"",SUMIF($B$5:$B$1004,$B647,$E$5:$E$1004)-SUMIF($B$5:$B$1004,$B647,$G$5:$G$1004),N($E647)-N($G647)),0)&lt;&gt;0,"通帳の額と当てた額の差 "&amp;TEXT(IF($B647&lt;&gt;"",SUMIF($B$5:$B$1004,$B647,$E$5:$E$1004)-SUMIF($B$5:$B$1004,$B647,$G$5:$G$1004),N($E647)-N($G647)),"#,##0"),IF(AND(ISNUMBER($O647),N($K647)&lt;0),"請求額より多く消し込んでいます",IF($F647="","消込先が未定","OK")))))))</f>
        <v/>
      </c>
      <c r="M647" s="19" t="n"/>
      <c r="N647" s="56" t="n"/>
      <c r="O647" s="32">
        <f>IF($F647="","",IFERROR(MATCH($F647,'請求台帳'!$A$5:$A$1004,0),"なし"))</f>
        <v/>
      </c>
      <c r="P647" s="37">
        <f>IF(NOT(OR($A647&lt;&gt;"",$E647&lt;&gt;"",$F647&lt;&gt;"",$G647&lt;&gt;"",$H647&lt;&gt;"",$I647&lt;&gt;"")),"",IF(ISNUMBER($O647),IF(INDEX('請求台帳'!$C$5:$C$1004,$O647)="","",INDEX('請求台帳'!$C$5:$C$1004,$O647)),IF($C647="","",$C647)))</f>
        <v/>
      </c>
      <c r="Q647" s="35">
        <f>IF(OR(NOT(OR($A647&lt;&gt;"",$E647&lt;&gt;"",$F647&lt;&gt;"",$G647&lt;&gt;"",$H647&lt;&gt;"",$I647&lt;&gt;"")),$P647="",$P647&lt;&gt;'売掛帳'!$B$3,NOT(ISNUMBER($A647)),N($G647)+N($H647)+N($I647)=0),"",IF(AND($A647&gt;='売掛帳'!$Q$3,$A647&lt;='売掛帳'!$Q$4),$A647+0.5+ROW()/10000000,""))</f>
        <v/>
      </c>
      <c r="R647" s="32">
        <f>IF(AND(OR($A647&lt;&gt;"",$E647&lt;&gt;"",$F647&lt;&gt;"",$G647&lt;&gt;"",$H647&lt;&gt;"",$I647&lt;&gt;""),NOT(ISNUMBER($O647))),1,"")</f>
        <v/>
      </c>
    </row>
    <row r="648" ht="18" customHeight="1">
      <c r="A648" s="26" t="n"/>
      <c r="B648" s="18" t="n"/>
      <c r="C648" s="18" t="n"/>
      <c r="D648" s="20">
        <f>IF($P648="","",IFERROR(INDEX('得意先'!$C$5:$C$104,MATCH($P648,'得意先'!$B$5:$B$104,0))&amp;"","※得意先にないコード"))</f>
        <v/>
      </c>
      <c r="E648" s="27" t="n"/>
      <c r="F648" s="18" t="n"/>
      <c r="G648" s="27" t="n"/>
      <c r="H648" s="27" t="n"/>
      <c r="I648" s="27" t="n"/>
      <c r="J648" s="28">
        <f>IF(NOT(OR($A648&lt;&gt;"",$E648&lt;&gt;"",$F648&lt;&gt;"",$G648&lt;&gt;"",$H648&lt;&gt;"",$I648&lt;&gt;"")),"",N($G648)+N($H648)+N($I648))</f>
        <v/>
      </c>
      <c r="K648" s="28">
        <f>IF(ISNUMBER($O648),INDEX('請求台帳'!$R$5:$R$1004,$O648),"")</f>
        <v/>
      </c>
      <c r="L648" s="20">
        <f>IF(NOT(OR($A648&lt;&gt;"",$E648&lt;&gt;"",$F648&lt;&gt;"",$G648&lt;&gt;"",$H648&lt;&gt;"",$I648&lt;&gt;"")),"",IF(NOT(ISNUMBER($A648)),"入金日がありません",IF(AND($F648&lt;&gt;"",$O648="なし"),"請求Noが請求台帳にありません",IF(AND(ISNUMBER($O648),$C648&lt;&gt;"",$C648&lt;&gt;$P648),"請求の得意先は "&amp;$P648&amp;" です",IF(ROUND(IF($B648&lt;&gt;"",SUMIF($B$5:$B$1004,$B648,$E$5:$E$1004)-SUMIF($B$5:$B$1004,$B648,$G$5:$G$1004),N($E648)-N($G648)),0)&lt;&gt;0,"通帳の額と当てた額の差 "&amp;TEXT(IF($B648&lt;&gt;"",SUMIF($B$5:$B$1004,$B648,$E$5:$E$1004)-SUMIF($B$5:$B$1004,$B648,$G$5:$G$1004),N($E648)-N($G648)),"#,##0"),IF(AND(ISNUMBER($O648),N($K648)&lt;0),"請求額より多く消し込んでいます",IF($F648="","消込先が未定","OK")))))))</f>
        <v/>
      </c>
      <c r="M648" s="19" t="n"/>
      <c r="N648" s="56" t="n"/>
      <c r="O648" s="32">
        <f>IF($F648="","",IFERROR(MATCH($F648,'請求台帳'!$A$5:$A$1004,0),"なし"))</f>
        <v/>
      </c>
      <c r="P648" s="37">
        <f>IF(NOT(OR($A648&lt;&gt;"",$E648&lt;&gt;"",$F648&lt;&gt;"",$G648&lt;&gt;"",$H648&lt;&gt;"",$I648&lt;&gt;"")),"",IF(ISNUMBER($O648),IF(INDEX('請求台帳'!$C$5:$C$1004,$O648)="","",INDEX('請求台帳'!$C$5:$C$1004,$O648)),IF($C648="","",$C648)))</f>
        <v/>
      </c>
      <c r="Q648" s="35">
        <f>IF(OR(NOT(OR($A648&lt;&gt;"",$E648&lt;&gt;"",$F648&lt;&gt;"",$G648&lt;&gt;"",$H648&lt;&gt;"",$I648&lt;&gt;"")),$P648="",$P648&lt;&gt;'売掛帳'!$B$3,NOT(ISNUMBER($A648)),N($G648)+N($H648)+N($I648)=0),"",IF(AND($A648&gt;='売掛帳'!$Q$3,$A648&lt;='売掛帳'!$Q$4),$A648+0.5+ROW()/10000000,""))</f>
        <v/>
      </c>
      <c r="R648" s="32">
        <f>IF(AND(OR($A648&lt;&gt;"",$E648&lt;&gt;"",$F648&lt;&gt;"",$G648&lt;&gt;"",$H648&lt;&gt;"",$I648&lt;&gt;""),NOT(ISNUMBER($O648))),1,"")</f>
        <v/>
      </c>
    </row>
    <row r="649" ht="18" customHeight="1">
      <c r="A649" s="26" t="n"/>
      <c r="B649" s="18" t="n"/>
      <c r="C649" s="18" t="n"/>
      <c r="D649" s="20">
        <f>IF($P649="","",IFERROR(INDEX('得意先'!$C$5:$C$104,MATCH($P649,'得意先'!$B$5:$B$104,0))&amp;"","※得意先にないコード"))</f>
        <v/>
      </c>
      <c r="E649" s="27" t="n"/>
      <c r="F649" s="18" t="n"/>
      <c r="G649" s="27" t="n"/>
      <c r="H649" s="27" t="n"/>
      <c r="I649" s="27" t="n"/>
      <c r="J649" s="28">
        <f>IF(NOT(OR($A649&lt;&gt;"",$E649&lt;&gt;"",$F649&lt;&gt;"",$G649&lt;&gt;"",$H649&lt;&gt;"",$I649&lt;&gt;"")),"",N($G649)+N($H649)+N($I649))</f>
        <v/>
      </c>
      <c r="K649" s="28">
        <f>IF(ISNUMBER($O649),INDEX('請求台帳'!$R$5:$R$1004,$O649),"")</f>
        <v/>
      </c>
      <c r="L649" s="20">
        <f>IF(NOT(OR($A649&lt;&gt;"",$E649&lt;&gt;"",$F649&lt;&gt;"",$G649&lt;&gt;"",$H649&lt;&gt;"",$I649&lt;&gt;"")),"",IF(NOT(ISNUMBER($A649)),"入金日がありません",IF(AND($F649&lt;&gt;"",$O649="なし"),"請求Noが請求台帳にありません",IF(AND(ISNUMBER($O649),$C649&lt;&gt;"",$C649&lt;&gt;$P649),"請求の得意先は "&amp;$P649&amp;" です",IF(ROUND(IF($B649&lt;&gt;"",SUMIF($B$5:$B$1004,$B649,$E$5:$E$1004)-SUMIF($B$5:$B$1004,$B649,$G$5:$G$1004),N($E649)-N($G649)),0)&lt;&gt;0,"通帳の額と当てた額の差 "&amp;TEXT(IF($B649&lt;&gt;"",SUMIF($B$5:$B$1004,$B649,$E$5:$E$1004)-SUMIF($B$5:$B$1004,$B649,$G$5:$G$1004),N($E649)-N($G649)),"#,##0"),IF(AND(ISNUMBER($O649),N($K649)&lt;0),"請求額より多く消し込んでいます",IF($F649="","消込先が未定","OK")))))))</f>
        <v/>
      </c>
      <c r="M649" s="19" t="n"/>
      <c r="N649" s="56" t="n"/>
      <c r="O649" s="32">
        <f>IF($F649="","",IFERROR(MATCH($F649,'請求台帳'!$A$5:$A$1004,0),"なし"))</f>
        <v/>
      </c>
      <c r="P649" s="37">
        <f>IF(NOT(OR($A649&lt;&gt;"",$E649&lt;&gt;"",$F649&lt;&gt;"",$G649&lt;&gt;"",$H649&lt;&gt;"",$I649&lt;&gt;"")),"",IF(ISNUMBER($O649),IF(INDEX('請求台帳'!$C$5:$C$1004,$O649)="","",INDEX('請求台帳'!$C$5:$C$1004,$O649)),IF($C649="","",$C649)))</f>
        <v/>
      </c>
      <c r="Q649" s="35">
        <f>IF(OR(NOT(OR($A649&lt;&gt;"",$E649&lt;&gt;"",$F649&lt;&gt;"",$G649&lt;&gt;"",$H649&lt;&gt;"",$I649&lt;&gt;"")),$P649="",$P649&lt;&gt;'売掛帳'!$B$3,NOT(ISNUMBER($A649)),N($G649)+N($H649)+N($I649)=0),"",IF(AND($A649&gt;='売掛帳'!$Q$3,$A649&lt;='売掛帳'!$Q$4),$A649+0.5+ROW()/10000000,""))</f>
        <v/>
      </c>
      <c r="R649" s="32">
        <f>IF(AND(OR($A649&lt;&gt;"",$E649&lt;&gt;"",$F649&lt;&gt;"",$G649&lt;&gt;"",$H649&lt;&gt;"",$I649&lt;&gt;""),NOT(ISNUMBER($O649))),1,"")</f>
        <v/>
      </c>
    </row>
    <row r="650" ht="18" customHeight="1">
      <c r="A650" s="26" t="n"/>
      <c r="B650" s="18" t="n"/>
      <c r="C650" s="18" t="n"/>
      <c r="D650" s="20">
        <f>IF($P650="","",IFERROR(INDEX('得意先'!$C$5:$C$104,MATCH($P650,'得意先'!$B$5:$B$104,0))&amp;"","※得意先にないコード"))</f>
        <v/>
      </c>
      <c r="E650" s="27" t="n"/>
      <c r="F650" s="18" t="n"/>
      <c r="G650" s="27" t="n"/>
      <c r="H650" s="27" t="n"/>
      <c r="I650" s="27" t="n"/>
      <c r="J650" s="28">
        <f>IF(NOT(OR($A650&lt;&gt;"",$E650&lt;&gt;"",$F650&lt;&gt;"",$G650&lt;&gt;"",$H650&lt;&gt;"",$I650&lt;&gt;"")),"",N($G650)+N($H650)+N($I650))</f>
        <v/>
      </c>
      <c r="K650" s="28">
        <f>IF(ISNUMBER($O650),INDEX('請求台帳'!$R$5:$R$1004,$O650),"")</f>
        <v/>
      </c>
      <c r="L650" s="20">
        <f>IF(NOT(OR($A650&lt;&gt;"",$E650&lt;&gt;"",$F650&lt;&gt;"",$G650&lt;&gt;"",$H650&lt;&gt;"",$I650&lt;&gt;"")),"",IF(NOT(ISNUMBER($A650)),"入金日がありません",IF(AND($F650&lt;&gt;"",$O650="なし"),"請求Noが請求台帳にありません",IF(AND(ISNUMBER($O650),$C650&lt;&gt;"",$C650&lt;&gt;$P650),"請求の得意先は "&amp;$P650&amp;" です",IF(ROUND(IF($B650&lt;&gt;"",SUMIF($B$5:$B$1004,$B650,$E$5:$E$1004)-SUMIF($B$5:$B$1004,$B650,$G$5:$G$1004),N($E650)-N($G650)),0)&lt;&gt;0,"通帳の額と当てた額の差 "&amp;TEXT(IF($B650&lt;&gt;"",SUMIF($B$5:$B$1004,$B650,$E$5:$E$1004)-SUMIF($B$5:$B$1004,$B650,$G$5:$G$1004),N($E650)-N($G650)),"#,##0"),IF(AND(ISNUMBER($O650),N($K650)&lt;0),"請求額より多く消し込んでいます",IF($F650="","消込先が未定","OK")))))))</f>
        <v/>
      </c>
      <c r="M650" s="19" t="n"/>
      <c r="N650" s="56" t="n"/>
      <c r="O650" s="32">
        <f>IF($F650="","",IFERROR(MATCH($F650,'請求台帳'!$A$5:$A$1004,0),"なし"))</f>
        <v/>
      </c>
      <c r="P650" s="37">
        <f>IF(NOT(OR($A650&lt;&gt;"",$E650&lt;&gt;"",$F650&lt;&gt;"",$G650&lt;&gt;"",$H650&lt;&gt;"",$I650&lt;&gt;"")),"",IF(ISNUMBER($O650),IF(INDEX('請求台帳'!$C$5:$C$1004,$O650)="","",INDEX('請求台帳'!$C$5:$C$1004,$O650)),IF($C650="","",$C650)))</f>
        <v/>
      </c>
      <c r="Q650" s="35">
        <f>IF(OR(NOT(OR($A650&lt;&gt;"",$E650&lt;&gt;"",$F650&lt;&gt;"",$G650&lt;&gt;"",$H650&lt;&gt;"",$I650&lt;&gt;"")),$P650="",$P650&lt;&gt;'売掛帳'!$B$3,NOT(ISNUMBER($A650)),N($G650)+N($H650)+N($I650)=0),"",IF(AND($A650&gt;='売掛帳'!$Q$3,$A650&lt;='売掛帳'!$Q$4),$A650+0.5+ROW()/10000000,""))</f>
        <v/>
      </c>
      <c r="R650" s="32">
        <f>IF(AND(OR($A650&lt;&gt;"",$E650&lt;&gt;"",$F650&lt;&gt;"",$G650&lt;&gt;"",$H650&lt;&gt;"",$I650&lt;&gt;""),NOT(ISNUMBER($O650))),1,"")</f>
        <v/>
      </c>
    </row>
    <row r="651" ht="18" customHeight="1">
      <c r="A651" s="26" t="n"/>
      <c r="B651" s="18" t="n"/>
      <c r="C651" s="18" t="n"/>
      <c r="D651" s="20">
        <f>IF($P651="","",IFERROR(INDEX('得意先'!$C$5:$C$104,MATCH($P651,'得意先'!$B$5:$B$104,0))&amp;"","※得意先にないコード"))</f>
        <v/>
      </c>
      <c r="E651" s="27" t="n"/>
      <c r="F651" s="18" t="n"/>
      <c r="G651" s="27" t="n"/>
      <c r="H651" s="27" t="n"/>
      <c r="I651" s="27" t="n"/>
      <c r="J651" s="28">
        <f>IF(NOT(OR($A651&lt;&gt;"",$E651&lt;&gt;"",$F651&lt;&gt;"",$G651&lt;&gt;"",$H651&lt;&gt;"",$I651&lt;&gt;"")),"",N($G651)+N($H651)+N($I651))</f>
        <v/>
      </c>
      <c r="K651" s="28">
        <f>IF(ISNUMBER($O651),INDEX('請求台帳'!$R$5:$R$1004,$O651),"")</f>
        <v/>
      </c>
      <c r="L651" s="20">
        <f>IF(NOT(OR($A651&lt;&gt;"",$E651&lt;&gt;"",$F651&lt;&gt;"",$G651&lt;&gt;"",$H651&lt;&gt;"",$I651&lt;&gt;"")),"",IF(NOT(ISNUMBER($A651)),"入金日がありません",IF(AND($F651&lt;&gt;"",$O651="なし"),"請求Noが請求台帳にありません",IF(AND(ISNUMBER($O651),$C651&lt;&gt;"",$C651&lt;&gt;$P651),"請求の得意先は "&amp;$P651&amp;" です",IF(ROUND(IF($B651&lt;&gt;"",SUMIF($B$5:$B$1004,$B651,$E$5:$E$1004)-SUMIF($B$5:$B$1004,$B651,$G$5:$G$1004),N($E651)-N($G651)),0)&lt;&gt;0,"通帳の額と当てた額の差 "&amp;TEXT(IF($B651&lt;&gt;"",SUMIF($B$5:$B$1004,$B651,$E$5:$E$1004)-SUMIF($B$5:$B$1004,$B651,$G$5:$G$1004),N($E651)-N($G651)),"#,##0"),IF(AND(ISNUMBER($O651),N($K651)&lt;0),"請求額より多く消し込んでいます",IF($F651="","消込先が未定","OK")))))))</f>
        <v/>
      </c>
      <c r="M651" s="19" t="n"/>
      <c r="N651" s="56" t="n"/>
      <c r="O651" s="32">
        <f>IF($F651="","",IFERROR(MATCH($F651,'請求台帳'!$A$5:$A$1004,0),"なし"))</f>
        <v/>
      </c>
      <c r="P651" s="37">
        <f>IF(NOT(OR($A651&lt;&gt;"",$E651&lt;&gt;"",$F651&lt;&gt;"",$G651&lt;&gt;"",$H651&lt;&gt;"",$I651&lt;&gt;"")),"",IF(ISNUMBER($O651),IF(INDEX('請求台帳'!$C$5:$C$1004,$O651)="","",INDEX('請求台帳'!$C$5:$C$1004,$O651)),IF($C651="","",$C651)))</f>
        <v/>
      </c>
      <c r="Q651" s="35">
        <f>IF(OR(NOT(OR($A651&lt;&gt;"",$E651&lt;&gt;"",$F651&lt;&gt;"",$G651&lt;&gt;"",$H651&lt;&gt;"",$I651&lt;&gt;"")),$P651="",$P651&lt;&gt;'売掛帳'!$B$3,NOT(ISNUMBER($A651)),N($G651)+N($H651)+N($I651)=0),"",IF(AND($A651&gt;='売掛帳'!$Q$3,$A651&lt;='売掛帳'!$Q$4),$A651+0.5+ROW()/10000000,""))</f>
        <v/>
      </c>
      <c r="R651" s="32">
        <f>IF(AND(OR($A651&lt;&gt;"",$E651&lt;&gt;"",$F651&lt;&gt;"",$G651&lt;&gt;"",$H651&lt;&gt;"",$I651&lt;&gt;""),NOT(ISNUMBER($O651))),1,"")</f>
        <v/>
      </c>
    </row>
    <row r="652" ht="18" customHeight="1">
      <c r="A652" s="26" t="n"/>
      <c r="B652" s="18" t="n"/>
      <c r="C652" s="18" t="n"/>
      <c r="D652" s="20">
        <f>IF($P652="","",IFERROR(INDEX('得意先'!$C$5:$C$104,MATCH($P652,'得意先'!$B$5:$B$104,0))&amp;"","※得意先にないコード"))</f>
        <v/>
      </c>
      <c r="E652" s="27" t="n"/>
      <c r="F652" s="18" t="n"/>
      <c r="G652" s="27" t="n"/>
      <c r="H652" s="27" t="n"/>
      <c r="I652" s="27" t="n"/>
      <c r="J652" s="28">
        <f>IF(NOT(OR($A652&lt;&gt;"",$E652&lt;&gt;"",$F652&lt;&gt;"",$G652&lt;&gt;"",$H652&lt;&gt;"",$I652&lt;&gt;"")),"",N($G652)+N($H652)+N($I652))</f>
        <v/>
      </c>
      <c r="K652" s="28">
        <f>IF(ISNUMBER($O652),INDEX('請求台帳'!$R$5:$R$1004,$O652),"")</f>
        <v/>
      </c>
      <c r="L652" s="20">
        <f>IF(NOT(OR($A652&lt;&gt;"",$E652&lt;&gt;"",$F652&lt;&gt;"",$G652&lt;&gt;"",$H652&lt;&gt;"",$I652&lt;&gt;"")),"",IF(NOT(ISNUMBER($A652)),"入金日がありません",IF(AND($F652&lt;&gt;"",$O652="なし"),"請求Noが請求台帳にありません",IF(AND(ISNUMBER($O652),$C652&lt;&gt;"",$C652&lt;&gt;$P652),"請求の得意先は "&amp;$P652&amp;" です",IF(ROUND(IF($B652&lt;&gt;"",SUMIF($B$5:$B$1004,$B652,$E$5:$E$1004)-SUMIF($B$5:$B$1004,$B652,$G$5:$G$1004),N($E652)-N($G652)),0)&lt;&gt;0,"通帳の額と当てた額の差 "&amp;TEXT(IF($B652&lt;&gt;"",SUMIF($B$5:$B$1004,$B652,$E$5:$E$1004)-SUMIF($B$5:$B$1004,$B652,$G$5:$G$1004),N($E652)-N($G652)),"#,##0"),IF(AND(ISNUMBER($O652),N($K652)&lt;0),"請求額より多く消し込んでいます",IF($F652="","消込先が未定","OK")))))))</f>
        <v/>
      </c>
      <c r="M652" s="19" t="n"/>
      <c r="N652" s="56" t="n"/>
      <c r="O652" s="32">
        <f>IF($F652="","",IFERROR(MATCH($F652,'請求台帳'!$A$5:$A$1004,0),"なし"))</f>
        <v/>
      </c>
      <c r="P652" s="37">
        <f>IF(NOT(OR($A652&lt;&gt;"",$E652&lt;&gt;"",$F652&lt;&gt;"",$G652&lt;&gt;"",$H652&lt;&gt;"",$I652&lt;&gt;"")),"",IF(ISNUMBER($O652),IF(INDEX('請求台帳'!$C$5:$C$1004,$O652)="","",INDEX('請求台帳'!$C$5:$C$1004,$O652)),IF($C652="","",$C652)))</f>
        <v/>
      </c>
      <c r="Q652" s="35">
        <f>IF(OR(NOT(OR($A652&lt;&gt;"",$E652&lt;&gt;"",$F652&lt;&gt;"",$G652&lt;&gt;"",$H652&lt;&gt;"",$I652&lt;&gt;"")),$P652="",$P652&lt;&gt;'売掛帳'!$B$3,NOT(ISNUMBER($A652)),N($G652)+N($H652)+N($I652)=0),"",IF(AND($A652&gt;='売掛帳'!$Q$3,$A652&lt;='売掛帳'!$Q$4),$A652+0.5+ROW()/10000000,""))</f>
        <v/>
      </c>
      <c r="R652" s="32">
        <f>IF(AND(OR($A652&lt;&gt;"",$E652&lt;&gt;"",$F652&lt;&gt;"",$G652&lt;&gt;"",$H652&lt;&gt;"",$I652&lt;&gt;""),NOT(ISNUMBER($O652))),1,"")</f>
        <v/>
      </c>
    </row>
    <row r="653" ht="18" customHeight="1">
      <c r="A653" s="26" t="n"/>
      <c r="B653" s="18" t="n"/>
      <c r="C653" s="18" t="n"/>
      <c r="D653" s="20">
        <f>IF($P653="","",IFERROR(INDEX('得意先'!$C$5:$C$104,MATCH($P653,'得意先'!$B$5:$B$104,0))&amp;"","※得意先にないコード"))</f>
        <v/>
      </c>
      <c r="E653" s="27" t="n"/>
      <c r="F653" s="18" t="n"/>
      <c r="G653" s="27" t="n"/>
      <c r="H653" s="27" t="n"/>
      <c r="I653" s="27" t="n"/>
      <c r="J653" s="28">
        <f>IF(NOT(OR($A653&lt;&gt;"",$E653&lt;&gt;"",$F653&lt;&gt;"",$G653&lt;&gt;"",$H653&lt;&gt;"",$I653&lt;&gt;"")),"",N($G653)+N($H653)+N($I653))</f>
        <v/>
      </c>
      <c r="K653" s="28">
        <f>IF(ISNUMBER($O653),INDEX('請求台帳'!$R$5:$R$1004,$O653),"")</f>
        <v/>
      </c>
      <c r="L653" s="20">
        <f>IF(NOT(OR($A653&lt;&gt;"",$E653&lt;&gt;"",$F653&lt;&gt;"",$G653&lt;&gt;"",$H653&lt;&gt;"",$I653&lt;&gt;"")),"",IF(NOT(ISNUMBER($A653)),"入金日がありません",IF(AND($F653&lt;&gt;"",$O653="なし"),"請求Noが請求台帳にありません",IF(AND(ISNUMBER($O653),$C653&lt;&gt;"",$C653&lt;&gt;$P653),"請求の得意先は "&amp;$P653&amp;" です",IF(ROUND(IF($B653&lt;&gt;"",SUMIF($B$5:$B$1004,$B653,$E$5:$E$1004)-SUMIF($B$5:$B$1004,$B653,$G$5:$G$1004),N($E653)-N($G653)),0)&lt;&gt;0,"通帳の額と当てた額の差 "&amp;TEXT(IF($B653&lt;&gt;"",SUMIF($B$5:$B$1004,$B653,$E$5:$E$1004)-SUMIF($B$5:$B$1004,$B653,$G$5:$G$1004),N($E653)-N($G653)),"#,##0"),IF(AND(ISNUMBER($O653),N($K653)&lt;0),"請求額より多く消し込んでいます",IF($F653="","消込先が未定","OK")))))))</f>
        <v/>
      </c>
      <c r="M653" s="19" t="n"/>
      <c r="N653" s="56" t="n"/>
      <c r="O653" s="32">
        <f>IF($F653="","",IFERROR(MATCH($F653,'請求台帳'!$A$5:$A$1004,0),"なし"))</f>
        <v/>
      </c>
      <c r="P653" s="37">
        <f>IF(NOT(OR($A653&lt;&gt;"",$E653&lt;&gt;"",$F653&lt;&gt;"",$G653&lt;&gt;"",$H653&lt;&gt;"",$I653&lt;&gt;"")),"",IF(ISNUMBER($O653),IF(INDEX('請求台帳'!$C$5:$C$1004,$O653)="","",INDEX('請求台帳'!$C$5:$C$1004,$O653)),IF($C653="","",$C653)))</f>
        <v/>
      </c>
      <c r="Q653" s="35">
        <f>IF(OR(NOT(OR($A653&lt;&gt;"",$E653&lt;&gt;"",$F653&lt;&gt;"",$G653&lt;&gt;"",$H653&lt;&gt;"",$I653&lt;&gt;"")),$P653="",$P653&lt;&gt;'売掛帳'!$B$3,NOT(ISNUMBER($A653)),N($G653)+N($H653)+N($I653)=0),"",IF(AND($A653&gt;='売掛帳'!$Q$3,$A653&lt;='売掛帳'!$Q$4),$A653+0.5+ROW()/10000000,""))</f>
        <v/>
      </c>
      <c r="R653" s="32">
        <f>IF(AND(OR($A653&lt;&gt;"",$E653&lt;&gt;"",$F653&lt;&gt;"",$G653&lt;&gt;"",$H653&lt;&gt;"",$I653&lt;&gt;""),NOT(ISNUMBER($O653))),1,"")</f>
        <v/>
      </c>
    </row>
    <row r="654" ht="18" customHeight="1">
      <c r="A654" s="26" t="n"/>
      <c r="B654" s="18" t="n"/>
      <c r="C654" s="18" t="n"/>
      <c r="D654" s="20">
        <f>IF($P654="","",IFERROR(INDEX('得意先'!$C$5:$C$104,MATCH($P654,'得意先'!$B$5:$B$104,0))&amp;"","※得意先にないコード"))</f>
        <v/>
      </c>
      <c r="E654" s="27" t="n"/>
      <c r="F654" s="18" t="n"/>
      <c r="G654" s="27" t="n"/>
      <c r="H654" s="27" t="n"/>
      <c r="I654" s="27" t="n"/>
      <c r="J654" s="28">
        <f>IF(NOT(OR($A654&lt;&gt;"",$E654&lt;&gt;"",$F654&lt;&gt;"",$G654&lt;&gt;"",$H654&lt;&gt;"",$I654&lt;&gt;"")),"",N($G654)+N($H654)+N($I654))</f>
        <v/>
      </c>
      <c r="K654" s="28">
        <f>IF(ISNUMBER($O654),INDEX('請求台帳'!$R$5:$R$1004,$O654),"")</f>
        <v/>
      </c>
      <c r="L654" s="20">
        <f>IF(NOT(OR($A654&lt;&gt;"",$E654&lt;&gt;"",$F654&lt;&gt;"",$G654&lt;&gt;"",$H654&lt;&gt;"",$I654&lt;&gt;"")),"",IF(NOT(ISNUMBER($A654)),"入金日がありません",IF(AND($F654&lt;&gt;"",$O654="なし"),"請求Noが請求台帳にありません",IF(AND(ISNUMBER($O654),$C654&lt;&gt;"",$C654&lt;&gt;$P654),"請求の得意先は "&amp;$P654&amp;" です",IF(ROUND(IF($B654&lt;&gt;"",SUMIF($B$5:$B$1004,$B654,$E$5:$E$1004)-SUMIF($B$5:$B$1004,$B654,$G$5:$G$1004),N($E654)-N($G654)),0)&lt;&gt;0,"通帳の額と当てた額の差 "&amp;TEXT(IF($B654&lt;&gt;"",SUMIF($B$5:$B$1004,$B654,$E$5:$E$1004)-SUMIF($B$5:$B$1004,$B654,$G$5:$G$1004),N($E654)-N($G654)),"#,##0"),IF(AND(ISNUMBER($O654),N($K654)&lt;0),"請求額より多く消し込んでいます",IF($F654="","消込先が未定","OK")))))))</f>
        <v/>
      </c>
      <c r="M654" s="19" t="n"/>
      <c r="N654" s="56" t="n"/>
      <c r="O654" s="32">
        <f>IF($F654="","",IFERROR(MATCH($F654,'請求台帳'!$A$5:$A$1004,0),"なし"))</f>
        <v/>
      </c>
      <c r="P654" s="37">
        <f>IF(NOT(OR($A654&lt;&gt;"",$E654&lt;&gt;"",$F654&lt;&gt;"",$G654&lt;&gt;"",$H654&lt;&gt;"",$I654&lt;&gt;"")),"",IF(ISNUMBER($O654),IF(INDEX('請求台帳'!$C$5:$C$1004,$O654)="","",INDEX('請求台帳'!$C$5:$C$1004,$O654)),IF($C654="","",$C654)))</f>
        <v/>
      </c>
      <c r="Q654" s="35">
        <f>IF(OR(NOT(OR($A654&lt;&gt;"",$E654&lt;&gt;"",$F654&lt;&gt;"",$G654&lt;&gt;"",$H654&lt;&gt;"",$I654&lt;&gt;"")),$P654="",$P654&lt;&gt;'売掛帳'!$B$3,NOT(ISNUMBER($A654)),N($G654)+N($H654)+N($I654)=0),"",IF(AND($A654&gt;='売掛帳'!$Q$3,$A654&lt;='売掛帳'!$Q$4),$A654+0.5+ROW()/10000000,""))</f>
        <v/>
      </c>
      <c r="R654" s="32">
        <f>IF(AND(OR($A654&lt;&gt;"",$E654&lt;&gt;"",$F654&lt;&gt;"",$G654&lt;&gt;"",$H654&lt;&gt;"",$I654&lt;&gt;""),NOT(ISNUMBER($O654))),1,"")</f>
        <v/>
      </c>
    </row>
    <row r="655" ht="18" customHeight="1">
      <c r="A655" s="26" t="n"/>
      <c r="B655" s="18" t="n"/>
      <c r="C655" s="18" t="n"/>
      <c r="D655" s="20">
        <f>IF($P655="","",IFERROR(INDEX('得意先'!$C$5:$C$104,MATCH($P655,'得意先'!$B$5:$B$104,0))&amp;"","※得意先にないコード"))</f>
        <v/>
      </c>
      <c r="E655" s="27" t="n"/>
      <c r="F655" s="18" t="n"/>
      <c r="G655" s="27" t="n"/>
      <c r="H655" s="27" t="n"/>
      <c r="I655" s="27" t="n"/>
      <c r="J655" s="28">
        <f>IF(NOT(OR($A655&lt;&gt;"",$E655&lt;&gt;"",$F655&lt;&gt;"",$G655&lt;&gt;"",$H655&lt;&gt;"",$I655&lt;&gt;"")),"",N($G655)+N($H655)+N($I655))</f>
        <v/>
      </c>
      <c r="K655" s="28">
        <f>IF(ISNUMBER($O655),INDEX('請求台帳'!$R$5:$R$1004,$O655),"")</f>
        <v/>
      </c>
      <c r="L655" s="20">
        <f>IF(NOT(OR($A655&lt;&gt;"",$E655&lt;&gt;"",$F655&lt;&gt;"",$G655&lt;&gt;"",$H655&lt;&gt;"",$I655&lt;&gt;"")),"",IF(NOT(ISNUMBER($A655)),"入金日がありません",IF(AND($F655&lt;&gt;"",$O655="なし"),"請求Noが請求台帳にありません",IF(AND(ISNUMBER($O655),$C655&lt;&gt;"",$C655&lt;&gt;$P655),"請求の得意先は "&amp;$P655&amp;" です",IF(ROUND(IF($B655&lt;&gt;"",SUMIF($B$5:$B$1004,$B655,$E$5:$E$1004)-SUMIF($B$5:$B$1004,$B655,$G$5:$G$1004),N($E655)-N($G655)),0)&lt;&gt;0,"通帳の額と当てた額の差 "&amp;TEXT(IF($B655&lt;&gt;"",SUMIF($B$5:$B$1004,$B655,$E$5:$E$1004)-SUMIF($B$5:$B$1004,$B655,$G$5:$G$1004),N($E655)-N($G655)),"#,##0"),IF(AND(ISNUMBER($O655),N($K655)&lt;0),"請求額より多く消し込んでいます",IF($F655="","消込先が未定","OK")))))))</f>
        <v/>
      </c>
      <c r="M655" s="19" t="n"/>
      <c r="N655" s="56" t="n"/>
      <c r="O655" s="32">
        <f>IF($F655="","",IFERROR(MATCH($F655,'請求台帳'!$A$5:$A$1004,0),"なし"))</f>
        <v/>
      </c>
      <c r="P655" s="37">
        <f>IF(NOT(OR($A655&lt;&gt;"",$E655&lt;&gt;"",$F655&lt;&gt;"",$G655&lt;&gt;"",$H655&lt;&gt;"",$I655&lt;&gt;"")),"",IF(ISNUMBER($O655),IF(INDEX('請求台帳'!$C$5:$C$1004,$O655)="","",INDEX('請求台帳'!$C$5:$C$1004,$O655)),IF($C655="","",$C655)))</f>
        <v/>
      </c>
      <c r="Q655" s="35">
        <f>IF(OR(NOT(OR($A655&lt;&gt;"",$E655&lt;&gt;"",$F655&lt;&gt;"",$G655&lt;&gt;"",$H655&lt;&gt;"",$I655&lt;&gt;"")),$P655="",$P655&lt;&gt;'売掛帳'!$B$3,NOT(ISNUMBER($A655)),N($G655)+N($H655)+N($I655)=0),"",IF(AND($A655&gt;='売掛帳'!$Q$3,$A655&lt;='売掛帳'!$Q$4),$A655+0.5+ROW()/10000000,""))</f>
        <v/>
      </c>
      <c r="R655" s="32">
        <f>IF(AND(OR($A655&lt;&gt;"",$E655&lt;&gt;"",$F655&lt;&gt;"",$G655&lt;&gt;"",$H655&lt;&gt;"",$I655&lt;&gt;""),NOT(ISNUMBER($O655))),1,"")</f>
        <v/>
      </c>
    </row>
    <row r="656" ht="18" customHeight="1">
      <c r="A656" s="26" t="n"/>
      <c r="B656" s="18" t="n"/>
      <c r="C656" s="18" t="n"/>
      <c r="D656" s="20">
        <f>IF($P656="","",IFERROR(INDEX('得意先'!$C$5:$C$104,MATCH($P656,'得意先'!$B$5:$B$104,0))&amp;"","※得意先にないコード"))</f>
        <v/>
      </c>
      <c r="E656" s="27" t="n"/>
      <c r="F656" s="18" t="n"/>
      <c r="G656" s="27" t="n"/>
      <c r="H656" s="27" t="n"/>
      <c r="I656" s="27" t="n"/>
      <c r="J656" s="28">
        <f>IF(NOT(OR($A656&lt;&gt;"",$E656&lt;&gt;"",$F656&lt;&gt;"",$G656&lt;&gt;"",$H656&lt;&gt;"",$I656&lt;&gt;"")),"",N($G656)+N($H656)+N($I656))</f>
        <v/>
      </c>
      <c r="K656" s="28">
        <f>IF(ISNUMBER($O656),INDEX('請求台帳'!$R$5:$R$1004,$O656),"")</f>
        <v/>
      </c>
      <c r="L656" s="20">
        <f>IF(NOT(OR($A656&lt;&gt;"",$E656&lt;&gt;"",$F656&lt;&gt;"",$G656&lt;&gt;"",$H656&lt;&gt;"",$I656&lt;&gt;"")),"",IF(NOT(ISNUMBER($A656)),"入金日がありません",IF(AND($F656&lt;&gt;"",$O656="なし"),"請求Noが請求台帳にありません",IF(AND(ISNUMBER($O656),$C656&lt;&gt;"",$C656&lt;&gt;$P656),"請求の得意先は "&amp;$P656&amp;" です",IF(ROUND(IF($B656&lt;&gt;"",SUMIF($B$5:$B$1004,$B656,$E$5:$E$1004)-SUMIF($B$5:$B$1004,$B656,$G$5:$G$1004),N($E656)-N($G656)),0)&lt;&gt;0,"通帳の額と当てた額の差 "&amp;TEXT(IF($B656&lt;&gt;"",SUMIF($B$5:$B$1004,$B656,$E$5:$E$1004)-SUMIF($B$5:$B$1004,$B656,$G$5:$G$1004),N($E656)-N($G656)),"#,##0"),IF(AND(ISNUMBER($O656),N($K656)&lt;0),"請求額より多く消し込んでいます",IF($F656="","消込先が未定","OK")))))))</f>
        <v/>
      </c>
      <c r="M656" s="19" t="n"/>
      <c r="N656" s="56" t="n"/>
      <c r="O656" s="32">
        <f>IF($F656="","",IFERROR(MATCH($F656,'請求台帳'!$A$5:$A$1004,0),"なし"))</f>
        <v/>
      </c>
      <c r="P656" s="37">
        <f>IF(NOT(OR($A656&lt;&gt;"",$E656&lt;&gt;"",$F656&lt;&gt;"",$G656&lt;&gt;"",$H656&lt;&gt;"",$I656&lt;&gt;"")),"",IF(ISNUMBER($O656),IF(INDEX('請求台帳'!$C$5:$C$1004,$O656)="","",INDEX('請求台帳'!$C$5:$C$1004,$O656)),IF($C656="","",$C656)))</f>
        <v/>
      </c>
      <c r="Q656" s="35">
        <f>IF(OR(NOT(OR($A656&lt;&gt;"",$E656&lt;&gt;"",$F656&lt;&gt;"",$G656&lt;&gt;"",$H656&lt;&gt;"",$I656&lt;&gt;"")),$P656="",$P656&lt;&gt;'売掛帳'!$B$3,NOT(ISNUMBER($A656)),N($G656)+N($H656)+N($I656)=0),"",IF(AND($A656&gt;='売掛帳'!$Q$3,$A656&lt;='売掛帳'!$Q$4),$A656+0.5+ROW()/10000000,""))</f>
        <v/>
      </c>
      <c r="R656" s="32">
        <f>IF(AND(OR($A656&lt;&gt;"",$E656&lt;&gt;"",$F656&lt;&gt;"",$G656&lt;&gt;"",$H656&lt;&gt;"",$I656&lt;&gt;""),NOT(ISNUMBER($O656))),1,"")</f>
        <v/>
      </c>
    </row>
    <row r="657" ht="18" customHeight="1">
      <c r="A657" s="26" t="n"/>
      <c r="B657" s="18" t="n"/>
      <c r="C657" s="18" t="n"/>
      <c r="D657" s="20">
        <f>IF($P657="","",IFERROR(INDEX('得意先'!$C$5:$C$104,MATCH($P657,'得意先'!$B$5:$B$104,0))&amp;"","※得意先にないコード"))</f>
        <v/>
      </c>
      <c r="E657" s="27" t="n"/>
      <c r="F657" s="18" t="n"/>
      <c r="G657" s="27" t="n"/>
      <c r="H657" s="27" t="n"/>
      <c r="I657" s="27" t="n"/>
      <c r="J657" s="28">
        <f>IF(NOT(OR($A657&lt;&gt;"",$E657&lt;&gt;"",$F657&lt;&gt;"",$G657&lt;&gt;"",$H657&lt;&gt;"",$I657&lt;&gt;"")),"",N($G657)+N($H657)+N($I657))</f>
        <v/>
      </c>
      <c r="K657" s="28">
        <f>IF(ISNUMBER($O657),INDEX('請求台帳'!$R$5:$R$1004,$O657),"")</f>
        <v/>
      </c>
      <c r="L657" s="20">
        <f>IF(NOT(OR($A657&lt;&gt;"",$E657&lt;&gt;"",$F657&lt;&gt;"",$G657&lt;&gt;"",$H657&lt;&gt;"",$I657&lt;&gt;"")),"",IF(NOT(ISNUMBER($A657)),"入金日がありません",IF(AND($F657&lt;&gt;"",$O657="なし"),"請求Noが請求台帳にありません",IF(AND(ISNUMBER($O657),$C657&lt;&gt;"",$C657&lt;&gt;$P657),"請求の得意先は "&amp;$P657&amp;" です",IF(ROUND(IF($B657&lt;&gt;"",SUMIF($B$5:$B$1004,$B657,$E$5:$E$1004)-SUMIF($B$5:$B$1004,$B657,$G$5:$G$1004),N($E657)-N($G657)),0)&lt;&gt;0,"通帳の額と当てた額の差 "&amp;TEXT(IF($B657&lt;&gt;"",SUMIF($B$5:$B$1004,$B657,$E$5:$E$1004)-SUMIF($B$5:$B$1004,$B657,$G$5:$G$1004),N($E657)-N($G657)),"#,##0"),IF(AND(ISNUMBER($O657),N($K657)&lt;0),"請求額より多く消し込んでいます",IF($F657="","消込先が未定","OK")))))))</f>
        <v/>
      </c>
      <c r="M657" s="19" t="n"/>
      <c r="N657" s="56" t="n"/>
      <c r="O657" s="32">
        <f>IF($F657="","",IFERROR(MATCH($F657,'請求台帳'!$A$5:$A$1004,0),"なし"))</f>
        <v/>
      </c>
      <c r="P657" s="37">
        <f>IF(NOT(OR($A657&lt;&gt;"",$E657&lt;&gt;"",$F657&lt;&gt;"",$G657&lt;&gt;"",$H657&lt;&gt;"",$I657&lt;&gt;"")),"",IF(ISNUMBER($O657),IF(INDEX('請求台帳'!$C$5:$C$1004,$O657)="","",INDEX('請求台帳'!$C$5:$C$1004,$O657)),IF($C657="","",$C657)))</f>
        <v/>
      </c>
      <c r="Q657" s="35">
        <f>IF(OR(NOT(OR($A657&lt;&gt;"",$E657&lt;&gt;"",$F657&lt;&gt;"",$G657&lt;&gt;"",$H657&lt;&gt;"",$I657&lt;&gt;"")),$P657="",$P657&lt;&gt;'売掛帳'!$B$3,NOT(ISNUMBER($A657)),N($G657)+N($H657)+N($I657)=0),"",IF(AND($A657&gt;='売掛帳'!$Q$3,$A657&lt;='売掛帳'!$Q$4),$A657+0.5+ROW()/10000000,""))</f>
        <v/>
      </c>
      <c r="R657" s="32">
        <f>IF(AND(OR($A657&lt;&gt;"",$E657&lt;&gt;"",$F657&lt;&gt;"",$G657&lt;&gt;"",$H657&lt;&gt;"",$I657&lt;&gt;""),NOT(ISNUMBER($O657))),1,"")</f>
        <v/>
      </c>
    </row>
    <row r="658" ht="18" customHeight="1">
      <c r="A658" s="26" t="n"/>
      <c r="B658" s="18" t="n"/>
      <c r="C658" s="18" t="n"/>
      <c r="D658" s="20">
        <f>IF($P658="","",IFERROR(INDEX('得意先'!$C$5:$C$104,MATCH($P658,'得意先'!$B$5:$B$104,0))&amp;"","※得意先にないコード"))</f>
        <v/>
      </c>
      <c r="E658" s="27" t="n"/>
      <c r="F658" s="18" t="n"/>
      <c r="G658" s="27" t="n"/>
      <c r="H658" s="27" t="n"/>
      <c r="I658" s="27" t="n"/>
      <c r="J658" s="28">
        <f>IF(NOT(OR($A658&lt;&gt;"",$E658&lt;&gt;"",$F658&lt;&gt;"",$G658&lt;&gt;"",$H658&lt;&gt;"",$I658&lt;&gt;"")),"",N($G658)+N($H658)+N($I658))</f>
        <v/>
      </c>
      <c r="K658" s="28">
        <f>IF(ISNUMBER($O658),INDEX('請求台帳'!$R$5:$R$1004,$O658),"")</f>
        <v/>
      </c>
      <c r="L658" s="20">
        <f>IF(NOT(OR($A658&lt;&gt;"",$E658&lt;&gt;"",$F658&lt;&gt;"",$G658&lt;&gt;"",$H658&lt;&gt;"",$I658&lt;&gt;"")),"",IF(NOT(ISNUMBER($A658)),"入金日がありません",IF(AND($F658&lt;&gt;"",$O658="なし"),"請求Noが請求台帳にありません",IF(AND(ISNUMBER($O658),$C658&lt;&gt;"",$C658&lt;&gt;$P658),"請求の得意先は "&amp;$P658&amp;" です",IF(ROUND(IF($B658&lt;&gt;"",SUMIF($B$5:$B$1004,$B658,$E$5:$E$1004)-SUMIF($B$5:$B$1004,$B658,$G$5:$G$1004),N($E658)-N($G658)),0)&lt;&gt;0,"通帳の額と当てた額の差 "&amp;TEXT(IF($B658&lt;&gt;"",SUMIF($B$5:$B$1004,$B658,$E$5:$E$1004)-SUMIF($B$5:$B$1004,$B658,$G$5:$G$1004),N($E658)-N($G658)),"#,##0"),IF(AND(ISNUMBER($O658),N($K658)&lt;0),"請求額より多く消し込んでいます",IF($F658="","消込先が未定","OK")))))))</f>
        <v/>
      </c>
      <c r="M658" s="19" t="n"/>
      <c r="N658" s="56" t="n"/>
      <c r="O658" s="32">
        <f>IF($F658="","",IFERROR(MATCH($F658,'請求台帳'!$A$5:$A$1004,0),"なし"))</f>
        <v/>
      </c>
      <c r="P658" s="37">
        <f>IF(NOT(OR($A658&lt;&gt;"",$E658&lt;&gt;"",$F658&lt;&gt;"",$G658&lt;&gt;"",$H658&lt;&gt;"",$I658&lt;&gt;"")),"",IF(ISNUMBER($O658),IF(INDEX('請求台帳'!$C$5:$C$1004,$O658)="","",INDEX('請求台帳'!$C$5:$C$1004,$O658)),IF($C658="","",$C658)))</f>
        <v/>
      </c>
      <c r="Q658" s="35">
        <f>IF(OR(NOT(OR($A658&lt;&gt;"",$E658&lt;&gt;"",$F658&lt;&gt;"",$G658&lt;&gt;"",$H658&lt;&gt;"",$I658&lt;&gt;"")),$P658="",$P658&lt;&gt;'売掛帳'!$B$3,NOT(ISNUMBER($A658)),N($G658)+N($H658)+N($I658)=0),"",IF(AND($A658&gt;='売掛帳'!$Q$3,$A658&lt;='売掛帳'!$Q$4),$A658+0.5+ROW()/10000000,""))</f>
        <v/>
      </c>
      <c r="R658" s="32">
        <f>IF(AND(OR($A658&lt;&gt;"",$E658&lt;&gt;"",$F658&lt;&gt;"",$G658&lt;&gt;"",$H658&lt;&gt;"",$I658&lt;&gt;""),NOT(ISNUMBER($O658))),1,"")</f>
        <v/>
      </c>
    </row>
    <row r="659" ht="18" customHeight="1">
      <c r="A659" s="26" t="n"/>
      <c r="B659" s="18" t="n"/>
      <c r="C659" s="18" t="n"/>
      <c r="D659" s="20">
        <f>IF($P659="","",IFERROR(INDEX('得意先'!$C$5:$C$104,MATCH($P659,'得意先'!$B$5:$B$104,0))&amp;"","※得意先にないコード"))</f>
        <v/>
      </c>
      <c r="E659" s="27" t="n"/>
      <c r="F659" s="18" t="n"/>
      <c r="G659" s="27" t="n"/>
      <c r="H659" s="27" t="n"/>
      <c r="I659" s="27" t="n"/>
      <c r="J659" s="28">
        <f>IF(NOT(OR($A659&lt;&gt;"",$E659&lt;&gt;"",$F659&lt;&gt;"",$G659&lt;&gt;"",$H659&lt;&gt;"",$I659&lt;&gt;"")),"",N($G659)+N($H659)+N($I659))</f>
        <v/>
      </c>
      <c r="K659" s="28">
        <f>IF(ISNUMBER($O659),INDEX('請求台帳'!$R$5:$R$1004,$O659),"")</f>
        <v/>
      </c>
      <c r="L659" s="20">
        <f>IF(NOT(OR($A659&lt;&gt;"",$E659&lt;&gt;"",$F659&lt;&gt;"",$G659&lt;&gt;"",$H659&lt;&gt;"",$I659&lt;&gt;"")),"",IF(NOT(ISNUMBER($A659)),"入金日がありません",IF(AND($F659&lt;&gt;"",$O659="なし"),"請求Noが請求台帳にありません",IF(AND(ISNUMBER($O659),$C659&lt;&gt;"",$C659&lt;&gt;$P659),"請求の得意先は "&amp;$P659&amp;" です",IF(ROUND(IF($B659&lt;&gt;"",SUMIF($B$5:$B$1004,$B659,$E$5:$E$1004)-SUMIF($B$5:$B$1004,$B659,$G$5:$G$1004),N($E659)-N($G659)),0)&lt;&gt;0,"通帳の額と当てた額の差 "&amp;TEXT(IF($B659&lt;&gt;"",SUMIF($B$5:$B$1004,$B659,$E$5:$E$1004)-SUMIF($B$5:$B$1004,$B659,$G$5:$G$1004),N($E659)-N($G659)),"#,##0"),IF(AND(ISNUMBER($O659),N($K659)&lt;0),"請求額より多く消し込んでいます",IF($F659="","消込先が未定","OK")))))))</f>
        <v/>
      </c>
      <c r="M659" s="19" t="n"/>
      <c r="N659" s="56" t="n"/>
      <c r="O659" s="32">
        <f>IF($F659="","",IFERROR(MATCH($F659,'請求台帳'!$A$5:$A$1004,0),"なし"))</f>
        <v/>
      </c>
      <c r="P659" s="37">
        <f>IF(NOT(OR($A659&lt;&gt;"",$E659&lt;&gt;"",$F659&lt;&gt;"",$G659&lt;&gt;"",$H659&lt;&gt;"",$I659&lt;&gt;"")),"",IF(ISNUMBER($O659),IF(INDEX('請求台帳'!$C$5:$C$1004,$O659)="","",INDEX('請求台帳'!$C$5:$C$1004,$O659)),IF($C659="","",$C659)))</f>
        <v/>
      </c>
      <c r="Q659" s="35">
        <f>IF(OR(NOT(OR($A659&lt;&gt;"",$E659&lt;&gt;"",$F659&lt;&gt;"",$G659&lt;&gt;"",$H659&lt;&gt;"",$I659&lt;&gt;"")),$P659="",$P659&lt;&gt;'売掛帳'!$B$3,NOT(ISNUMBER($A659)),N($G659)+N($H659)+N($I659)=0),"",IF(AND($A659&gt;='売掛帳'!$Q$3,$A659&lt;='売掛帳'!$Q$4),$A659+0.5+ROW()/10000000,""))</f>
        <v/>
      </c>
      <c r="R659" s="32">
        <f>IF(AND(OR($A659&lt;&gt;"",$E659&lt;&gt;"",$F659&lt;&gt;"",$G659&lt;&gt;"",$H659&lt;&gt;"",$I659&lt;&gt;""),NOT(ISNUMBER($O659))),1,"")</f>
        <v/>
      </c>
    </row>
    <row r="660" ht="18" customHeight="1">
      <c r="A660" s="26" t="n"/>
      <c r="B660" s="18" t="n"/>
      <c r="C660" s="18" t="n"/>
      <c r="D660" s="20">
        <f>IF($P660="","",IFERROR(INDEX('得意先'!$C$5:$C$104,MATCH($P660,'得意先'!$B$5:$B$104,0))&amp;"","※得意先にないコード"))</f>
        <v/>
      </c>
      <c r="E660" s="27" t="n"/>
      <c r="F660" s="18" t="n"/>
      <c r="G660" s="27" t="n"/>
      <c r="H660" s="27" t="n"/>
      <c r="I660" s="27" t="n"/>
      <c r="J660" s="28">
        <f>IF(NOT(OR($A660&lt;&gt;"",$E660&lt;&gt;"",$F660&lt;&gt;"",$G660&lt;&gt;"",$H660&lt;&gt;"",$I660&lt;&gt;"")),"",N($G660)+N($H660)+N($I660))</f>
        <v/>
      </c>
      <c r="K660" s="28">
        <f>IF(ISNUMBER($O660),INDEX('請求台帳'!$R$5:$R$1004,$O660),"")</f>
        <v/>
      </c>
      <c r="L660" s="20">
        <f>IF(NOT(OR($A660&lt;&gt;"",$E660&lt;&gt;"",$F660&lt;&gt;"",$G660&lt;&gt;"",$H660&lt;&gt;"",$I660&lt;&gt;"")),"",IF(NOT(ISNUMBER($A660)),"入金日がありません",IF(AND($F660&lt;&gt;"",$O660="なし"),"請求Noが請求台帳にありません",IF(AND(ISNUMBER($O660),$C660&lt;&gt;"",$C660&lt;&gt;$P660),"請求の得意先は "&amp;$P660&amp;" です",IF(ROUND(IF($B660&lt;&gt;"",SUMIF($B$5:$B$1004,$B660,$E$5:$E$1004)-SUMIF($B$5:$B$1004,$B660,$G$5:$G$1004),N($E660)-N($G660)),0)&lt;&gt;0,"通帳の額と当てた額の差 "&amp;TEXT(IF($B660&lt;&gt;"",SUMIF($B$5:$B$1004,$B660,$E$5:$E$1004)-SUMIF($B$5:$B$1004,$B660,$G$5:$G$1004),N($E660)-N($G660)),"#,##0"),IF(AND(ISNUMBER($O660),N($K660)&lt;0),"請求額より多く消し込んでいます",IF($F660="","消込先が未定","OK")))))))</f>
        <v/>
      </c>
      <c r="M660" s="19" t="n"/>
      <c r="N660" s="56" t="n"/>
      <c r="O660" s="32">
        <f>IF($F660="","",IFERROR(MATCH($F660,'請求台帳'!$A$5:$A$1004,0),"なし"))</f>
        <v/>
      </c>
      <c r="P660" s="37">
        <f>IF(NOT(OR($A660&lt;&gt;"",$E660&lt;&gt;"",$F660&lt;&gt;"",$G660&lt;&gt;"",$H660&lt;&gt;"",$I660&lt;&gt;"")),"",IF(ISNUMBER($O660),IF(INDEX('請求台帳'!$C$5:$C$1004,$O660)="","",INDEX('請求台帳'!$C$5:$C$1004,$O660)),IF($C660="","",$C660)))</f>
        <v/>
      </c>
      <c r="Q660" s="35">
        <f>IF(OR(NOT(OR($A660&lt;&gt;"",$E660&lt;&gt;"",$F660&lt;&gt;"",$G660&lt;&gt;"",$H660&lt;&gt;"",$I660&lt;&gt;"")),$P660="",$P660&lt;&gt;'売掛帳'!$B$3,NOT(ISNUMBER($A660)),N($G660)+N($H660)+N($I660)=0),"",IF(AND($A660&gt;='売掛帳'!$Q$3,$A660&lt;='売掛帳'!$Q$4),$A660+0.5+ROW()/10000000,""))</f>
        <v/>
      </c>
      <c r="R660" s="32">
        <f>IF(AND(OR($A660&lt;&gt;"",$E660&lt;&gt;"",$F660&lt;&gt;"",$G660&lt;&gt;"",$H660&lt;&gt;"",$I660&lt;&gt;""),NOT(ISNUMBER($O660))),1,"")</f>
        <v/>
      </c>
    </row>
    <row r="661" ht="18" customHeight="1">
      <c r="A661" s="26" t="n"/>
      <c r="B661" s="18" t="n"/>
      <c r="C661" s="18" t="n"/>
      <c r="D661" s="20">
        <f>IF($P661="","",IFERROR(INDEX('得意先'!$C$5:$C$104,MATCH($P661,'得意先'!$B$5:$B$104,0))&amp;"","※得意先にないコード"))</f>
        <v/>
      </c>
      <c r="E661" s="27" t="n"/>
      <c r="F661" s="18" t="n"/>
      <c r="G661" s="27" t="n"/>
      <c r="H661" s="27" t="n"/>
      <c r="I661" s="27" t="n"/>
      <c r="J661" s="28">
        <f>IF(NOT(OR($A661&lt;&gt;"",$E661&lt;&gt;"",$F661&lt;&gt;"",$G661&lt;&gt;"",$H661&lt;&gt;"",$I661&lt;&gt;"")),"",N($G661)+N($H661)+N($I661))</f>
        <v/>
      </c>
      <c r="K661" s="28">
        <f>IF(ISNUMBER($O661),INDEX('請求台帳'!$R$5:$R$1004,$O661),"")</f>
        <v/>
      </c>
      <c r="L661" s="20">
        <f>IF(NOT(OR($A661&lt;&gt;"",$E661&lt;&gt;"",$F661&lt;&gt;"",$G661&lt;&gt;"",$H661&lt;&gt;"",$I661&lt;&gt;"")),"",IF(NOT(ISNUMBER($A661)),"入金日がありません",IF(AND($F661&lt;&gt;"",$O661="なし"),"請求Noが請求台帳にありません",IF(AND(ISNUMBER($O661),$C661&lt;&gt;"",$C661&lt;&gt;$P661),"請求の得意先は "&amp;$P661&amp;" です",IF(ROUND(IF($B661&lt;&gt;"",SUMIF($B$5:$B$1004,$B661,$E$5:$E$1004)-SUMIF($B$5:$B$1004,$B661,$G$5:$G$1004),N($E661)-N($G661)),0)&lt;&gt;0,"通帳の額と当てた額の差 "&amp;TEXT(IF($B661&lt;&gt;"",SUMIF($B$5:$B$1004,$B661,$E$5:$E$1004)-SUMIF($B$5:$B$1004,$B661,$G$5:$G$1004),N($E661)-N($G661)),"#,##0"),IF(AND(ISNUMBER($O661),N($K661)&lt;0),"請求額より多く消し込んでいます",IF($F661="","消込先が未定","OK")))))))</f>
        <v/>
      </c>
      <c r="M661" s="19" t="n"/>
      <c r="N661" s="56" t="n"/>
      <c r="O661" s="32">
        <f>IF($F661="","",IFERROR(MATCH($F661,'請求台帳'!$A$5:$A$1004,0),"なし"))</f>
        <v/>
      </c>
      <c r="P661" s="37">
        <f>IF(NOT(OR($A661&lt;&gt;"",$E661&lt;&gt;"",$F661&lt;&gt;"",$G661&lt;&gt;"",$H661&lt;&gt;"",$I661&lt;&gt;"")),"",IF(ISNUMBER($O661),IF(INDEX('請求台帳'!$C$5:$C$1004,$O661)="","",INDEX('請求台帳'!$C$5:$C$1004,$O661)),IF($C661="","",$C661)))</f>
        <v/>
      </c>
      <c r="Q661" s="35">
        <f>IF(OR(NOT(OR($A661&lt;&gt;"",$E661&lt;&gt;"",$F661&lt;&gt;"",$G661&lt;&gt;"",$H661&lt;&gt;"",$I661&lt;&gt;"")),$P661="",$P661&lt;&gt;'売掛帳'!$B$3,NOT(ISNUMBER($A661)),N($G661)+N($H661)+N($I661)=0),"",IF(AND($A661&gt;='売掛帳'!$Q$3,$A661&lt;='売掛帳'!$Q$4),$A661+0.5+ROW()/10000000,""))</f>
        <v/>
      </c>
      <c r="R661" s="32">
        <f>IF(AND(OR($A661&lt;&gt;"",$E661&lt;&gt;"",$F661&lt;&gt;"",$G661&lt;&gt;"",$H661&lt;&gt;"",$I661&lt;&gt;""),NOT(ISNUMBER($O661))),1,"")</f>
        <v/>
      </c>
    </row>
    <row r="662" ht="18" customHeight="1">
      <c r="A662" s="26" t="n"/>
      <c r="B662" s="18" t="n"/>
      <c r="C662" s="18" t="n"/>
      <c r="D662" s="20">
        <f>IF($P662="","",IFERROR(INDEX('得意先'!$C$5:$C$104,MATCH($P662,'得意先'!$B$5:$B$104,0))&amp;"","※得意先にないコード"))</f>
        <v/>
      </c>
      <c r="E662" s="27" t="n"/>
      <c r="F662" s="18" t="n"/>
      <c r="G662" s="27" t="n"/>
      <c r="H662" s="27" t="n"/>
      <c r="I662" s="27" t="n"/>
      <c r="J662" s="28">
        <f>IF(NOT(OR($A662&lt;&gt;"",$E662&lt;&gt;"",$F662&lt;&gt;"",$G662&lt;&gt;"",$H662&lt;&gt;"",$I662&lt;&gt;"")),"",N($G662)+N($H662)+N($I662))</f>
        <v/>
      </c>
      <c r="K662" s="28">
        <f>IF(ISNUMBER($O662),INDEX('請求台帳'!$R$5:$R$1004,$O662),"")</f>
        <v/>
      </c>
      <c r="L662" s="20">
        <f>IF(NOT(OR($A662&lt;&gt;"",$E662&lt;&gt;"",$F662&lt;&gt;"",$G662&lt;&gt;"",$H662&lt;&gt;"",$I662&lt;&gt;"")),"",IF(NOT(ISNUMBER($A662)),"入金日がありません",IF(AND($F662&lt;&gt;"",$O662="なし"),"請求Noが請求台帳にありません",IF(AND(ISNUMBER($O662),$C662&lt;&gt;"",$C662&lt;&gt;$P662),"請求の得意先は "&amp;$P662&amp;" です",IF(ROUND(IF($B662&lt;&gt;"",SUMIF($B$5:$B$1004,$B662,$E$5:$E$1004)-SUMIF($B$5:$B$1004,$B662,$G$5:$G$1004),N($E662)-N($G662)),0)&lt;&gt;0,"通帳の額と当てた額の差 "&amp;TEXT(IF($B662&lt;&gt;"",SUMIF($B$5:$B$1004,$B662,$E$5:$E$1004)-SUMIF($B$5:$B$1004,$B662,$G$5:$G$1004),N($E662)-N($G662)),"#,##0"),IF(AND(ISNUMBER($O662),N($K662)&lt;0),"請求額より多く消し込んでいます",IF($F662="","消込先が未定","OK")))))))</f>
        <v/>
      </c>
      <c r="M662" s="19" t="n"/>
      <c r="N662" s="56" t="n"/>
      <c r="O662" s="32">
        <f>IF($F662="","",IFERROR(MATCH($F662,'請求台帳'!$A$5:$A$1004,0),"なし"))</f>
        <v/>
      </c>
      <c r="P662" s="37">
        <f>IF(NOT(OR($A662&lt;&gt;"",$E662&lt;&gt;"",$F662&lt;&gt;"",$G662&lt;&gt;"",$H662&lt;&gt;"",$I662&lt;&gt;"")),"",IF(ISNUMBER($O662),IF(INDEX('請求台帳'!$C$5:$C$1004,$O662)="","",INDEX('請求台帳'!$C$5:$C$1004,$O662)),IF($C662="","",$C662)))</f>
        <v/>
      </c>
      <c r="Q662" s="35">
        <f>IF(OR(NOT(OR($A662&lt;&gt;"",$E662&lt;&gt;"",$F662&lt;&gt;"",$G662&lt;&gt;"",$H662&lt;&gt;"",$I662&lt;&gt;"")),$P662="",$P662&lt;&gt;'売掛帳'!$B$3,NOT(ISNUMBER($A662)),N($G662)+N($H662)+N($I662)=0),"",IF(AND($A662&gt;='売掛帳'!$Q$3,$A662&lt;='売掛帳'!$Q$4),$A662+0.5+ROW()/10000000,""))</f>
        <v/>
      </c>
      <c r="R662" s="32">
        <f>IF(AND(OR($A662&lt;&gt;"",$E662&lt;&gt;"",$F662&lt;&gt;"",$G662&lt;&gt;"",$H662&lt;&gt;"",$I662&lt;&gt;""),NOT(ISNUMBER($O662))),1,"")</f>
        <v/>
      </c>
    </row>
    <row r="663" ht="18" customHeight="1">
      <c r="A663" s="26" t="n"/>
      <c r="B663" s="18" t="n"/>
      <c r="C663" s="18" t="n"/>
      <c r="D663" s="20">
        <f>IF($P663="","",IFERROR(INDEX('得意先'!$C$5:$C$104,MATCH($P663,'得意先'!$B$5:$B$104,0))&amp;"","※得意先にないコード"))</f>
        <v/>
      </c>
      <c r="E663" s="27" t="n"/>
      <c r="F663" s="18" t="n"/>
      <c r="G663" s="27" t="n"/>
      <c r="H663" s="27" t="n"/>
      <c r="I663" s="27" t="n"/>
      <c r="J663" s="28">
        <f>IF(NOT(OR($A663&lt;&gt;"",$E663&lt;&gt;"",$F663&lt;&gt;"",$G663&lt;&gt;"",$H663&lt;&gt;"",$I663&lt;&gt;"")),"",N($G663)+N($H663)+N($I663))</f>
        <v/>
      </c>
      <c r="K663" s="28">
        <f>IF(ISNUMBER($O663),INDEX('請求台帳'!$R$5:$R$1004,$O663),"")</f>
        <v/>
      </c>
      <c r="L663" s="20">
        <f>IF(NOT(OR($A663&lt;&gt;"",$E663&lt;&gt;"",$F663&lt;&gt;"",$G663&lt;&gt;"",$H663&lt;&gt;"",$I663&lt;&gt;"")),"",IF(NOT(ISNUMBER($A663)),"入金日がありません",IF(AND($F663&lt;&gt;"",$O663="なし"),"請求Noが請求台帳にありません",IF(AND(ISNUMBER($O663),$C663&lt;&gt;"",$C663&lt;&gt;$P663),"請求の得意先は "&amp;$P663&amp;" です",IF(ROUND(IF($B663&lt;&gt;"",SUMIF($B$5:$B$1004,$B663,$E$5:$E$1004)-SUMIF($B$5:$B$1004,$B663,$G$5:$G$1004),N($E663)-N($G663)),0)&lt;&gt;0,"通帳の額と当てた額の差 "&amp;TEXT(IF($B663&lt;&gt;"",SUMIF($B$5:$B$1004,$B663,$E$5:$E$1004)-SUMIF($B$5:$B$1004,$B663,$G$5:$G$1004),N($E663)-N($G663)),"#,##0"),IF(AND(ISNUMBER($O663),N($K663)&lt;0),"請求額より多く消し込んでいます",IF($F663="","消込先が未定","OK")))))))</f>
        <v/>
      </c>
      <c r="M663" s="19" t="n"/>
      <c r="N663" s="56" t="n"/>
      <c r="O663" s="32">
        <f>IF($F663="","",IFERROR(MATCH($F663,'請求台帳'!$A$5:$A$1004,0),"なし"))</f>
        <v/>
      </c>
      <c r="P663" s="37">
        <f>IF(NOT(OR($A663&lt;&gt;"",$E663&lt;&gt;"",$F663&lt;&gt;"",$G663&lt;&gt;"",$H663&lt;&gt;"",$I663&lt;&gt;"")),"",IF(ISNUMBER($O663),IF(INDEX('請求台帳'!$C$5:$C$1004,$O663)="","",INDEX('請求台帳'!$C$5:$C$1004,$O663)),IF($C663="","",$C663)))</f>
        <v/>
      </c>
      <c r="Q663" s="35">
        <f>IF(OR(NOT(OR($A663&lt;&gt;"",$E663&lt;&gt;"",$F663&lt;&gt;"",$G663&lt;&gt;"",$H663&lt;&gt;"",$I663&lt;&gt;"")),$P663="",$P663&lt;&gt;'売掛帳'!$B$3,NOT(ISNUMBER($A663)),N($G663)+N($H663)+N($I663)=0),"",IF(AND($A663&gt;='売掛帳'!$Q$3,$A663&lt;='売掛帳'!$Q$4),$A663+0.5+ROW()/10000000,""))</f>
        <v/>
      </c>
      <c r="R663" s="32">
        <f>IF(AND(OR($A663&lt;&gt;"",$E663&lt;&gt;"",$F663&lt;&gt;"",$G663&lt;&gt;"",$H663&lt;&gt;"",$I663&lt;&gt;""),NOT(ISNUMBER($O663))),1,"")</f>
        <v/>
      </c>
    </row>
    <row r="664" ht="18" customHeight="1">
      <c r="A664" s="26" t="n"/>
      <c r="B664" s="18" t="n"/>
      <c r="C664" s="18" t="n"/>
      <c r="D664" s="20">
        <f>IF($P664="","",IFERROR(INDEX('得意先'!$C$5:$C$104,MATCH($P664,'得意先'!$B$5:$B$104,0))&amp;"","※得意先にないコード"))</f>
        <v/>
      </c>
      <c r="E664" s="27" t="n"/>
      <c r="F664" s="18" t="n"/>
      <c r="G664" s="27" t="n"/>
      <c r="H664" s="27" t="n"/>
      <c r="I664" s="27" t="n"/>
      <c r="J664" s="28">
        <f>IF(NOT(OR($A664&lt;&gt;"",$E664&lt;&gt;"",$F664&lt;&gt;"",$G664&lt;&gt;"",$H664&lt;&gt;"",$I664&lt;&gt;"")),"",N($G664)+N($H664)+N($I664))</f>
        <v/>
      </c>
      <c r="K664" s="28">
        <f>IF(ISNUMBER($O664),INDEX('請求台帳'!$R$5:$R$1004,$O664),"")</f>
        <v/>
      </c>
      <c r="L664" s="20">
        <f>IF(NOT(OR($A664&lt;&gt;"",$E664&lt;&gt;"",$F664&lt;&gt;"",$G664&lt;&gt;"",$H664&lt;&gt;"",$I664&lt;&gt;"")),"",IF(NOT(ISNUMBER($A664)),"入金日がありません",IF(AND($F664&lt;&gt;"",$O664="なし"),"請求Noが請求台帳にありません",IF(AND(ISNUMBER($O664),$C664&lt;&gt;"",$C664&lt;&gt;$P664),"請求の得意先は "&amp;$P664&amp;" です",IF(ROUND(IF($B664&lt;&gt;"",SUMIF($B$5:$B$1004,$B664,$E$5:$E$1004)-SUMIF($B$5:$B$1004,$B664,$G$5:$G$1004),N($E664)-N($G664)),0)&lt;&gt;0,"通帳の額と当てた額の差 "&amp;TEXT(IF($B664&lt;&gt;"",SUMIF($B$5:$B$1004,$B664,$E$5:$E$1004)-SUMIF($B$5:$B$1004,$B664,$G$5:$G$1004),N($E664)-N($G664)),"#,##0"),IF(AND(ISNUMBER($O664),N($K664)&lt;0),"請求額より多く消し込んでいます",IF($F664="","消込先が未定","OK")))))))</f>
        <v/>
      </c>
      <c r="M664" s="19" t="n"/>
      <c r="N664" s="56" t="n"/>
      <c r="O664" s="32">
        <f>IF($F664="","",IFERROR(MATCH($F664,'請求台帳'!$A$5:$A$1004,0),"なし"))</f>
        <v/>
      </c>
      <c r="P664" s="37">
        <f>IF(NOT(OR($A664&lt;&gt;"",$E664&lt;&gt;"",$F664&lt;&gt;"",$G664&lt;&gt;"",$H664&lt;&gt;"",$I664&lt;&gt;"")),"",IF(ISNUMBER($O664),IF(INDEX('請求台帳'!$C$5:$C$1004,$O664)="","",INDEX('請求台帳'!$C$5:$C$1004,$O664)),IF($C664="","",$C664)))</f>
        <v/>
      </c>
      <c r="Q664" s="35">
        <f>IF(OR(NOT(OR($A664&lt;&gt;"",$E664&lt;&gt;"",$F664&lt;&gt;"",$G664&lt;&gt;"",$H664&lt;&gt;"",$I664&lt;&gt;"")),$P664="",$P664&lt;&gt;'売掛帳'!$B$3,NOT(ISNUMBER($A664)),N($G664)+N($H664)+N($I664)=0),"",IF(AND($A664&gt;='売掛帳'!$Q$3,$A664&lt;='売掛帳'!$Q$4),$A664+0.5+ROW()/10000000,""))</f>
        <v/>
      </c>
      <c r="R664" s="32">
        <f>IF(AND(OR($A664&lt;&gt;"",$E664&lt;&gt;"",$F664&lt;&gt;"",$G664&lt;&gt;"",$H664&lt;&gt;"",$I664&lt;&gt;""),NOT(ISNUMBER($O664))),1,"")</f>
        <v/>
      </c>
    </row>
    <row r="665" ht="18" customHeight="1">
      <c r="A665" s="26" t="n"/>
      <c r="B665" s="18" t="n"/>
      <c r="C665" s="18" t="n"/>
      <c r="D665" s="20">
        <f>IF($P665="","",IFERROR(INDEX('得意先'!$C$5:$C$104,MATCH($P665,'得意先'!$B$5:$B$104,0))&amp;"","※得意先にないコード"))</f>
        <v/>
      </c>
      <c r="E665" s="27" t="n"/>
      <c r="F665" s="18" t="n"/>
      <c r="G665" s="27" t="n"/>
      <c r="H665" s="27" t="n"/>
      <c r="I665" s="27" t="n"/>
      <c r="J665" s="28">
        <f>IF(NOT(OR($A665&lt;&gt;"",$E665&lt;&gt;"",$F665&lt;&gt;"",$G665&lt;&gt;"",$H665&lt;&gt;"",$I665&lt;&gt;"")),"",N($G665)+N($H665)+N($I665))</f>
        <v/>
      </c>
      <c r="K665" s="28">
        <f>IF(ISNUMBER($O665),INDEX('請求台帳'!$R$5:$R$1004,$O665),"")</f>
        <v/>
      </c>
      <c r="L665" s="20">
        <f>IF(NOT(OR($A665&lt;&gt;"",$E665&lt;&gt;"",$F665&lt;&gt;"",$G665&lt;&gt;"",$H665&lt;&gt;"",$I665&lt;&gt;"")),"",IF(NOT(ISNUMBER($A665)),"入金日がありません",IF(AND($F665&lt;&gt;"",$O665="なし"),"請求Noが請求台帳にありません",IF(AND(ISNUMBER($O665),$C665&lt;&gt;"",$C665&lt;&gt;$P665),"請求の得意先は "&amp;$P665&amp;" です",IF(ROUND(IF($B665&lt;&gt;"",SUMIF($B$5:$B$1004,$B665,$E$5:$E$1004)-SUMIF($B$5:$B$1004,$B665,$G$5:$G$1004),N($E665)-N($G665)),0)&lt;&gt;0,"通帳の額と当てた額の差 "&amp;TEXT(IF($B665&lt;&gt;"",SUMIF($B$5:$B$1004,$B665,$E$5:$E$1004)-SUMIF($B$5:$B$1004,$B665,$G$5:$G$1004),N($E665)-N($G665)),"#,##0"),IF(AND(ISNUMBER($O665),N($K665)&lt;0),"請求額より多く消し込んでいます",IF($F665="","消込先が未定","OK")))))))</f>
        <v/>
      </c>
      <c r="M665" s="19" t="n"/>
      <c r="N665" s="56" t="n"/>
      <c r="O665" s="32">
        <f>IF($F665="","",IFERROR(MATCH($F665,'請求台帳'!$A$5:$A$1004,0),"なし"))</f>
        <v/>
      </c>
      <c r="P665" s="37">
        <f>IF(NOT(OR($A665&lt;&gt;"",$E665&lt;&gt;"",$F665&lt;&gt;"",$G665&lt;&gt;"",$H665&lt;&gt;"",$I665&lt;&gt;"")),"",IF(ISNUMBER($O665),IF(INDEX('請求台帳'!$C$5:$C$1004,$O665)="","",INDEX('請求台帳'!$C$5:$C$1004,$O665)),IF($C665="","",$C665)))</f>
        <v/>
      </c>
      <c r="Q665" s="35">
        <f>IF(OR(NOT(OR($A665&lt;&gt;"",$E665&lt;&gt;"",$F665&lt;&gt;"",$G665&lt;&gt;"",$H665&lt;&gt;"",$I665&lt;&gt;"")),$P665="",$P665&lt;&gt;'売掛帳'!$B$3,NOT(ISNUMBER($A665)),N($G665)+N($H665)+N($I665)=0),"",IF(AND($A665&gt;='売掛帳'!$Q$3,$A665&lt;='売掛帳'!$Q$4),$A665+0.5+ROW()/10000000,""))</f>
        <v/>
      </c>
      <c r="R665" s="32">
        <f>IF(AND(OR($A665&lt;&gt;"",$E665&lt;&gt;"",$F665&lt;&gt;"",$G665&lt;&gt;"",$H665&lt;&gt;"",$I665&lt;&gt;""),NOT(ISNUMBER($O665))),1,"")</f>
        <v/>
      </c>
    </row>
    <row r="666" ht="18" customHeight="1">
      <c r="A666" s="26" t="n"/>
      <c r="B666" s="18" t="n"/>
      <c r="C666" s="18" t="n"/>
      <c r="D666" s="20">
        <f>IF($P666="","",IFERROR(INDEX('得意先'!$C$5:$C$104,MATCH($P666,'得意先'!$B$5:$B$104,0))&amp;"","※得意先にないコード"))</f>
        <v/>
      </c>
      <c r="E666" s="27" t="n"/>
      <c r="F666" s="18" t="n"/>
      <c r="G666" s="27" t="n"/>
      <c r="H666" s="27" t="n"/>
      <c r="I666" s="27" t="n"/>
      <c r="J666" s="28">
        <f>IF(NOT(OR($A666&lt;&gt;"",$E666&lt;&gt;"",$F666&lt;&gt;"",$G666&lt;&gt;"",$H666&lt;&gt;"",$I666&lt;&gt;"")),"",N($G666)+N($H666)+N($I666))</f>
        <v/>
      </c>
      <c r="K666" s="28">
        <f>IF(ISNUMBER($O666),INDEX('請求台帳'!$R$5:$R$1004,$O666),"")</f>
        <v/>
      </c>
      <c r="L666" s="20">
        <f>IF(NOT(OR($A666&lt;&gt;"",$E666&lt;&gt;"",$F666&lt;&gt;"",$G666&lt;&gt;"",$H666&lt;&gt;"",$I666&lt;&gt;"")),"",IF(NOT(ISNUMBER($A666)),"入金日がありません",IF(AND($F666&lt;&gt;"",$O666="なし"),"請求Noが請求台帳にありません",IF(AND(ISNUMBER($O666),$C666&lt;&gt;"",$C666&lt;&gt;$P666),"請求の得意先は "&amp;$P666&amp;" です",IF(ROUND(IF($B666&lt;&gt;"",SUMIF($B$5:$B$1004,$B666,$E$5:$E$1004)-SUMIF($B$5:$B$1004,$B666,$G$5:$G$1004),N($E666)-N($G666)),0)&lt;&gt;0,"通帳の額と当てた額の差 "&amp;TEXT(IF($B666&lt;&gt;"",SUMIF($B$5:$B$1004,$B666,$E$5:$E$1004)-SUMIF($B$5:$B$1004,$B666,$G$5:$G$1004),N($E666)-N($G666)),"#,##0"),IF(AND(ISNUMBER($O666),N($K666)&lt;0),"請求額より多く消し込んでいます",IF($F666="","消込先が未定","OK")))))))</f>
        <v/>
      </c>
      <c r="M666" s="19" t="n"/>
      <c r="N666" s="56" t="n"/>
      <c r="O666" s="32">
        <f>IF($F666="","",IFERROR(MATCH($F666,'請求台帳'!$A$5:$A$1004,0),"なし"))</f>
        <v/>
      </c>
      <c r="P666" s="37">
        <f>IF(NOT(OR($A666&lt;&gt;"",$E666&lt;&gt;"",$F666&lt;&gt;"",$G666&lt;&gt;"",$H666&lt;&gt;"",$I666&lt;&gt;"")),"",IF(ISNUMBER($O666),IF(INDEX('請求台帳'!$C$5:$C$1004,$O666)="","",INDEX('請求台帳'!$C$5:$C$1004,$O666)),IF($C666="","",$C666)))</f>
        <v/>
      </c>
      <c r="Q666" s="35">
        <f>IF(OR(NOT(OR($A666&lt;&gt;"",$E666&lt;&gt;"",$F666&lt;&gt;"",$G666&lt;&gt;"",$H666&lt;&gt;"",$I666&lt;&gt;"")),$P666="",$P666&lt;&gt;'売掛帳'!$B$3,NOT(ISNUMBER($A666)),N($G666)+N($H666)+N($I666)=0),"",IF(AND($A666&gt;='売掛帳'!$Q$3,$A666&lt;='売掛帳'!$Q$4),$A666+0.5+ROW()/10000000,""))</f>
        <v/>
      </c>
      <c r="R666" s="32">
        <f>IF(AND(OR($A666&lt;&gt;"",$E666&lt;&gt;"",$F666&lt;&gt;"",$G666&lt;&gt;"",$H666&lt;&gt;"",$I666&lt;&gt;""),NOT(ISNUMBER($O666))),1,"")</f>
        <v/>
      </c>
    </row>
    <row r="667" ht="18" customHeight="1">
      <c r="A667" s="26" t="n"/>
      <c r="B667" s="18" t="n"/>
      <c r="C667" s="18" t="n"/>
      <c r="D667" s="20">
        <f>IF($P667="","",IFERROR(INDEX('得意先'!$C$5:$C$104,MATCH($P667,'得意先'!$B$5:$B$104,0))&amp;"","※得意先にないコード"))</f>
        <v/>
      </c>
      <c r="E667" s="27" t="n"/>
      <c r="F667" s="18" t="n"/>
      <c r="G667" s="27" t="n"/>
      <c r="H667" s="27" t="n"/>
      <c r="I667" s="27" t="n"/>
      <c r="J667" s="28">
        <f>IF(NOT(OR($A667&lt;&gt;"",$E667&lt;&gt;"",$F667&lt;&gt;"",$G667&lt;&gt;"",$H667&lt;&gt;"",$I667&lt;&gt;"")),"",N($G667)+N($H667)+N($I667))</f>
        <v/>
      </c>
      <c r="K667" s="28">
        <f>IF(ISNUMBER($O667),INDEX('請求台帳'!$R$5:$R$1004,$O667),"")</f>
        <v/>
      </c>
      <c r="L667" s="20">
        <f>IF(NOT(OR($A667&lt;&gt;"",$E667&lt;&gt;"",$F667&lt;&gt;"",$G667&lt;&gt;"",$H667&lt;&gt;"",$I667&lt;&gt;"")),"",IF(NOT(ISNUMBER($A667)),"入金日がありません",IF(AND($F667&lt;&gt;"",$O667="なし"),"請求Noが請求台帳にありません",IF(AND(ISNUMBER($O667),$C667&lt;&gt;"",$C667&lt;&gt;$P667),"請求の得意先は "&amp;$P667&amp;" です",IF(ROUND(IF($B667&lt;&gt;"",SUMIF($B$5:$B$1004,$B667,$E$5:$E$1004)-SUMIF($B$5:$B$1004,$B667,$G$5:$G$1004),N($E667)-N($G667)),0)&lt;&gt;0,"通帳の額と当てた額の差 "&amp;TEXT(IF($B667&lt;&gt;"",SUMIF($B$5:$B$1004,$B667,$E$5:$E$1004)-SUMIF($B$5:$B$1004,$B667,$G$5:$G$1004),N($E667)-N($G667)),"#,##0"),IF(AND(ISNUMBER($O667),N($K667)&lt;0),"請求額より多く消し込んでいます",IF($F667="","消込先が未定","OK")))))))</f>
        <v/>
      </c>
      <c r="M667" s="19" t="n"/>
      <c r="N667" s="56" t="n"/>
      <c r="O667" s="32">
        <f>IF($F667="","",IFERROR(MATCH($F667,'請求台帳'!$A$5:$A$1004,0),"なし"))</f>
        <v/>
      </c>
      <c r="P667" s="37">
        <f>IF(NOT(OR($A667&lt;&gt;"",$E667&lt;&gt;"",$F667&lt;&gt;"",$G667&lt;&gt;"",$H667&lt;&gt;"",$I667&lt;&gt;"")),"",IF(ISNUMBER($O667),IF(INDEX('請求台帳'!$C$5:$C$1004,$O667)="","",INDEX('請求台帳'!$C$5:$C$1004,$O667)),IF($C667="","",$C667)))</f>
        <v/>
      </c>
      <c r="Q667" s="35">
        <f>IF(OR(NOT(OR($A667&lt;&gt;"",$E667&lt;&gt;"",$F667&lt;&gt;"",$G667&lt;&gt;"",$H667&lt;&gt;"",$I667&lt;&gt;"")),$P667="",$P667&lt;&gt;'売掛帳'!$B$3,NOT(ISNUMBER($A667)),N($G667)+N($H667)+N($I667)=0),"",IF(AND($A667&gt;='売掛帳'!$Q$3,$A667&lt;='売掛帳'!$Q$4),$A667+0.5+ROW()/10000000,""))</f>
        <v/>
      </c>
      <c r="R667" s="32">
        <f>IF(AND(OR($A667&lt;&gt;"",$E667&lt;&gt;"",$F667&lt;&gt;"",$G667&lt;&gt;"",$H667&lt;&gt;"",$I667&lt;&gt;""),NOT(ISNUMBER($O667))),1,"")</f>
        <v/>
      </c>
    </row>
    <row r="668" ht="18" customHeight="1">
      <c r="A668" s="26" t="n"/>
      <c r="B668" s="18" t="n"/>
      <c r="C668" s="18" t="n"/>
      <c r="D668" s="20">
        <f>IF($P668="","",IFERROR(INDEX('得意先'!$C$5:$C$104,MATCH($P668,'得意先'!$B$5:$B$104,0))&amp;"","※得意先にないコード"))</f>
        <v/>
      </c>
      <c r="E668" s="27" t="n"/>
      <c r="F668" s="18" t="n"/>
      <c r="G668" s="27" t="n"/>
      <c r="H668" s="27" t="n"/>
      <c r="I668" s="27" t="n"/>
      <c r="J668" s="28">
        <f>IF(NOT(OR($A668&lt;&gt;"",$E668&lt;&gt;"",$F668&lt;&gt;"",$G668&lt;&gt;"",$H668&lt;&gt;"",$I668&lt;&gt;"")),"",N($G668)+N($H668)+N($I668))</f>
        <v/>
      </c>
      <c r="K668" s="28">
        <f>IF(ISNUMBER($O668),INDEX('請求台帳'!$R$5:$R$1004,$O668),"")</f>
        <v/>
      </c>
      <c r="L668" s="20">
        <f>IF(NOT(OR($A668&lt;&gt;"",$E668&lt;&gt;"",$F668&lt;&gt;"",$G668&lt;&gt;"",$H668&lt;&gt;"",$I668&lt;&gt;"")),"",IF(NOT(ISNUMBER($A668)),"入金日がありません",IF(AND($F668&lt;&gt;"",$O668="なし"),"請求Noが請求台帳にありません",IF(AND(ISNUMBER($O668),$C668&lt;&gt;"",$C668&lt;&gt;$P668),"請求の得意先は "&amp;$P668&amp;" です",IF(ROUND(IF($B668&lt;&gt;"",SUMIF($B$5:$B$1004,$B668,$E$5:$E$1004)-SUMIF($B$5:$B$1004,$B668,$G$5:$G$1004),N($E668)-N($G668)),0)&lt;&gt;0,"通帳の額と当てた額の差 "&amp;TEXT(IF($B668&lt;&gt;"",SUMIF($B$5:$B$1004,$B668,$E$5:$E$1004)-SUMIF($B$5:$B$1004,$B668,$G$5:$G$1004),N($E668)-N($G668)),"#,##0"),IF(AND(ISNUMBER($O668),N($K668)&lt;0),"請求額より多く消し込んでいます",IF($F668="","消込先が未定","OK")))))))</f>
        <v/>
      </c>
      <c r="M668" s="19" t="n"/>
      <c r="N668" s="56" t="n"/>
      <c r="O668" s="32">
        <f>IF($F668="","",IFERROR(MATCH($F668,'請求台帳'!$A$5:$A$1004,0),"なし"))</f>
        <v/>
      </c>
      <c r="P668" s="37">
        <f>IF(NOT(OR($A668&lt;&gt;"",$E668&lt;&gt;"",$F668&lt;&gt;"",$G668&lt;&gt;"",$H668&lt;&gt;"",$I668&lt;&gt;"")),"",IF(ISNUMBER($O668),IF(INDEX('請求台帳'!$C$5:$C$1004,$O668)="","",INDEX('請求台帳'!$C$5:$C$1004,$O668)),IF($C668="","",$C668)))</f>
        <v/>
      </c>
      <c r="Q668" s="35">
        <f>IF(OR(NOT(OR($A668&lt;&gt;"",$E668&lt;&gt;"",$F668&lt;&gt;"",$G668&lt;&gt;"",$H668&lt;&gt;"",$I668&lt;&gt;"")),$P668="",$P668&lt;&gt;'売掛帳'!$B$3,NOT(ISNUMBER($A668)),N($G668)+N($H668)+N($I668)=0),"",IF(AND($A668&gt;='売掛帳'!$Q$3,$A668&lt;='売掛帳'!$Q$4),$A668+0.5+ROW()/10000000,""))</f>
        <v/>
      </c>
      <c r="R668" s="32">
        <f>IF(AND(OR($A668&lt;&gt;"",$E668&lt;&gt;"",$F668&lt;&gt;"",$G668&lt;&gt;"",$H668&lt;&gt;"",$I668&lt;&gt;""),NOT(ISNUMBER($O668))),1,"")</f>
        <v/>
      </c>
    </row>
    <row r="669" ht="18" customHeight="1">
      <c r="A669" s="26" t="n"/>
      <c r="B669" s="18" t="n"/>
      <c r="C669" s="18" t="n"/>
      <c r="D669" s="20">
        <f>IF($P669="","",IFERROR(INDEX('得意先'!$C$5:$C$104,MATCH($P669,'得意先'!$B$5:$B$104,0))&amp;"","※得意先にないコード"))</f>
        <v/>
      </c>
      <c r="E669" s="27" t="n"/>
      <c r="F669" s="18" t="n"/>
      <c r="G669" s="27" t="n"/>
      <c r="H669" s="27" t="n"/>
      <c r="I669" s="27" t="n"/>
      <c r="J669" s="28">
        <f>IF(NOT(OR($A669&lt;&gt;"",$E669&lt;&gt;"",$F669&lt;&gt;"",$G669&lt;&gt;"",$H669&lt;&gt;"",$I669&lt;&gt;"")),"",N($G669)+N($H669)+N($I669))</f>
        <v/>
      </c>
      <c r="K669" s="28">
        <f>IF(ISNUMBER($O669),INDEX('請求台帳'!$R$5:$R$1004,$O669),"")</f>
        <v/>
      </c>
      <c r="L669" s="20">
        <f>IF(NOT(OR($A669&lt;&gt;"",$E669&lt;&gt;"",$F669&lt;&gt;"",$G669&lt;&gt;"",$H669&lt;&gt;"",$I669&lt;&gt;"")),"",IF(NOT(ISNUMBER($A669)),"入金日がありません",IF(AND($F669&lt;&gt;"",$O669="なし"),"請求Noが請求台帳にありません",IF(AND(ISNUMBER($O669),$C669&lt;&gt;"",$C669&lt;&gt;$P669),"請求の得意先は "&amp;$P669&amp;" です",IF(ROUND(IF($B669&lt;&gt;"",SUMIF($B$5:$B$1004,$B669,$E$5:$E$1004)-SUMIF($B$5:$B$1004,$B669,$G$5:$G$1004),N($E669)-N($G669)),0)&lt;&gt;0,"通帳の額と当てた額の差 "&amp;TEXT(IF($B669&lt;&gt;"",SUMIF($B$5:$B$1004,$B669,$E$5:$E$1004)-SUMIF($B$5:$B$1004,$B669,$G$5:$G$1004),N($E669)-N($G669)),"#,##0"),IF(AND(ISNUMBER($O669),N($K669)&lt;0),"請求額より多く消し込んでいます",IF($F669="","消込先が未定","OK")))))))</f>
        <v/>
      </c>
      <c r="M669" s="19" t="n"/>
      <c r="N669" s="56" t="n"/>
      <c r="O669" s="32">
        <f>IF($F669="","",IFERROR(MATCH($F669,'請求台帳'!$A$5:$A$1004,0),"なし"))</f>
        <v/>
      </c>
      <c r="P669" s="37">
        <f>IF(NOT(OR($A669&lt;&gt;"",$E669&lt;&gt;"",$F669&lt;&gt;"",$G669&lt;&gt;"",$H669&lt;&gt;"",$I669&lt;&gt;"")),"",IF(ISNUMBER($O669),IF(INDEX('請求台帳'!$C$5:$C$1004,$O669)="","",INDEX('請求台帳'!$C$5:$C$1004,$O669)),IF($C669="","",$C669)))</f>
        <v/>
      </c>
      <c r="Q669" s="35">
        <f>IF(OR(NOT(OR($A669&lt;&gt;"",$E669&lt;&gt;"",$F669&lt;&gt;"",$G669&lt;&gt;"",$H669&lt;&gt;"",$I669&lt;&gt;"")),$P669="",$P669&lt;&gt;'売掛帳'!$B$3,NOT(ISNUMBER($A669)),N($G669)+N($H669)+N($I669)=0),"",IF(AND($A669&gt;='売掛帳'!$Q$3,$A669&lt;='売掛帳'!$Q$4),$A669+0.5+ROW()/10000000,""))</f>
        <v/>
      </c>
      <c r="R669" s="32">
        <f>IF(AND(OR($A669&lt;&gt;"",$E669&lt;&gt;"",$F669&lt;&gt;"",$G669&lt;&gt;"",$H669&lt;&gt;"",$I669&lt;&gt;""),NOT(ISNUMBER($O669))),1,"")</f>
        <v/>
      </c>
    </row>
    <row r="670" ht="18" customHeight="1">
      <c r="A670" s="26" t="n"/>
      <c r="B670" s="18" t="n"/>
      <c r="C670" s="18" t="n"/>
      <c r="D670" s="20">
        <f>IF($P670="","",IFERROR(INDEX('得意先'!$C$5:$C$104,MATCH($P670,'得意先'!$B$5:$B$104,0))&amp;"","※得意先にないコード"))</f>
        <v/>
      </c>
      <c r="E670" s="27" t="n"/>
      <c r="F670" s="18" t="n"/>
      <c r="G670" s="27" t="n"/>
      <c r="H670" s="27" t="n"/>
      <c r="I670" s="27" t="n"/>
      <c r="J670" s="28">
        <f>IF(NOT(OR($A670&lt;&gt;"",$E670&lt;&gt;"",$F670&lt;&gt;"",$G670&lt;&gt;"",$H670&lt;&gt;"",$I670&lt;&gt;"")),"",N($G670)+N($H670)+N($I670))</f>
        <v/>
      </c>
      <c r="K670" s="28">
        <f>IF(ISNUMBER($O670),INDEX('請求台帳'!$R$5:$R$1004,$O670),"")</f>
        <v/>
      </c>
      <c r="L670" s="20">
        <f>IF(NOT(OR($A670&lt;&gt;"",$E670&lt;&gt;"",$F670&lt;&gt;"",$G670&lt;&gt;"",$H670&lt;&gt;"",$I670&lt;&gt;"")),"",IF(NOT(ISNUMBER($A670)),"入金日がありません",IF(AND($F670&lt;&gt;"",$O670="なし"),"請求Noが請求台帳にありません",IF(AND(ISNUMBER($O670),$C670&lt;&gt;"",$C670&lt;&gt;$P670),"請求の得意先は "&amp;$P670&amp;" です",IF(ROUND(IF($B670&lt;&gt;"",SUMIF($B$5:$B$1004,$B670,$E$5:$E$1004)-SUMIF($B$5:$B$1004,$B670,$G$5:$G$1004),N($E670)-N($G670)),0)&lt;&gt;0,"通帳の額と当てた額の差 "&amp;TEXT(IF($B670&lt;&gt;"",SUMIF($B$5:$B$1004,$B670,$E$5:$E$1004)-SUMIF($B$5:$B$1004,$B670,$G$5:$G$1004),N($E670)-N($G670)),"#,##0"),IF(AND(ISNUMBER($O670),N($K670)&lt;0),"請求額より多く消し込んでいます",IF($F670="","消込先が未定","OK")))))))</f>
        <v/>
      </c>
      <c r="M670" s="19" t="n"/>
      <c r="N670" s="56" t="n"/>
      <c r="O670" s="32">
        <f>IF($F670="","",IFERROR(MATCH($F670,'請求台帳'!$A$5:$A$1004,0),"なし"))</f>
        <v/>
      </c>
      <c r="P670" s="37">
        <f>IF(NOT(OR($A670&lt;&gt;"",$E670&lt;&gt;"",$F670&lt;&gt;"",$G670&lt;&gt;"",$H670&lt;&gt;"",$I670&lt;&gt;"")),"",IF(ISNUMBER($O670),IF(INDEX('請求台帳'!$C$5:$C$1004,$O670)="","",INDEX('請求台帳'!$C$5:$C$1004,$O670)),IF($C670="","",$C670)))</f>
        <v/>
      </c>
      <c r="Q670" s="35">
        <f>IF(OR(NOT(OR($A670&lt;&gt;"",$E670&lt;&gt;"",$F670&lt;&gt;"",$G670&lt;&gt;"",$H670&lt;&gt;"",$I670&lt;&gt;"")),$P670="",$P670&lt;&gt;'売掛帳'!$B$3,NOT(ISNUMBER($A670)),N($G670)+N($H670)+N($I670)=0),"",IF(AND($A670&gt;='売掛帳'!$Q$3,$A670&lt;='売掛帳'!$Q$4),$A670+0.5+ROW()/10000000,""))</f>
        <v/>
      </c>
      <c r="R670" s="32">
        <f>IF(AND(OR($A670&lt;&gt;"",$E670&lt;&gt;"",$F670&lt;&gt;"",$G670&lt;&gt;"",$H670&lt;&gt;"",$I670&lt;&gt;""),NOT(ISNUMBER($O670))),1,"")</f>
        <v/>
      </c>
    </row>
    <row r="671" ht="18" customHeight="1">
      <c r="A671" s="26" t="n"/>
      <c r="B671" s="18" t="n"/>
      <c r="C671" s="18" t="n"/>
      <c r="D671" s="20">
        <f>IF($P671="","",IFERROR(INDEX('得意先'!$C$5:$C$104,MATCH($P671,'得意先'!$B$5:$B$104,0))&amp;"","※得意先にないコード"))</f>
        <v/>
      </c>
      <c r="E671" s="27" t="n"/>
      <c r="F671" s="18" t="n"/>
      <c r="G671" s="27" t="n"/>
      <c r="H671" s="27" t="n"/>
      <c r="I671" s="27" t="n"/>
      <c r="J671" s="28">
        <f>IF(NOT(OR($A671&lt;&gt;"",$E671&lt;&gt;"",$F671&lt;&gt;"",$G671&lt;&gt;"",$H671&lt;&gt;"",$I671&lt;&gt;"")),"",N($G671)+N($H671)+N($I671))</f>
        <v/>
      </c>
      <c r="K671" s="28">
        <f>IF(ISNUMBER($O671),INDEX('請求台帳'!$R$5:$R$1004,$O671),"")</f>
        <v/>
      </c>
      <c r="L671" s="20">
        <f>IF(NOT(OR($A671&lt;&gt;"",$E671&lt;&gt;"",$F671&lt;&gt;"",$G671&lt;&gt;"",$H671&lt;&gt;"",$I671&lt;&gt;"")),"",IF(NOT(ISNUMBER($A671)),"入金日がありません",IF(AND($F671&lt;&gt;"",$O671="なし"),"請求Noが請求台帳にありません",IF(AND(ISNUMBER($O671),$C671&lt;&gt;"",$C671&lt;&gt;$P671),"請求の得意先は "&amp;$P671&amp;" です",IF(ROUND(IF($B671&lt;&gt;"",SUMIF($B$5:$B$1004,$B671,$E$5:$E$1004)-SUMIF($B$5:$B$1004,$B671,$G$5:$G$1004),N($E671)-N($G671)),0)&lt;&gt;0,"通帳の額と当てた額の差 "&amp;TEXT(IF($B671&lt;&gt;"",SUMIF($B$5:$B$1004,$B671,$E$5:$E$1004)-SUMIF($B$5:$B$1004,$B671,$G$5:$G$1004),N($E671)-N($G671)),"#,##0"),IF(AND(ISNUMBER($O671),N($K671)&lt;0),"請求額より多く消し込んでいます",IF($F671="","消込先が未定","OK")))))))</f>
        <v/>
      </c>
      <c r="M671" s="19" t="n"/>
      <c r="N671" s="56" t="n"/>
      <c r="O671" s="32">
        <f>IF($F671="","",IFERROR(MATCH($F671,'請求台帳'!$A$5:$A$1004,0),"なし"))</f>
        <v/>
      </c>
      <c r="P671" s="37">
        <f>IF(NOT(OR($A671&lt;&gt;"",$E671&lt;&gt;"",$F671&lt;&gt;"",$G671&lt;&gt;"",$H671&lt;&gt;"",$I671&lt;&gt;"")),"",IF(ISNUMBER($O671),IF(INDEX('請求台帳'!$C$5:$C$1004,$O671)="","",INDEX('請求台帳'!$C$5:$C$1004,$O671)),IF($C671="","",$C671)))</f>
        <v/>
      </c>
      <c r="Q671" s="35">
        <f>IF(OR(NOT(OR($A671&lt;&gt;"",$E671&lt;&gt;"",$F671&lt;&gt;"",$G671&lt;&gt;"",$H671&lt;&gt;"",$I671&lt;&gt;"")),$P671="",$P671&lt;&gt;'売掛帳'!$B$3,NOT(ISNUMBER($A671)),N($G671)+N($H671)+N($I671)=0),"",IF(AND($A671&gt;='売掛帳'!$Q$3,$A671&lt;='売掛帳'!$Q$4),$A671+0.5+ROW()/10000000,""))</f>
        <v/>
      </c>
      <c r="R671" s="32">
        <f>IF(AND(OR($A671&lt;&gt;"",$E671&lt;&gt;"",$F671&lt;&gt;"",$G671&lt;&gt;"",$H671&lt;&gt;"",$I671&lt;&gt;""),NOT(ISNUMBER($O671))),1,"")</f>
        <v/>
      </c>
    </row>
    <row r="672" ht="18" customHeight="1">
      <c r="A672" s="26" t="n"/>
      <c r="B672" s="18" t="n"/>
      <c r="C672" s="18" t="n"/>
      <c r="D672" s="20">
        <f>IF($P672="","",IFERROR(INDEX('得意先'!$C$5:$C$104,MATCH($P672,'得意先'!$B$5:$B$104,0))&amp;"","※得意先にないコード"))</f>
        <v/>
      </c>
      <c r="E672" s="27" t="n"/>
      <c r="F672" s="18" t="n"/>
      <c r="G672" s="27" t="n"/>
      <c r="H672" s="27" t="n"/>
      <c r="I672" s="27" t="n"/>
      <c r="J672" s="28">
        <f>IF(NOT(OR($A672&lt;&gt;"",$E672&lt;&gt;"",$F672&lt;&gt;"",$G672&lt;&gt;"",$H672&lt;&gt;"",$I672&lt;&gt;"")),"",N($G672)+N($H672)+N($I672))</f>
        <v/>
      </c>
      <c r="K672" s="28">
        <f>IF(ISNUMBER($O672),INDEX('請求台帳'!$R$5:$R$1004,$O672),"")</f>
        <v/>
      </c>
      <c r="L672" s="20">
        <f>IF(NOT(OR($A672&lt;&gt;"",$E672&lt;&gt;"",$F672&lt;&gt;"",$G672&lt;&gt;"",$H672&lt;&gt;"",$I672&lt;&gt;"")),"",IF(NOT(ISNUMBER($A672)),"入金日がありません",IF(AND($F672&lt;&gt;"",$O672="なし"),"請求Noが請求台帳にありません",IF(AND(ISNUMBER($O672),$C672&lt;&gt;"",$C672&lt;&gt;$P672),"請求の得意先は "&amp;$P672&amp;" です",IF(ROUND(IF($B672&lt;&gt;"",SUMIF($B$5:$B$1004,$B672,$E$5:$E$1004)-SUMIF($B$5:$B$1004,$B672,$G$5:$G$1004),N($E672)-N($G672)),0)&lt;&gt;0,"通帳の額と当てた額の差 "&amp;TEXT(IF($B672&lt;&gt;"",SUMIF($B$5:$B$1004,$B672,$E$5:$E$1004)-SUMIF($B$5:$B$1004,$B672,$G$5:$G$1004),N($E672)-N($G672)),"#,##0"),IF(AND(ISNUMBER($O672),N($K672)&lt;0),"請求額より多く消し込んでいます",IF($F672="","消込先が未定","OK")))))))</f>
        <v/>
      </c>
      <c r="M672" s="19" t="n"/>
      <c r="N672" s="56" t="n"/>
      <c r="O672" s="32">
        <f>IF($F672="","",IFERROR(MATCH($F672,'請求台帳'!$A$5:$A$1004,0),"なし"))</f>
        <v/>
      </c>
      <c r="P672" s="37">
        <f>IF(NOT(OR($A672&lt;&gt;"",$E672&lt;&gt;"",$F672&lt;&gt;"",$G672&lt;&gt;"",$H672&lt;&gt;"",$I672&lt;&gt;"")),"",IF(ISNUMBER($O672),IF(INDEX('請求台帳'!$C$5:$C$1004,$O672)="","",INDEX('請求台帳'!$C$5:$C$1004,$O672)),IF($C672="","",$C672)))</f>
        <v/>
      </c>
      <c r="Q672" s="35">
        <f>IF(OR(NOT(OR($A672&lt;&gt;"",$E672&lt;&gt;"",$F672&lt;&gt;"",$G672&lt;&gt;"",$H672&lt;&gt;"",$I672&lt;&gt;"")),$P672="",$P672&lt;&gt;'売掛帳'!$B$3,NOT(ISNUMBER($A672)),N($G672)+N($H672)+N($I672)=0),"",IF(AND($A672&gt;='売掛帳'!$Q$3,$A672&lt;='売掛帳'!$Q$4),$A672+0.5+ROW()/10000000,""))</f>
        <v/>
      </c>
      <c r="R672" s="32">
        <f>IF(AND(OR($A672&lt;&gt;"",$E672&lt;&gt;"",$F672&lt;&gt;"",$G672&lt;&gt;"",$H672&lt;&gt;"",$I672&lt;&gt;""),NOT(ISNUMBER($O672))),1,"")</f>
        <v/>
      </c>
    </row>
    <row r="673" ht="18" customHeight="1">
      <c r="A673" s="26" t="n"/>
      <c r="B673" s="18" t="n"/>
      <c r="C673" s="18" t="n"/>
      <c r="D673" s="20">
        <f>IF($P673="","",IFERROR(INDEX('得意先'!$C$5:$C$104,MATCH($P673,'得意先'!$B$5:$B$104,0))&amp;"","※得意先にないコード"))</f>
        <v/>
      </c>
      <c r="E673" s="27" t="n"/>
      <c r="F673" s="18" t="n"/>
      <c r="G673" s="27" t="n"/>
      <c r="H673" s="27" t="n"/>
      <c r="I673" s="27" t="n"/>
      <c r="J673" s="28">
        <f>IF(NOT(OR($A673&lt;&gt;"",$E673&lt;&gt;"",$F673&lt;&gt;"",$G673&lt;&gt;"",$H673&lt;&gt;"",$I673&lt;&gt;"")),"",N($G673)+N($H673)+N($I673))</f>
        <v/>
      </c>
      <c r="K673" s="28">
        <f>IF(ISNUMBER($O673),INDEX('請求台帳'!$R$5:$R$1004,$O673),"")</f>
        <v/>
      </c>
      <c r="L673" s="20">
        <f>IF(NOT(OR($A673&lt;&gt;"",$E673&lt;&gt;"",$F673&lt;&gt;"",$G673&lt;&gt;"",$H673&lt;&gt;"",$I673&lt;&gt;"")),"",IF(NOT(ISNUMBER($A673)),"入金日がありません",IF(AND($F673&lt;&gt;"",$O673="なし"),"請求Noが請求台帳にありません",IF(AND(ISNUMBER($O673),$C673&lt;&gt;"",$C673&lt;&gt;$P673),"請求の得意先は "&amp;$P673&amp;" です",IF(ROUND(IF($B673&lt;&gt;"",SUMIF($B$5:$B$1004,$B673,$E$5:$E$1004)-SUMIF($B$5:$B$1004,$B673,$G$5:$G$1004),N($E673)-N($G673)),0)&lt;&gt;0,"通帳の額と当てた額の差 "&amp;TEXT(IF($B673&lt;&gt;"",SUMIF($B$5:$B$1004,$B673,$E$5:$E$1004)-SUMIF($B$5:$B$1004,$B673,$G$5:$G$1004),N($E673)-N($G673)),"#,##0"),IF(AND(ISNUMBER($O673),N($K673)&lt;0),"請求額より多く消し込んでいます",IF($F673="","消込先が未定","OK")))))))</f>
        <v/>
      </c>
      <c r="M673" s="19" t="n"/>
      <c r="N673" s="56" t="n"/>
      <c r="O673" s="32">
        <f>IF($F673="","",IFERROR(MATCH($F673,'請求台帳'!$A$5:$A$1004,0),"なし"))</f>
        <v/>
      </c>
      <c r="P673" s="37">
        <f>IF(NOT(OR($A673&lt;&gt;"",$E673&lt;&gt;"",$F673&lt;&gt;"",$G673&lt;&gt;"",$H673&lt;&gt;"",$I673&lt;&gt;"")),"",IF(ISNUMBER($O673),IF(INDEX('請求台帳'!$C$5:$C$1004,$O673)="","",INDEX('請求台帳'!$C$5:$C$1004,$O673)),IF($C673="","",$C673)))</f>
        <v/>
      </c>
      <c r="Q673" s="35">
        <f>IF(OR(NOT(OR($A673&lt;&gt;"",$E673&lt;&gt;"",$F673&lt;&gt;"",$G673&lt;&gt;"",$H673&lt;&gt;"",$I673&lt;&gt;"")),$P673="",$P673&lt;&gt;'売掛帳'!$B$3,NOT(ISNUMBER($A673)),N($G673)+N($H673)+N($I673)=0),"",IF(AND($A673&gt;='売掛帳'!$Q$3,$A673&lt;='売掛帳'!$Q$4),$A673+0.5+ROW()/10000000,""))</f>
        <v/>
      </c>
      <c r="R673" s="32">
        <f>IF(AND(OR($A673&lt;&gt;"",$E673&lt;&gt;"",$F673&lt;&gt;"",$G673&lt;&gt;"",$H673&lt;&gt;"",$I673&lt;&gt;""),NOT(ISNUMBER($O673))),1,"")</f>
        <v/>
      </c>
    </row>
    <row r="674" ht="18" customHeight="1">
      <c r="A674" s="26" t="n"/>
      <c r="B674" s="18" t="n"/>
      <c r="C674" s="18" t="n"/>
      <c r="D674" s="20">
        <f>IF($P674="","",IFERROR(INDEX('得意先'!$C$5:$C$104,MATCH($P674,'得意先'!$B$5:$B$104,0))&amp;"","※得意先にないコード"))</f>
        <v/>
      </c>
      <c r="E674" s="27" t="n"/>
      <c r="F674" s="18" t="n"/>
      <c r="G674" s="27" t="n"/>
      <c r="H674" s="27" t="n"/>
      <c r="I674" s="27" t="n"/>
      <c r="J674" s="28">
        <f>IF(NOT(OR($A674&lt;&gt;"",$E674&lt;&gt;"",$F674&lt;&gt;"",$G674&lt;&gt;"",$H674&lt;&gt;"",$I674&lt;&gt;"")),"",N($G674)+N($H674)+N($I674))</f>
        <v/>
      </c>
      <c r="K674" s="28">
        <f>IF(ISNUMBER($O674),INDEX('請求台帳'!$R$5:$R$1004,$O674),"")</f>
        <v/>
      </c>
      <c r="L674" s="20">
        <f>IF(NOT(OR($A674&lt;&gt;"",$E674&lt;&gt;"",$F674&lt;&gt;"",$G674&lt;&gt;"",$H674&lt;&gt;"",$I674&lt;&gt;"")),"",IF(NOT(ISNUMBER($A674)),"入金日がありません",IF(AND($F674&lt;&gt;"",$O674="なし"),"請求Noが請求台帳にありません",IF(AND(ISNUMBER($O674),$C674&lt;&gt;"",$C674&lt;&gt;$P674),"請求の得意先は "&amp;$P674&amp;" です",IF(ROUND(IF($B674&lt;&gt;"",SUMIF($B$5:$B$1004,$B674,$E$5:$E$1004)-SUMIF($B$5:$B$1004,$B674,$G$5:$G$1004),N($E674)-N($G674)),0)&lt;&gt;0,"通帳の額と当てた額の差 "&amp;TEXT(IF($B674&lt;&gt;"",SUMIF($B$5:$B$1004,$B674,$E$5:$E$1004)-SUMIF($B$5:$B$1004,$B674,$G$5:$G$1004),N($E674)-N($G674)),"#,##0"),IF(AND(ISNUMBER($O674),N($K674)&lt;0),"請求額より多く消し込んでいます",IF($F674="","消込先が未定","OK")))))))</f>
        <v/>
      </c>
      <c r="M674" s="19" t="n"/>
      <c r="N674" s="56" t="n"/>
      <c r="O674" s="32">
        <f>IF($F674="","",IFERROR(MATCH($F674,'請求台帳'!$A$5:$A$1004,0),"なし"))</f>
        <v/>
      </c>
      <c r="P674" s="37">
        <f>IF(NOT(OR($A674&lt;&gt;"",$E674&lt;&gt;"",$F674&lt;&gt;"",$G674&lt;&gt;"",$H674&lt;&gt;"",$I674&lt;&gt;"")),"",IF(ISNUMBER($O674),IF(INDEX('請求台帳'!$C$5:$C$1004,$O674)="","",INDEX('請求台帳'!$C$5:$C$1004,$O674)),IF($C674="","",$C674)))</f>
        <v/>
      </c>
      <c r="Q674" s="35">
        <f>IF(OR(NOT(OR($A674&lt;&gt;"",$E674&lt;&gt;"",$F674&lt;&gt;"",$G674&lt;&gt;"",$H674&lt;&gt;"",$I674&lt;&gt;"")),$P674="",$P674&lt;&gt;'売掛帳'!$B$3,NOT(ISNUMBER($A674)),N($G674)+N($H674)+N($I674)=0),"",IF(AND($A674&gt;='売掛帳'!$Q$3,$A674&lt;='売掛帳'!$Q$4),$A674+0.5+ROW()/10000000,""))</f>
        <v/>
      </c>
      <c r="R674" s="32">
        <f>IF(AND(OR($A674&lt;&gt;"",$E674&lt;&gt;"",$F674&lt;&gt;"",$G674&lt;&gt;"",$H674&lt;&gt;"",$I674&lt;&gt;""),NOT(ISNUMBER($O674))),1,"")</f>
        <v/>
      </c>
    </row>
    <row r="675" ht="18" customHeight="1">
      <c r="A675" s="26" t="n"/>
      <c r="B675" s="18" t="n"/>
      <c r="C675" s="18" t="n"/>
      <c r="D675" s="20">
        <f>IF($P675="","",IFERROR(INDEX('得意先'!$C$5:$C$104,MATCH($P675,'得意先'!$B$5:$B$104,0))&amp;"","※得意先にないコード"))</f>
        <v/>
      </c>
      <c r="E675" s="27" t="n"/>
      <c r="F675" s="18" t="n"/>
      <c r="G675" s="27" t="n"/>
      <c r="H675" s="27" t="n"/>
      <c r="I675" s="27" t="n"/>
      <c r="J675" s="28">
        <f>IF(NOT(OR($A675&lt;&gt;"",$E675&lt;&gt;"",$F675&lt;&gt;"",$G675&lt;&gt;"",$H675&lt;&gt;"",$I675&lt;&gt;"")),"",N($G675)+N($H675)+N($I675))</f>
        <v/>
      </c>
      <c r="K675" s="28">
        <f>IF(ISNUMBER($O675),INDEX('請求台帳'!$R$5:$R$1004,$O675),"")</f>
        <v/>
      </c>
      <c r="L675" s="20">
        <f>IF(NOT(OR($A675&lt;&gt;"",$E675&lt;&gt;"",$F675&lt;&gt;"",$G675&lt;&gt;"",$H675&lt;&gt;"",$I675&lt;&gt;"")),"",IF(NOT(ISNUMBER($A675)),"入金日がありません",IF(AND($F675&lt;&gt;"",$O675="なし"),"請求Noが請求台帳にありません",IF(AND(ISNUMBER($O675),$C675&lt;&gt;"",$C675&lt;&gt;$P675),"請求の得意先は "&amp;$P675&amp;" です",IF(ROUND(IF($B675&lt;&gt;"",SUMIF($B$5:$B$1004,$B675,$E$5:$E$1004)-SUMIF($B$5:$B$1004,$B675,$G$5:$G$1004),N($E675)-N($G675)),0)&lt;&gt;0,"通帳の額と当てた額の差 "&amp;TEXT(IF($B675&lt;&gt;"",SUMIF($B$5:$B$1004,$B675,$E$5:$E$1004)-SUMIF($B$5:$B$1004,$B675,$G$5:$G$1004),N($E675)-N($G675)),"#,##0"),IF(AND(ISNUMBER($O675),N($K675)&lt;0),"請求額より多く消し込んでいます",IF($F675="","消込先が未定","OK")))))))</f>
        <v/>
      </c>
      <c r="M675" s="19" t="n"/>
      <c r="N675" s="56" t="n"/>
      <c r="O675" s="32">
        <f>IF($F675="","",IFERROR(MATCH($F675,'請求台帳'!$A$5:$A$1004,0),"なし"))</f>
        <v/>
      </c>
      <c r="P675" s="37">
        <f>IF(NOT(OR($A675&lt;&gt;"",$E675&lt;&gt;"",$F675&lt;&gt;"",$G675&lt;&gt;"",$H675&lt;&gt;"",$I675&lt;&gt;"")),"",IF(ISNUMBER($O675),IF(INDEX('請求台帳'!$C$5:$C$1004,$O675)="","",INDEX('請求台帳'!$C$5:$C$1004,$O675)),IF($C675="","",$C675)))</f>
        <v/>
      </c>
      <c r="Q675" s="35">
        <f>IF(OR(NOT(OR($A675&lt;&gt;"",$E675&lt;&gt;"",$F675&lt;&gt;"",$G675&lt;&gt;"",$H675&lt;&gt;"",$I675&lt;&gt;"")),$P675="",$P675&lt;&gt;'売掛帳'!$B$3,NOT(ISNUMBER($A675)),N($G675)+N($H675)+N($I675)=0),"",IF(AND($A675&gt;='売掛帳'!$Q$3,$A675&lt;='売掛帳'!$Q$4),$A675+0.5+ROW()/10000000,""))</f>
        <v/>
      </c>
      <c r="R675" s="32">
        <f>IF(AND(OR($A675&lt;&gt;"",$E675&lt;&gt;"",$F675&lt;&gt;"",$G675&lt;&gt;"",$H675&lt;&gt;"",$I675&lt;&gt;""),NOT(ISNUMBER($O675))),1,"")</f>
        <v/>
      </c>
    </row>
    <row r="676" ht="18" customHeight="1">
      <c r="A676" s="26" t="n"/>
      <c r="B676" s="18" t="n"/>
      <c r="C676" s="18" t="n"/>
      <c r="D676" s="20">
        <f>IF($P676="","",IFERROR(INDEX('得意先'!$C$5:$C$104,MATCH($P676,'得意先'!$B$5:$B$104,0))&amp;"","※得意先にないコード"))</f>
        <v/>
      </c>
      <c r="E676" s="27" t="n"/>
      <c r="F676" s="18" t="n"/>
      <c r="G676" s="27" t="n"/>
      <c r="H676" s="27" t="n"/>
      <c r="I676" s="27" t="n"/>
      <c r="J676" s="28">
        <f>IF(NOT(OR($A676&lt;&gt;"",$E676&lt;&gt;"",$F676&lt;&gt;"",$G676&lt;&gt;"",$H676&lt;&gt;"",$I676&lt;&gt;"")),"",N($G676)+N($H676)+N($I676))</f>
        <v/>
      </c>
      <c r="K676" s="28">
        <f>IF(ISNUMBER($O676),INDEX('請求台帳'!$R$5:$R$1004,$O676),"")</f>
        <v/>
      </c>
      <c r="L676" s="20">
        <f>IF(NOT(OR($A676&lt;&gt;"",$E676&lt;&gt;"",$F676&lt;&gt;"",$G676&lt;&gt;"",$H676&lt;&gt;"",$I676&lt;&gt;"")),"",IF(NOT(ISNUMBER($A676)),"入金日がありません",IF(AND($F676&lt;&gt;"",$O676="なし"),"請求Noが請求台帳にありません",IF(AND(ISNUMBER($O676),$C676&lt;&gt;"",$C676&lt;&gt;$P676),"請求の得意先は "&amp;$P676&amp;" です",IF(ROUND(IF($B676&lt;&gt;"",SUMIF($B$5:$B$1004,$B676,$E$5:$E$1004)-SUMIF($B$5:$B$1004,$B676,$G$5:$G$1004),N($E676)-N($G676)),0)&lt;&gt;0,"通帳の額と当てた額の差 "&amp;TEXT(IF($B676&lt;&gt;"",SUMIF($B$5:$B$1004,$B676,$E$5:$E$1004)-SUMIF($B$5:$B$1004,$B676,$G$5:$G$1004),N($E676)-N($G676)),"#,##0"),IF(AND(ISNUMBER($O676),N($K676)&lt;0),"請求額より多く消し込んでいます",IF($F676="","消込先が未定","OK")))))))</f>
        <v/>
      </c>
      <c r="M676" s="19" t="n"/>
      <c r="N676" s="56" t="n"/>
      <c r="O676" s="32">
        <f>IF($F676="","",IFERROR(MATCH($F676,'請求台帳'!$A$5:$A$1004,0),"なし"))</f>
        <v/>
      </c>
      <c r="P676" s="37">
        <f>IF(NOT(OR($A676&lt;&gt;"",$E676&lt;&gt;"",$F676&lt;&gt;"",$G676&lt;&gt;"",$H676&lt;&gt;"",$I676&lt;&gt;"")),"",IF(ISNUMBER($O676),IF(INDEX('請求台帳'!$C$5:$C$1004,$O676)="","",INDEX('請求台帳'!$C$5:$C$1004,$O676)),IF($C676="","",$C676)))</f>
        <v/>
      </c>
      <c r="Q676" s="35">
        <f>IF(OR(NOT(OR($A676&lt;&gt;"",$E676&lt;&gt;"",$F676&lt;&gt;"",$G676&lt;&gt;"",$H676&lt;&gt;"",$I676&lt;&gt;"")),$P676="",$P676&lt;&gt;'売掛帳'!$B$3,NOT(ISNUMBER($A676)),N($G676)+N($H676)+N($I676)=0),"",IF(AND($A676&gt;='売掛帳'!$Q$3,$A676&lt;='売掛帳'!$Q$4),$A676+0.5+ROW()/10000000,""))</f>
        <v/>
      </c>
      <c r="R676" s="32">
        <f>IF(AND(OR($A676&lt;&gt;"",$E676&lt;&gt;"",$F676&lt;&gt;"",$G676&lt;&gt;"",$H676&lt;&gt;"",$I676&lt;&gt;""),NOT(ISNUMBER($O676))),1,"")</f>
        <v/>
      </c>
    </row>
    <row r="677" ht="18" customHeight="1">
      <c r="A677" s="26" t="n"/>
      <c r="B677" s="18" t="n"/>
      <c r="C677" s="18" t="n"/>
      <c r="D677" s="20">
        <f>IF($P677="","",IFERROR(INDEX('得意先'!$C$5:$C$104,MATCH($P677,'得意先'!$B$5:$B$104,0))&amp;"","※得意先にないコード"))</f>
        <v/>
      </c>
      <c r="E677" s="27" t="n"/>
      <c r="F677" s="18" t="n"/>
      <c r="G677" s="27" t="n"/>
      <c r="H677" s="27" t="n"/>
      <c r="I677" s="27" t="n"/>
      <c r="J677" s="28">
        <f>IF(NOT(OR($A677&lt;&gt;"",$E677&lt;&gt;"",$F677&lt;&gt;"",$G677&lt;&gt;"",$H677&lt;&gt;"",$I677&lt;&gt;"")),"",N($G677)+N($H677)+N($I677))</f>
        <v/>
      </c>
      <c r="K677" s="28">
        <f>IF(ISNUMBER($O677),INDEX('請求台帳'!$R$5:$R$1004,$O677),"")</f>
        <v/>
      </c>
      <c r="L677" s="20">
        <f>IF(NOT(OR($A677&lt;&gt;"",$E677&lt;&gt;"",$F677&lt;&gt;"",$G677&lt;&gt;"",$H677&lt;&gt;"",$I677&lt;&gt;"")),"",IF(NOT(ISNUMBER($A677)),"入金日がありません",IF(AND($F677&lt;&gt;"",$O677="なし"),"請求Noが請求台帳にありません",IF(AND(ISNUMBER($O677),$C677&lt;&gt;"",$C677&lt;&gt;$P677),"請求の得意先は "&amp;$P677&amp;" です",IF(ROUND(IF($B677&lt;&gt;"",SUMIF($B$5:$B$1004,$B677,$E$5:$E$1004)-SUMIF($B$5:$B$1004,$B677,$G$5:$G$1004),N($E677)-N($G677)),0)&lt;&gt;0,"通帳の額と当てた額の差 "&amp;TEXT(IF($B677&lt;&gt;"",SUMIF($B$5:$B$1004,$B677,$E$5:$E$1004)-SUMIF($B$5:$B$1004,$B677,$G$5:$G$1004),N($E677)-N($G677)),"#,##0"),IF(AND(ISNUMBER($O677),N($K677)&lt;0),"請求額より多く消し込んでいます",IF($F677="","消込先が未定","OK")))))))</f>
        <v/>
      </c>
      <c r="M677" s="19" t="n"/>
      <c r="N677" s="56" t="n"/>
      <c r="O677" s="32">
        <f>IF($F677="","",IFERROR(MATCH($F677,'請求台帳'!$A$5:$A$1004,0),"なし"))</f>
        <v/>
      </c>
      <c r="P677" s="37">
        <f>IF(NOT(OR($A677&lt;&gt;"",$E677&lt;&gt;"",$F677&lt;&gt;"",$G677&lt;&gt;"",$H677&lt;&gt;"",$I677&lt;&gt;"")),"",IF(ISNUMBER($O677),IF(INDEX('請求台帳'!$C$5:$C$1004,$O677)="","",INDEX('請求台帳'!$C$5:$C$1004,$O677)),IF($C677="","",$C677)))</f>
        <v/>
      </c>
      <c r="Q677" s="35">
        <f>IF(OR(NOT(OR($A677&lt;&gt;"",$E677&lt;&gt;"",$F677&lt;&gt;"",$G677&lt;&gt;"",$H677&lt;&gt;"",$I677&lt;&gt;"")),$P677="",$P677&lt;&gt;'売掛帳'!$B$3,NOT(ISNUMBER($A677)),N($G677)+N($H677)+N($I677)=0),"",IF(AND($A677&gt;='売掛帳'!$Q$3,$A677&lt;='売掛帳'!$Q$4),$A677+0.5+ROW()/10000000,""))</f>
        <v/>
      </c>
      <c r="R677" s="32">
        <f>IF(AND(OR($A677&lt;&gt;"",$E677&lt;&gt;"",$F677&lt;&gt;"",$G677&lt;&gt;"",$H677&lt;&gt;"",$I677&lt;&gt;""),NOT(ISNUMBER($O677))),1,"")</f>
        <v/>
      </c>
    </row>
    <row r="678" ht="18" customHeight="1">
      <c r="A678" s="26" t="n"/>
      <c r="B678" s="18" t="n"/>
      <c r="C678" s="18" t="n"/>
      <c r="D678" s="20">
        <f>IF($P678="","",IFERROR(INDEX('得意先'!$C$5:$C$104,MATCH($P678,'得意先'!$B$5:$B$104,0))&amp;"","※得意先にないコード"))</f>
        <v/>
      </c>
      <c r="E678" s="27" t="n"/>
      <c r="F678" s="18" t="n"/>
      <c r="G678" s="27" t="n"/>
      <c r="H678" s="27" t="n"/>
      <c r="I678" s="27" t="n"/>
      <c r="J678" s="28">
        <f>IF(NOT(OR($A678&lt;&gt;"",$E678&lt;&gt;"",$F678&lt;&gt;"",$G678&lt;&gt;"",$H678&lt;&gt;"",$I678&lt;&gt;"")),"",N($G678)+N($H678)+N($I678))</f>
        <v/>
      </c>
      <c r="K678" s="28">
        <f>IF(ISNUMBER($O678),INDEX('請求台帳'!$R$5:$R$1004,$O678),"")</f>
        <v/>
      </c>
      <c r="L678" s="20">
        <f>IF(NOT(OR($A678&lt;&gt;"",$E678&lt;&gt;"",$F678&lt;&gt;"",$G678&lt;&gt;"",$H678&lt;&gt;"",$I678&lt;&gt;"")),"",IF(NOT(ISNUMBER($A678)),"入金日がありません",IF(AND($F678&lt;&gt;"",$O678="なし"),"請求Noが請求台帳にありません",IF(AND(ISNUMBER($O678),$C678&lt;&gt;"",$C678&lt;&gt;$P678),"請求の得意先は "&amp;$P678&amp;" です",IF(ROUND(IF($B678&lt;&gt;"",SUMIF($B$5:$B$1004,$B678,$E$5:$E$1004)-SUMIF($B$5:$B$1004,$B678,$G$5:$G$1004),N($E678)-N($G678)),0)&lt;&gt;0,"通帳の額と当てた額の差 "&amp;TEXT(IF($B678&lt;&gt;"",SUMIF($B$5:$B$1004,$B678,$E$5:$E$1004)-SUMIF($B$5:$B$1004,$B678,$G$5:$G$1004),N($E678)-N($G678)),"#,##0"),IF(AND(ISNUMBER($O678),N($K678)&lt;0),"請求額より多く消し込んでいます",IF($F678="","消込先が未定","OK")))))))</f>
        <v/>
      </c>
      <c r="M678" s="19" t="n"/>
      <c r="N678" s="56" t="n"/>
      <c r="O678" s="32">
        <f>IF($F678="","",IFERROR(MATCH($F678,'請求台帳'!$A$5:$A$1004,0),"なし"))</f>
        <v/>
      </c>
      <c r="P678" s="37">
        <f>IF(NOT(OR($A678&lt;&gt;"",$E678&lt;&gt;"",$F678&lt;&gt;"",$G678&lt;&gt;"",$H678&lt;&gt;"",$I678&lt;&gt;"")),"",IF(ISNUMBER($O678),IF(INDEX('請求台帳'!$C$5:$C$1004,$O678)="","",INDEX('請求台帳'!$C$5:$C$1004,$O678)),IF($C678="","",$C678)))</f>
        <v/>
      </c>
      <c r="Q678" s="35">
        <f>IF(OR(NOT(OR($A678&lt;&gt;"",$E678&lt;&gt;"",$F678&lt;&gt;"",$G678&lt;&gt;"",$H678&lt;&gt;"",$I678&lt;&gt;"")),$P678="",$P678&lt;&gt;'売掛帳'!$B$3,NOT(ISNUMBER($A678)),N($G678)+N($H678)+N($I678)=0),"",IF(AND($A678&gt;='売掛帳'!$Q$3,$A678&lt;='売掛帳'!$Q$4),$A678+0.5+ROW()/10000000,""))</f>
        <v/>
      </c>
      <c r="R678" s="32">
        <f>IF(AND(OR($A678&lt;&gt;"",$E678&lt;&gt;"",$F678&lt;&gt;"",$G678&lt;&gt;"",$H678&lt;&gt;"",$I678&lt;&gt;""),NOT(ISNUMBER($O678))),1,"")</f>
        <v/>
      </c>
    </row>
    <row r="679" ht="18" customHeight="1">
      <c r="A679" s="26" t="n"/>
      <c r="B679" s="18" t="n"/>
      <c r="C679" s="18" t="n"/>
      <c r="D679" s="20">
        <f>IF($P679="","",IFERROR(INDEX('得意先'!$C$5:$C$104,MATCH($P679,'得意先'!$B$5:$B$104,0))&amp;"","※得意先にないコード"))</f>
        <v/>
      </c>
      <c r="E679" s="27" t="n"/>
      <c r="F679" s="18" t="n"/>
      <c r="G679" s="27" t="n"/>
      <c r="H679" s="27" t="n"/>
      <c r="I679" s="27" t="n"/>
      <c r="J679" s="28">
        <f>IF(NOT(OR($A679&lt;&gt;"",$E679&lt;&gt;"",$F679&lt;&gt;"",$G679&lt;&gt;"",$H679&lt;&gt;"",$I679&lt;&gt;"")),"",N($G679)+N($H679)+N($I679))</f>
        <v/>
      </c>
      <c r="K679" s="28">
        <f>IF(ISNUMBER($O679),INDEX('請求台帳'!$R$5:$R$1004,$O679),"")</f>
        <v/>
      </c>
      <c r="L679" s="20">
        <f>IF(NOT(OR($A679&lt;&gt;"",$E679&lt;&gt;"",$F679&lt;&gt;"",$G679&lt;&gt;"",$H679&lt;&gt;"",$I679&lt;&gt;"")),"",IF(NOT(ISNUMBER($A679)),"入金日がありません",IF(AND($F679&lt;&gt;"",$O679="なし"),"請求Noが請求台帳にありません",IF(AND(ISNUMBER($O679),$C679&lt;&gt;"",$C679&lt;&gt;$P679),"請求の得意先は "&amp;$P679&amp;" です",IF(ROUND(IF($B679&lt;&gt;"",SUMIF($B$5:$B$1004,$B679,$E$5:$E$1004)-SUMIF($B$5:$B$1004,$B679,$G$5:$G$1004),N($E679)-N($G679)),0)&lt;&gt;0,"通帳の額と当てた額の差 "&amp;TEXT(IF($B679&lt;&gt;"",SUMIF($B$5:$B$1004,$B679,$E$5:$E$1004)-SUMIF($B$5:$B$1004,$B679,$G$5:$G$1004),N($E679)-N($G679)),"#,##0"),IF(AND(ISNUMBER($O679),N($K679)&lt;0),"請求額より多く消し込んでいます",IF($F679="","消込先が未定","OK")))))))</f>
        <v/>
      </c>
      <c r="M679" s="19" t="n"/>
      <c r="N679" s="56" t="n"/>
      <c r="O679" s="32">
        <f>IF($F679="","",IFERROR(MATCH($F679,'請求台帳'!$A$5:$A$1004,0),"なし"))</f>
        <v/>
      </c>
      <c r="P679" s="37">
        <f>IF(NOT(OR($A679&lt;&gt;"",$E679&lt;&gt;"",$F679&lt;&gt;"",$G679&lt;&gt;"",$H679&lt;&gt;"",$I679&lt;&gt;"")),"",IF(ISNUMBER($O679),IF(INDEX('請求台帳'!$C$5:$C$1004,$O679)="","",INDEX('請求台帳'!$C$5:$C$1004,$O679)),IF($C679="","",$C679)))</f>
        <v/>
      </c>
      <c r="Q679" s="35">
        <f>IF(OR(NOT(OR($A679&lt;&gt;"",$E679&lt;&gt;"",$F679&lt;&gt;"",$G679&lt;&gt;"",$H679&lt;&gt;"",$I679&lt;&gt;"")),$P679="",$P679&lt;&gt;'売掛帳'!$B$3,NOT(ISNUMBER($A679)),N($G679)+N($H679)+N($I679)=0),"",IF(AND($A679&gt;='売掛帳'!$Q$3,$A679&lt;='売掛帳'!$Q$4),$A679+0.5+ROW()/10000000,""))</f>
        <v/>
      </c>
      <c r="R679" s="32">
        <f>IF(AND(OR($A679&lt;&gt;"",$E679&lt;&gt;"",$F679&lt;&gt;"",$G679&lt;&gt;"",$H679&lt;&gt;"",$I679&lt;&gt;""),NOT(ISNUMBER($O679))),1,"")</f>
        <v/>
      </c>
    </row>
    <row r="680" ht="18" customHeight="1">
      <c r="A680" s="26" t="n"/>
      <c r="B680" s="18" t="n"/>
      <c r="C680" s="18" t="n"/>
      <c r="D680" s="20">
        <f>IF($P680="","",IFERROR(INDEX('得意先'!$C$5:$C$104,MATCH($P680,'得意先'!$B$5:$B$104,0))&amp;"","※得意先にないコード"))</f>
        <v/>
      </c>
      <c r="E680" s="27" t="n"/>
      <c r="F680" s="18" t="n"/>
      <c r="G680" s="27" t="n"/>
      <c r="H680" s="27" t="n"/>
      <c r="I680" s="27" t="n"/>
      <c r="J680" s="28">
        <f>IF(NOT(OR($A680&lt;&gt;"",$E680&lt;&gt;"",$F680&lt;&gt;"",$G680&lt;&gt;"",$H680&lt;&gt;"",$I680&lt;&gt;"")),"",N($G680)+N($H680)+N($I680))</f>
        <v/>
      </c>
      <c r="K680" s="28">
        <f>IF(ISNUMBER($O680),INDEX('請求台帳'!$R$5:$R$1004,$O680),"")</f>
        <v/>
      </c>
      <c r="L680" s="20">
        <f>IF(NOT(OR($A680&lt;&gt;"",$E680&lt;&gt;"",$F680&lt;&gt;"",$G680&lt;&gt;"",$H680&lt;&gt;"",$I680&lt;&gt;"")),"",IF(NOT(ISNUMBER($A680)),"入金日がありません",IF(AND($F680&lt;&gt;"",$O680="なし"),"請求Noが請求台帳にありません",IF(AND(ISNUMBER($O680),$C680&lt;&gt;"",$C680&lt;&gt;$P680),"請求の得意先は "&amp;$P680&amp;" です",IF(ROUND(IF($B680&lt;&gt;"",SUMIF($B$5:$B$1004,$B680,$E$5:$E$1004)-SUMIF($B$5:$B$1004,$B680,$G$5:$G$1004),N($E680)-N($G680)),0)&lt;&gt;0,"通帳の額と当てた額の差 "&amp;TEXT(IF($B680&lt;&gt;"",SUMIF($B$5:$B$1004,$B680,$E$5:$E$1004)-SUMIF($B$5:$B$1004,$B680,$G$5:$G$1004),N($E680)-N($G680)),"#,##0"),IF(AND(ISNUMBER($O680),N($K680)&lt;0),"請求額より多く消し込んでいます",IF($F680="","消込先が未定","OK")))))))</f>
        <v/>
      </c>
      <c r="M680" s="19" t="n"/>
      <c r="N680" s="56" t="n"/>
      <c r="O680" s="32">
        <f>IF($F680="","",IFERROR(MATCH($F680,'請求台帳'!$A$5:$A$1004,0),"なし"))</f>
        <v/>
      </c>
      <c r="P680" s="37">
        <f>IF(NOT(OR($A680&lt;&gt;"",$E680&lt;&gt;"",$F680&lt;&gt;"",$G680&lt;&gt;"",$H680&lt;&gt;"",$I680&lt;&gt;"")),"",IF(ISNUMBER($O680),IF(INDEX('請求台帳'!$C$5:$C$1004,$O680)="","",INDEX('請求台帳'!$C$5:$C$1004,$O680)),IF($C680="","",$C680)))</f>
        <v/>
      </c>
      <c r="Q680" s="35">
        <f>IF(OR(NOT(OR($A680&lt;&gt;"",$E680&lt;&gt;"",$F680&lt;&gt;"",$G680&lt;&gt;"",$H680&lt;&gt;"",$I680&lt;&gt;"")),$P680="",$P680&lt;&gt;'売掛帳'!$B$3,NOT(ISNUMBER($A680)),N($G680)+N($H680)+N($I680)=0),"",IF(AND($A680&gt;='売掛帳'!$Q$3,$A680&lt;='売掛帳'!$Q$4),$A680+0.5+ROW()/10000000,""))</f>
        <v/>
      </c>
      <c r="R680" s="32">
        <f>IF(AND(OR($A680&lt;&gt;"",$E680&lt;&gt;"",$F680&lt;&gt;"",$G680&lt;&gt;"",$H680&lt;&gt;"",$I680&lt;&gt;""),NOT(ISNUMBER($O680))),1,"")</f>
        <v/>
      </c>
    </row>
    <row r="681" ht="18" customHeight="1">
      <c r="A681" s="26" t="n"/>
      <c r="B681" s="18" t="n"/>
      <c r="C681" s="18" t="n"/>
      <c r="D681" s="20">
        <f>IF($P681="","",IFERROR(INDEX('得意先'!$C$5:$C$104,MATCH($P681,'得意先'!$B$5:$B$104,0))&amp;"","※得意先にないコード"))</f>
        <v/>
      </c>
      <c r="E681" s="27" t="n"/>
      <c r="F681" s="18" t="n"/>
      <c r="G681" s="27" t="n"/>
      <c r="H681" s="27" t="n"/>
      <c r="I681" s="27" t="n"/>
      <c r="J681" s="28">
        <f>IF(NOT(OR($A681&lt;&gt;"",$E681&lt;&gt;"",$F681&lt;&gt;"",$G681&lt;&gt;"",$H681&lt;&gt;"",$I681&lt;&gt;"")),"",N($G681)+N($H681)+N($I681))</f>
        <v/>
      </c>
      <c r="K681" s="28">
        <f>IF(ISNUMBER($O681),INDEX('請求台帳'!$R$5:$R$1004,$O681),"")</f>
        <v/>
      </c>
      <c r="L681" s="20">
        <f>IF(NOT(OR($A681&lt;&gt;"",$E681&lt;&gt;"",$F681&lt;&gt;"",$G681&lt;&gt;"",$H681&lt;&gt;"",$I681&lt;&gt;"")),"",IF(NOT(ISNUMBER($A681)),"入金日がありません",IF(AND($F681&lt;&gt;"",$O681="なし"),"請求Noが請求台帳にありません",IF(AND(ISNUMBER($O681),$C681&lt;&gt;"",$C681&lt;&gt;$P681),"請求の得意先は "&amp;$P681&amp;" です",IF(ROUND(IF($B681&lt;&gt;"",SUMIF($B$5:$B$1004,$B681,$E$5:$E$1004)-SUMIF($B$5:$B$1004,$B681,$G$5:$G$1004),N($E681)-N($G681)),0)&lt;&gt;0,"通帳の額と当てた額の差 "&amp;TEXT(IF($B681&lt;&gt;"",SUMIF($B$5:$B$1004,$B681,$E$5:$E$1004)-SUMIF($B$5:$B$1004,$B681,$G$5:$G$1004),N($E681)-N($G681)),"#,##0"),IF(AND(ISNUMBER($O681),N($K681)&lt;0),"請求額より多く消し込んでいます",IF($F681="","消込先が未定","OK")))))))</f>
        <v/>
      </c>
      <c r="M681" s="19" t="n"/>
      <c r="N681" s="56" t="n"/>
      <c r="O681" s="32">
        <f>IF($F681="","",IFERROR(MATCH($F681,'請求台帳'!$A$5:$A$1004,0),"なし"))</f>
        <v/>
      </c>
      <c r="P681" s="37">
        <f>IF(NOT(OR($A681&lt;&gt;"",$E681&lt;&gt;"",$F681&lt;&gt;"",$G681&lt;&gt;"",$H681&lt;&gt;"",$I681&lt;&gt;"")),"",IF(ISNUMBER($O681),IF(INDEX('請求台帳'!$C$5:$C$1004,$O681)="","",INDEX('請求台帳'!$C$5:$C$1004,$O681)),IF($C681="","",$C681)))</f>
        <v/>
      </c>
      <c r="Q681" s="35">
        <f>IF(OR(NOT(OR($A681&lt;&gt;"",$E681&lt;&gt;"",$F681&lt;&gt;"",$G681&lt;&gt;"",$H681&lt;&gt;"",$I681&lt;&gt;"")),$P681="",$P681&lt;&gt;'売掛帳'!$B$3,NOT(ISNUMBER($A681)),N($G681)+N($H681)+N($I681)=0),"",IF(AND($A681&gt;='売掛帳'!$Q$3,$A681&lt;='売掛帳'!$Q$4),$A681+0.5+ROW()/10000000,""))</f>
        <v/>
      </c>
      <c r="R681" s="32">
        <f>IF(AND(OR($A681&lt;&gt;"",$E681&lt;&gt;"",$F681&lt;&gt;"",$G681&lt;&gt;"",$H681&lt;&gt;"",$I681&lt;&gt;""),NOT(ISNUMBER($O681))),1,"")</f>
        <v/>
      </c>
    </row>
    <row r="682" ht="18" customHeight="1">
      <c r="A682" s="26" t="n"/>
      <c r="B682" s="18" t="n"/>
      <c r="C682" s="18" t="n"/>
      <c r="D682" s="20">
        <f>IF($P682="","",IFERROR(INDEX('得意先'!$C$5:$C$104,MATCH($P682,'得意先'!$B$5:$B$104,0))&amp;"","※得意先にないコード"))</f>
        <v/>
      </c>
      <c r="E682" s="27" t="n"/>
      <c r="F682" s="18" t="n"/>
      <c r="G682" s="27" t="n"/>
      <c r="H682" s="27" t="n"/>
      <c r="I682" s="27" t="n"/>
      <c r="J682" s="28">
        <f>IF(NOT(OR($A682&lt;&gt;"",$E682&lt;&gt;"",$F682&lt;&gt;"",$G682&lt;&gt;"",$H682&lt;&gt;"",$I682&lt;&gt;"")),"",N($G682)+N($H682)+N($I682))</f>
        <v/>
      </c>
      <c r="K682" s="28">
        <f>IF(ISNUMBER($O682),INDEX('請求台帳'!$R$5:$R$1004,$O682),"")</f>
        <v/>
      </c>
      <c r="L682" s="20">
        <f>IF(NOT(OR($A682&lt;&gt;"",$E682&lt;&gt;"",$F682&lt;&gt;"",$G682&lt;&gt;"",$H682&lt;&gt;"",$I682&lt;&gt;"")),"",IF(NOT(ISNUMBER($A682)),"入金日がありません",IF(AND($F682&lt;&gt;"",$O682="なし"),"請求Noが請求台帳にありません",IF(AND(ISNUMBER($O682),$C682&lt;&gt;"",$C682&lt;&gt;$P682),"請求の得意先は "&amp;$P682&amp;" です",IF(ROUND(IF($B682&lt;&gt;"",SUMIF($B$5:$B$1004,$B682,$E$5:$E$1004)-SUMIF($B$5:$B$1004,$B682,$G$5:$G$1004),N($E682)-N($G682)),0)&lt;&gt;0,"通帳の額と当てた額の差 "&amp;TEXT(IF($B682&lt;&gt;"",SUMIF($B$5:$B$1004,$B682,$E$5:$E$1004)-SUMIF($B$5:$B$1004,$B682,$G$5:$G$1004),N($E682)-N($G682)),"#,##0"),IF(AND(ISNUMBER($O682),N($K682)&lt;0),"請求額より多く消し込んでいます",IF($F682="","消込先が未定","OK")))))))</f>
        <v/>
      </c>
      <c r="M682" s="19" t="n"/>
      <c r="N682" s="56" t="n"/>
      <c r="O682" s="32">
        <f>IF($F682="","",IFERROR(MATCH($F682,'請求台帳'!$A$5:$A$1004,0),"なし"))</f>
        <v/>
      </c>
      <c r="P682" s="37">
        <f>IF(NOT(OR($A682&lt;&gt;"",$E682&lt;&gt;"",$F682&lt;&gt;"",$G682&lt;&gt;"",$H682&lt;&gt;"",$I682&lt;&gt;"")),"",IF(ISNUMBER($O682),IF(INDEX('請求台帳'!$C$5:$C$1004,$O682)="","",INDEX('請求台帳'!$C$5:$C$1004,$O682)),IF($C682="","",$C682)))</f>
        <v/>
      </c>
      <c r="Q682" s="35">
        <f>IF(OR(NOT(OR($A682&lt;&gt;"",$E682&lt;&gt;"",$F682&lt;&gt;"",$G682&lt;&gt;"",$H682&lt;&gt;"",$I682&lt;&gt;"")),$P682="",$P682&lt;&gt;'売掛帳'!$B$3,NOT(ISNUMBER($A682)),N($G682)+N($H682)+N($I682)=0),"",IF(AND($A682&gt;='売掛帳'!$Q$3,$A682&lt;='売掛帳'!$Q$4),$A682+0.5+ROW()/10000000,""))</f>
        <v/>
      </c>
      <c r="R682" s="32">
        <f>IF(AND(OR($A682&lt;&gt;"",$E682&lt;&gt;"",$F682&lt;&gt;"",$G682&lt;&gt;"",$H682&lt;&gt;"",$I682&lt;&gt;""),NOT(ISNUMBER($O682))),1,"")</f>
        <v/>
      </c>
    </row>
    <row r="683" ht="18" customHeight="1">
      <c r="A683" s="26" t="n"/>
      <c r="B683" s="18" t="n"/>
      <c r="C683" s="18" t="n"/>
      <c r="D683" s="20">
        <f>IF($P683="","",IFERROR(INDEX('得意先'!$C$5:$C$104,MATCH($P683,'得意先'!$B$5:$B$104,0))&amp;"","※得意先にないコード"))</f>
        <v/>
      </c>
      <c r="E683" s="27" t="n"/>
      <c r="F683" s="18" t="n"/>
      <c r="G683" s="27" t="n"/>
      <c r="H683" s="27" t="n"/>
      <c r="I683" s="27" t="n"/>
      <c r="J683" s="28">
        <f>IF(NOT(OR($A683&lt;&gt;"",$E683&lt;&gt;"",$F683&lt;&gt;"",$G683&lt;&gt;"",$H683&lt;&gt;"",$I683&lt;&gt;"")),"",N($G683)+N($H683)+N($I683))</f>
        <v/>
      </c>
      <c r="K683" s="28">
        <f>IF(ISNUMBER($O683),INDEX('請求台帳'!$R$5:$R$1004,$O683),"")</f>
        <v/>
      </c>
      <c r="L683" s="20">
        <f>IF(NOT(OR($A683&lt;&gt;"",$E683&lt;&gt;"",$F683&lt;&gt;"",$G683&lt;&gt;"",$H683&lt;&gt;"",$I683&lt;&gt;"")),"",IF(NOT(ISNUMBER($A683)),"入金日がありません",IF(AND($F683&lt;&gt;"",$O683="なし"),"請求Noが請求台帳にありません",IF(AND(ISNUMBER($O683),$C683&lt;&gt;"",$C683&lt;&gt;$P683),"請求の得意先は "&amp;$P683&amp;" です",IF(ROUND(IF($B683&lt;&gt;"",SUMIF($B$5:$B$1004,$B683,$E$5:$E$1004)-SUMIF($B$5:$B$1004,$B683,$G$5:$G$1004),N($E683)-N($G683)),0)&lt;&gt;0,"通帳の額と当てた額の差 "&amp;TEXT(IF($B683&lt;&gt;"",SUMIF($B$5:$B$1004,$B683,$E$5:$E$1004)-SUMIF($B$5:$B$1004,$B683,$G$5:$G$1004),N($E683)-N($G683)),"#,##0"),IF(AND(ISNUMBER($O683),N($K683)&lt;0),"請求額より多く消し込んでいます",IF($F683="","消込先が未定","OK")))))))</f>
        <v/>
      </c>
      <c r="M683" s="19" t="n"/>
      <c r="N683" s="56" t="n"/>
      <c r="O683" s="32">
        <f>IF($F683="","",IFERROR(MATCH($F683,'請求台帳'!$A$5:$A$1004,0),"なし"))</f>
        <v/>
      </c>
      <c r="P683" s="37">
        <f>IF(NOT(OR($A683&lt;&gt;"",$E683&lt;&gt;"",$F683&lt;&gt;"",$G683&lt;&gt;"",$H683&lt;&gt;"",$I683&lt;&gt;"")),"",IF(ISNUMBER($O683),IF(INDEX('請求台帳'!$C$5:$C$1004,$O683)="","",INDEX('請求台帳'!$C$5:$C$1004,$O683)),IF($C683="","",$C683)))</f>
        <v/>
      </c>
      <c r="Q683" s="35">
        <f>IF(OR(NOT(OR($A683&lt;&gt;"",$E683&lt;&gt;"",$F683&lt;&gt;"",$G683&lt;&gt;"",$H683&lt;&gt;"",$I683&lt;&gt;"")),$P683="",$P683&lt;&gt;'売掛帳'!$B$3,NOT(ISNUMBER($A683)),N($G683)+N($H683)+N($I683)=0),"",IF(AND($A683&gt;='売掛帳'!$Q$3,$A683&lt;='売掛帳'!$Q$4),$A683+0.5+ROW()/10000000,""))</f>
        <v/>
      </c>
      <c r="R683" s="32">
        <f>IF(AND(OR($A683&lt;&gt;"",$E683&lt;&gt;"",$F683&lt;&gt;"",$G683&lt;&gt;"",$H683&lt;&gt;"",$I683&lt;&gt;""),NOT(ISNUMBER($O683))),1,"")</f>
        <v/>
      </c>
    </row>
    <row r="684" ht="18" customHeight="1">
      <c r="A684" s="26" t="n"/>
      <c r="B684" s="18" t="n"/>
      <c r="C684" s="18" t="n"/>
      <c r="D684" s="20">
        <f>IF($P684="","",IFERROR(INDEX('得意先'!$C$5:$C$104,MATCH($P684,'得意先'!$B$5:$B$104,0))&amp;"","※得意先にないコード"))</f>
        <v/>
      </c>
      <c r="E684" s="27" t="n"/>
      <c r="F684" s="18" t="n"/>
      <c r="G684" s="27" t="n"/>
      <c r="H684" s="27" t="n"/>
      <c r="I684" s="27" t="n"/>
      <c r="J684" s="28">
        <f>IF(NOT(OR($A684&lt;&gt;"",$E684&lt;&gt;"",$F684&lt;&gt;"",$G684&lt;&gt;"",$H684&lt;&gt;"",$I684&lt;&gt;"")),"",N($G684)+N($H684)+N($I684))</f>
        <v/>
      </c>
      <c r="K684" s="28">
        <f>IF(ISNUMBER($O684),INDEX('請求台帳'!$R$5:$R$1004,$O684),"")</f>
        <v/>
      </c>
      <c r="L684" s="20">
        <f>IF(NOT(OR($A684&lt;&gt;"",$E684&lt;&gt;"",$F684&lt;&gt;"",$G684&lt;&gt;"",$H684&lt;&gt;"",$I684&lt;&gt;"")),"",IF(NOT(ISNUMBER($A684)),"入金日がありません",IF(AND($F684&lt;&gt;"",$O684="なし"),"請求Noが請求台帳にありません",IF(AND(ISNUMBER($O684),$C684&lt;&gt;"",$C684&lt;&gt;$P684),"請求の得意先は "&amp;$P684&amp;" です",IF(ROUND(IF($B684&lt;&gt;"",SUMIF($B$5:$B$1004,$B684,$E$5:$E$1004)-SUMIF($B$5:$B$1004,$B684,$G$5:$G$1004),N($E684)-N($G684)),0)&lt;&gt;0,"通帳の額と当てた額の差 "&amp;TEXT(IF($B684&lt;&gt;"",SUMIF($B$5:$B$1004,$B684,$E$5:$E$1004)-SUMIF($B$5:$B$1004,$B684,$G$5:$G$1004),N($E684)-N($G684)),"#,##0"),IF(AND(ISNUMBER($O684),N($K684)&lt;0),"請求額より多く消し込んでいます",IF($F684="","消込先が未定","OK")))))))</f>
        <v/>
      </c>
      <c r="M684" s="19" t="n"/>
      <c r="N684" s="56" t="n"/>
      <c r="O684" s="32">
        <f>IF($F684="","",IFERROR(MATCH($F684,'請求台帳'!$A$5:$A$1004,0),"なし"))</f>
        <v/>
      </c>
      <c r="P684" s="37">
        <f>IF(NOT(OR($A684&lt;&gt;"",$E684&lt;&gt;"",$F684&lt;&gt;"",$G684&lt;&gt;"",$H684&lt;&gt;"",$I684&lt;&gt;"")),"",IF(ISNUMBER($O684),IF(INDEX('請求台帳'!$C$5:$C$1004,$O684)="","",INDEX('請求台帳'!$C$5:$C$1004,$O684)),IF($C684="","",$C684)))</f>
        <v/>
      </c>
      <c r="Q684" s="35">
        <f>IF(OR(NOT(OR($A684&lt;&gt;"",$E684&lt;&gt;"",$F684&lt;&gt;"",$G684&lt;&gt;"",$H684&lt;&gt;"",$I684&lt;&gt;"")),$P684="",$P684&lt;&gt;'売掛帳'!$B$3,NOT(ISNUMBER($A684)),N($G684)+N($H684)+N($I684)=0),"",IF(AND($A684&gt;='売掛帳'!$Q$3,$A684&lt;='売掛帳'!$Q$4),$A684+0.5+ROW()/10000000,""))</f>
        <v/>
      </c>
      <c r="R684" s="32">
        <f>IF(AND(OR($A684&lt;&gt;"",$E684&lt;&gt;"",$F684&lt;&gt;"",$G684&lt;&gt;"",$H684&lt;&gt;"",$I684&lt;&gt;""),NOT(ISNUMBER($O684))),1,"")</f>
        <v/>
      </c>
    </row>
    <row r="685" ht="18" customHeight="1">
      <c r="A685" s="26" t="n"/>
      <c r="B685" s="18" t="n"/>
      <c r="C685" s="18" t="n"/>
      <c r="D685" s="20">
        <f>IF($P685="","",IFERROR(INDEX('得意先'!$C$5:$C$104,MATCH($P685,'得意先'!$B$5:$B$104,0))&amp;"","※得意先にないコード"))</f>
        <v/>
      </c>
      <c r="E685" s="27" t="n"/>
      <c r="F685" s="18" t="n"/>
      <c r="G685" s="27" t="n"/>
      <c r="H685" s="27" t="n"/>
      <c r="I685" s="27" t="n"/>
      <c r="J685" s="28">
        <f>IF(NOT(OR($A685&lt;&gt;"",$E685&lt;&gt;"",$F685&lt;&gt;"",$G685&lt;&gt;"",$H685&lt;&gt;"",$I685&lt;&gt;"")),"",N($G685)+N($H685)+N($I685))</f>
        <v/>
      </c>
      <c r="K685" s="28">
        <f>IF(ISNUMBER($O685),INDEX('請求台帳'!$R$5:$R$1004,$O685),"")</f>
        <v/>
      </c>
      <c r="L685" s="20">
        <f>IF(NOT(OR($A685&lt;&gt;"",$E685&lt;&gt;"",$F685&lt;&gt;"",$G685&lt;&gt;"",$H685&lt;&gt;"",$I685&lt;&gt;"")),"",IF(NOT(ISNUMBER($A685)),"入金日がありません",IF(AND($F685&lt;&gt;"",$O685="なし"),"請求Noが請求台帳にありません",IF(AND(ISNUMBER($O685),$C685&lt;&gt;"",$C685&lt;&gt;$P685),"請求の得意先は "&amp;$P685&amp;" です",IF(ROUND(IF($B685&lt;&gt;"",SUMIF($B$5:$B$1004,$B685,$E$5:$E$1004)-SUMIF($B$5:$B$1004,$B685,$G$5:$G$1004),N($E685)-N($G685)),0)&lt;&gt;0,"通帳の額と当てた額の差 "&amp;TEXT(IF($B685&lt;&gt;"",SUMIF($B$5:$B$1004,$B685,$E$5:$E$1004)-SUMIF($B$5:$B$1004,$B685,$G$5:$G$1004),N($E685)-N($G685)),"#,##0"),IF(AND(ISNUMBER($O685),N($K685)&lt;0),"請求額より多く消し込んでいます",IF($F685="","消込先が未定","OK")))))))</f>
        <v/>
      </c>
      <c r="M685" s="19" t="n"/>
      <c r="N685" s="56" t="n"/>
      <c r="O685" s="32">
        <f>IF($F685="","",IFERROR(MATCH($F685,'請求台帳'!$A$5:$A$1004,0),"なし"))</f>
        <v/>
      </c>
      <c r="P685" s="37">
        <f>IF(NOT(OR($A685&lt;&gt;"",$E685&lt;&gt;"",$F685&lt;&gt;"",$G685&lt;&gt;"",$H685&lt;&gt;"",$I685&lt;&gt;"")),"",IF(ISNUMBER($O685),IF(INDEX('請求台帳'!$C$5:$C$1004,$O685)="","",INDEX('請求台帳'!$C$5:$C$1004,$O685)),IF($C685="","",$C685)))</f>
        <v/>
      </c>
      <c r="Q685" s="35">
        <f>IF(OR(NOT(OR($A685&lt;&gt;"",$E685&lt;&gt;"",$F685&lt;&gt;"",$G685&lt;&gt;"",$H685&lt;&gt;"",$I685&lt;&gt;"")),$P685="",$P685&lt;&gt;'売掛帳'!$B$3,NOT(ISNUMBER($A685)),N($G685)+N($H685)+N($I685)=0),"",IF(AND($A685&gt;='売掛帳'!$Q$3,$A685&lt;='売掛帳'!$Q$4),$A685+0.5+ROW()/10000000,""))</f>
        <v/>
      </c>
      <c r="R685" s="32">
        <f>IF(AND(OR($A685&lt;&gt;"",$E685&lt;&gt;"",$F685&lt;&gt;"",$G685&lt;&gt;"",$H685&lt;&gt;"",$I685&lt;&gt;""),NOT(ISNUMBER($O685))),1,"")</f>
        <v/>
      </c>
    </row>
    <row r="686" ht="18" customHeight="1">
      <c r="A686" s="26" t="n"/>
      <c r="B686" s="18" t="n"/>
      <c r="C686" s="18" t="n"/>
      <c r="D686" s="20">
        <f>IF($P686="","",IFERROR(INDEX('得意先'!$C$5:$C$104,MATCH($P686,'得意先'!$B$5:$B$104,0))&amp;"","※得意先にないコード"))</f>
        <v/>
      </c>
      <c r="E686" s="27" t="n"/>
      <c r="F686" s="18" t="n"/>
      <c r="G686" s="27" t="n"/>
      <c r="H686" s="27" t="n"/>
      <c r="I686" s="27" t="n"/>
      <c r="J686" s="28">
        <f>IF(NOT(OR($A686&lt;&gt;"",$E686&lt;&gt;"",$F686&lt;&gt;"",$G686&lt;&gt;"",$H686&lt;&gt;"",$I686&lt;&gt;"")),"",N($G686)+N($H686)+N($I686))</f>
        <v/>
      </c>
      <c r="K686" s="28">
        <f>IF(ISNUMBER($O686),INDEX('請求台帳'!$R$5:$R$1004,$O686),"")</f>
        <v/>
      </c>
      <c r="L686" s="20">
        <f>IF(NOT(OR($A686&lt;&gt;"",$E686&lt;&gt;"",$F686&lt;&gt;"",$G686&lt;&gt;"",$H686&lt;&gt;"",$I686&lt;&gt;"")),"",IF(NOT(ISNUMBER($A686)),"入金日がありません",IF(AND($F686&lt;&gt;"",$O686="なし"),"請求Noが請求台帳にありません",IF(AND(ISNUMBER($O686),$C686&lt;&gt;"",$C686&lt;&gt;$P686),"請求の得意先は "&amp;$P686&amp;" です",IF(ROUND(IF($B686&lt;&gt;"",SUMIF($B$5:$B$1004,$B686,$E$5:$E$1004)-SUMIF($B$5:$B$1004,$B686,$G$5:$G$1004),N($E686)-N($G686)),0)&lt;&gt;0,"通帳の額と当てた額の差 "&amp;TEXT(IF($B686&lt;&gt;"",SUMIF($B$5:$B$1004,$B686,$E$5:$E$1004)-SUMIF($B$5:$B$1004,$B686,$G$5:$G$1004),N($E686)-N($G686)),"#,##0"),IF(AND(ISNUMBER($O686),N($K686)&lt;0),"請求額より多く消し込んでいます",IF($F686="","消込先が未定","OK")))))))</f>
        <v/>
      </c>
      <c r="M686" s="19" t="n"/>
      <c r="N686" s="56" t="n"/>
      <c r="O686" s="32">
        <f>IF($F686="","",IFERROR(MATCH($F686,'請求台帳'!$A$5:$A$1004,0),"なし"))</f>
        <v/>
      </c>
      <c r="P686" s="37">
        <f>IF(NOT(OR($A686&lt;&gt;"",$E686&lt;&gt;"",$F686&lt;&gt;"",$G686&lt;&gt;"",$H686&lt;&gt;"",$I686&lt;&gt;"")),"",IF(ISNUMBER($O686),IF(INDEX('請求台帳'!$C$5:$C$1004,$O686)="","",INDEX('請求台帳'!$C$5:$C$1004,$O686)),IF($C686="","",$C686)))</f>
        <v/>
      </c>
      <c r="Q686" s="35">
        <f>IF(OR(NOT(OR($A686&lt;&gt;"",$E686&lt;&gt;"",$F686&lt;&gt;"",$G686&lt;&gt;"",$H686&lt;&gt;"",$I686&lt;&gt;"")),$P686="",$P686&lt;&gt;'売掛帳'!$B$3,NOT(ISNUMBER($A686)),N($G686)+N($H686)+N($I686)=0),"",IF(AND($A686&gt;='売掛帳'!$Q$3,$A686&lt;='売掛帳'!$Q$4),$A686+0.5+ROW()/10000000,""))</f>
        <v/>
      </c>
      <c r="R686" s="32">
        <f>IF(AND(OR($A686&lt;&gt;"",$E686&lt;&gt;"",$F686&lt;&gt;"",$G686&lt;&gt;"",$H686&lt;&gt;"",$I686&lt;&gt;""),NOT(ISNUMBER($O686))),1,"")</f>
        <v/>
      </c>
    </row>
    <row r="687" ht="18" customHeight="1">
      <c r="A687" s="26" t="n"/>
      <c r="B687" s="18" t="n"/>
      <c r="C687" s="18" t="n"/>
      <c r="D687" s="20">
        <f>IF($P687="","",IFERROR(INDEX('得意先'!$C$5:$C$104,MATCH($P687,'得意先'!$B$5:$B$104,0))&amp;"","※得意先にないコード"))</f>
        <v/>
      </c>
      <c r="E687" s="27" t="n"/>
      <c r="F687" s="18" t="n"/>
      <c r="G687" s="27" t="n"/>
      <c r="H687" s="27" t="n"/>
      <c r="I687" s="27" t="n"/>
      <c r="J687" s="28">
        <f>IF(NOT(OR($A687&lt;&gt;"",$E687&lt;&gt;"",$F687&lt;&gt;"",$G687&lt;&gt;"",$H687&lt;&gt;"",$I687&lt;&gt;"")),"",N($G687)+N($H687)+N($I687))</f>
        <v/>
      </c>
      <c r="K687" s="28">
        <f>IF(ISNUMBER($O687),INDEX('請求台帳'!$R$5:$R$1004,$O687),"")</f>
        <v/>
      </c>
      <c r="L687" s="20">
        <f>IF(NOT(OR($A687&lt;&gt;"",$E687&lt;&gt;"",$F687&lt;&gt;"",$G687&lt;&gt;"",$H687&lt;&gt;"",$I687&lt;&gt;"")),"",IF(NOT(ISNUMBER($A687)),"入金日がありません",IF(AND($F687&lt;&gt;"",$O687="なし"),"請求Noが請求台帳にありません",IF(AND(ISNUMBER($O687),$C687&lt;&gt;"",$C687&lt;&gt;$P687),"請求の得意先は "&amp;$P687&amp;" です",IF(ROUND(IF($B687&lt;&gt;"",SUMIF($B$5:$B$1004,$B687,$E$5:$E$1004)-SUMIF($B$5:$B$1004,$B687,$G$5:$G$1004),N($E687)-N($G687)),0)&lt;&gt;0,"通帳の額と当てた額の差 "&amp;TEXT(IF($B687&lt;&gt;"",SUMIF($B$5:$B$1004,$B687,$E$5:$E$1004)-SUMIF($B$5:$B$1004,$B687,$G$5:$G$1004),N($E687)-N($G687)),"#,##0"),IF(AND(ISNUMBER($O687),N($K687)&lt;0),"請求額より多く消し込んでいます",IF($F687="","消込先が未定","OK")))))))</f>
        <v/>
      </c>
      <c r="M687" s="19" t="n"/>
      <c r="N687" s="56" t="n"/>
      <c r="O687" s="32">
        <f>IF($F687="","",IFERROR(MATCH($F687,'請求台帳'!$A$5:$A$1004,0),"なし"))</f>
        <v/>
      </c>
      <c r="P687" s="37">
        <f>IF(NOT(OR($A687&lt;&gt;"",$E687&lt;&gt;"",$F687&lt;&gt;"",$G687&lt;&gt;"",$H687&lt;&gt;"",$I687&lt;&gt;"")),"",IF(ISNUMBER($O687),IF(INDEX('請求台帳'!$C$5:$C$1004,$O687)="","",INDEX('請求台帳'!$C$5:$C$1004,$O687)),IF($C687="","",$C687)))</f>
        <v/>
      </c>
      <c r="Q687" s="35">
        <f>IF(OR(NOT(OR($A687&lt;&gt;"",$E687&lt;&gt;"",$F687&lt;&gt;"",$G687&lt;&gt;"",$H687&lt;&gt;"",$I687&lt;&gt;"")),$P687="",$P687&lt;&gt;'売掛帳'!$B$3,NOT(ISNUMBER($A687)),N($G687)+N($H687)+N($I687)=0),"",IF(AND($A687&gt;='売掛帳'!$Q$3,$A687&lt;='売掛帳'!$Q$4),$A687+0.5+ROW()/10000000,""))</f>
        <v/>
      </c>
      <c r="R687" s="32">
        <f>IF(AND(OR($A687&lt;&gt;"",$E687&lt;&gt;"",$F687&lt;&gt;"",$G687&lt;&gt;"",$H687&lt;&gt;"",$I687&lt;&gt;""),NOT(ISNUMBER($O687))),1,"")</f>
        <v/>
      </c>
    </row>
    <row r="688" ht="18" customHeight="1">
      <c r="A688" s="26" t="n"/>
      <c r="B688" s="18" t="n"/>
      <c r="C688" s="18" t="n"/>
      <c r="D688" s="20">
        <f>IF($P688="","",IFERROR(INDEX('得意先'!$C$5:$C$104,MATCH($P688,'得意先'!$B$5:$B$104,0))&amp;"","※得意先にないコード"))</f>
        <v/>
      </c>
      <c r="E688" s="27" t="n"/>
      <c r="F688" s="18" t="n"/>
      <c r="G688" s="27" t="n"/>
      <c r="H688" s="27" t="n"/>
      <c r="I688" s="27" t="n"/>
      <c r="J688" s="28">
        <f>IF(NOT(OR($A688&lt;&gt;"",$E688&lt;&gt;"",$F688&lt;&gt;"",$G688&lt;&gt;"",$H688&lt;&gt;"",$I688&lt;&gt;"")),"",N($G688)+N($H688)+N($I688))</f>
        <v/>
      </c>
      <c r="K688" s="28">
        <f>IF(ISNUMBER($O688),INDEX('請求台帳'!$R$5:$R$1004,$O688),"")</f>
        <v/>
      </c>
      <c r="L688" s="20">
        <f>IF(NOT(OR($A688&lt;&gt;"",$E688&lt;&gt;"",$F688&lt;&gt;"",$G688&lt;&gt;"",$H688&lt;&gt;"",$I688&lt;&gt;"")),"",IF(NOT(ISNUMBER($A688)),"入金日がありません",IF(AND($F688&lt;&gt;"",$O688="なし"),"請求Noが請求台帳にありません",IF(AND(ISNUMBER($O688),$C688&lt;&gt;"",$C688&lt;&gt;$P688),"請求の得意先は "&amp;$P688&amp;" です",IF(ROUND(IF($B688&lt;&gt;"",SUMIF($B$5:$B$1004,$B688,$E$5:$E$1004)-SUMIF($B$5:$B$1004,$B688,$G$5:$G$1004),N($E688)-N($G688)),0)&lt;&gt;0,"通帳の額と当てた額の差 "&amp;TEXT(IF($B688&lt;&gt;"",SUMIF($B$5:$B$1004,$B688,$E$5:$E$1004)-SUMIF($B$5:$B$1004,$B688,$G$5:$G$1004),N($E688)-N($G688)),"#,##0"),IF(AND(ISNUMBER($O688),N($K688)&lt;0),"請求額より多く消し込んでいます",IF($F688="","消込先が未定","OK")))))))</f>
        <v/>
      </c>
      <c r="M688" s="19" t="n"/>
      <c r="N688" s="56" t="n"/>
      <c r="O688" s="32">
        <f>IF($F688="","",IFERROR(MATCH($F688,'請求台帳'!$A$5:$A$1004,0),"なし"))</f>
        <v/>
      </c>
      <c r="P688" s="37">
        <f>IF(NOT(OR($A688&lt;&gt;"",$E688&lt;&gt;"",$F688&lt;&gt;"",$G688&lt;&gt;"",$H688&lt;&gt;"",$I688&lt;&gt;"")),"",IF(ISNUMBER($O688),IF(INDEX('請求台帳'!$C$5:$C$1004,$O688)="","",INDEX('請求台帳'!$C$5:$C$1004,$O688)),IF($C688="","",$C688)))</f>
        <v/>
      </c>
      <c r="Q688" s="35">
        <f>IF(OR(NOT(OR($A688&lt;&gt;"",$E688&lt;&gt;"",$F688&lt;&gt;"",$G688&lt;&gt;"",$H688&lt;&gt;"",$I688&lt;&gt;"")),$P688="",$P688&lt;&gt;'売掛帳'!$B$3,NOT(ISNUMBER($A688)),N($G688)+N($H688)+N($I688)=0),"",IF(AND($A688&gt;='売掛帳'!$Q$3,$A688&lt;='売掛帳'!$Q$4),$A688+0.5+ROW()/10000000,""))</f>
        <v/>
      </c>
      <c r="R688" s="32">
        <f>IF(AND(OR($A688&lt;&gt;"",$E688&lt;&gt;"",$F688&lt;&gt;"",$G688&lt;&gt;"",$H688&lt;&gt;"",$I688&lt;&gt;""),NOT(ISNUMBER($O688))),1,"")</f>
        <v/>
      </c>
    </row>
    <row r="689" ht="18" customHeight="1">
      <c r="A689" s="26" t="n"/>
      <c r="B689" s="18" t="n"/>
      <c r="C689" s="18" t="n"/>
      <c r="D689" s="20">
        <f>IF($P689="","",IFERROR(INDEX('得意先'!$C$5:$C$104,MATCH($P689,'得意先'!$B$5:$B$104,0))&amp;"","※得意先にないコード"))</f>
        <v/>
      </c>
      <c r="E689" s="27" t="n"/>
      <c r="F689" s="18" t="n"/>
      <c r="G689" s="27" t="n"/>
      <c r="H689" s="27" t="n"/>
      <c r="I689" s="27" t="n"/>
      <c r="J689" s="28">
        <f>IF(NOT(OR($A689&lt;&gt;"",$E689&lt;&gt;"",$F689&lt;&gt;"",$G689&lt;&gt;"",$H689&lt;&gt;"",$I689&lt;&gt;"")),"",N($G689)+N($H689)+N($I689))</f>
        <v/>
      </c>
      <c r="K689" s="28">
        <f>IF(ISNUMBER($O689),INDEX('請求台帳'!$R$5:$R$1004,$O689),"")</f>
        <v/>
      </c>
      <c r="L689" s="20">
        <f>IF(NOT(OR($A689&lt;&gt;"",$E689&lt;&gt;"",$F689&lt;&gt;"",$G689&lt;&gt;"",$H689&lt;&gt;"",$I689&lt;&gt;"")),"",IF(NOT(ISNUMBER($A689)),"入金日がありません",IF(AND($F689&lt;&gt;"",$O689="なし"),"請求Noが請求台帳にありません",IF(AND(ISNUMBER($O689),$C689&lt;&gt;"",$C689&lt;&gt;$P689),"請求の得意先は "&amp;$P689&amp;" です",IF(ROUND(IF($B689&lt;&gt;"",SUMIF($B$5:$B$1004,$B689,$E$5:$E$1004)-SUMIF($B$5:$B$1004,$B689,$G$5:$G$1004),N($E689)-N($G689)),0)&lt;&gt;0,"通帳の額と当てた額の差 "&amp;TEXT(IF($B689&lt;&gt;"",SUMIF($B$5:$B$1004,$B689,$E$5:$E$1004)-SUMIF($B$5:$B$1004,$B689,$G$5:$G$1004),N($E689)-N($G689)),"#,##0"),IF(AND(ISNUMBER($O689),N($K689)&lt;0),"請求額より多く消し込んでいます",IF($F689="","消込先が未定","OK")))))))</f>
        <v/>
      </c>
      <c r="M689" s="19" t="n"/>
      <c r="N689" s="56" t="n"/>
      <c r="O689" s="32">
        <f>IF($F689="","",IFERROR(MATCH($F689,'請求台帳'!$A$5:$A$1004,0),"なし"))</f>
        <v/>
      </c>
      <c r="P689" s="37">
        <f>IF(NOT(OR($A689&lt;&gt;"",$E689&lt;&gt;"",$F689&lt;&gt;"",$G689&lt;&gt;"",$H689&lt;&gt;"",$I689&lt;&gt;"")),"",IF(ISNUMBER($O689),IF(INDEX('請求台帳'!$C$5:$C$1004,$O689)="","",INDEX('請求台帳'!$C$5:$C$1004,$O689)),IF($C689="","",$C689)))</f>
        <v/>
      </c>
      <c r="Q689" s="35">
        <f>IF(OR(NOT(OR($A689&lt;&gt;"",$E689&lt;&gt;"",$F689&lt;&gt;"",$G689&lt;&gt;"",$H689&lt;&gt;"",$I689&lt;&gt;"")),$P689="",$P689&lt;&gt;'売掛帳'!$B$3,NOT(ISNUMBER($A689)),N($G689)+N($H689)+N($I689)=0),"",IF(AND($A689&gt;='売掛帳'!$Q$3,$A689&lt;='売掛帳'!$Q$4),$A689+0.5+ROW()/10000000,""))</f>
        <v/>
      </c>
      <c r="R689" s="32">
        <f>IF(AND(OR($A689&lt;&gt;"",$E689&lt;&gt;"",$F689&lt;&gt;"",$G689&lt;&gt;"",$H689&lt;&gt;"",$I689&lt;&gt;""),NOT(ISNUMBER($O689))),1,"")</f>
        <v/>
      </c>
    </row>
    <row r="690" ht="18" customHeight="1">
      <c r="A690" s="26" t="n"/>
      <c r="B690" s="18" t="n"/>
      <c r="C690" s="18" t="n"/>
      <c r="D690" s="20">
        <f>IF($P690="","",IFERROR(INDEX('得意先'!$C$5:$C$104,MATCH($P690,'得意先'!$B$5:$B$104,0))&amp;"","※得意先にないコード"))</f>
        <v/>
      </c>
      <c r="E690" s="27" t="n"/>
      <c r="F690" s="18" t="n"/>
      <c r="G690" s="27" t="n"/>
      <c r="H690" s="27" t="n"/>
      <c r="I690" s="27" t="n"/>
      <c r="J690" s="28">
        <f>IF(NOT(OR($A690&lt;&gt;"",$E690&lt;&gt;"",$F690&lt;&gt;"",$G690&lt;&gt;"",$H690&lt;&gt;"",$I690&lt;&gt;"")),"",N($G690)+N($H690)+N($I690))</f>
        <v/>
      </c>
      <c r="K690" s="28">
        <f>IF(ISNUMBER($O690),INDEX('請求台帳'!$R$5:$R$1004,$O690),"")</f>
        <v/>
      </c>
      <c r="L690" s="20">
        <f>IF(NOT(OR($A690&lt;&gt;"",$E690&lt;&gt;"",$F690&lt;&gt;"",$G690&lt;&gt;"",$H690&lt;&gt;"",$I690&lt;&gt;"")),"",IF(NOT(ISNUMBER($A690)),"入金日がありません",IF(AND($F690&lt;&gt;"",$O690="なし"),"請求Noが請求台帳にありません",IF(AND(ISNUMBER($O690),$C690&lt;&gt;"",$C690&lt;&gt;$P690),"請求の得意先は "&amp;$P690&amp;" です",IF(ROUND(IF($B690&lt;&gt;"",SUMIF($B$5:$B$1004,$B690,$E$5:$E$1004)-SUMIF($B$5:$B$1004,$B690,$G$5:$G$1004),N($E690)-N($G690)),0)&lt;&gt;0,"通帳の額と当てた額の差 "&amp;TEXT(IF($B690&lt;&gt;"",SUMIF($B$5:$B$1004,$B690,$E$5:$E$1004)-SUMIF($B$5:$B$1004,$B690,$G$5:$G$1004),N($E690)-N($G690)),"#,##0"),IF(AND(ISNUMBER($O690),N($K690)&lt;0),"請求額より多く消し込んでいます",IF($F690="","消込先が未定","OK")))))))</f>
        <v/>
      </c>
      <c r="M690" s="19" t="n"/>
      <c r="N690" s="56" t="n"/>
      <c r="O690" s="32">
        <f>IF($F690="","",IFERROR(MATCH($F690,'請求台帳'!$A$5:$A$1004,0),"なし"))</f>
        <v/>
      </c>
      <c r="P690" s="37">
        <f>IF(NOT(OR($A690&lt;&gt;"",$E690&lt;&gt;"",$F690&lt;&gt;"",$G690&lt;&gt;"",$H690&lt;&gt;"",$I690&lt;&gt;"")),"",IF(ISNUMBER($O690),IF(INDEX('請求台帳'!$C$5:$C$1004,$O690)="","",INDEX('請求台帳'!$C$5:$C$1004,$O690)),IF($C690="","",$C690)))</f>
        <v/>
      </c>
      <c r="Q690" s="35">
        <f>IF(OR(NOT(OR($A690&lt;&gt;"",$E690&lt;&gt;"",$F690&lt;&gt;"",$G690&lt;&gt;"",$H690&lt;&gt;"",$I690&lt;&gt;"")),$P690="",$P690&lt;&gt;'売掛帳'!$B$3,NOT(ISNUMBER($A690)),N($G690)+N($H690)+N($I690)=0),"",IF(AND($A690&gt;='売掛帳'!$Q$3,$A690&lt;='売掛帳'!$Q$4),$A690+0.5+ROW()/10000000,""))</f>
        <v/>
      </c>
      <c r="R690" s="32">
        <f>IF(AND(OR($A690&lt;&gt;"",$E690&lt;&gt;"",$F690&lt;&gt;"",$G690&lt;&gt;"",$H690&lt;&gt;"",$I690&lt;&gt;""),NOT(ISNUMBER($O690))),1,"")</f>
        <v/>
      </c>
    </row>
    <row r="691" ht="18" customHeight="1">
      <c r="A691" s="26" t="n"/>
      <c r="B691" s="18" t="n"/>
      <c r="C691" s="18" t="n"/>
      <c r="D691" s="20">
        <f>IF($P691="","",IFERROR(INDEX('得意先'!$C$5:$C$104,MATCH($P691,'得意先'!$B$5:$B$104,0))&amp;"","※得意先にないコード"))</f>
        <v/>
      </c>
      <c r="E691" s="27" t="n"/>
      <c r="F691" s="18" t="n"/>
      <c r="G691" s="27" t="n"/>
      <c r="H691" s="27" t="n"/>
      <c r="I691" s="27" t="n"/>
      <c r="J691" s="28">
        <f>IF(NOT(OR($A691&lt;&gt;"",$E691&lt;&gt;"",$F691&lt;&gt;"",$G691&lt;&gt;"",$H691&lt;&gt;"",$I691&lt;&gt;"")),"",N($G691)+N($H691)+N($I691))</f>
        <v/>
      </c>
      <c r="K691" s="28">
        <f>IF(ISNUMBER($O691),INDEX('請求台帳'!$R$5:$R$1004,$O691),"")</f>
        <v/>
      </c>
      <c r="L691" s="20">
        <f>IF(NOT(OR($A691&lt;&gt;"",$E691&lt;&gt;"",$F691&lt;&gt;"",$G691&lt;&gt;"",$H691&lt;&gt;"",$I691&lt;&gt;"")),"",IF(NOT(ISNUMBER($A691)),"入金日がありません",IF(AND($F691&lt;&gt;"",$O691="なし"),"請求Noが請求台帳にありません",IF(AND(ISNUMBER($O691),$C691&lt;&gt;"",$C691&lt;&gt;$P691),"請求の得意先は "&amp;$P691&amp;" です",IF(ROUND(IF($B691&lt;&gt;"",SUMIF($B$5:$B$1004,$B691,$E$5:$E$1004)-SUMIF($B$5:$B$1004,$B691,$G$5:$G$1004),N($E691)-N($G691)),0)&lt;&gt;0,"通帳の額と当てた額の差 "&amp;TEXT(IF($B691&lt;&gt;"",SUMIF($B$5:$B$1004,$B691,$E$5:$E$1004)-SUMIF($B$5:$B$1004,$B691,$G$5:$G$1004),N($E691)-N($G691)),"#,##0"),IF(AND(ISNUMBER($O691),N($K691)&lt;0),"請求額より多く消し込んでいます",IF($F691="","消込先が未定","OK")))))))</f>
        <v/>
      </c>
      <c r="M691" s="19" t="n"/>
      <c r="N691" s="56" t="n"/>
      <c r="O691" s="32">
        <f>IF($F691="","",IFERROR(MATCH($F691,'請求台帳'!$A$5:$A$1004,0),"なし"))</f>
        <v/>
      </c>
      <c r="P691" s="37">
        <f>IF(NOT(OR($A691&lt;&gt;"",$E691&lt;&gt;"",$F691&lt;&gt;"",$G691&lt;&gt;"",$H691&lt;&gt;"",$I691&lt;&gt;"")),"",IF(ISNUMBER($O691),IF(INDEX('請求台帳'!$C$5:$C$1004,$O691)="","",INDEX('請求台帳'!$C$5:$C$1004,$O691)),IF($C691="","",$C691)))</f>
        <v/>
      </c>
      <c r="Q691" s="35">
        <f>IF(OR(NOT(OR($A691&lt;&gt;"",$E691&lt;&gt;"",$F691&lt;&gt;"",$G691&lt;&gt;"",$H691&lt;&gt;"",$I691&lt;&gt;"")),$P691="",$P691&lt;&gt;'売掛帳'!$B$3,NOT(ISNUMBER($A691)),N($G691)+N($H691)+N($I691)=0),"",IF(AND($A691&gt;='売掛帳'!$Q$3,$A691&lt;='売掛帳'!$Q$4),$A691+0.5+ROW()/10000000,""))</f>
        <v/>
      </c>
      <c r="R691" s="32">
        <f>IF(AND(OR($A691&lt;&gt;"",$E691&lt;&gt;"",$F691&lt;&gt;"",$G691&lt;&gt;"",$H691&lt;&gt;"",$I691&lt;&gt;""),NOT(ISNUMBER($O691))),1,"")</f>
        <v/>
      </c>
    </row>
    <row r="692" ht="18" customHeight="1">
      <c r="A692" s="26" t="n"/>
      <c r="B692" s="18" t="n"/>
      <c r="C692" s="18" t="n"/>
      <c r="D692" s="20">
        <f>IF($P692="","",IFERROR(INDEX('得意先'!$C$5:$C$104,MATCH($P692,'得意先'!$B$5:$B$104,0))&amp;"","※得意先にないコード"))</f>
        <v/>
      </c>
      <c r="E692" s="27" t="n"/>
      <c r="F692" s="18" t="n"/>
      <c r="G692" s="27" t="n"/>
      <c r="H692" s="27" t="n"/>
      <c r="I692" s="27" t="n"/>
      <c r="J692" s="28">
        <f>IF(NOT(OR($A692&lt;&gt;"",$E692&lt;&gt;"",$F692&lt;&gt;"",$G692&lt;&gt;"",$H692&lt;&gt;"",$I692&lt;&gt;"")),"",N($G692)+N($H692)+N($I692))</f>
        <v/>
      </c>
      <c r="K692" s="28">
        <f>IF(ISNUMBER($O692),INDEX('請求台帳'!$R$5:$R$1004,$O692),"")</f>
        <v/>
      </c>
      <c r="L692" s="20">
        <f>IF(NOT(OR($A692&lt;&gt;"",$E692&lt;&gt;"",$F692&lt;&gt;"",$G692&lt;&gt;"",$H692&lt;&gt;"",$I692&lt;&gt;"")),"",IF(NOT(ISNUMBER($A692)),"入金日がありません",IF(AND($F692&lt;&gt;"",$O692="なし"),"請求Noが請求台帳にありません",IF(AND(ISNUMBER($O692),$C692&lt;&gt;"",$C692&lt;&gt;$P692),"請求の得意先は "&amp;$P692&amp;" です",IF(ROUND(IF($B692&lt;&gt;"",SUMIF($B$5:$B$1004,$B692,$E$5:$E$1004)-SUMIF($B$5:$B$1004,$B692,$G$5:$G$1004),N($E692)-N($G692)),0)&lt;&gt;0,"通帳の額と当てた額の差 "&amp;TEXT(IF($B692&lt;&gt;"",SUMIF($B$5:$B$1004,$B692,$E$5:$E$1004)-SUMIF($B$5:$B$1004,$B692,$G$5:$G$1004),N($E692)-N($G692)),"#,##0"),IF(AND(ISNUMBER($O692),N($K692)&lt;0),"請求額より多く消し込んでいます",IF($F692="","消込先が未定","OK")))))))</f>
        <v/>
      </c>
      <c r="M692" s="19" t="n"/>
      <c r="N692" s="56" t="n"/>
      <c r="O692" s="32">
        <f>IF($F692="","",IFERROR(MATCH($F692,'請求台帳'!$A$5:$A$1004,0),"なし"))</f>
        <v/>
      </c>
      <c r="P692" s="37">
        <f>IF(NOT(OR($A692&lt;&gt;"",$E692&lt;&gt;"",$F692&lt;&gt;"",$G692&lt;&gt;"",$H692&lt;&gt;"",$I692&lt;&gt;"")),"",IF(ISNUMBER($O692),IF(INDEX('請求台帳'!$C$5:$C$1004,$O692)="","",INDEX('請求台帳'!$C$5:$C$1004,$O692)),IF($C692="","",$C692)))</f>
        <v/>
      </c>
      <c r="Q692" s="35">
        <f>IF(OR(NOT(OR($A692&lt;&gt;"",$E692&lt;&gt;"",$F692&lt;&gt;"",$G692&lt;&gt;"",$H692&lt;&gt;"",$I692&lt;&gt;"")),$P692="",$P692&lt;&gt;'売掛帳'!$B$3,NOT(ISNUMBER($A692)),N($G692)+N($H692)+N($I692)=0),"",IF(AND($A692&gt;='売掛帳'!$Q$3,$A692&lt;='売掛帳'!$Q$4),$A692+0.5+ROW()/10000000,""))</f>
        <v/>
      </c>
      <c r="R692" s="32">
        <f>IF(AND(OR($A692&lt;&gt;"",$E692&lt;&gt;"",$F692&lt;&gt;"",$G692&lt;&gt;"",$H692&lt;&gt;"",$I692&lt;&gt;""),NOT(ISNUMBER($O692))),1,"")</f>
        <v/>
      </c>
    </row>
    <row r="693" ht="18" customHeight="1">
      <c r="A693" s="26" t="n"/>
      <c r="B693" s="18" t="n"/>
      <c r="C693" s="18" t="n"/>
      <c r="D693" s="20">
        <f>IF($P693="","",IFERROR(INDEX('得意先'!$C$5:$C$104,MATCH($P693,'得意先'!$B$5:$B$104,0))&amp;"","※得意先にないコード"))</f>
        <v/>
      </c>
      <c r="E693" s="27" t="n"/>
      <c r="F693" s="18" t="n"/>
      <c r="G693" s="27" t="n"/>
      <c r="H693" s="27" t="n"/>
      <c r="I693" s="27" t="n"/>
      <c r="J693" s="28">
        <f>IF(NOT(OR($A693&lt;&gt;"",$E693&lt;&gt;"",$F693&lt;&gt;"",$G693&lt;&gt;"",$H693&lt;&gt;"",$I693&lt;&gt;"")),"",N($G693)+N($H693)+N($I693))</f>
        <v/>
      </c>
      <c r="K693" s="28">
        <f>IF(ISNUMBER($O693),INDEX('請求台帳'!$R$5:$R$1004,$O693),"")</f>
        <v/>
      </c>
      <c r="L693" s="20">
        <f>IF(NOT(OR($A693&lt;&gt;"",$E693&lt;&gt;"",$F693&lt;&gt;"",$G693&lt;&gt;"",$H693&lt;&gt;"",$I693&lt;&gt;"")),"",IF(NOT(ISNUMBER($A693)),"入金日がありません",IF(AND($F693&lt;&gt;"",$O693="なし"),"請求Noが請求台帳にありません",IF(AND(ISNUMBER($O693),$C693&lt;&gt;"",$C693&lt;&gt;$P693),"請求の得意先は "&amp;$P693&amp;" です",IF(ROUND(IF($B693&lt;&gt;"",SUMIF($B$5:$B$1004,$B693,$E$5:$E$1004)-SUMIF($B$5:$B$1004,$B693,$G$5:$G$1004),N($E693)-N($G693)),0)&lt;&gt;0,"通帳の額と当てた額の差 "&amp;TEXT(IF($B693&lt;&gt;"",SUMIF($B$5:$B$1004,$B693,$E$5:$E$1004)-SUMIF($B$5:$B$1004,$B693,$G$5:$G$1004),N($E693)-N($G693)),"#,##0"),IF(AND(ISNUMBER($O693),N($K693)&lt;0),"請求額より多く消し込んでいます",IF($F693="","消込先が未定","OK")))))))</f>
        <v/>
      </c>
      <c r="M693" s="19" t="n"/>
      <c r="N693" s="56" t="n"/>
      <c r="O693" s="32">
        <f>IF($F693="","",IFERROR(MATCH($F693,'請求台帳'!$A$5:$A$1004,0),"なし"))</f>
        <v/>
      </c>
      <c r="P693" s="37">
        <f>IF(NOT(OR($A693&lt;&gt;"",$E693&lt;&gt;"",$F693&lt;&gt;"",$G693&lt;&gt;"",$H693&lt;&gt;"",$I693&lt;&gt;"")),"",IF(ISNUMBER($O693),IF(INDEX('請求台帳'!$C$5:$C$1004,$O693)="","",INDEX('請求台帳'!$C$5:$C$1004,$O693)),IF($C693="","",$C693)))</f>
        <v/>
      </c>
      <c r="Q693" s="35">
        <f>IF(OR(NOT(OR($A693&lt;&gt;"",$E693&lt;&gt;"",$F693&lt;&gt;"",$G693&lt;&gt;"",$H693&lt;&gt;"",$I693&lt;&gt;"")),$P693="",$P693&lt;&gt;'売掛帳'!$B$3,NOT(ISNUMBER($A693)),N($G693)+N($H693)+N($I693)=0),"",IF(AND($A693&gt;='売掛帳'!$Q$3,$A693&lt;='売掛帳'!$Q$4),$A693+0.5+ROW()/10000000,""))</f>
        <v/>
      </c>
      <c r="R693" s="32">
        <f>IF(AND(OR($A693&lt;&gt;"",$E693&lt;&gt;"",$F693&lt;&gt;"",$G693&lt;&gt;"",$H693&lt;&gt;"",$I693&lt;&gt;""),NOT(ISNUMBER($O693))),1,"")</f>
        <v/>
      </c>
    </row>
    <row r="694" ht="18" customHeight="1">
      <c r="A694" s="26" t="n"/>
      <c r="B694" s="18" t="n"/>
      <c r="C694" s="18" t="n"/>
      <c r="D694" s="20">
        <f>IF($P694="","",IFERROR(INDEX('得意先'!$C$5:$C$104,MATCH($P694,'得意先'!$B$5:$B$104,0))&amp;"","※得意先にないコード"))</f>
        <v/>
      </c>
      <c r="E694" s="27" t="n"/>
      <c r="F694" s="18" t="n"/>
      <c r="G694" s="27" t="n"/>
      <c r="H694" s="27" t="n"/>
      <c r="I694" s="27" t="n"/>
      <c r="J694" s="28">
        <f>IF(NOT(OR($A694&lt;&gt;"",$E694&lt;&gt;"",$F694&lt;&gt;"",$G694&lt;&gt;"",$H694&lt;&gt;"",$I694&lt;&gt;"")),"",N($G694)+N($H694)+N($I694))</f>
        <v/>
      </c>
      <c r="K694" s="28">
        <f>IF(ISNUMBER($O694),INDEX('請求台帳'!$R$5:$R$1004,$O694),"")</f>
        <v/>
      </c>
      <c r="L694" s="20">
        <f>IF(NOT(OR($A694&lt;&gt;"",$E694&lt;&gt;"",$F694&lt;&gt;"",$G694&lt;&gt;"",$H694&lt;&gt;"",$I694&lt;&gt;"")),"",IF(NOT(ISNUMBER($A694)),"入金日がありません",IF(AND($F694&lt;&gt;"",$O694="なし"),"請求Noが請求台帳にありません",IF(AND(ISNUMBER($O694),$C694&lt;&gt;"",$C694&lt;&gt;$P694),"請求の得意先は "&amp;$P694&amp;" です",IF(ROUND(IF($B694&lt;&gt;"",SUMIF($B$5:$B$1004,$B694,$E$5:$E$1004)-SUMIF($B$5:$B$1004,$B694,$G$5:$G$1004),N($E694)-N($G694)),0)&lt;&gt;0,"通帳の額と当てた額の差 "&amp;TEXT(IF($B694&lt;&gt;"",SUMIF($B$5:$B$1004,$B694,$E$5:$E$1004)-SUMIF($B$5:$B$1004,$B694,$G$5:$G$1004),N($E694)-N($G694)),"#,##0"),IF(AND(ISNUMBER($O694),N($K694)&lt;0),"請求額より多く消し込んでいます",IF($F694="","消込先が未定","OK")))))))</f>
        <v/>
      </c>
      <c r="M694" s="19" t="n"/>
      <c r="N694" s="56" t="n"/>
      <c r="O694" s="32">
        <f>IF($F694="","",IFERROR(MATCH($F694,'請求台帳'!$A$5:$A$1004,0),"なし"))</f>
        <v/>
      </c>
      <c r="P694" s="37">
        <f>IF(NOT(OR($A694&lt;&gt;"",$E694&lt;&gt;"",$F694&lt;&gt;"",$G694&lt;&gt;"",$H694&lt;&gt;"",$I694&lt;&gt;"")),"",IF(ISNUMBER($O694),IF(INDEX('請求台帳'!$C$5:$C$1004,$O694)="","",INDEX('請求台帳'!$C$5:$C$1004,$O694)),IF($C694="","",$C694)))</f>
        <v/>
      </c>
      <c r="Q694" s="35">
        <f>IF(OR(NOT(OR($A694&lt;&gt;"",$E694&lt;&gt;"",$F694&lt;&gt;"",$G694&lt;&gt;"",$H694&lt;&gt;"",$I694&lt;&gt;"")),$P694="",$P694&lt;&gt;'売掛帳'!$B$3,NOT(ISNUMBER($A694)),N($G694)+N($H694)+N($I694)=0),"",IF(AND($A694&gt;='売掛帳'!$Q$3,$A694&lt;='売掛帳'!$Q$4),$A694+0.5+ROW()/10000000,""))</f>
        <v/>
      </c>
      <c r="R694" s="32">
        <f>IF(AND(OR($A694&lt;&gt;"",$E694&lt;&gt;"",$F694&lt;&gt;"",$G694&lt;&gt;"",$H694&lt;&gt;"",$I694&lt;&gt;""),NOT(ISNUMBER($O694))),1,"")</f>
        <v/>
      </c>
    </row>
    <row r="695" ht="18" customHeight="1">
      <c r="A695" s="26" t="n"/>
      <c r="B695" s="18" t="n"/>
      <c r="C695" s="18" t="n"/>
      <c r="D695" s="20">
        <f>IF($P695="","",IFERROR(INDEX('得意先'!$C$5:$C$104,MATCH($P695,'得意先'!$B$5:$B$104,0))&amp;"","※得意先にないコード"))</f>
        <v/>
      </c>
      <c r="E695" s="27" t="n"/>
      <c r="F695" s="18" t="n"/>
      <c r="G695" s="27" t="n"/>
      <c r="H695" s="27" t="n"/>
      <c r="I695" s="27" t="n"/>
      <c r="J695" s="28">
        <f>IF(NOT(OR($A695&lt;&gt;"",$E695&lt;&gt;"",$F695&lt;&gt;"",$G695&lt;&gt;"",$H695&lt;&gt;"",$I695&lt;&gt;"")),"",N($G695)+N($H695)+N($I695))</f>
        <v/>
      </c>
      <c r="K695" s="28">
        <f>IF(ISNUMBER($O695),INDEX('請求台帳'!$R$5:$R$1004,$O695),"")</f>
        <v/>
      </c>
      <c r="L695" s="20">
        <f>IF(NOT(OR($A695&lt;&gt;"",$E695&lt;&gt;"",$F695&lt;&gt;"",$G695&lt;&gt;"",$H695&lt;&gt;"",$I695&lt;&gt;"")),"",IF(NOT(ISNUMBER($A695)),"入金日がありません",IF(AND($F695&lt;&gt;"",$O695="なし"),"請求Noが請求台帳にありません",IF(AND(ISNUMBER($O695),$C695&lt;&gt;"",$C695&lt;&gt;$P695),"請求の得意先は "&amp;$P695&amp;" です",IF(ROUND(IF($B695&lt;&gt;"",SUMIF($B$5:$B$1004,$B695,$E$5:$E$1004)-SUMIF($B$5:$B$1004,$B695,$G$5:$G$1004),N($E695)-N($G695)),0)&lt;&gt;0,"通帳の額と当てた額の差 "&amp;TEXT(IF($B695&lt;&gt;"",SUMIF($B$5:$B$1004,$B695,$E$5:$E$1004)-SUMIF($B$5:$B$1004,$B695,$G$5:$G$1004),N($E695)-N($G695)),"#,##0"),IF(AND(ISNUMBER($O695),N($K695)&lt;0),"請求額より多く消し込んでいます",IF($F695="","消込先が未定","OK")))))))</f>
        <v/>
      </c>
      <c r="M695" s="19" t="n"/>
      <c r="N695" s="56" t="n"/>
      <c r="O695" s="32">
        <f>IF($F695="","",IFERROR(MATCH($F695,'請求台帳'!$A$5:$A$1004,0),"なし"))</f>
        <v/>
      </c>
      <c r="P695" s="37">
        <f>IF(NOT(OR($A695&lt;&gt;"",$E695&lt;&gt;"",$F695&lt;&gt;"",$G695&lt;&gt;"",$H695&lt;&gt;"",$I695&lt;&gt;"")),"",IF(ISNUMBER($O695),IF(INDEX('請求台帳'!$C$5:$C$1004,$O695)="","",INDEX('請求台帳'!$C$5:$C$1004,$O695)),IF($C695="","",$C695)))</f>
        <v/>
      </c>
      <c r="Q695" s="35">
        <f>IF(OR(NOT(OR($A695&lt;&gt;"",$E695&lt;&gt;"",$F695&lt;&gt;"",$G695&lt;&gt;"",$H695&lt;&gt;"",$I695&lt;&gt;"")),$P695="",$P695&lt;&gt;'売掛帳'!$B$3,NOT(ISNUMBER($A695)),N($G695)+N($H695)+N($I695)=0),"",IF(AND($A695&gt;='売掛帳'!$Q$3,$A695&lt;='売掛帳'!$Q$4),$A695+0.5+ROW()/10000000,""))</f>
        <v/>
      </c>
      <c r="R695" s="32">
        <f>IF(AND(OR($A695&lt;&gt;"",$E695&lt;&gt;"",$F695&lt;&gt;"",$G695&lt;&gt;"",$H695&lt;&gt;"",$I695&lt;&gt;""),NOT(ISNUMBER($O695))),1,"")</f>
        <v/>
      </c>
    </row>
    <row r="696" ht="18" customHeight="1">
      <c r="A696" s="26" t="n"/>
      <c r="B696" s="18" t="n"/>
      <c r="C696" s="18" t="n"/>
      <c r="D696" s="20">
        <f>IF($P696="","",IFERROR(INDEX('得意先'!$C$5:$C$104,MATCH($P696,'得意先'!$B$5:$B$104,0))&amp;"","※得意先にないコード"))</f>
        <v/>
      </c>
      <c r="E696" s="27" t="n"/>
      <c r="F696" s="18" t="n"/>
      <c r="G696" s="27" t="n"/>
      <c r="H696" s="27" t="n"/>
      <c r="I696" s="27" t="n"/>
      <c r="J696" s="28">
        <f>IF(NOT(OR($A696&lt;&gt;"",$E696&lt;&gt;"",$F696&lt;&gt;"",$G696&lt;&gt;"",$H696&lt;&gt;"",$I696&lt;&gt;"")),"",N($G696)+N($H696)+N($I696))</f>
        <v/>
      </c>
      <c r="K696" s="28">
        <f>IF(ISNUMBER($O696),INDEX('請求台帳'!$R$5:$R$1004,$O696),"")</f>
        <v/>
      </c>
      <c r="L696" s="20">
        <f>IF(NOT(OR($A696&lt;&gt;"",$E696&lt;&gt;"",$F696&lt;&gt;"",$G696&lt;&gt;"",$H696&lt;&gt;"",$I696&lt;&gt;"")),"",IF(NOT(ISNUMBER($A696)),"入金日がありません",IF(AND($F696&lt;&gt;"",$O696="なし"),"請求Noが請求台帳にありません",IF(AND(ISNUMBER($O696),$C696&lt;&gt;"",$C696&lt;&gt;$P696),"請求の得意先は "&amp;$P696&amp;" です",IF(ROUND(IF($B696&lt;&gt;"",SUMIF($B$5:$B$1004,$B696,$E$5:$E$1004)-SUMIF($B$5:$B$1004,$B696,$G$5:$G$1004),N($E696)-N($G696)),0)&lt;&gt;0,"通帳の額と当てた額の差 "&amp;TEXT(IF($B696&lt;&gt;"",SUMIF($B$5:$B$1004,$B696,$E$5:$E$1004)-SUMIF($B$5:$B$1004,$B696,$G$5:$G$1004),N($E696)-N($G696)),"#,##0"),IF(AND(ISNUMBER($O696),N($K696)&lt;0),"請求額より多く消し込んでいます",IF($F696="","消込先が未定","OK")))))))</f>
        <v/>
      </c>
      <c r="M696" s="19" t="n"/>
      <c r="N696" s="56" t="n"/>
      <c r="O696" s="32">
        <f>IF($F696="","",IFERROR(MATCH($F696,'請求台帳'!$A$5:$A$1004,0),"なし"))</f>
        <v/>
      </c>
      <c r="P696" s="37">
        <f>IF(NOT(OR($A696&lt;&gt;"",$E696&lt;&gt;"",$F696&lt;&gt;"",$G696&lt;&gt;"",$H696&lt;&gt;"",$I696&lt;&gt;"")),"",IF(ISNUMBER($O696),IF(INDEX('請求台帳'!$C$5:$C$1004,$O696)="","",INDEX('請求台帳'!$C$5:$C$1004,$O696)),IF($C696="","",$C696)))</f>
        <v/>
      </c>
      <c r="Q696" s="35">
        <f>IF(OR(NOT(OR($A696&lt;&gt;"",$E696&lt;&gt;"",$F696&lt;&gt;"",$G696&lt;&gt;"",$H696&lt;&gt;"",$I696&lt;&gt;"")),$P696="",$P696&lt;&gt;'売掛帳'!$B$3,NOT(ISNUMBER($A696)),N($G696)+N($H696)+N($I696)=0),"",IF(AND($A696&gt;='売掛帳'!$Q$3,$A696&lt;='売掛帳'!$Q$4),$A696+0.5+ROW()/10000000,""))</f>
        <v/>
      </c>
      <c r="R696" s="32">
        <f>IF(AND(OR($A696&lt;&gt;"",$E696&lt;&gt;"",$F696&lt;&gt;"",$G696&lt;&gt;"",$H696&lt;&gt;"",$I696&lt;&gt;""),NOT(ISNUMBER($O696))),1,"")</f>
        <v/>
      </c>
    </row>
    <row r="697" ht="18" customHeight="1">
      <c r="A697" s="26" t="n"/>
      <c r="B697" s="18" t="n"/>
      <c r="C697" s="18" t="n"/>
      <c r="D697" s="20">
        <f>IF($P697="","",IFERROR(INDEX('得意先'!$C$5:$C$104,MATCH($P697,'得意先'!$B$5:$B$104,0))&amp;"","※得意先にないコード"))</f>
        <v/>
      </c>
      <c r="E697" s="27" t="n"/>
      <c r="F697" s="18" t="n"/>
      <c r="G697" s="27" t="n"/>
      <c r="H697" s="27" t="n"/>
      <c r="I697" s="27" t="n"/>
      <c r="J697" s="28">
        <f>IF(NOT(OR($A697&lt;&gt;"",$E697&lt;&gt;"",$F697&lt;&gt;"",$G697&lt;&gt;"",$H697&lt;&gt;"",$I697&lt;&gt;"")),"",N($G697)+N($H697)+N($I697))</f>
        <v/>
      </c>
      <c r="K697" s="28">
        <f>IF(ISNUMBER($O697),INDEX('請求台帳'!$R$5:$R$1004,$O697),"")</f>
        <v/>
      </c>
      <c r="L697" s="20">
        <f>IF(NOT(OR($A697&lt;&gt;"",$E697&lt;&gt;"",$F697&lt;&gt;"",$G697&lt;&gt;"",$H697&lt;&gt;"",$I697&lt;&gt;"")),"",IF(NOT(ISNUMBER($A697)),"入金日がありません",IF(AND($F697&lt;&gt;"",$O697="なし"),"請求Noが請求台帳にありません",IF(AND(ISNUMBER($O697),$C697&lt;&gt;"",$C697&lt;&gt;$P697),"請求の得意先は "&amp;$P697&amp;" です",IF(ROUND(IF($B697&lt;&gt;"",SUMIF($B$5:$B$1004,$B697,$E$5:$E$1004)-SUMIF($B$5:$B$1004,$B697,$G$5:$G$1004),N($E697)-N($G697)),0)&lt;&gt;0,"通帳の額と当てた額の差 "&amp;TEXT(IF($B697&lt;&gt;"",SUMIF($B$5:$B$1004,$B697,$E$5:$E$1004)-SUMIF($B$5:$B$1004,$B697,$G$5:$G$1004),N($E697)-N($G697)),"#,##0"),IF(AND(ISNUMBER($O697),N($K697)&lt;0),"請求額より多く消し込んでいます",IF($F697="","消込先が未定","OK")))))))</f>
        <v/>
      </c>
      <c r="M697" s="19" t="n"/>
      <c r="N697" s="56" t="n"/>
      <c r="O697" s="32">
        <f>IF($F697="","",IFERROR(MATCH($F697,'請求台帳'!$A$5:$A$1004,0),"なし"))</f>
        <v/>
      </c>
      <c r="P697" s="37">
        <f>IF(NOT(OR($A697&lt;&gt;"",$E697&lt;&gt;"",$F697&lt;&gt;"",$G697&lt;&gt;"",$H697&lt;&gt;"",$I697&lt;&gt;"")),"",IF(ISNUMBER($O697),IF(INDEX('請求台帳'!$C$5:$C$1004,$O697)="","",INDEX('請求台帳'!$C$5:$C$1004,$O697)),IF($C697="","",$C697)))</f>
        <v/>
      </c>
      <c r="Q697" s="35">
        <f>IF(OR(NOT(OR($A697&lt;&gt;"",$E697&lt;&gt;"",$F697&lt;&gt;"",$G697&lt;&gt;"",$H697&lt;&gt;"",$I697&lt;&gt;"")),$P697="",$P697&lt;&gt;'売掛帳'!$B$3,NOT(ISNUMBER($A697)),N($G697)+N($H697)+N($I697)=0),"",IF(AND($A697&gt;='売掛帳'!$Q$3,$A697&lt;='売掛帳'!$Q$4),$A697+0.5+ROW()/10000000,""))</f>
        <v/>
      </c>
      <c r="R697" s="32">
        <f>IF(AND(OR($A697&lt;&gt;"",$E697&lt;&gt;"",$F697&lt;&gt;"",$G697&lt;&gt;"",$H697&lt;&gt;"",$I697&lt;&gt;""),NOT(ISNUMBER($O697))),1,"")</f>
        <v/>
      </c>
    </row>
    <row r="698" ht="18" customHeight="1">
      <c r="A698" s="26" t="n"/>
      <c r="B698" s="18" t="n"/>
      <c r="C698" s="18" t="n"/>
      <c r="D698" s="20">
        <f>IF($P698="","",IFERROR(INDEX('得意先'!$C$5:$C$104,MATCH($P698,'得意先'!$B$5:$B$104,0))&amp;"","※得意先にないコード"))</f>
        <v/>
      </c>
      <c r="E698" s="27" t="n"/>
      <c r="F698" s="18" t="n"/>
      <c r="G698" s="27" t="n"/>
      <c r="H698" s="27" t="n"/>
      <c r="I698" s="27" t="n"/>
      <c r="J698" s="28">
        <f>IF(NOT(OR($A698&lt;&gt;"",$E698&lt;&gt;"",$F698&lt;&gt;"",$G698&lt;&gt;"",$H698&lt;&gt;"",$I698&lt;&gt;"")),"",N($G698)+N($H698)+N($I698))</f>
        <v/>
      </c>
      <c r="K698" s="28">
        <f>IF(ISNUMBER($O698),INDEX('請求台帳'!$R$5:$R$1004,$O698),"")</f>
        <v/>
      </c>
      <c r="L698" s="20">
        <f>IF(NOT(OR($A698&lt;&gt;"",$E698&lt;&gt;"",$F698&lt;&gt;"",$G698&lt;&gt;"",$H698&lt;&gt;"",$I698&lt;&gt;"")),"",IF(NOT(ISNUMBER($A698)),"入金日がありません",IF(AND($F698&lt;&gt;"",$O698="なし"),"請求Noが請求台帳にありません",IF(AND(ISNUMBER($O698),$C698&lt;&gt;"",$C698&lt;&gt;$P698),"請求の得意先は "&amp;$P698&amp;" です",IF(ROUND(IF($B698&lt;&gt;"",SUMIF($B$5:$B$1004,$B698,$E$5:$E$1004)-SUMIF($B$5:$B$1004,$B698,$G$5:$G$1004),N($E698)-N($G698)),0)&lt;&gt;0,"通帳の額と当てた額の差 "&amp;TEXT(IF($B698&lt;&gt;"",SUMIF($B$5:$B$1004,$B698,$E$5:$E$1004)-SUMIF($B$5:$B$1004,$B698,$G$5:$G$1004),N($E698)-N($G698)),"#,##0"),IF(AND(ISNUMBER($O698),N($K698)&lt;0),"請求額より多く消し込んでいます",IF($F698="","消込先が未定","OK")))))))</f>
        <v/>
      </c>
      <c r="M698" s="19" t="n"/>
      <c r="N698" s="56" t="n"/>
      <c r="O698" s="32">
        <f>IF($F698="","",IFERROR(MATCH($F698,'請求台帳'!$A$5:$A$1004,0),"なし"))</f>
        <v/>
      </c>
      <c r="P698" s="37">
        <f>IF(NOT(OR($A698&lt;&gt;"",$E698&lt;&gt;"",$F698&lt;&gt;"",$G698&lt;&gt;"",$H698&lt;&gt;"",$I698&lt;&gt;"")),"",IF(ISNUMBER($O698),IF(INDEX('請求台帳'!$C$5:$C$1004,$O698)="","",INDEX('請求台帳'!$C$5:$C$1004,$O698)),IF($C698="","",$C698)))</f>
        <v/>
      </c>
      <c r="Q698" s="35">
        <f>IF(OR(NOT(OR($A698&lt;&gt;"",$E698&lt;&gt;"",$F698&lt;&gt;"",$G698&lt;&gt;"",$H698&lt;&gt;"",$I698&lt;&gt;"")),$P698="",$P698&lt;&gt;'売掛帳'!$B$3,NOT(ISNUMBER($A698)),N($G698)+N($H698)+N($I698)=0),"",IF(AND($A698&gt;='売掛帳'!$Q$3,$A698&lt;='売掛帳'!$Q$4),$A698+0.5+ROW()/10000000,""))</f>
        <v/>
      </c>
      <c r="R698" s="32">
        <f>IF(AND(OR($A698&lt;&gt;"",$E698&lt;&gt;"",$F698&lt;&gt;"",$G698&lt;&gt;"",$H698&lt;&gt;"",$I698&lt;&gt;""),NOT(ISNUMBER($O698))),1,"")</f>
        <v/>
      </c>
    </row>
    <row r="699" ht="18" customHeight="1">
      <c r="A699" s="26" t="n"/>
      <c r="B699" s="18" t="n"/>
      <c r="C699" s="18" t="n"/>
      <c r="D699" s="20">
        <f>IF($P699="","",IFERROR(INDEX('得意先'!$C$5:$C$104,MATCH($P699,'得意先'!$B$5:$B$104,0))&amp;"","※得意先にないコード"))</f>
        <v/>
      </c>
      <c r="E699" s="27" t="n"/>
      <c r="F699" s="18" t="n"/>
      <c r="G699" s="27" t="n"/>
      <c r="H699" s="27" t="n"/>
      <c r="I699" s="27" t="n"/>
      <c r="J699" s="28">
        <f>IF(NOT(OR($A699&lt;&gt;"",$E699&lt;&gt;"",$F699&lt;&gt;"",$G699&lt;&gt;"",$H699&lt;&gt;"",$I699&lt;&gt;"")),"",N($G699)+N($H699)+N($I699))</f>
        <v/>
      </c>
      <c r="K699" s="28">
        <f>IF(ISNUMBER($O699),INDEX('請求台帳'!$R$5:$R$1004,$O699),"")</f>
        <v/>
      </c>
      <c r="L699" s="20">
        <f>IF(NOT(OR($A699&lt;&gt;"",$E699&lt;&gt;"",$F699&lt;&gt;"",$G699&lt;&gt;"",$H699&lt;&gt;"",$I699&lt;&gt;"")),"",IF(NOT(ISNUMBER($A699)),"入金日がありません",IF(AND($F699&lt;&gt;"",$O699="なし"),"請求Noが請求台帳にありません",IF(AND(ISNUMBER($O699),$C699&lt;&gt;"",$C699&lt;&gt;$P699),"請求の得意先は "&amp;$P699&amp;" です",IF(ROUND(IF($B699&lt;&gt;"",SUMIF($B$5:$B$1004,$B699,$E$5:$E$1004)-SUMIF($B$5:$B$1004,$B699,$G$5:$G$1004),N($E699)-N($G699)),0)&lt;&gt;0,"通帳の額と当てた額の差 "&amp;TEXT(IF($B699&lt;&gt;"",SUMIF($B$5:$B$1004,$B699,$E$5:$E$1004)-SUMIF($B$5:$B$1004,$B699,$G$5:$G$1004),N($E699)-N($G699)),"#,##0"),IF(AND(ISNUMBER($O699),N($K699)&lt;0),"請求額より多く消し込んでいます",IF($F699="","消込先が未定","OK")))))))</f>
        <v/>
      </c>
      <c r="M699" s="19" t="n"/>
      <c r="N699" s="56" t="n"/>
      <c r="O699" s="32">
        <f>IF($F699="","",IFERROR(MATCH($F699,'請求台帳'!$A$5:$A$1004,0),"なし"))</f>
        <v/>
      </c>
      <c r="P699" s="37">
        <f>IF(NOT(OR($A699&lt;&gt;"",$E699&lt;&gt;"",$F699&lt;&gt;"",$G699&lt;&gt;"",$H699&lt;&gt;"",$I699&lt;&gt;"")),"",IF(ISNUMBER($O699),IF(INDEX('請求台帳'!$C$5:$C$1004,$O699)="","",INDEX('請求台帳'!$C$5:$C$1004,$O699)),IF($C699="","",$C699)))</f>
        <v/>
      </c>
      <c r="Q699" s="35">
        <f>IF(OR(NOT(OR($A699&lt;&gt;"",$E699&lt;&gt;"",$F699&lt;&gt;"",$G699&lt;&gt;"",$H699&lt;&gt;"",$I699&lt;&gt;"")),$P699="",$P699&lt;&gt;'売掛帳'!$B$3,NOT(ISNUMBER($A699)),N($G699)+N($H699)+N($I699)=0),"",IF(AND($A699&gt;='売掛帳'!$Q$3,$A699&lt;='売掛帳'!$Q$4),$A699+0.5+ROW()/10000000,""))</f>
        <v/>
      </c>
      <c r="R699" s="32">
        <f>IF(AND(OR($A699&lt;&gt;"",$E699&lt;&gt;"",$F699&lt;&gt;"",$G699&lt;&gt;"",$H699&lt;&gt;"",$I699&lt;&gt;""),NOT(ISNUMBER($O699))),1,"")</f>
        <v/>
      </c>
    </row>
    <row r="700" ht="18" customHeight="1">
      <c r="A700" s="26" t="n"/>
      <c r="B700" s="18" t="n"/>
      <c r="C700" s="18" t="n"/>
      <c r="D700" s="20">
        <f>IF($P700="","",IFERROR(INDEX('得意先'!$C$5:$C$104,MATCH($P700,'得意先'!$B$5:$B$104,0))&amp;"","※得意先にないコード"))</f>
        <v/>
      </c>
      <c r="E700" s="27" t="n"/>
      <c r="F700" s="18" t="n"/>
      <c r="G700" s="27" t="n"/>
      <c r="H700" s="27" t="n"/>
      <c r="I700" s="27" t="n"/>
      <c r="J700" s="28">
        <f>IF(NOT(OR($A700&lt;&gt;"",$E700&lt;&gt;"",$F700&lt;&gt;"",$G700&lt;&gt;"",$H700&lt;&gt;"",$I700&lt;&gt;"")),"",N($G700)+N($H700)+N($I700))</f>
        <v/>
      </c>
      <c r="K700" s="28">
        <f>IF(ISNUMBER($O700),INDEX('請求台帳'!$R$5:$R$1004,$O700),"")</f>
        <v/>
      </c>
      <c r="L700" s="20">
        <f>IF(NOT(OR($A700&lt;&gt;"",$E700&lt;&gt;"",$F700&lt;&gt;"",$G700&lt;&gt;"",$H700&lt;&gt;"",$I700&lt;&gt;"")),"",IF(NOT(ISNUMBER($A700)),"入金日がありません",IF(AND($F700&lt;&gt;"",$O700="なし"),"請求Noが請求台帳にありません",IF(AND(ISNUMBER($O700),$C700&lt;&gt;"",$C700&lt;&gt;$P700),"請求の得意先は "&amp;$P700&amp;" です",IF(ROUND(IF($B700&lt;&gt;"",SUMIF($B$5:$B$1004,$B700,$E$5:$E$1004)-SUMIF($B$5:$B$1004,$B700,$G$5:$G$1004),N($E700)-N($G700)),0)&lt;&gt;0,"通帳の額と当てた額の差 "&amp;TEXT(IF($B700&lt;&gt;"",SUMIF($B$5:$B$1004,$B700,$E$5:$E$1004)-SUMIF($B$5:$B$1004,$B700,$G$5:$G$1004),N($E700)-N($G700)),"#,##0"),IF(AND(ISNUMBER($O700),N($K700)&lt;0),"請求額より多く消し込んでいます",IF($F700="","消込先が未定","OK")))))))</f>
        <v/>
      </c>
      <c r="M700" s="19" t="n"/>
      <c r="N700" s="56" t="n"/>
      <c r="O700" s="32">
        <f>IF($F700="","",IFERROR(MATCH($F700,'請求台帳'!$A$5:$A$1004,0),"なし"))</f>
        <v/>
      </c>
      <c r="P700" s="37">
        <f>IF(NOT(OR($A700&lt;&gt;"",$E700&lt;&gt;"",$F700&lt;&gt;"",$G700&lt;&gt;"",$H700&lt;&gt;"",$I700&lt;&gt;"")),"",IF(ISNUMBER($O700),IF(INDEX('請求台帳'!$C$5:$C$1004,$O700)="","",INDEX('請求台帳'!$C$5:$C$1004,$O700)),IF($C700="","",$C700)))</f>
        <v/>
      </c>
      <c r="Q700" s="35">
        <f>IF(OR(NOT(OR($A700&lt;&gt;"",$E700&lt;&gt;"",$F700&lt;&gt;"",$G700&lt;&gt;"",$H700&lt;&gt;"",$I700&lt;&gt;"")),$P700="",$P700&lt;&gt;'売掛帳'!$B$3,NOT(ISNUMBER($A700)),N($G700)+N($H700)+N($I700)=0),"",IF(AND($A700&gt;='売掛帳'!$Q$3,$A700&lt;='売掛帳'!$Q$4),$A700+0.5+ROW()/10000000,""))</f>
        <v/>
      </c>
      <c r="R700" s="32">
        <f>IF(AND(OR($A700&lt;&gt;"",$E700&lt;&gt;"",$F700&lt;&gt;"",$G700&lt;&gt;"",$H700&lt;&gt;"",$I700&lt;&gt;""),NOT(ISNUMBER($O700))),1,"")</f>
        <v/>
      </c>
    </row>
    <row r="701" ht="18" customHeight="1">
      <c r="A701" s="26" t="n"/>
      <c r="B701" s="18" t="n"/>
      <c r="C701" s="18" t="n"/>
      <c r="D701" s="20">
        <f>IF($P701="","",IFERROR(INDEX('得意先'!$C$5:$C$104,MATCH($P701,'得意先'!$B$5:$B$104,0))&amp;"","※得意先にないコード"))</f>
        <v/>
      </c>
      <c r="E701" s="27" t="n"/>
      <c r="F701" s="18" t="n"/>
      <c r="G701" s="27" t="n"/>
      <c r="H701" s="27" t="n"/>
      <c r="I701" s="27" t="n"/>
      <c r="J701" s="28">
        <f>IF(NOT(OR($A701&lt;&gt;"",$E701&lt;&gt;"",$F701&lt;&gt;"",$G701&lt;&gt;"",$H701&lt;&gt;"",$I701&lt;&gt;"")),"",N($G701)+N($H701)+N($I701))</f>
        <v/>
      </c>
      <c r="K701" s="28">
        <f>IF(ISNUMBER($O701),INDEX('請求台帳'!$R$5:$R$1004,$O701),"")</f>
        <v/>
      </c>
      <c r="L701" s="20">
        <f>IF(NOT(OR($A701&lt;&gt;"",$E701&lt;&gt;"",$F701&lt;&gt;"",$G701&lt;&gt;"",$H701&lt;&gt;"",$I701&lt;&gt;"")),"",IF(NOT(ISNUMBER($A701)),"入金日がありません",IF(AND($F701&lt;&gt;"",$O701="なし"),"請求Noが請求台帳にありません",IF(AND(ISNUMBER($O701),$C701&lt;&gt;"",$C701&lt;&gt;$P701),"請求の得意先は "&amp;$P701&amp;" です",IF(ROUND(IF($B701&lt;&gt;"",SUMIF($B$5:$B$1004,$B701,$E$5:$E$1004)-SUMIF($B$5:$B$1004,$B701,$G$5:$G$1004),N($E701)-N($G701)),0)&lt;&gt;0,"通帳の額と当てた額の差 "&amp;TEXT(IF($B701&lt;&gt;"",SUMIF($B$5:$B$1004,$B701,$E$5:$E$1004)-SUMIF($B$5:$B$1004,$B701,$G$5:$G$1004),N($E701)-N($G701)),"#,##0"),IF(AND(ISNUMBER($O701),N($K701)&lt;0),"請求額より多く消し込んでいます",IF($F701="","消込先が未定","OK")))))))</f>
        <v/>
      </c>
      <c r="M701" s="19" t="n"/>
      <c r="N701" s="56" t="n"/>
      <c r="O701" s="32">
        <f>IF($F701="","",IFERROR(MATCH($F701,'請求台帳'!$A$5:$A$1004,0),"なし"))</f>
        <v/>
      </c>
      <c r="P701" s="37">
        <f>IF(NOT(OR($A701&lt;&gt;"",$E701&lt;&gt;"",$F701&lt;&gt;"",$G701&lt;&gt;"",$H701&lt;&gt;"",$I701&lt;&gt;"")),"",IF(ISNUMBER($O701),IF(INDEX('請求台帳'!$C$5:$C$1004,$O701)="","",INDEX('請求台帳'!$C$5:$C$1004,$O701)),IF($C701="","",$C701)))</f>
        <v/>
      </c>
      <c r="Q701" s="35">
        <f>IF(OR(NOT(OR($A701&lt;&gt;"",$E701&lt;&gt;"",$F701&lt;&gt;"",$G701&lt;&gt;"",$H701&lt;&gt;"",$I701&lt;&gt;"")),$P701="",$P701&lt;&gt;'売掛帳'!$B$3,NOT(ISNUMBER($A701)),N($G701)+N($H701)+N($I701)=0),"",IF(AND($A701&gt;='売掛帳'!$Q$3,$A701&lt;='売掛帳'!$Q$4),$A701+0.5+ROW()/10000000,""))</f>
        <v/>
      </c>
      <c r="R701" s="32">
        <f>IF(AND(OR($A701&lt;&gt;"",$E701&lt;&gt;"",$F701&lt;&gt;"",$G701&lt;&gt;"",$H701&lt;&gt;"",$I701&lt;&gt;""),NOT(ISNUMBER($O701))),1,"")</f>
        <v/>
      </c>
    </row>
    <row r="702" ht="18" customHeight="1">
      <c r="A702" s="26" t="n"/>
      <c r="B702" s="18" t="n"/>
      <c r="C702" s="18" t="n"/>
      <c r="D702" s="20">
        <f>IF($P702="","",IFERROR(INDEX('得意先'!$C$5:$C$104,MATCH($P702,'得意先'!$B$5:$B$104,0))&amp;"","※得意先にないコード"))</f>
        <v/>
      </c>
      <c r="E702" s="27" t="n"/>
      <c r="F702" s="18" t="n"/>
      <c r="G702" s="27" t="n"/>
      <c r="H702" s="27" t="n"/>
      <c r="I702" s="27" t="n"/>
      <c r="J702" s="28">
        <f>IF(NOT(OR($A702&lt;&gt;"",$E702&lt;&gt;"",$F702&lt;&gt;"",$G702&lt;&gt;"",$H702&lt;&gt;"",$I702&lt;&gt;"")),"",N($G702)+N($H702)+N($I702))</f>
        <v/>
      </c>
      <c r="K702" s="28">
        <f>IF(ISNUMBER($O702),INDEX('請求台帳'!$R$5:$R$1004,$O702),"")</f>
        <v/>
      </c>
      <c r="L702" s="20">
        <f>IF(NOT(OR($A702&lt;&gt;"",$E702&lt;&gt;"",$F702&lt;&gt;"",$G702&lt;&gt;"",$H702&lt;&gt;"",$I702&lt;&gt;"")),"",IF(NOT(ISNUMBER($A702)),"入金日がありません",IF(AND($F702&lt;&gt;"",$O702="なし"),"請求Noが請求台帳にありません",IF(AND(ISNUMBER($O702),$C702&lt;&gt;"",$C702&lt;&gt;$P702),"請求の得意先は "&amp;$P702&amp;" です",IF(ROUND(IF($B702&lt;&gt;"",SUMIF($B$5:$B$1004,$B702,$E$5:$E$1004)-SUMIF($B$5:$B$1004,$B702,$G$5:$G$1004),N($E702)-N($G702)),0)&lt;&gt;0,"通帳の額と当てた額の差 "&amp;TEXT(IF($B702&lt;&gt;"",SUMIF($B$5:$B$1004,$B702,$E$5:$E$1004)-SUMIF($B$5:$B$1004,$B702,$G$5:$G$1004),N($E702)-N($G702)),"#,##0"),IF(AND(ISNUMBER($O702),N($K702)&lt;0),"請求額より多く消し込んでいます",IF($F702="","消込先が未定","OK")))))))</f>
        <v/>
      </c>
      <c r="M702" s="19" t="n"/>
      <c r="N702" s="56" t="n"/>
      <c r="O702" s="32">
        <f>IF($F702="","",IFERROR(MATCH($F702,'請求台帳'!$A$5:$A$1004,0),"なし"))</f>
        <v/>
      </c>
      <c r="P702" s="37">
        <f>IF(NOT(OR($A702&lt;&gt;"",$E702&lt;&gt;"",$F702&lt;&gt;"",$G702&lt;&gt;"",$H702&lt;&gt;"",$I702&lt;&gt;"")),"",IF(ISNUMBER($O702),IF(INDEX('請求台帳'!$C$5:$C$1004,$O702)="","",INDEX('請求台帳'!$C$5:$C$1004,$O702)),IF($C702="","",$C702)))</f>
        <v/>
      </c>
      <c r="Q702" s="35">
        <f>IF(OR(NOT(OR($A702&lt;&gt;"",$E702&lt;&gt;"",$F702&lt;&gt;"",$G702&lt;&gt;"",$H702&lt;&gt;"",$I702&lt;&gt;"")),$P702="",$P702&lt;&gt;'売掛帳'!$B$3,NOT(ISNUMBER($A702)),N($G702)+N($H702)+N($I702)=0),"",IF(AND($A702&gt;='売掛帳'!$Q$3,$A702&lt;='売掛帳'!$Q$4),$A702+0.5+ROW()/10000000,""))</f>
        <v/>
      </c>
      <c r="R702" s="32">
        <f>IF(AND(OR($A702&lt;&gt;"",$E702&lt;&gt;"",$F702&lt;&gt;"",$G702&lt;&gt;"",$H702&lt;&gt;"",$I702&lt;&gt;""),NOT(ISNUMBER($O702))),1,"")</f>
        <v/>
      </c>
    </row>
    <row r="703" ht="18" customHeight="1">
      <c r="A703" s="26" t="n"/>
      <c r="B703" s="18" t="n"/>
      <c r="C703" s="18" t="n"/>
      <c r="D703" s="20">
        <f>IF($P703="","",IFERROR(INDEX('得意先'!$C$5:$C$104,MATCH($P703,'得意先'!$B$5:$B$104,0))&amp;"","※得意先にないコード"))</f>
        <v/>
      </c>
      <c r="E703" s="27" t="n"/>
      <c r="F703" s="18" t="n"/>
      <c r="G703" s="27" t="n"/>
      <c r="H703" s="27" t="n"/>
      <c r="I703" s="27" t="n"/>
      <c r="J703" s="28">
        <f>IF(NOT(OR($A703&lt;&gt;"",$E703&lt;&gt;"",$F703&lt;&gt;"",$G703&lt;&gt;"",$H703&lt;&gt;"",$I703&lt;&gt;"")),"",N($G703)+N($H703)+N($I703))</f>
        <v/>
      </c>
      <c r="K703" s="28">
        <f>IF(ISNUMBER($O703),INDEX('請求台帳'!$R$5:$R$1004,$O703),"")</f>
        <v/>
      </c>
      <c r="L703" s="20">
        <f>IF(NOT(OR($A703&lt;&gt;"",$E703&lt;&gt;"",$F703&lt;&gt;"",$G703&lt;&gt;"",$H703&lt;&gt;"",$I703&lt;&gt;"")),"",IF(NOT(ISNUMBER($A703)),"入金日がありません",IF(AND($F703&lt;&gt;"",$O703="なし"),"請求Noが請求台帳にありません",IF(AND(ISNUMBER($O703),$C703&lt;&gt;"",$C703&lt;&gt;$P703),"請求の得意先は "&amp;$P703&amp;" です",IF(ROUND(IF($B703&lt;&gt;"",SUMIF($B$5:$B$1004,$B703,$E$5:$E$1004)-SUMIF($B$5:$B$1004,$B703,$G$5:$G$1004),N($E703)-N($G703)),0)&lt;&gt;0,"通帳の額と当てた額の差 "&amp;TEXT(IF($B703&lt;&gt;"",SUMIF($B$5:$B$1004,$B703,$E$5:$E$1004)-SUMIF($B$5:$B$1004,$B703,$G$5:$G$1004),N($E703)-N($G703)),"#,##0"),IF(AND(ISNUMBER($O703),N($K703)&lt;0),"請求額より多く消し込んでいます",IF($F703="","消込先が未定","OK")))))))</f>
        <v/>
      </c>
      <c r="M703" s="19" t="n"/>
      <c r="N703" s="56" t="n"/>
      <c r="O703" s="32">
        <f>IF($F703="","",IFERROR(MATCH($F703,'請求台帳'!$A$5:$A$1004,0),"なし"))</f>
        <v/>
      </c>
      <c r="P703" s="37">
        <f>IF(NOT(OR($A703&lt;&gt;"",$E703&lt;&gt;"",$F703&lt;&gt;"",$G703&lt;&gt;"",$H703&lt;&gt;"",$I703&lt;&gt;"")),"",IF(ISNUMBER($O703),IF(INDEX('請求台帳'!$C$5:$C$1004,$O703)="","",INDEX('請求台帳'!$C$5:$C$1004,$O703)),IF($C703="","",$C703)))</f>
        <v/>
      </c>
      <c r="Q703" s="35">
        <f>IF(OR(NOT(OR($A703&lt;&gt;"",$E703&lt;&gt;"",$F703&lt;&gt;"",$G703&lt;&gt;"",$H703&lt;&gt;"",$I703&lt;&gt;"")),$P703="",$P703&lt;&gt;'売掛帳'!$B$3,NOT(ISNUMBER($A703)),N($G703)+N($H703)+N($I703)=0),"",IF(AND($A703&gt;='売掛帳'!$Q$3,$A703&lt;='売掛帳'!$Q$4),$A703+0.5+ROW()/10000000,""))</f>
        <v/>
      </c>
      <c r="R703" s="32">
        <f>IF(AND(OR($A703&lt;&gt;"",$E703&lt;&gt;"",$F703&lt;&gt;"",$G703&lt;&gt;"",$H703&lt;&gt;"",$I703&lt;&gt;""),NOT(ISNUMBER($O703))),1,"")</f>
        <v/>
      </c>
    </row>
    <row r="704" ht="18" customHeight="1">
      <c r="A704" s="26" t="n"/>
      <c r="B704" s="18" t="n"/>
      <c r="C704" s="18" t="n"/>
      <c r="D704" s="20">
        <f>IF($P704="","",IFERROR(INDEX('得意先'!$C$5:$C$104,MATCH($P704,'得意先'!$B$5:$B$104,0))&amp;"","※得意先にないコード"))</f>
        <v/>
      </c>
      <c r="E704" s="27" t="n"/>
      <c r="F704" s="18" t="n"/>
      <c r="G704" s="27" t="n"/>
      <c r="H704" s="27" t="n"/>
      <c r="I704" s="27" t="n"/>
      <c r="J704" s="28">
        <f>IF(NOT(OR($A704&lt;&gt;"",$E704&lt;&gt;"",$F704&lt;&gt;"",$G704&lt;&gt;"",$H704&lt;&gt;"",$I704&lt;&gt;"")),"",N($G704)+N($H704)+N($I704))</f>
        <v/>
      </c>
      <c r="K704" s="28">
        <f>IF(ISNUMBER($O704),INDEX('請求台帳'!$R$5:$R$1004,$O704),"")</f>
        <v/>
      </c>
      <c r="L704" s="20">
        <f>IF(NOT(OR($A704&lt;&gt;"",$E704&lt;&gt;"",$F704&lt;&gt;"",$G704&lt;&gt;"",$H704&lt;&gt;"",$I704&lt;&gt;"")),"",IF(NOT(ISNUMBER($A704)),"入金日がありません",IF(AND($F704&lt;&gt;"",$O704="なし"),"請求Noが請求台帳にありません",IF(AND(ISNUMBER($O704),$C704&lt;&gt;"",$C704&lt;&gt;$P704),"請求の得意先は "&amp;$P704&amp;" です",IF(ROUND(IF($B704&lt;&gt;"",SUMIF($B$5:$B$1004,$B704,$E$5:$E$1004)-SUMIF($B$5:$B$1004,$B704,$G$5:$G$1004),N($E704)-N($G704)),0)&lt;&gt;0,"通帳の額と当てた額の差 "&amp;TEXT(IF($B704&lt;&gt;"",SUMIF($B$5:$B$1004,$B704,$E$5:$E$1004)-SUMIF($B$5:$B$1004,$B704,$G$5:$G$1004),N($E704)-N($G704)),"#,##0"),IF(AND(ISNUMBER($O704),N($K704)&lt;0),"請求額より多く消し込んでいます",IF($F704="","消込先が未定","OK")))))))</f>
        <v/>
      </c>
      <c r="M704" s="19" t="n"/>
      <c r="N704" s="56" t="n"/>
      <c r="O704" s="32">
        <f>IF($F704="","",IFERROR(MATCH($F704,'請求台帳'!$A$5:$A$1004,0),"なし"))</f>
        <v/>
      </c>
      <c r="P704" s="37">
        <f>IF(NOT(OR($A704&lt;&gt;"",$E704&lt;&gt;"",$F704&lt;&gt;"",$G704&lt;&gt;"",$H704&lt;&gt;"",$I704&lt;&gt;"")),"",IF(ISNUMBER($O704),IF(INDEX('請求台帳'!$C$5:$C$1004,$O704)="","",INDEX('請求台帳'!$C$5:$C$1004,$O704)),IF($C704="","",$C704)))</f>
        <v/>
      </c>
      <c r="Q704" s="35">
        <f>IF(OR(NOT(OR($A704&lt;&gt;"",$E704&lt;&gt;"",$F704&lt;&gt;"",$G704&lt;&gt;"",$H704&lt;&gt;"",$I704&lt;&gt;"")),$P704="",$P704&lt;&gt;'売掛帳'!$B$3,NOT(ISNUMBER($A704)),N($G704)+N($H704)+N($I704)=0),"",IF(AND($A704&gt;='売掛帳'!$Q$3,$A704&lt;='売掛帳'!$Q$4),$A704+0.5+ROW()/10000000,""))</f>
        <v/>
      </c>
      <c r="R704" s="32">
        <f>IF(AND(OR($A704&lt;&gt;"",$E704&lt;&gt;"",$F704&lt;&gt;"",$G704&lt;&gt;"",$H704&lt;&gt;"",$I704&lt;&gt;""),NOT(ISNUMBER($O704))),1,"")</f>
        <v/>
      </c>
    </row>
    <row r="705" ht="18" customHeight="1">
      <c r="A705" s="26" t="n"/>
      <c r="B705" s="18" t="n"/>
      <c r="C705" s="18" t="n"/>
      <c r="D705" s="20">
        <f>IF($P705="","",IFERROR(INDEX('得意先'!$C$5:$C$104,MATCH($P705,'得意先'!$B$5:$B$104,0))&amp;"","※得意先にないコード"))</f>
        <v/>
      </c>
      <c r="E705" s="27" t="n"/>
      <c r="F705" s="18" t="n"/>
      <c r="G705" s="27" t="n"/>
      <c r="H705" s="27" t="n"/>
      <c r="I705" s="27" t="n"/>
      <c r="J705" s="28">
        <f>IF(NOT(OR($A705&lt;&gt;"",$E705&lt;&gt;"",$F705&lt;&gt;"",$G705&lt;&gt;"",$H705&lt;&gt;"",$I705&lt;&gt;"")),"",N($G705)+N($H705)+N($I705))</f>
        <v/>
      </c>
      <c r="K705" s="28">
        <f>IF(ISNUMBER($O705),INDEX('請求台帳'!$R$5:$R$1004,$O705),"")</f>
        <v/>
      </c>
      <c r="L705" s="20">
        <f>IF(NOT(OR($A705&lt;&gt;"",$E705&lt;&gt;"",$F705&lt;&gt;"",$G705&lt;&gt;"",$H705&lt;&gt;"",$I705&lt;&gt;"")),"",IF(NOT(ISNUMBER($A705)),"入金日がありません",IF(AND($F705&lt;&gt;"",$O705="なし"),"請求Noが請求台帳にありません",IF(AND(ISNUMBER($O705),$C705&lt;&gt;"",$C705&lt;&gt;$P705),"請求の得意先は "&amp;$P705&amp;" です",IF(ROUND(IF($B705&lt;&gt;"",SUMIF($B$5:$B$1004,$B705,$E$5:$E$1004)-SUMIF($B$5:$B$1004,$B705,$G$5:$G$1004),N($E705)-N($G705)),0)&lt;&gt;0,"通帳の額と当てた額の差 "&amp;TEXT(IF($B705&lt;&gt;"",SUMIF($B$5:$B$1004,$B705,$E$5:$E$1004)-SUMIF($B$5:$B$1004,$B705,$G$5:$G$1004),N($E705)-N($G705)),"#,##0"),IF(AND(ISNUMBER($O705),N($K705)&lt;0),"請求額より多く消し込んでいます",IF($F705="","消込先が未定","OK")))))))</f>
        <v/>
      </c>
      <c r="M705" s="19" t="n"/>
      <c r="N705" s="56" t="n"/>
      <c r="O705" s="32">
        <f>IF($F705="","",IFERROR(MATCH($F705,'請求台帳'!$A$5:$A$1004,0),"なし"))</f>
        <v/>
      </c>
      <c r="P705" s="37">
        <f>IF(NOT(OR($A705&lt;&gt;"",$E705&lt;&gt;"",$F705&lt;&gt;"",$G705&lt;&gt;"",$H705&lt;&gt;"",$I705&lt;&gt;"")),"",IF(ISNUMBER($O705),IF(INDEX('請求台帳'!$C$5:$C$1004,$O705)="","",INDEX('請求台帳'!$C$5:$C$1004,$O705)),IF($C705="","",$C705)))</f>
        <v/>
      </c>
      <c r="Q705" s="35">
        <f>IF(OR(NOT(OR($A705&lt;&gt;"",$E705&lt;&gt;"",$F705&lt;&gt;"",$G705&lt;&gt;"",$H705&lt;&gt;"",$I705&lt;&gt;"")),$P705="",$P705&lt;&gt;'売掛帳'!$B$3,NOT(ISNUMBER($A705)),N($G705)+N($H705)+N($I705)=0),"",IF(AND($A705&gt;='売掛帳'!$Q$3,$A705&lt;='売掛帳'!$Q$4),$A705+0.5+ROW()/10000000,""))</f>
        <v/>
      </c>
      <c r="R705" s="32">
        <f>IF(AND(OR($A705&lt;&gt;"",$E705&lt;&gt;"",$F705&lt;&gt;"",$G705&lt;&gt;"",$H705&lt;&gt;"",$I705&lt;&gt;""),NOT(ISNUMBER($O705))),1,"")</f>
        <v/>
      </c>
    </row>
    <row r="706" ht="18" customHeight="1">
      <c r="A706" s="26" t="n"/>
      <c r="B706" s="18" t="n"/>
      <c r="C706" s="18" t="n"/>
      <c r="D706" s="20">
        <f>IF($P706="","",IFERROR(INDEX('得意先'!$C$5:$C$104,MATCH($P706,'得意先'!$B$5:$B$104,0))&amp;"","※得意先にないコード"))</f>
        <v/>
      </c>
      <c r="E706" s="27" t="n"/>
      <c r="F706" s="18" t="n"/>
      <c r="G706" s="27" t="n"/>
      <c r="H706" s="27" t="n"/>
      <c r="I706" s="27" t="n"/>
      <c r="J706" s="28">
        <f>IF(NOT(OR($A706&lt;&gt;"",$E706&lt;&gt;"",$F706&lt;&gt;"",$G706&lt;&gt;"",$H706&lt;&gt;"",$I706&lt;&gt;"")),"",N($G706)+N($H706)+N($I706))</f>
        <v/>
      </c>
      <c r="K706" s="28">
        <f>IF(ISNUMBER($O706),INDEX('請求台帳'!$R$5:$R$1004,$O706),"")</f>
        <v/>
      </c>
      <c r="L706" s="20">
        <f>IF(NOT(OR($A706&lt;&gt;"",$E706&lt;&gt;"",$F706&lt;&gt;"",$G706&lt;&gt;"",$H706&lt;&gt;"",$I706&lt;&gt;"")),"",IF(NOT(ISNUMBER($A706)),"入金日がありません",IF(AND($F706&lt;&gt;"",$O706="なし"),"請求Noが請求台帳にありません",IF(AND(ISNUMBER($O706),$C706&lt;&gt;"",$C706&lt;&gt;$P706),"請求の得意先は "&amp;$P706&amp;" です",IF(ROUND(IF($B706&lt;&gt;"",SUMIF($B$5:$B$1004,$B706,$E$5:$E$1004)-SUMIF($B$5:$B$1004,$B706,$G$5:$G$1004),N($E706)-N($G706)),0)&lt;&gt;0,"通帳の額と当てた額の差 "&amp;TEXT(IF($B706&lt;&gt;"",SUMIF($B$5:$B$1004,$B706,$E$5:$E$1004)-SUMIF($B$5:$B$1004,$B706,$G$5:$G$1004),N($E706)-N($G706)),"#,##0"),IF(AND(ISNUMBER($O706),N($K706)&lt;0),"請求額より多く消し込んでいます",IF($F706="","消込先が未定","OK")))))))</f>
        <v/>
      </c>
      <c r="M706" s="19" t="n"/>
      <c r="N706" s="56" t="n"/>
      <c r="O706" s="32">
        <f>IF($F706="","",IFERROR(MATCH($F706,'請求台帳'!$A$5:$A$1004,0),"なし"))</f>
        <v/>
      </c>
      <c r="P706" s="37">
        <f>IF(NOT(OR($A706&lt;&gt;"",$E706&lt;&gt;"",$F706&lt;&gt;"",$G706&lt;&gt;"",$H706&lt;&gt;"",$I706&lt;&gt;"")),"",IF(ISNUMBER($O706),IF(INDEX('請求台帳'!$C$5:$C$1004,$O706)="","",INDEX('請求台帳'!$C$5:$C$1004,$O706)),IF($C706="","",$C706)))</f>
        <v/>
      </c>
      <c r="Q706" s="35">
        <f>IF(OR(NOT(OR($A706&lt;&gt;"",$E706&lt;&gt;"",$F706&lt;&gt;"",$G706&lt;&gt;"",$H706&lt;&gt;"",$I706&lt;&gt;"")),$P706="",$P706&lt;&gt;'売掛帳'!$B$3,NOT(ISNUMBER($A706)),N($G706)+N($H706)+N($I706)=0),"",IF(AND($A706&gt;='売掛帳'!$Q$3,$A706&lt;='売掛帳'!$Q$4),$A706+0.5+ROW()/10000000,""))</f>
        <v/>
      </c>
      <c r="R706" s="32">
        <f>IF(AND(OR($A706&lt;&gt;"",$E706&lt;&gt;"",$F706&lt;&gt;"",$G706&lt;&gt;"",$H706&lt;&gt;"",$I706&lt;&gt;""),NOT(ISNUMBER($O706))),1,"")</f>
        <v/>
      </c>
    </row>
    <row r="707" ht="18" customHeight="1">
      <c r="A707" s="26" t="n"/>
      <c r="B707" s="18" t="n"/>
      <c r="C707" s="18" t="n"/>
      <c r="D707" s="20">
        <f>IF($P707="","",IFERROR(INDEX('得意先'!$C$5:$C$104,MATCH($P707,'得意先'!$B$5:$B$104,0))&amp;"","※得意先にないコード"))</f>
        <v/>
      </c>
      <c r="E707" s="27" t="n"/>
      <c r="F707" s="18" t="n"/>
      <c r="G707" s="27" t="n"/>
      <c r="H707" s="27" t="n"/>
      <c r="I707" s="27" t="n"/>
      <c r="J707" s="28">
        <f>IF(NOT(OR($A707&lt;&gt;"",$E707&lt;&gt;"",$F707&lt;&gt;"",$G707&lt;&gt;"",$H707&lt;&gt;"",$I707&lt;&gt;"")),"",N($G707)+N($H707)+N($I707))</f>
        <v/>
      </c>
      <c r="K707" s="28">
        <f>IF(ISNUMBER($O707),INDEX('請求台帳'!$R$5:$R$1004,$O707),"")</f>
        <v/>
      </c>
      <c r="L707" s="20">
        <f>IF(NOT(OR($A707&lt;&gt;"",$E707&lt;&gt;"",$F707&lt;&gt;"",$G707&lt;&gt;"",$H707&lt;&gt;"",$I707&lt;&gt;"")),"",IF(NOT(ISNUMBER($A707)),"入金日がありません",IF(AND($F707&lt;&gt;"",$O707="なし"),"請求Noが請求台帳にありません",IF(AND(ISNUMBER($O707),$C707&lt;&gt;"",$C707&lt;&gt;$P707),"請求の得意先は "&amp;$P707&amp;" です",IF(ROUND(IF($B707&lt;&gt;"",SUMIF($B$5:$B$1004,$B707,$E$5:$E$1004)-SUMIF($B$5:$B$1004,$B707,$G$5:$G$1004),N($E707)-N($G707)),0)&lt;&gt;0,"通帳の額と当てた額の差 "&amp;TEXT(IF($B707&lt;&gt;"",SUMIF($B$5:$B$1004,$B707,$E$5:$E$1004)-SUMIF($B$5:$B$1004,$B707,$G$5:$G$1004),N($E707)-N($G707)),"#,##0"),IF(AND(ISNUMBER($O707),N($K707)&lt;0),"請求額より多く消し込んでいます",IF($F707="","消込先が未定","OK")))))))</f>
        <v/>
      </c>
      <c r="M707" s="19" t="n"/>
      <c r="N707" s="56" t="n"/>
      <c r="O707" s="32">
        <f>IF($F707="","",IFERROR(MATCH($F707,'請求台帳'!$A$5:$A$1004,0),"なし"))</f>
        <v/>
      </c>
      <c r="P707" s="37">
        <f>IF(NOT(OR($A707&lt;&gt;"",$E707&lt;&gt;"",$F707&lt;&gt;"",$G707&lt;&gt;"",$H707&lt;&gt;"",$I707&lt;&gt;"")),"",IF(ISNUMBER($O707),IF(INDEX('請求台帳'!$C$5:$C$1004,$O707)="","",INDEX('請求台帳'!$C$5:$C$1004,$O707)),IF($C707="","",$C707)))</f>
        <v/>
      </c>
      <c r="Q707" s="35">
        <f>IF(OR(NOT(OR($A707&lt;&gt;"",$E707&lt;&gt;"",$F707&lt;&gt;"",$G707&lt;&gt;"",$H707&lt;&gt;"",$I707&lt;&gt;"")),$P707="",$P707&lt;&gt;'売掛帳'!$B$3,NOT(ISNUMBER($A707)),N($G707)+N($H707)+N($I707)=0),"",IF(AND($A707&gt;='売掛帳'!$Q$3,$A707&lt;='売掛帳'!$Q$4),$A707+0.5+ROW()/10000000,""))</f>
        <v/>
      </c>
      <c r="R707" s="32">
        <f>IF(AND(OR($A707&lt;&gt;"",$E707&lt;&gt;"",$F707&lt;&gt;"",$G707&lt;&gt;"",$H707&lt;&gt;"",$I707&lt;&gt;""),NOT(ISNUMBER($O707))),1,"")</f>
        <v/>
      </c>
    </row>
    <row r="708" ht="18" customHeight="1">
      <c r="A708" s="26" t="n"/>
      <c r="B708" s="18" t="n"/>
      <c r="C708" s="18" t="n"/>
      <c r="D708" s="20">
        <f>IF($P708="","",IFERROR(INDEX('得意先'!$C$5:$C$104,MATCH($P708,'得意先'!$B$5:$B$104,0))&amp;"","※得意先にないコード"))</f>
        <v/>
      </c>
      <c r="E708" s="27" t="n"/>
      <c r="F708" s="18" t="n"/>
      <c r="G708" s="27" t="n"/>
      <c r="H708" s="27" t="n"/>
      <c r="I708" s="27" t="n"/>
      <c r="J708" s="28">
        <f>IF(NOT(OR($A708&lt;&gt;"",$E708&lt;&gt;"",$F708&lt;&gt;"",$G708&lt;&gt;"",$H708&lt;&gt;"",$I708&lt;&gt;"")),"",N($G708)+N($H708)+N($I708))</f>
        <v/>
      </c>
      <c r="K708" s="28">
        <f>IF(ISNUMBER($O708),INDEX('請求台帳'!$R$5:$R$1004,$O708),"")</f>
        <v/>
      </c>
      <c r="L708" s="20">
        <f>IF(NOT(OR($A708&lt;&gt;"",$E708&lt;&gt;"",$F708&lt;&gt;"",$G708&lt;&gt;"",$H708&lt;&gt;"",$I708&lt;&gt;"")),"",IF(NOT(ISNUMBER($A708)),"入金日がありません",IF(AND($F708&lt;&gt;"",$O708="なし"),"請求Noが請求台帳にありません",IF(AND(ISNUMBER($O708),$C708&lt;&gt;"",$C708&lt;&gt;$P708),"請求の得意先は "&amp;$P708&amp;" です",IF(ROUND(IF($B708&lt;&gt;"",SUMIF($B$5:$B$1004,$B708,$E$5:$E$1004)-SUMIF($B$5:$B$1004,$B708,$G$5:$G$1004),N($E708)-N($G708)),0)&lt;&gt;0,"通帳の額と当てた額の差 "&amp;TEXT(IF($B708&lt;&gt;"",SUMIF($B$5:$B$1004,$B708,$E$5:$E$1004)-SUMIF($B$5:$B$1004,$B708,$G$5:$G$1004),N($E708)-N($G708)),"#,##0"),IF(AND(ISNUMBER($O708),N($K708)&lt;0),"請求額より多く消し込んでいます",IF($F708="","消込先が未定","OK")))))))</f>
        <v/>
      </c>
      <c r="M708" s="19" t="n"/>
      <c r="N708" s="56" t="n"/>
      <c r="O708" s="32">
        <f>IF($F708="","",IFERROR(MATCH($F708,'請求台帳'!$A$5:$A$1004,0),"なし"))</f>
        <v/>
      </c>
      <c r="P708" s="37">
        <f>IF(NOT(OR($A708&lt;&gt;"",$E708&lt;&gt;"",$F708&lt;&gt;"",$G708&lt;&gt;"",$H708&lt;&gt;"",$I708&lt;&gt;"")),"",IF(ISNUMBER($O708),IF(INDEX('請求台帳'!$C$5:$C$1004,$O708)="","",INDEX('請求台帳'!$C$5:$C$1004,$O708)),IF($C708="","",$C708)))</f>
        <v/>
      </c>
      <c r="Q708" s="35">
        <f>IF(OR(NOT(OR($A708&lt;&gt;"",$E708&lt;&gt;"",$F708&lt;&gt;"",$G708&lt;&gt;"",$H708&lt;&gt;"",$I708&lt;&gt;"")),$P708="",$P708&lt;&gt;'売掛帳'!$B$3,NOT(ISNUMBER($A708)),N($G708)+N($H708)+N($I708)=0),"",IF(AND($A708&gt;='売掛帳'!$Q$3,$A708&lt;='売掛帳'!$Q$4),$A708+0.5+ROW()/10000000,""))</f>
        <v/>
      </c>
      <c r="R708" s="32">
        <f>IF(AND(OR($A708&lt;&gt;"",$E708&lt;&gt;"",$F708&lt;&gt;"",$G708&lt;&gt;"",$H708&lt;&gt;"",$I708&lt;&gt;""),NOT(ISNUMBER($O708))),1,"")</f>
        <v/>
      </c>
    </row>
    <row r="709" ht="18" customHeight="1">
      <c r="A709" s="26" t="n"/>
      <c r="B709" s="18" t="n"/>
      <c r="C709" s="18" t="n"/>
      <c r="D709" s="20">
        <f>IF($P709="","",IFERROR(INDEX('得意先'!$C$5:$C$104,MATCH($P709,'得意先'!$B$5:$B$104,0))&amp;"","※得意先にないコード"))</f>
        <v/>
      </c>
      <c r="E709" s="27" t="n"/>
      <c r="F709" s="18" t="n"/>
      <c r="G709" s="27" t="n"/>
      <c r="H709" s="27" t="n"/>
      <c r="I709" s="27" t="n"/>
      <c r="J709" s="28">
        <f>IF(NOT(OR($A709&lt;&gt;"",$E709&lt;&gt;"",$F709&lt;&gt;"",$G709&lt;&gt;"",$H709&lt;&gt;"",$I709&lt;&gt;"")),"",N($G709)+N($H709)+N($I709))</f>
        <v/>
      </c>
      <c r="K709" s="28">
        <f>IF(ISNUMBER($O709),INDEX('請求台帳'!$R$5:$R$1004,$O709),"")</f>
        <v/>
      </c>
      <c r="L709" s="20">
        <f>IF(NOT(OR($A709&lt;&gt;"",$E709&lt;&gt;"",$F709&lt;&gt;"",$G709&lt;&gt;"",$H709&lt;&gt;"",$I709&lt;&gt;"")),"",IF(NOT(ISNUMBER($A709)),"入金日がありません",IF(AND($F709&lt;&gt;"",$O709="なし"),"請求Noが請求台帳にありません",IF(AND(ISNUMBER($O709),$C709&lt;&gt;"",$C709&lt;&gt;$P709),"請求の得意先は "&amp;$P709&amp;" です",IF(ROUND(IF($B709&lt;&gt;"",SUMIF($B$5:$B$1004,$B709,$E$5:$E$1004)-SUMIF($B$5:$B$1004,$B709,$G$5:$G$1004),N($E709)-N($G709)),0)&lt;&gt;0,"通帳の額と当てた額の差 "&amp;TEXT(IF($B709&lt;&gt;"",SUMIF($B$5:$B$1004,$B709,$E$5:$E$1004)-SUMIF($B$5:$B$1004,$B709,$G$5:$G$1004),N($E709)-N($G709)),"#,##0"),IF(AND(ISNUMBER($O709),N($K709)&lt;0),"請求額より多く消し込んでいます",IF($F709="","消込先が未定","OK")))))))</f>
        <v/>
      </c>
      <c r="M709" s="19" t="n"/>
      <c r="N709" s="56" t="n"/>
      <c r="O709" s="32">
        <f>IF($F709="","",IFERROR(MATCH($F709,'請求台帳'!$A$5:$A$1004,0),"なし"))</f>
        <v/>
      </c>
      <c r="P709" s="37">
        <f>IF(NOT(OR($A709&lt;&gt;"",$E709&lt;&gt;"",$F709&lt;&gt;"",$G709&lt;&gt;"",$H709&lt;&gt;"",$I709&lt;&gt;"")),"",IF(ISNUMBER($O709),IF(INDEX('請求台帳'!$C$5:$C$1004,$O709)="","",INDEX('請求台帳'!$C$5:$C$1004,$O709)),IF($C709="","",$C709)))</f>
        <v/>
      </c>
      <c r="Q709" s="35">
        <f>IF(OR(NOT(OR($A709&lt;&gt;"",$E709&lt;&gt;"",$F709&lt;&gt;"",$G709&lt;&gt;"",$H709&lt;&gt;"",$I709&lt;&gt;"")),$P709="",$P709&lt;&gt;'売掛帳'!$B$3,NOT(ISNUMBER($A709)),N($G709)+N($H709)+N($I709)=0),"",IF(AND($A709&gt;='売掛帳'!$Q$3,$A709&lt;='売掛帳'!$Q$4),$A709+0.5+ROW()/10000000,""))</f>
        <v/>
      </c>
      <c r="R709" s="32">
        <f>IF(AND(OR($A709&lt;&gt;"",$E709&lt;&gt;"",$F709&lt;&gt;"",$G709&lt;&gt;"",$H709&lt;&gt;"",$I709&lt;&gt;""),NOT(ISNUMBER($O709))),1,"")</f>
        <v/>
      </c>
    </row>
    <row r="710" ht="18" customHeight="1">
      <c r="A710" s="26" t="n"/>
      <c r="B710" s="18" t="n"/>
      <c r="C710" s="18" t="n"/>
      <c r="D710" s="20">
        <f>IF($P710="","",IFERROR(INDEX('得意先'!$C$5:$C$104,MATCH($P710,'得意先'!$B$5:$B$104,0))&amp;"","※得意先にないコード"))</f>
        <v/>
      </c>
      <c r="E710" s="27" t="n"/>
      <c r="F710" s="18" t="n"/>
      <c r="G710" s="27" t="n"/>
      <c r="H710" s="27" t="n"/>
      <c r="I710" s="27" t="n"/>
      <c r="J710" s="28">
        <f>IF(NOT(OR($A710&lt;&gt;"",$E710&lt;&gt;"",$F710&lt;&gt;"",$G710&lt;&gt;"",$H710&lt;&gt;"",$I710&lt;&gt;"")),"",N($G710)+N($H710)+N($I710))</f>
        <v/>
      </c>
      <c r="K710" s="28">
        <f>IF(ISNUMBER($O710),INDEX('請求台帳'!$R$5:$R$1004,$O710),"")</f>
        <v/>
      </c>
      <c r="L710" s="20">
        <f>IF(NOT(OR($A710&lt;&gt;"",$E710&lt;&gt;"",$F710&lt;&gt;"",$G710&lt;&gt;"",$H710&lt;&gt;"",$I710&lt;&gt;"")),"",IF(NOT(ISNUMBER($A710)),"入金日がありません",IF(AND($F710&lt;&gt;"",$O710="なし"),"請求Noが請求台帳にありません",IF(AND(ISNUMBER($O710),$C710&lt;&gt;"",$C710&lt;&gt;$P710),"請求の得意先は "&amp;$P710&amp;" です",IF(ROUND(IF($B710&lt;&gt;"",SUMIF($B$5:$B$1004,$B710,$E$5:$E$1004)-SUMIF($B$5:$B$1004,$B710,$G$5:$G$1004),N($E710)-N($G710)),0)&lt;&gt;0,"通帳の額と当てた額の差 "&amp;TEXT(IF($B710&lt;&gt;"",SUMIF($B$5:$B$1004,$B710,$E$5:$E$1004)-SUMIF($B$5:$B$1004,$B710,$G$5:$G$1004),N($E710)-N($G710)),"#,##0"),IF(AND(ISNUMBER($O710),N($K710)&lt;0),"請求額より多く消し込んでいます",IF($F710="","消込先が未定","OK")))))))</f>
        <v/>
      </c>
      <c r="M710" s="19" t="n"/>
      <c r="N710" s="56" t="n"/>
      <c r="O710" s="32">
        <f>IF($F710="","",IFERROR(MATCH($F710,'請求台帳'!$A$5:$A$1004,0),"なし"))</f>
        <v/>
      </c>
      <c r="P710" s="37">
        <f>IF(NOT(OR($A710&lt;&gt;"",$E710&lt;&gt;"",$F710&lt;&gt;"",$G710&lt;&gt;"",$H710&lt;&gt;"",$I710&lt;&gt;"")),"",IF(ISNUMBER($O710),IF(INDEX('請求台帳'!$C$5:$C$1004,$O710)="","",INDEX('請求台帳'!$C$5:$C$1004,$O710)),IF($C710="","",$C710)))</f>
        <v/>
      </c>
      <c r="Q710" s="35">
        <f>IF(OR(NOT(OR($A710&lt;&gt;"",$E710&lt;&gt;"",$F710&lt;&gt;"",$G710&lt;&gt;"",$H710&lt;&gt;"",$I710&lt;&gt;"")),$P710="",$P710&lt;&gt;'売掛帳'!$B$3,NOT(ISNUMBER($A710)),N($G710)+N($H710)+N($I710)=0),"",IF(AND($A710&gt;='売掛帳'!$Q$3,$A710&lt;='売掛帳'!$Q$4),$A710+0.5+ROW()/10000000,""))</f>
        <v/>
      </c>
      <c r="R710" s="32">
        <f>IF(AND(OR($A710&lt;&gt;"",$E710&lt;&gt;"",$F710&lt;&gt;"",$G710&lt;&gt;"",$H710&lt;&gt;"",$I710&lt;&gt;""),NOT(ISNUMBER($O710))),1,"")</f>
        <v/>
      </c>
    </row>
    <row r="711" ht="18" customHeight="1">
      <c r="A711" s="26" t="n"/>
      <c r="B711" s="18" t="n"/>
      <c r="C711" s="18" t="n"/>
      <c r="D711" s="20">
        <f>IF($P711="","",IFERROR(INDEX('得意先'!$C$5:$C$104,MATCH($P711,'得意先'!$B$5:$B$104,0))&amp;"","※得意先にないコード"))</f>
        <v/>
      </c>
      <c r="E711" s="27" t="n"/>
      <c r="F711" s="18" t="n"/>
      <c r="G711" s="27" t="n"/>
      <c r="H711" s="27" t="n"/>
      <c r="I711" s="27" t="n"/>
      <c r="J711" s="28">
        <f>IF(NOT(OR($A711&lt;&gt;"",$E711&lt;&gt;"",$F711&lt;&gt;"",$G711&lt;&gt;"",$H711&lt;&gt;"",$I711&lt;&gt;"")),"",N($G711)+N($H711)+N($I711))</f>
        <v/>
      </c>
      <c r="K711" s="28">
        <f>IF(ISNUMBER($O711),INDEX('請求台帳'!$R$5:$R$1004,$O711),"")</f>
        <v/>
      </c>
      <c r="L711" s="20">
        <f>IF(NOT(OR($A711&lt;&gt;"",$E711&lt;&gt;"",$F711&lt;&gt;"",$G711&lt;&gt;"",$H711&lt;&gt;"",$I711&lt;&gt;"")),"",IF(NOT(ISNUMBER($A711)),"入金日がありません",IF(AND($F711&lt;&gt;"",$O711="なし"),"請求Noが請求台帳にありません",IF(AND(ISNUMBER($O711),$C711&lt;&gt;"",$C711&lt;&gt;$P711),"請求の得意先は "&amp;$P711&amp;" です",IF(ROUND(IF($B711&lt;&gt;"",SUMIF($B$5:$B$1004,$B711,$E$5:$E$1004)-SUMIF($B$5:$B$1004,$B711,$G$5:$G$1004),N($E711)-N($G711)),0)&lt;&gt;0,"通帳の額と当てた額の差 "&amp;TEXT(IF($B711&lt;&gt;"",SUMIF($B$5:$B$1004,$B711,$E$5:$E$1004)-SUMIF($B$5:$B$1004,$B711,$G$5:$G$1004),N($E711)-N($G711)),"#,##0"),IF(AND(ISNUMBER($O711),N($K711)&lt;0),"請求額より多く消し込んでいます",IF($F711="","消込先が未定","OK")))))))</f>
        <v/>
      </c>
      <c r="M711" s="19" t="n"/>
      <c r="N711" s="56" t="n"/>
      <c r="O711" s="32">
        <f>IF($F711="","",IFERROR(MATCH($F711,'請求台帳'!$A$5:$A$1004,0),"なし"))</f>
        <v/>
      </c>
      <c r="P711" s="37">
        <f>IF(NOT(OR($A711&lt;&gt;"",$E711&lt;&gt;"",$F711&lt;&gt;"",$G711&lt;&gt;"",$H711&lt;&gt;"",$I711&lt;&gt;"")),"",IF(ISNUMBER($O711),IF(INDEX('請求台帳'!$C$5:$C$1004,$O711)="","",INDEX('請求台帳'!$C$5:$C$1004,$O711)),IF($C711="","",$C711)))</f>
        <v/>
      </c>
      <c r="Q711" s="35">
        <f>IF(OR(NOT(OR($A711&lt;&gt;"",$E711&lt;&gt;"",$F711&lt;&gt;"",$G711&lt;&gt;"",$H711&lt;&gt;"",$I711&lt;&gt;"")),$P711="",$P711&lt;&gt;'売掛帳'!$B$3,NOT(ISNUMBER($A711)),N($G711)+N($H711)+N($I711)=0),"",IF(AND($A711&gt;='売掛帳'!$Q$3,$A711&lt;='売掛帳'!$Q$4),$A711+0.5+ROW()/10000000,""))</f>
        <v/>
      </c>
      <c r="R711" s="32">
        <f>IF(AND(OR($A711&lt;&gt;"",$E711&lt;&gt;"",$F711&lt;&gt;"",$G711&lt;&gt;"",$H711&lt;&gt;"",$I711&lt;&gt;""),NOT(ISNUMBER($O711))),1,"")</f>
        <v/>
      </c>
    </row>
    <row r="712" ht="18" customHeight="1">
      <c r="A712" s="26" t="n"/>
      <c r="B712" s="18" t="n"/>
      <c r="C712" s="18" t="n"/>
      <c r="D712" s="20">
        <f>IF($P712="","",IFERROR(INDEX('得意先'!$C$5:$C$104,MATCH($P712,'得意先'!$B$5:$B$104,0))&amp;"","※得意先にないコード"))</f>
        <v/>
      </c>
      <c r="E712" s="27" t="n"/>
      <c r="F712" s="18" t="n"/>
      <c r="G712" s="27" t="n"/>
      <c r="H712" s="27" t="n"/>
      <c r="I712" s="27" t="n"/>
      <c r="J712" s="28">
        <f>IF(NOT(OR($A712&lt;&gt;"",$E712&lt;&gt;"",$F712&lt;&gt;"",$G712&lt;&gt;"",$H712&lt;&gt;"",$I712&lt;&gt;"")),"",N($G712)+N($H712)+N($I712))</f>
        <v/>
      </c>
      <c r="K712" s="28">
        <f>IF(ISNUMBER($O712),INDEX('請求台帳'!$R$5:$R$1004,$O712),"")</f>
        <v/>
      </c>
      <c r="L712" s="20">
        <f>IF(NOT(OR($A712&lt;&gt;"",$E712&lt;&gt;"",$F712&lt;&gt;"",$G712&lt;&gt;"",$H712&lt;&gt;"",$I712&lt;&gt;"")),"",IF(NOT(ISNUMBER($A712)),"入金日がありません",IF(AND($F712&lt;&gt;"",$O712="なし"),"請求Noが請求台帳にありません",IF(AND(ISNUMBER($O712),$C712&lt;&gt;"",$C712&lt;&gt;$P712),"請求の得意先は "&amp;$P712&amp;" です",IF(ROUND(IF($B712&lt;&gt;"",SUMIF($B$5:$B$1004,$B712,$E$5:$E$1004)-SUMIF($B$5:$B$1004,$B712,$G$5:$G$1004),N($E712)-N($G712)),0)&lt;&gt;0,"通帳の額と当てた額の差 "&amp;TEXT(IF($B712&lt;&gt;"",SUMIF($B$5:$B$1004,$B712,$E$5:$E$1004)-SUMIF($B$5:$B$1004,$B712,$G$5:$G$1004),N($E712)-N($G712)),"#,##0"),IF(AND(ISNUMBER($O712),N($K712)&lt;0),"請求額より多く消し込んでいます",IF($F712="","消込先が未定","OK")))))))</f>
        <v/>
      </c>
      <c r="M712" s="19" t="n"/>
      <c r="N712" s="56" t="n"/>
      <c r="O712" s="32">
        <f>IF($F712="","",IFERROR(MATCH($F712,'請求台帳'!$A$5:$A$1004,0),"なし"))</f>
        <v/>
      </c>
      <c r="P712" s="37">
        <f>IF(NOT(OR($A712&lt;&gt;"",$E712&lt;&gt;"",$F712&lt;&gt;"",$G712&lt;&gt;"",$H712&lt;&gt;"",$I712&lt;&gt;"")),"",IF(ISNUMBER($O712),IF(INDEX('請求台帳'!$C$5:$C$1004,$O712)="","",INDEX('請求台帳'!$C$5:$C$1004,$O712)),IF($C712="","",$C712)))</f>
        <v/>
      </c>
      <c r="Q712" s="35">
        <f>IF(OR(NOT(OR($A712&lt;&gt;"",$E712&lt;&gt;"",$F712&lt;&gt;"",$G712&lt;&gt;"",$H712&lt;&gt;"",$I712&lt;&gt;"")),$P712="",$P712&lt;&gt;'売掛帳'!$B$3,NOT(ISNUMBER($A712)),N($G712)+N($H712)+N($I712)=0),"",IF(AND($A712&gt;='売掛帳'!$Q$3,$A712&lt;='売掛帳'!$Q$4),$A712+0.5+ROW()/10000000,""))</f>
        <v/>
      </c>
      <c r="R712" s="32">
        <f>IF(AND(OR($A712&lt;&gt;"",$E712&lt;&gt;"",$F712&lt;&gt;"",$G712&lt;&gt;"",$H712&lt;&gt;"",$I712&lt;&gt;""),NOT(ISNUMBER($O712))),1,"")</f>
        <v/>
      </c>
    </row>
    <row r="713" ht="18" customHeight="1">
      <c r="A713" s="26" t="n"/>
      <c r="B713" s="18" t="n"/>
      <c r="C713" s="18" t="n"/>
      <c r="D713" s="20">
        <f>IF($P713="","",IFERROR(INDEX('得意先'!$C$5:$C$104,MATCH($P713,'得意先'!$B$5:$B$104,0))&amp;"","※得意先にないコード"))</f>
        <v/>
      </c>
      <c r="E713" s="27" t="n"/>
      <c r="F713" s="18" t="n"/>
      <c r="G713" s="27" t="n"/>
      <c r="H713" s="27" t="n"/>
      <c r="I713" s="27" t="n"/>
      <c r="J713" s="28">
        <f>IF(NOT(OR($A713&lt;&gt;"",$E713&lt;&gt;"",$F713&lt;&gt;"",$G713&lt;&gt;"",$H713&lt;&gt;"",$I713&lt;&gt;"")),"",N($G713)+N($H713)+N($I713))</f>
        <v/>
      </c>
      <c r="K713" s="28">
        <f>IF(ISNUMBER($O713),INDEX('請求台帳'!$R$5:$R$1004,$O713),"")</f>
        <v/>
      </c>
      <c r="L713" s="20">
        <f>IF(NOT(OR($A713&lt;&gt;"",$E713&lt;&gt;"",$F713&lt;&gt;"",$G713&lt;&gt;"",$H713&lt;&gt;"",$I713&lt;&gt;"")),"",IF(NOT(ISNUMBER($A713)),"入金日がありません",IF(AND($F713&lt;&gt;"",$O713="なし"),"請求Noが請求台帳にありません",IF(AND(ISNUMBER($O713),$C713&lt;&gt;"",$C713&lt;&gt;$P713),"請求の得意先は "&amp;$P713&amp;" です",IF(ROUND(IF($B713&lt;&gt;"",SUMIF($B$5:$B$1004,$B713,$E$5:$E$1004)-SUMIF($B$5:$B$1004,$B713,$G$5:$G$1004),N($E713)-N($G713)),0)&lt;&gt;0,"通帳の額と当てた額の差 "&amp;TEXT(IF($B713&lt;&gt;"",SUMIF($B$5:$B$1004,$B713,$E$5:$E$1004)-SUMIF($B$5:$B$1004,$B713,$G$5:$G$1004),N($E713)-N($G713)),"#,##0"),IF(AND(ISNUMBER($O713),N($K713)&lt;0),"請求額より多く消し込んでいます",IF($F713="","消込先が未定","OK")))))))</f>
        <v/>
      </c>
      <c r="M713" s="19" t="n"/>
      <c r="N713" s="56" t="n"/>
      <c r="O713" s="32">
        <f>IF($F713="","",IFERROR(MATCH($F713,'請求台帳'!$A$5:$A$1004,0),"なし"))</f>
        <v/>
      </c>
      <c r="P713" s="37">
        <f>IF(NOT(OR($A713&lt;&gt;"",$E713&lt;&gt;"",$F713&lt;&gt;"",$G713&lt;&gt;"",$H713&lt;&gt;"",$I713&lt;&gt;"")),"",IF(ISNUMBER($O713),IF(INDEX('請求台帳'!$C$5:$C$1004,$O713)="","",INDEX('請求台帳'!$C$5:$C$1004,$O713)),IF($C713="","",$C713)))</f>
        <v/>
      </c>
      <c r="Q713" s="35">
        <f>IF(OR(NOT(OR($A713&lt;&gt;"",$E713&lt;&gt;"",$F713&lt;&gt;"",$G713&lt;&gt;"",$H713&lt;&gt;"",$I713&lt;&gt;"")),$P713="",$P713&lt;&gt;'売掛帳'!$B$3,NOT(ISNUMBER($A713)),N($G713)+N($H713)+N($I713)=0),"",IF(AND($A713&gt;='売掛帳'!$Q$3,$A713&lt;='売掛帳'!$Q$4),$A713+0.5+ROW()/10000000,""))</f>
        <v/>
      </c>
      <c r="R713" s="32">
        <f>IF(AND(OR($A713&lt;&gt;"",$E713&lt;&gt;"",$F713&lt;&gt;"",$G713&lt;&gt;"",$H713&lt;&gt;"",$I713&lt;&gt;""),NOT(ISNUMBER($O713))),1,"")</f>
        <v/>
      </c>
    </row>
    <row r="714" ht="18" customHeight="1">
      <c r="A714" s="26" t="n"/>
      <c r="B714" s="18" t="n"/>
      <c r="C714" s="18" t="n"/>
      <c r="D714" s="20">
        <f>IF($P714="","",IFERROR(INDEX('得意先'!$C$5:$C$104,MATCH($P714,'得意先'!$B$5:$B$104,0))&amp;"","※得意先にないコード"))</f>
        <v/>
      </c>
      <c r="E714" s="27" t="n"/>
      <c r="F714" s="18" t="n"/>
      <c r="G714" s="27" t="n"/>
      <c r="H714" s="27" t="n"/>
      <c r="I714" s="27" t="n"/>
      <c r="J714" s="28">
        <f>IF(NOT(OR($A714&lt;&gt;"",$E714&lt;&gt;"",$F714&lt;&gt;"",$G714&lt;&gt;"",$H714&lt;&gt;"",$I714&lt;&gt;"")),"",N($G714)+N($H714)+N($I714))</f>
        <v/>
      </c>
      <c r="K714" s="28">
        <f>IF(ISNUMBER($O714),INDEX('請求台帳'!$R$5:$R$1004,$O714),"")</f>
        <v/>
      </c>
      <c r="L714" s="20">
        <f>IF(NOT(OR($A714&lt;&gt;"",$E714&lt;&gt;"",$F714&lt;&gt;"",$G714&lt;&gt;"",$H714&lt;&gt;"",$I714&lt;&gt;"")),"",IF(NOT(ISNUMBER($A714)),"入金日がありません",IF(AND($F714&lt;&gt;"",$O714="なし"),"請求Noが請求台帳にありません",IF(AND(ISNUMBER($O714),$C714&lt;&gt;"",$C714&lt;&gt;$P714),"請求の得意先は "&amp;$P714&amp;" です",IF(ROUND(IF($B714&lt;&gt;"",SUMIF($B$5:$B$1004,$B714,$E$5:$E$1004)-SUMIF($B$5:$B$1004,$B714,$G$5:$G$1004),N($E714)-N($G714)),0)&lt;&gt;0,"通帳の額と当てた額の差 "&amp;TEXT(IF($B714&lt;&gt;"",SUMIF($B$5:$B$1004,$B714,$E$5:$E$1004)-SUMIF($B$5:$B$1004,$B714,$G$5:$G$1004),N($E714)-N($G714)),"#,##0"),IF(AND(ISNUMBER($O714),N($K714)&lt;0),"請求額より多く消し込んでいます",IF($F714="","消込先が未定","OK")))))))</f>
        <v/>
      </c>
      <c r="M714" s="19" t="n"/>
      <c r="N714" s="56" t="n"/>
      <c r="O714" s="32">
        <f>IF($F714="","",IFERROR(MATCH($F714,'請求台帳'!$A$5:$A$1004,0),"なし"))</f>
        <v/>
      </c>
      <c r="P714" s="37">
        <f>IF(NOT(OR($A714&lt;&gt;"",$E714&lt;&gt;"",$F714&lt;&gt;"",$G714&lt;&gt;"",$H714&lt;&gt;"",$I714&lt;&gt;"")),"",IF(ISNUMBER($O714),IF(INDEX('請求台帳'!$C$5:$C$1004,$O714)="","",INDEX('請求台帳'!$C$5:$C$1004,$O714)),IF($C714="","",$C714)))</f>
        <v/>
      </c>
      <c r="Q714" s="35">
        <f>IF(OR(NOT(OR($A714&lt;&gt;"",$E714&lt;&gt;"",$F714&lt;&gt;"",$G714&lt;&gt;"",$H714&lt;&gt;"",$I714&lt;&gt;"")),$P714="",$P714&lt;&gt;'売掛帳'!$B$3,NOT(ISNUMBER($A714)),N($G714)+N($H714)+N($I714)=0),"",IF(AND($A714&gt;='売掛帳'!$Q$3,$A714&lt;='売掛帳'!$Q$4),$A714+0.5+ROW()/10000000,""))</f>
        <v/>
      </c>
      <c r="R714" s="32">
        <f>IF(AND(OR($A714&lt;&gt;"",$E714&lt;&gt;"",$F714&lt;&gt;"",$G714&lt;&gt;"",$H714&lt;&gt;"",$I714&lt;&gt;""),NOT(ISNUMBER($O714))),1,"")</f>
        <v/>
      </c>
    </row>
    <row r="715" ht="18" customHeight="1">
      <c r="A715" s="26" t="n"/>
      <c r="B715" s="18" t="n"/>
      <c r="C715" s="18" t="n"/>
      <c r="D715" s="20">
        <f>IF($P715="","",IFERROR(INDEX('得意先'!$C$5:$C$104,MATCH($P715,'得意先'!$B$5:$B$104,0))&amp;"","※得意先にないコード"))</f>
        <v/>
      </c>
      <c r="E715" s="27" t="n"/>
      <c r="F715" s="18" t="n"/>
      <c r="G715" s="27" t="n"/>
      <c r="H715" s="27" t="n"/>
      <c r="I715" s="27" t="n"/>
      <c r="J715" s="28">
        <f>IF(NOT(OR($A715&lt;&gt;"",$E715&lt;&gt;"",$F715&lt;&gt;"",$G715&lt;&gt;"",$H715&lt;&gt;"",$I715&lt;&gt;"")),"",N($G715)+N($H715)+N($I715))</f>
        <v/>
      </c>
      <c r="K715" s="28">
        <f>IF(ISNUMBER($O715),INDEX('請求台帳'!$R$5:$R$1004,$O715),"")</f>
        <v/>
      </c>
      <c r="L715" s="20">
        <f>IF(NOT(OR($A715&lt;&gt;"",$E715&lt;&gt;"",$F715&lt;&gt;"",$G715&lt;&gt;"",$H715&lt;&gt;"",$I715&lt;&gt;"")),"",IF(NOT(ISNUMBER($A715)),"入金日がありません",IF(AND($F715&lt;&gt;"",$O715="なし"),"請求Noが請求台帳にありません",IF(AND(ISNUMBER($O715),$C715&lt;&gt;"",$C715&lt;&gt;$P715),"請求の得意先は "&amp;$P715&amp;" です",IF(ROUND(IF($B715&lt;&gt;"",SUMIF($B$5:$B$1004,$B715,$E$5:$E$1004)-SUMIF($B$5:$B$1004,$B715,$G$5:$G$1004),N($E715)-N($G715)),0)&lt;&gt;0,"通帳の額と当てた額の差 "&amp;TEXT(IF($B715&lt;&gt;"",SUMIF($B$5:$B$1004,$B715,$E$5:$E$1004)-SUMIF($B$5:$B$1004,$B715,$G$5:$G$1004),N($E715)-N($G715)),"#,##0"),IF(AND(ISNUMBER($O715),N($K715)&lt;0),"請求額より多く消し込んでいます",IF($F715="","消込先が未定","OK")))))))</f>
        <v/>
      </c>
      <c r="M715" s="19" t="n"/>
      <c r="N715" s="56" t="n"/>
      <c r="O715" s="32">
        <f>IF($F715="","",IFERROR(MATCH($F715,'請求台帳'!$A$5:$A$1004,0),"なし"))</f>
        <v/>
      </c>
      <c r="P715" s="37">
        <f>IF(NOT(OR($A715&lt;&gt;"",$E715&lt;&gt;"",$F715&lt;&gt;"",$G715&lt;&gt;"",$H715&lt;&gt;"",$I715&lt;&gt;"")),"",IF(ISNUMBER($O715),IF(INDEX('請求台帳'!$C$5:$C$1004,$O715)="","",INDEX('請求台帳'!$C$5:$C$1004,$O715)),IF($C715="","",$C715)))</f>
        <v/>
      </c>
      <c r="Q715" s="35">
        <f>IF(OR(NOT(OR($A715&lt;&gt;"",$E715&lt;&gt;"",$F715&lt;&gt;"",$G715&lt;&gt;"",$H715&lt;&gt;"",$I715&lt;&gt;"")),$P715="",$P715&lt;&gt;'売掛帳'!$B$3,NOT(ISNUMBER($A715)),N($G715)+N($H715)+N($I715)=0),"",IF(AND($A715&gt;='売掛帳'!$Q$3,$A715&lt;='売掛帳'!$Q$4),$A715+0.5+ROW()/10000000,""))</f>
        <v/>
      </c>
      <c r="R715" s="32">
        <f>IF(AND(OR($A715&lt;&gt;"",$E715&lt;&gt;"",$F715&lt;&gt;"",$G715&lt;&gt;"",$H715&lt;&gt;"",$I715&lt;&gt;""),NOT(ISNUMBER($O715))),1,"")</f>
        <v/>
      </c>
    </row>
    <row r="716" ht="18" customHeight="1">
      <c r="A716" s="26" t="n"/>
      <c r="B716" s="18" t="n"/>
      <c r="C716" s="18" t="n"/>
      <c r="D716" s="20">
        <f>IF($P716="","",IFERROR(INDEX('得意先'!$C$5:$C$104,MATCH($P716,'得意先'!$B$5:$B$104,0))&amp;"","※得意先にないコード"))</f>
        <v/>
      </c>
      <c r="E716" s="27" t="n"/>
      <c r="F716" s="18" t="n"/>
      <c r="G716" s="27" t="n"/>
      <c r="H716" s="27" t="n"/>
      <c r="I716" s="27" t="n"/>
      <c r="J716" s="28">
        <f>IF(NOT(OR($A716&lt;&gt;"",$E716&lt;&gt;"",$F716&lt;&gt;"",$G716&lt;&gt;"",$H716&lt;&gt;"",$I716&lt;&gt;"")),"",N($G716)+N($H716)+N($I716))</f>
        <v/>
      </c>
      <c r="K716" s="28">
        <f>IF(ISNUMBER($O716),INDEX('請求台帳'!$R$5:$R$1004,$O716),"")</f>
        <v/>
      </c>
      <c r="L716" s="20">
        <f>IF(NOT(OR($A716&lt;&gt;"",$E716&lt;&gt;"",$F716&lt;&gt;"",$G716&lt;&gt;"",$H716&lt;&gt;"",$I716&lt;&gt;"")),"",IF(NOT(ISNUMBER($A716)),"入金日がありません",IF(AND($F716&lt;&gt;"",$O716="なし"),"請求Noが請求台帳にありません",IF(AND(ISNUMBER($O716),$C716&lt;&gt;"",$C716&lt;&gt;$P716),"請求の得意先は "&amp;$P716&amp;" です",IF(ROUND(IF($B716&lt;&gt;"",SUMIF($B$5:$B$1004,$B716,$E$5:$E$1004)-SUMIF($B$5:$B$1004,$B716,$G$5:$G$1004),N($E716)-N($G716)),0)&lt;&gt;0,"通帳の額と当てた額の差 "&amp;TEXT(IF($B716&lt;&gt;"",SUMIF($B$5:$B$1004,$B716,$E$5:$E$1004)-SUMIF($B$5:$B$1004,$B716,$G$5:$G$1004),N($E716)-N($G716)),"#,##0"),IF(AND(ISNUMBER($O716),N($K716)&lt;0),"請求額より多く消し込んでいます",IF($F716="","消込先が未定","OK")))))))</f>
        <v/>
      </c>
      <c r="M716" s="19" t="n"/>
      <c r="N716" s="56" t="n"/>
      <c r="O716" s="32">
        <f>IF($F716="","",IFERROR(MATCH($F716,'請求台帳'!$A$5:$A$1004,0),"なし"))</f>
        <v/>
      </c>
      <c r="P716" s="37">
        <f>IF(NOT(OR($A716&lt;&gt;"",$E716&lt;&gt;"",$F716&lt;&gt;"",$G716&lt;&gt;"",$H716&lt;&gt;"",$I716&lt;&gt;"")),"",IF(ISNUMBER($O716),IF(INDEX('請求台帳'!$C$5:$C$1004,$O716)="","",INDEX('請求台帳'!$C$5:$C$1004,$O716)),IF($C716="","",$C716)))</f>
        <v/>
      </c>
      <c r="Q716" s="35">
        <f>IF(OR(NOT(OR($A716&lt;&gt;"",$E716&lt;&gt;"",$F716&lt;&gt;"",$G716&lt;&gt;"",$H716&lt;&gt;"",$I716&lt;&gt;"")),$P716="",$P716&lt;&gt;'売掛帳'!$B$3,NOT(ISNUMBER($A716)),N($G716)+N($H716)+N($I716)=0),"",IF(AND($A716&gt;='売掛帳'!$Q$3,$A716&lt;='売掛帳'!$Q$4),$A716+0.5+ROW()/10000000,""))</f>
        <v/>
      </c>
      <c r="R716" s="32">
        <f>IF(AND(OR($A716&lt;&gt;"",$E716&lt;&gt;"",$F716&lt;&gt;"",$G716&lt;&gt;"",$H716&lt;&gt;"",$I716&lt;&gt;""),NOT(ISNUMBER($O716))),1,"")</f>
        <v/>
      </c>
    </row>
    <row r="717" ht="18" customHeight="1">
      <c r="A717" s="26" t="n"/>
      <c r="B717" s="18" t="n"/>
      <c r="C717" s="18" t="n"/>
      <c r="D717" s="20">
        <f>IF($P717="","",IFERROR(INDEX('得意先'!$C$5:$C$104,MATCH($P717,'得意先'!$B$5:$B$104,0))&amp;"","※得意先にないコード"))</f>
        <v/>
      </c>
      <c r="E717" s="27" t="n"/>
      <c r="F717" s="18" t="n"/>
      <c r="G717" s="27" t="n"/>
      <c r="H717" s="27" t="n"/>
      <c r="I717" s="27" t="n"/>
      <c r="J717" s="28">
        <f>IF(NOT(OR($A717&lt;&gt;"",$E717&lt;&gt;"",$F717&lt;&gt;"",$G717&lt;&gt;"",$H717&lt;&gt;"",$I717&lt;&gt;"")),"",N($G717)+N($H717)+N($I717))</f>
        <v/>
      </c>
      <c r="K717" s="28">
        <f>IF(ISNUMBER($O717),INDEX('請求台帳'!$R$5:$R$1004,$O717),"")</f>
        <v/>
      </c>
      <c r="L717" s="20">
        <f>IF(NOT(OR($A717&lt;&gt;"",$E717&lt;&gt;"",$F717&lt;&gt;"",$G717&lt;&gt;"",$H717&lt;&gt;"",$I717&lt;&gt;"")),"",IF(NOT(ISNUMBER($A717)),"入金日がありません",IF(AND($F717&lt;&gt;"",$O717="なし"),"請求Noが請求台帳にありません",IF(AND(ISNUMBER($O717),$C717&lt;&gt;"",$C717&lt;&gt;$P717),"請求の得意先は "&amp;$P717&amp;" です",IF(ROUND(IF($B717&lt;&gt;"",SUMIF($B$5:$B$1004,$B717,$E$5:$E$1004)-SUMIF($B$5:$B$1004,$B717,$G$5:$G$1004),N($E717)-N($G717)),0)&lt;&gt;0,"通帳の額と当てた額の差 "&amp;TEXT(IF($B717&lt;&gt;"",SUMIF($B$5:$B$1004,$B717,$E$5:$E$1004)-SUMIF($B$5:$B$1004,$B717,$G$5:$G$1004),N($E717)-N($G717)),"#,##0"),IF(AND(ISNUMBER($O717),N($K717)&lt;0),"請求額より多く消し込んでいます",IF($F717="","消込先が未定","OK")))))))</f>
        <v/>
      </c>
      <c r="M717" s="19" t="n"/>
      <c r="N717" s="56" t="n"/>
      <c r="O717" s="32">
        <f>IF($F717="","",IFERROR(MATCH($F717,'請求台帳'!$A$5:$A$1004,0),"なし"))</f>
        <v/>
      </c>
      <c r="P717" s="37">
        <f>IF(NOT(OR($A717&lt;&gt;"",$E717&lt;&gt;"",$F717&lt;&gt;"",$G717&lt;&gt;"",$H717&lt;&gt;"",$I717&lt;&gt;"")),"",IF(ISNUMBER($O717),IF(INDEX('請求台帳'!$C$5:$C$1004,$O717)="","",INDEX('請求台帳'!$C$5:$C$1004,$O717)),IF($C717="","",$C717)))</f>
        <v/>
      </c>
      <c r="Q717" s="35">
        <f>IF(OR(NOT(OR($A717&lt;&gt;"",$E717&lt;&gt;"",$F717&lt;&gt;"",$G717&lt;&gt;"",$H717&lt;&gt;"",$I717&lt;&gt;"")),$P717="",$P717&lt;&gt;'売掛帳'!$B$3,NOT(ISNUMBER($A717)),N($G717)+N($H717)+N($I717)=0),"",IF(AND($A717&gt;='売掛帳'!$Q$3,$A717&lt;='売掛帳'!$Q$4),$A717+0.5+ROW()/10000000,""))</f>
        <v/>
      </c>
      <c r="R717" s="32">
        <f>IF(AND(OR($A717&lt;&gt;"",$E717&lt;&gt;"",$F717&lt;&gt;"",$G717&lt;&gt;"",$H717&lt;&gt;"",$I717&lt;&gt;""),NOT(ISNUMBER($O717))),1,"")</f>
        <v/>
      </c>
    </row>
    <row r="718" ht="18" customHeight="1">
      <c r="A718" s="26" t="n"/>
      <c r="B718" s="18" t="n"/>
      <c r="C718" s="18" t="n"/>
      <c r="D718" s="20">
        <f>IF($P718="","",IFERROR(INDEX('得意先'!$C$5:$C$104,MATCH($P718,'得意先'!$B$5:$B$104,0))&amp;"","※得意先にないコード"))</f>
        <v/>
      </c>
      <c r="E718" s="27" t="n"/>
      <c r="F718" s="18" t="n"/>
      <c r="G718" s="27" t="n"/>
      <c r="H718" s="27" t="n"/>
      <c r="I718" s="27" t="n"/>
      <c r="J718" s="28">
        <f>IF(NOT(OR($A718&lt;&gt;"",$E718&lt;&gt;"",$F718&lt;&gt;"",$G718&lt;&gt;"",$H718&lt;&gt;"",$I718&lt;&gt;"")),"",N($G718)+N($H718)+N($I718))</f>
        <v/>
      </c>
      <c r="K718" s="28">
        <f>IF(ISNUMBER($O718),INDEX('請求台帳'!$R$5:$R$1004,$O718),"")</f>
        <v/>
      </c>
      <c r="L718" s="20">
        <f>IF(NOT(OR($A718&lt;&gt;"",$E718&lt;&gt;"",$F718&lt;&gt;"",$G718&lt;&gt;"",$H718&lt;&gt;"",$I718&lt;&gt;"")),"",IF(NOT(ISNUMBER($A718)),"入金日がありません",IF(AND($F718&lt;&gt;"",$O718="なし"),"請求Noが請求台帳にありません",IF(AND(ISNUMBER($O718),$C718&lt;&gt;"",$C718&lt;&gt;$P718),"請求の得意先は "&amp;$P718&amp;" です",IF(ROUND(IF($B718&lt;&gt;"",SUMIF($B$5:$B$1004,$B718,$E$5:$E$1004)-SUMIF($B$5:$B$1004,$B718,$G$5:$G$1004),N($E718)-N($G718)),0)&lt;&gt;0,"通帳の額と当てた額の差 "&amp;TEXT(IF($B718&lt;&gt;"",SUMIF($B$5:$B$1004,$B718,$E$5:$E$1004)-SUMIF($B$5:$B$1004,$B718,$G$5:$G$1004),N($E718)-N($G718)),"#,##0"),IF(AND(ISNUMBER($O718),N($K718)&lt;0),"請求額より多く消し込んでいます",IF($F718="","消込先が未定","OK")))))))</f>
        <v/>
      </c>
      <c r="M718" s="19" t="n"/>
      <c r="N718" s="56" t="n"/>
      <c r="O718" s="32">
        <f>IF($F718="","",IFERROR(MATCH($F718,'請求台帳'!$A$5:$A$1004,0),"なし"))</f>
        <v/>
      </c>
      <c r="P718" s="37">
        <f>IF(NOT(OR($A718&lt;&gt;"",$E718&lt;&gt;"",$F718&lt;&gt;"",$G718&lt;&gt;"",$H718&lt;&gt;"",$I718&lt;&gt;"")),"",IF(ISNUMBER($O718),IF(INDEX('請求台帳'!$C$5:$C$1004,$O718)="","",INDEX('請求台帳'!$C$5:$C$1004,$O718)),IF($C718="","",$C718)))</f>
        <v/>
      </c>
      <c r="Q718" s="35">
        <f>IF(OR(NOT(OR($A718&lt;&gt;"",$E718&lt;&gt;"",$F718&lt;&gt;"",$G718&lt;&gt;"",$H718&lt;&gt;"",$I718&lt;&gt;"")),$P718="",$P718&lt;&gt;'売掛帳'!$B$3,NOT(ISNUMBER($A718)),N($G718)+N($H718)+N($I718)=0),"",IF(AND($A718&gt;='売掛帳'!$Q$3,$A718&lt;='売掛帳'!$Q$4),$A718+0.5+ROW()/10000000,""))</f>
        <v/>
      </c>
      <c r="R718" s="32">
        <f>IF(AND(OR($A718&lt;&gt;"",$E718&lt;&gt;"",$F718&lt;&gt;"",$G718&lt;&gt;"",$H718&lt;&gt;"",$I718&lt;&gt;""),NOT(ISNUMBER($O718))),1,"")</f>
        <v/>
      </c>
    </row>
    <row r="719" ht="18" customHeight="1">
      <c r="A719" s="26" t="n"/>
      <c r="B719" s="18" t="n"/>
      <c r="C719" s="18" t="n"/>
      <c r="D719" s="20">
        <f>IF($P719="","",IFERROR(INDEX('得意先'!$C$5:$C$104,MATCH($P719,'得意先'!$B$5:$B$104,0))&amp;"","※得意先にないコード"))</f>
        <v/>
      </c>
      <c r="E719" s="27" t="n"/>
      <c r="F719" s="18" t="n"/>
      <c r="G719" s="27" t="n"/>
      <c r="H719" s="27" t="n"/>
      <c r="I719" s="27" t="n"/>
      <c r="J719" s="28">
        <f>IF(NOT(OR($A719&lt;&gt;"",$E719&lt;&gt;"",$F719&lt;&gt;"",$G719&lt;&gt;"",$H719&lt;&gt;"",$I719&lt;&gt;"")),"",N($G719)+N($H719)+N($I719))</f>
        <v/>
      </c>
      <c r="K719" s="28">
        <f>IF(ISNUMBER($O719),INDEX('請求台帳'!$R$5:$R$1004,$O719),"")</f>
        <v/>
      </c>
      <c r="L719" s="20">
        <f>IF(NOT(OR($A719&lt;&gt;"",$E719&lt;&gt;"",$F719&lt;&gt;"",$G719&lt;&gt;"",$H719&lt;&gt;"",$I719&lt;&gt;"")),"",IF(NOT(ISNUMBER($A719)),"入金日がありません",IF(AND($F719&lt;&gt;"",$O719="なし"),"請求Noが請求台帳にありません",IF(AND(ISNUMBER($O719),$C719&lt;&gt;"",$C719&lt;&gt;$P719),"請求の得意先は "&amp;$P719&amp;" です",IF(ROUND(IF($B719&lt;&gt;"",SUMIF($B$5:$B$1004,$B719,$E$5:$E$1004)-SUMIF($B$5:$B$1004,$B719,$G$5:$G$1004),N($E719)-N($G719)),0)&lt;&gt;0,"通帳の額と当てた額の差 "&amp;TEXT(IF($B719&lt;&gt;"",SUMIF($B$5:$B$1004,$B719,$E$5:$E$1004)-SUMIF($B$5:$B$1004,$B719,$G$5:$G$1004),N($E719)-N($G719)),"#,##0"),IF(AND(ISNUMBER($O719),N($K719)&lt;0),"請求額より多く消し込んでいます",IF($F719="","消込先が未定","OK")))))))</f>
        <v/>
      </c>
      <c r="M719" s="19" t="n"/>
      <c r="N719" s="56" t="n"/>
      <c r="O719" s="32">
        <f>IF($F719="","",IFERROR(MATCH($F719,'請求台帳'!$A$5:$A$1004,0),"なし"))</f>
        <v/>
      </c>
      <c r="P719" s="37">
        <f>IF(NOT(OR($A719&lt;&gt;"",$E719&lt;&gt;"",$F719&lt;&gt;"",$G719&lt;&gt;"",$H719&lt;&gt;"",$I719&lt;&gt;"")),"",IF(ISNUMBER($O719),IF(INDEX('請求台帳'!$C$5:$C$1004,$O719)="","",INDEX('請求台帳'!$C$5:$C$1004,$O719)),IF($C719="","",$C719)))</f>
        <v/>
      </c>
      <c r="Q719" s="35">
        <f>IF(OR(NOT(OR($A719&lt;&gt;"",$E719&lt;&gt;"",$F719&lt;&gt;"",$G719&lt;&gt;"",$H719&lt;&gt;"",$I719&lt;&gt;"")),$P719="",$P719&lt;&gt;'売掛帳'!$B$3,NOT(ISNUMBER($A719)),N($G719)+N($H719)+N($I719)=0),"",IF(AND($A719&gt;='売掛帳'!$Q$3,$A719&lt;='売掛帳'!$Q$4),$A719+0.5+ROW()/10000000,""))</f>
        <v/>
      </c>
      <c r="R719" s="32">
        <f>IF(AND(OR($A719&lt;&gt;"",$E719&lt;&gt;"",$F719&lt;&gt;"",$G719&lt;&gt;"",$H719&lt;&gt;"",$I719&lt;&gt;""),NOT(ISNUMBER($O719))),1,"")</f>
        <v/>
      </c>
    </row>
    <row r="720" ht="18" customHeight="1">
      <c r="A720" s="26" t="n"/>
      <c r="B720" s="18" t="n"/>
      <c r="C720" s="18" t="n"/>
      <c r="D720" s="20">
        <f>IF($P720="","",IFERROR(INDEX('得意先'!$C$5:$C$104,MATCH($P720,'得意先'!$B$5:$B$104,0))&amp;"","※得意先にないコード"))</f>
        <v/>
      </c>
      <c r="E720" s="27" t="n"/>
      <c r="F720" s="18" t="n"/>
      <c r="G720" s="27" t="n"/>
      <c r="H720" s="27" t="n"/>
      <c r="I720" s="27" t="n"/>
      <c r="J720" s="28">
        <f>IF(NOT(OR($A720&lt;&gt;"",$E720&lt;&gt;"",$F720&lt;&gt;"",$G720&lt;&gt;"",$H720&lt;&gt;"",$I720&lt;&gt;"")),"",N($G720)+N($H720)+N($I720))</f>
        <v/>
      </c>
      <c r="K720" s="28">
        <f>IF(ISNUMBER($O720),INDEX('請求台帳'!$R$5:$R$1004,$O720),"")</f>
        <v/>
      </c>
      <c r="L720" s="20">
        <f>IF(NOT(OR($A720&lt;&gt;"",$E720&lt;&gt;"",$F720&lt;&gt;"",$G720&lt;&gt;"",$H720&lt;&gt;"",$I720&lt;&gt;"")),"",IF(NOT(ISNUMBER($A720)),"入金日がありません",IF(AND($F720&lt;&gt;"",$O720="なし"),"請求Noが請求台帳にありません",IF(AND(ISNUMBER($O720),$C720&lt;&gt;"",$C720&lt;&gt;$P720),"請求の得意先は "&amp;$P720&amp;" です",IF(ROUND(IF($B720&lt;&gt;"",SUMIF($B$5:$B$1004,$B720,$E$5:$E$1004)-SUMIF($B$5:$B$1004,$B720,$G$5:$G$1004),N($E720)-N($G720)),0)&lt;&gt;0,"通帳の額と当てた額の差 "&amp;TEXT(IF($B720&lt;&gt;"",SUMIF($B$5:$B$1004,$B720,$E$5:$E$1004)-SUMIF($B$5:$B$1004,$B720,$G$5:$G$1004),N($E720)-N($G720)),"#,##0"),IF(AND(ISNUMBER($O720),N($K720)&lt;0),"請求額より多く消し込んでいます",IF($F720="","消込先が未定","OK")))))))</f>
        <v/>
      </c>
      <c r="M720" s="19" t="n"/>
      <c r="N720" s="56" t="n"/>
      <c r="O720" s="32">
        <f>IF($F720="","",IFERROR(MATCH($F720,'請求台帳'!$A$5:$A$1004,0),"なし"))</f>
        <v/>
      </c>
      <c r="P720" s="37">
        <f>IF(NOT(OR($A720&lt;&gt;"",$E720&lt;&gt;"",$F720&lt;&gt;"",$G720&lt;&gt;"",$H720&lt;&gt;"",$I720&lt;&gt;"")),"",IF(ISNUMBER($O720),IF(INDEX('請求台帳'!$C$5:$C$1004,$O720)="","",INDEX('請求台帳'!$C$5:$C$1004,$O720)),IF($C720="","",$C720)))</f>
        <v/>
      </c>
      <c r="Q720" s="35">
        <f>IF(OR(NOT(OR($A720&lt;&gt;"",$E720&lt;&gt;"",$F720&lt;&gt;"",$G720&lt;&gt;"",$H720&lt;&gt;"",$I720&lt;&gt;"")),$P720="",$P720&lt;&gt;'売掛帳'!$B$3,NOT(ISNUMBER($A720)),N($G720)+N($H720)+N($I720)=0),"",IF(AND($A720&gt;='売掛帳'!$Q$3,$A720&lt;='売掛帳'!$Q$4),$A720+0.5+ROW()/10000000,""))</f>
        <v/>
      </c>
      <c r="R720" s="32">
        <f>IF(AND(OR($A720&lt;&gt;"",$E720&lt;&gt;"",$F720&lt;&gt;"",$G720&lt;&gt;"",$H720&lt;&gt;"",$I720&lt;&gt;""),NOT(ISNUMBER($O720))),1,"")</f>
        <v/>
      </c>
    </row>
    <row r="721" ht="18" customHeight="1">
      <c r="A721" s="26" t="n"/>
      <c r="B721" s="18" t="n"/>
      <c r="C721" s="18" t="n"/>
      <c r="D721" s="20">
        <f>IF($P721="","",IFERROR(INDEX('得意先'!$C$5:$C$104,MATCH($P721,'得意先'!$B$5:$B$104,0))&amp;"","※得意先にないコード"))</f>
        <v/>
      </c>
      <c r="E721" s="27" t="n"/>
      <c r="F721" s="18" t="n"/>
      <c r="G721" s="27" t="n"/>
      <c r="H721" s="27" t="n"/>
      <c r="I721" s="27" t="n"/>
      <c r="J721" s="28">
        <f>IF(NOT(OR($A721&lt;&gt;"",$E721&lt;&gt;"",$F721&lt;&gt;"",$G721&lt;&gt;"",$H721&lt;&gt;"",$I721&lt;&gt;"")),"",N($G721)+N($H721)+N($I721))</f>
        <v/>
      </c>
      <c r="K721" s="28">
        <f>IF(ISNUMBER($O721),INDEX('請求台帳'!$R$5:$R$1004,$O721),"")</f>
        <v/>
      </c>
      <c r="L721" s="20">
        <f>IF(NOT(OR($A721&lt;&gt;"",$E721&lt;&gt;"",$F721&lt;&gt;"",$G721&lt;&gt;"",$H721&lt;&gt;"",$I721&lt;&gt;"")),"",IF(NOT(ISNUMBER($A721)),"入金日がありません",IF(AND($F721&lt;&gt;"",$O721="なし"),"請求Noが請求台帳にありません",IF(AND(ISNUMBER($O721),$C721&lt;&gt;"",$C721&lt;&gt;$P721),"請求の得意先は "&amp;$P721&amp;" です",IF(ROUND(IF($B721&lt;&gt;"",SUMIF($B$5:$B$1004,$B721,$E$5:$E$1004)-SUMIF($B$5:$B$1004,$B721,$G$5:$G$1004),N($E721)-N($G721)),0)&lt;&gt;0,"通帳の額と当てた額の差 "&amp;TEXT(IF($B721&lt;&gt;"",SUMIF($B$5:$B$1004,$B721,$E$5:$E$1004)-SUMIF($B$5:$B$1004,$B721,$G$5:$G$1004),N($E721)-N($G721)),"#,##0"),IF(AND(ISNUMBER($O721),N($K721)&lt;0),"請求額より多く消し込んでいます",IF($F721="","消込先が未定","OK")))))))</f>
        <v/>
      </c>
      <c r="M721" s="19" t="n"/>
      <c r="N721" s="56" t="n"/>
      <c r="O721" s="32">
        <f>IF($F721="","",IFERROR(MATCH($F721,'請求台帳'!$A$5:$A$1004,0),"なし"))</f>
        <v/>
      </c>
      <c r="P721" s="37">
        <f>IF(NOT(OR($A721&lt;&gt;"",$E721&lt;&gt;"",$F721&lt;&gt;"",$G721&lt;&gt;"",$H721&lt;&gt;"",$I721&lt;&gt;"")),"",IF(ISNUMBER($O721),IF(INDEX('請求台帳'!$C$5:$C$1004,$O721)="","",INDEX('請求台帳'!$C$5:$C$1004,$O721)),IF($C721="","",$C721)))</f>
        <v/>
      </c>
      <c r="Q721" s="35">
        <f>IF(OR(NOT(OR($A721&lt;&gt;"",$E721&lt;&gt;"",$F721&lt;&gt;"",$G721&lt;&gt;"",$H721&lt;&gt;"",$I721&lt;&gt;"")),$P721="",$P721&lt;&gt;'売掛帳'!$B$3,NOT(ISNUMBER($A721)),N($G721)+N($H721)+N($I721)=0),"",IF(AND($A721&gt;='売掛帳'!$Q$3,$A721&lt;='売掛帳'!$Q$4),$A721+0.5+ROW()/10000000,""))</f>
        <v/>
      </c>
      <c r="R721" s="32">
        <f>IF(AND(OR($A721&lt;&gt;"",$E721&lt;&gt;"",$F721&lt;&gt;"",$G721&lt;&gt;"",$H721&lt;&gt;"",$I721&lt;&gt;""),NOT(ISNUMBER($O721))),1,"")</f>
        <v/>
      </c>
    </row>
    <row r="722" ht="18" customHeight="1">
      <c r="A722" s="26" t="n"/>
      <c r="B722" s="18" t="n"/>
      <c r="C722" s="18" t="n"/>
      <c r="D722" s="20">
        <f>IF($P722="","",IFERROR(INDEX('得意先'!$C$5:$C$104,MATCH($P722,'得意先'!$B$5:$B$104,0))&amp;"","※得意先にないコード"))</f>
        <v/>
      </c>
      <c r="E722" s="27" t="n"/>
      <c r="F722" s="18" t="n"/>
      <c r="G722" s="27" t="n"/>
      <c r="H722" s="27" t="n"/>
      <c r="I722" s="27" t="n"/>
      <c r="J722" s="28">
        <f>IF(NOT(OR($A722&lt;&gt;"",$E722&lt;&gt;"",$F722&lt;&gt;"",$G722&lt;&gt;"",$H722&lt;&gt;"",$I722&lt;&gt;"")),"",N($G722)+N($H722)+N($I722))</f>
        <v/>
      </c>
      <c r="K722" s="28">
        <f>IF(ISNUMBER($O722),INDEX('請求台帳'!$R$5:$R$1004,$O722),"")</f>
        <v/>
      </c>
      <c r="L722" s="20">
        <f>IF(NOT(OR($A722&lt;&gt;"",$E722&lt;&gt;"",$F722&lt;&gt;"",$G722&lt;&gt;"",$H722&lt;&gt;"",$I722&lt;&gt;"")),"",IF(NOT(ISNUMBER($A722)),"入金日がありません",IF(AND($F722&lt;&gt;"",$O722="なし"),"請求Noが請求台帳にありません",IF(AND(ISNUMBER($O722),$C722&lt;&gt;"",$C722&lt;&gt;$P722),"請求の得意先は "&amp;$P722&amp;" です",IF(ROUND(IF($B722&lt;&gt;"",SUMIF($B$5:$B$1004,$B722,$E$5:$E$1004)-SUMIF($B$5:$B$1004,$B722,$G$5:$G$1004),N($E722)-N($G722)),0)&lt;&gt;0,"通帳の額と当てた額の差 "&amp;TEXT(IF($B722&lt;&gt;"",SUMIF($B$5:$B$1004,$B722,$E$5:$E$1004)-SUMIF($B$5:$B$1004,$B722,$G$5:$G$1004),N($E722)-N($G722)),"#,##0"),IF(AND(ISNUMBER($O722),N($K722)&lt;0),"請求額より多く消し込んでいます",IF($F722="","消込先が未定","OK")))))))</f>
        <v/>
      </c>
      <c r="M722" s="19" t="n"/>
      <c r="N722" s="56" t="n"/>
      <c r="O722" s="32">
        <f>IF($F722="","",IFERROR(MATCH($F722,'請求台帳'!$A$5:$A$1004,0),"なし"))</f>
        <v/>
      </c>
      <c r="P722" s="37">
        <f>IF(NOT(OR($A722&lt;&gt;"",$E722&lt;&gt;"",$F722&lt;&gt;"",$G722&lt;&gt;"",$H722&lt;&gt;"",$I722&lt;&gt;"")),"",IF(ISNUMBER($O722),IF(INDEX('請求台帳'!$C$5:$C$1004,$O722)="","",INDEX('請求台帳'!$C$5:$C$1004,$O722)),IF($C722="","",$C722)))</f>
        <v/>
      </c>
      <c r="Q722" s="35">
        <f>IF(OR(NOT(OR($A722&lt;&gt;"",$E722&lt;&gt;"",$F722&lt;&gt;"",$G722&lt;&gt;"",$H722&lt;&gt;"",$I722&lt;&gt;"")),$P722="",$P722&lt;&gt;'売掛帳'!$B$3,NOT(ISNUMBER($A722)),N($G722)+N($H722)+N($I722)=0),"",IF(AND($A722&gt;='売掛帳'!$Q$3,$A722&lt;='売掛帳'!$Q$4),$A722+0.5+ROW()/10000000,""))</f>
        <v/>
      </c>
      <c r="R722" s="32">
        <f>IF(AND(OR($A722&lt;&gt;"",$E722&lt;&gt;"",$F722&lt;&gt;"",$G722&lt;&gt;"",$H722&lt;&gt;"",$I722&lt;&gt;""),NOT(ISNUMBER($O722))),1,"")</f>
        <v/>
      </c>
    </row>
    <row r="723" ht="18" customHeight="1">
      <c r="A723" s="26" t="n"/>
      <c r="B723" s="18" t="n"/>
      <c r="C723" s="18" t="n"/>
      <c r="D723" s="20">
        <f>IF($P723="","",IFERROR(INDEX('得意先'!$C$5:$C$104,MATCH($P723,'得意先'!$B$5:$B$104,0))&amp;"","※得意先にないコード"))</f>
        <v/>
      </c>
      <c r="E723" s="27" t="n"/>
      <c r="F723" s="18" t="n"/>
      <c r="G723" s="27" t="n"/>
      <c r="H723" s="27" t="n"/>
      <c r="I723" s="27" t="n"/>
      <c r="J723" s="28">
        <f>IF(NOT(OR($A723&lt;&gt;"",$E723&lt;&gt;"",$F723&lt;&gt;"",$G723&lt;&gt;"",$H723&lt;&gt;"",$I723&lt;&gt;"")),"",N($G723)+N($H723)+N($I723))</f>
        <v/>
      </c>
      <c r="K723" s="28">
        <f>IF(ISNUMBER($O723),INDEX('請求台帳'!$R$5:$R$1004,$O723),"")</f>
        <v/>
      </c>
      <c r="L723" s="20">
        <f>IF(NOT(OR($A723&lt;&gt;"",$E723&lt;&gt;"",$F723&lt;&gt;"",$G723&lt;&gt;"",$H723&lt;&gt;"",$I723&lt;&gt;"")),"",IF(NOT(ISNUMBER($A723)),"入金日がありません",IF(AND($F723&lt;&gt;"",$O723="なし"),"請求Noが請求台帳にありません",IF(AND(ISNUMBER($O723),$C723&lt;&gt;"",$C723&lt;&gt;$P723),"請求の得意先は "&amp;$P723&amp;" です",IF(ROUND(IF($B723&lt;&gt;"",SUMIF($B$5:$B$1004,$B723,$E$5:$E$1004)-SUMIF($B$5:$B$1004,$B723,$G$5:$G$1004),N($E723)-N($G723)),0)&lt;&gt;0,"通帳の額と当てた額の差 "&amp;TEXT(IF($B723&lt;&gt;"",SUMIF($B$5:$B$1004,$B723,$E$5:$E$1004)-SUMIF($B$5:$B$1004,$B723,$G$5:$G$1004),N($E723)-N($G723)),"#,##0"),IF(AND(ISNUMBER($O723),N($K723)&lt;0),"請求額より多く消し込んでいます",IF($F723="","消込先が未定","OK")))))))</f>
        <v/>
      </c>
      <c r="M723" s="19" t="n"/>
      <c r="N723" s="56" t="n"/>
      <c r="O723" s="32">
        <f>IF($F723="","",IFERROR(MATCH($F723,'請求台帳'!$A$5:$A$1004,0),"なし"))</f>
        <v/>
      </c>
      <c r="P723" s="37">
        <f>IF(NOT(OR($A723&lt;&gt;"",$E723&lt;&gt;"",$F723&lt;&gt;"",$G723&lt;&gt;"",$H723&lt;&gt;"",$I723&lt;&gt;"")),"",IF(ISNUMBER($O723),IF(INDEX('請求台帳'!$C$5:$C$1004,$O723)="","",INDEX('請求台帳'!$C$5:$C$1004,$O723)),IF($C723="","",$C723)))</f>
        <v/>
      </c>
      <c r="Q723" s="35">
        <f>IF(OR(NOT(OR($A723&lt;&gt;"",$E723&lt;&gt;"",$F723&lt;&gt;"",$G723&lt;&gt;"",$H723&lt;&gt;"",$I723&lt;&gt;"")),$P723="",$P723&lt;&gt;'売掛帳'!$B$3,NOT(ISNUMBER($A723)),N($G723)+N($H723)+N($I723)=0),"",IF(AND($A723&gt;='売掛帳'!$Q$3,$A723&lt;='売掛帳'!$Q$4),$A723+0.5+ROW()/10000000,""))</f>
        <v/>
      </c>
      <c r="R723" s="32">
        <f>IF(AND(OR($A723&lt;&gt;"",$E723&lt;&gt;"",$F723&lt;&gt;"",$G723&lt;&gt;"",$H723&lt;&gt;"",$I723&lt;&gt;""),NOT(ISNUMBER($O723))),1,"")</f>
        <v/>
      </c>
    </row>
    <row r="724" ht="18" customHeight="1">
      <c r="A724" s="26" t="n"/>
      <c r="B724" s="18" t="n"/>
      <c r="C724" s="18" t="n"/>
      <c r="D724" s="20">
        <f>IF($P724="","",IFERROR(INDEX('得意先'!$C$5:$C$104,MATCH($P724,'得意先'!$B$5:$B$104,0))&amp;"","※得意先にないコード"))</f>
        <v/>
      </c>
      <c r="E724" s="27" t="n"/>
      <c r="F724" s="18" t="n"/>
      <c r="G724" s="27" t="n"/>
      <c r="H724" s="27" t="n"/>
      <c r="I724" s="27" t="n"/>
      <c r="J724" s="28">
        <f>IF(NOT(OR($A724&lt;&gt;"",$E724&lt;&gt;"",$F724&lt;&gt;"",$G724&lt;&gt;"",$H724&lt;&gt;"",$I724&lt;&gt;"")),"",N($G724)+N($H724)+N($I724))</f>
        <v/>
      </c>
      <c r="K724" s="28">
        <f>IF(ISNUMBER($O724),INDEX('請求台帳'!$R$5:$R$1004,$O724),"")</f>
        <v/>
      </c>
      <c r="L724" s="20">
        <f>IF(NOT(OR($A724&lt;&gt;"",$E724&lt;&gt;"",$F724&lt;&gt;"",$G724&lt;&gt;"",$H724&lt;&gt;"",$I724&lt;&gt;"")),"",IF(NOT(ISNUMBER($A724)),"入金日がありません",IF(AND($F724&lt;&gt;"",$O724="なし"),"請求Noが請求台帳にありません",IF(AND(ISNUMBER($O724),$C724&lt;&gt;"",$C724&lt;&gt;$P724),"請求の得意先は "&amp;$P724&amp;" です",IF(ROUND(IF($B724&lt;&gt;"",SUMIF($B$5:$B$1004,$B724,$E$5:$E$1004)-SUMIF($B$5:$B$1004,$B724,$G$5:$G$1004),N($E724)-N($G724)),0)&lt;&gt;0,"通帳の額と当てた額の差 "&amp;TEXT(IF($B724&lt;&gt;"",SUMIF($B$5:$B$1004,$B724,$E$5:$E$1004)-SUMIF($B$5:$B$1004,$B724,$G$5:$G$1004),N($E724)-N($G724)),"#,##0"),IF(AND(ISNUMBER($O724),N($K724)&lt;0),"請求額より多く消し込んでいます",IF($F724="","消込先が未定","OK")))))))</f>
        <v/>
      </c>
      <c r="M724" s="19" t="n"/>
      <c r="N724" s="56" t="n"/>
      <c r="O724" s="32">
        <f>IF($F724="","",IFERROR(MATCH($F724,'請求台帳'!$A$5:$A$1004,0),"なし"))</f>
        <v/>
      </c>
      <c r="P724" s="37">
        <f>IF(NOT(OR($A724&lt;&gt;"",$E724&lt;&gt;"",$F724&lt;&gt;"",$G724&lt;&gt;"",$H724&lt;&gt;"",$I724&lt;&gt;"")),"",IF(ISNUMBER($O724),IF(INDEX('請求台帳'!$C$5:$C$1004,$O724)="","",INDEX('請求台帳'!$C$5:$C$1004,$O724)),IF($C724="","",$C724)))</f>
        <v/>
      </c>
      <c r="Q724" s="35">
        <f>IF(OR(NOT(OR($A724&lt;&gt;"",$E724&lt;&gt;"",$F724&lt;&gt;"",$G724&lt;&gt;"",$H724&lt;&gt;"",$I724&lt;&gt;"")),$P724="",$P724&lt;&gt;'売掛帳'!$B$3,NOT(ISNUMBER($A724)),N($G724)+N($H724)+N($I724)=0),"",IF(AND($A724&gt;='売掛帳'!$Q$3,$A724&lt;='売掛帳'!$Q$4),$A724+0.5+ROW()/10000000,""))</f>
        <v/>
      </c>
      <c r="R724" s="32">
        <f>IF(AND(OR($A724&lt;&gt;"",$E724&lt;&gt;"",$F724&lt;&gt;"",$G724&lt;&gt;"",$H724&lt;&gt;"",$I724&lt;&gt;""),NOT(ISNUMBER($O724))),1,"")</f>
        <v/>
      </c>
    </row>
    <row r="725" ht="18" customHeight="1">
      <c r="A725" s="26" t="n"/>
      <c r="B725" s="18" t="n"/>
      <c r="C725" s="18" t="n"/>
      <c r="D725" s="20">
        <f>IF($P725="","",IFERROR(INDEX('得意先'!$C$5:$C$104,MATCH($P725,'得意先'!$B$5:$B$104,0))&amp;"","※得意先にないコード"))</f>
        <v/>
      </c>
      <c r="E725" s="27" t="n"/>
      <c r="F725" s="18" t="n"/>
      <c r="G725" s="27" t="n"/>
      <c r="H725" s="27" t="n"/>
      <c r="I725" s="27" t="n"/>
      <c r="J725" s="28">
        <f>IF(NOT(OR($A725&lt;&gt;"",$E725&lt;&gt;"",$F725&lt;&gt;"",$G725&lt;&gt;"",$H725&lt;&gt;"",$I725&lt;&gt;"")),"",N($G725)+N($H725)+N($I725))</f>
        <v/>
      </c>
      <c r="K725" s="28">
        <f>IF(ISNUMBER($O725),INDEX('請求台帳'!$R$5:$R$1004,$O725),"")</f>
        <v/>
      </c>
      <c r="L725" s="20">
        <f>IF(NOT(OR($A725&lt;&gt;"",$E725&lt;&gt;"",$F725&lt;&gt;"",$G725&lt;&gt;"",$H725&lt;&gt;"",$I725&lt;&gt;"")),"",IF(NOT(ISNUMBER($A725)),"入金日がありません",IF(AND($F725&lt;&gt;"",$O725="なし"),"請求Noが請求台帳にありません",IF(AND(ISNUMBER($O725),$C725&lt;&gt;"",$C725&lt;&gt;$P725),"請求の得意先は "&amp;$P725&amp;" です",IF(ROUND(IF($B725&lt;&gt;"",SUMIF($B$5:$B$1004,$B725,$E$5:$E$1004)-SUMIF($B$5:$B$1004,$B725,$G$5:$G$1004),N($E725)-N($G725)),0)&lt;&gt;0,"通帳の額と当てた額の差 "&amp;TEXT(IF($B725&lt;&gt;"",SUMIF($B$5:$B$1004,$B725,$E$5:$E$1004)-SUMIF($B$5:$B$1004,$B725,$G$5:$G$1004),N($E725)-N($G725)),"#,##0"),IF(AND(ISNUMBER($O725),N($K725)&lt;0),"請求額より多く消し込んでいます",IF($F725="","消込先が未定","OK")))))))</f>
        <v/>
      </c>
      <c r="M725" s="19" t="n"/>
      <c r="N725" s="56" t="n"/>
      <c r="O725" s="32">
        <f>IF($F725="","",IFERROR(MATCH($F725,'請求台帳'!$A$5:$A$1004,0),"なし"))</f>
        <v/>
      </c>
      <c r="P725" s="37">
        <f>IF(NOT(OR($A725&lt;&gt;"",$E725&lt;&gt;"",$F725&lt;&gt;"",$G725&lt;&gt;"",$H725&lt;&gt;"",$I725&lt;&gt;"")),"",IF(ISNUMBER($O725),IF(INDEX('請求台帳'!$C$5:$C$1004,$O725)="","",INDEX('請求台帳'!$C$5:$C$1004,$O725)),IF($C725="","",$C725)))</f>
        <v/>
      </c>
      <c r="Q725" s="35">
        <f>IF(OR(NOT(OR($A725&lt;&gt;"",$E725&lt;&gt;"",$F725&lt;&gt;"",$G725&lt;&gt;"",$H725&lt;&gt;"",$I725&lt;&gt;"")),$P725="",$P725&lt;&gt;'売掛帳'!$B$3,NOT(ISNUMBER($A725)),N($G725)+N($H725)+N($I725)=0),"",IF(AND($A725&gt;='売掛帳'!$Q$3,$A725&lt;='売掛帳'!$Q$4),$A725+0.5+ROW()/10000000,""))</f>
        <v/>
      </c>
      <c r="R725" s="32">
        <f>IF(AND(OR($A725&lt;&gt;"",$E725&lt;&gt;"",$F725&lt;&gt;"",$G725&lt;&gt;"",$H725&lt;&gt;"",$I725&lt;&gt;""),NOT(ISNUMBER($O725))),1,"")</f>
        <v/>
      </c>
    </row>
    <row r="726" ht="18" customHeight="1">
      <c r="A726" s="26" t="n"/>
      <c r="B726" s="18" t="n"/>
      <c r="C726" s="18" t="n"/>
      <c r="D726" s="20">
        <f>IF($P726="","",IFERROR(INDEX('得意先'!$C$5:$C$104,MATCH($P726,'得意先'!$B$5:$B$104,0))&amp;"","※得意先にないコード"))</f>
        <v/>
      </c>
      <c r="E726" s="27" t="n"/>
      <c r="F726" s="18" t="n"/>
      <c r="G726" s="27" t="n"/>
      <c r="H726" s="27" t="n"/>
      <c r="I726" s="27" t="n"/>
      <c r="J726" s="28">
        <f>IF(NOT(OR($A726&lt;&gt;"",$E726&lt;&gt;"",$F726&lt;&gt;"",$G726&lt;&gt;"",$H726&lt;&gt;"",$I726&lt;&gt;"")),"",N($G726)+N($H726)+N($I726))</f>
        <v/>
      </c>
      <c r="K726" s="28">
        <f>IF(ISNUMBER($O726),INDEX('請求台帳'!$R$5:$R$1004,$O726),"")</f>
        <v/>
      </c>
      <c r="L726" s="20">
        <f>IF(NOT(OR($A726&lt;&gt;"",$E726&lt;&gt;"",$F726&lt;&gt;"",$G726&lt;&gt;"",$H726&lt;&gt;"",$I726&lt;&gt;"")),"",IF(NOT(ISNUMBER($A726)),"入金日がありません",IF(AND($F726&lt;&gt;"",$O726="なし"),"請求Noが請求台帳にありません",IF(AND(ISNUMBER($O726),$C726&lt;&gt;"",$C726&lt;&gt;$P726),"請求の得意先は "&amp;$P726&amp;" です",IF(ROUND(IF($B726&lt;&gt;"",SUMIF($B$5:$B$1004,$B726,$E$5:$E$1004)-SUMIF($B$5:$B$1004,$B726,$G$5:$G$1004),N($E726)-N($G726)),0)&lt;&gt;0,"通帳の額と当てた額の差 "&amp;TEXT(IF($B726&lt;&gt;"",SUMIF($B$5:$B$1004,$B726,$E$5:$E$1004)-SUMIF($B$5:$B$1004,$B726,$G$5:$G$1004),N($E726)-N($G726)),"#,##0"),IF(AND(ISNUMBER($O726),N($K726)&lt;0),"請求額より多く消し込んでいます",IF($F726="","消込先が未定","OK")))))))</f>
        <v/>
      </c>
      <c r="M726" s="19" t="n"/>
      <c r="N726" s="56" t="n"/>
      <c r="O726" s="32">
        <f>IF($F726="","",IFERROR(MATCH($F726,'請求台帳'!$A$5:$A$1004,0),"なし"))</f>
        <v/>
      </c>
      <c r="P726" s="37">
        <f>IF(NOT(OR($A726&lt;&gt;"",$E726&lt;&gt;"",$F726&lt;&gt;"",$G726&lt;&gt;"",$H726&lt;&gt;"",$I726&lt;&gt;"")),"",IF(ISNUMBER($O726),IF(INDEX('請求台帳'!$C$5:$C$1004,$O726)="","",INDEX('請求台帳'!$C$5:$C$1004,$O726)),IF($C726="","",$C726)))</f>
        <v/>
      </c>
      <c r="Q726" s="35">
        <f>IF(OR(NOT(OR($A726&lt;&gt;"",$E726&lt;&gt;"",$F726&lt;&gt;"",$G726&lt;&gt;"",$H726&lt;&gt;"",$I726&lt;&gt;"")),$P726="",$P726&lt;&gt;'売掛帳'!$B$3,NOT(ISNUMBER($A726)),N($G726)+N($H726)+N($I726)=0),"",IF(AND($A726&gt;='売掛帳'!$Q$3,$A726&lt;='売掛帳'!$Q$4),$A726+0.5+ROW()/10000000,""))</f>
        <v/>
      </c>
      <c r="R726" s="32">
        <f>IF(AND(OR($A726&lt;&gt;"",$E726&lt;&gt;"",$F726&lt;&gt;"",$G726&lt;&gt;"",$H726&lt;&gt;"",$I726&lt;&gt;""),NOT(ISNUMBER($O726))),1,"")</f>
        <v/>
      </c>
    </row>
    <row r="727" ht="18" customHeight="1">
      <c r="A727" s="26" t="n"/>
      <c r="B727" s="18" t="n"/>
      <c r="C727" s="18" t="n"/>
      <c r="D727" s="20">
        <f>IF($P727="","",IFERROR(INDEX('得意先'!$C$5:$C$104,MATCH($P727,'得意先'!$B$5:$B$104,0))&amp;"","※得意先にないコード"))</f>
        <v/>
      </c>
      <c r="E727" s="27" t="n"/>
      <c r="F727" s="18" t="n"/>
      <c r="G727" s="27" t="n"/>
      <c r="H727" s="27" t="n"/>
      <c r="I727" s="27" t="n"/>
      <c r="J727" s="28">
        <f>IF(NOT(OR($A727&lt;&gt;"",$E727&lt;&gt;"",$F727&lt;&gt;"",$G727&lt;&gt;"",$H727&lt;&gt;"",$I727&lt;&gt;"")),"",N($G727)+N($H727)+N($I727))</f>
        <v/>
      </c>
      <c r="K727" s="28">
        <f>IF(ISNUMBER($O727),INDEX('請求台帳'!$R$5:$R$1004,$O727),"")</f>
        <v/>
      </c>
      <c r="L727" s="20">
        <f>IF(NOT(OR($A727&lt;&gt;"",$E727&lt;&gt;"",$F727&lt;&gt;"",$G727&lt;&gt;"",$H727&lt;&gt;"",$I727&lt;&gt;"")),"",IF(NOT(ISNUMBER($A727)),"入金日がありません",IF(AND($F727&lt;&gt;"",$O727="なし"),"請求Noが請求台帳にありません",IF(AND(ISNUMBER($O727),$C727&lt;&gt;"",$C727&lt;&gt;$P727),"請求の得意先は "&amp;$P727&amp;" です",IF(ROUND(IF($B727&lt;&gt;"",SUMIF($B$5:$B$1004,$B727,$E$5:$E$1004)-SUMIF($B$5:$B$1004,$B727,$G$5:$G$1004),N($E727)-N($G727)),0)&lt;&gt;0,"通帳の額と当てた額の差 "&amp;TEXT(IF($B727&lt;&gt;"",SUMIF($B$5:$B$1004,$B727,$E$5:$E$1004)-SUMIF($B$5:$B$1004,$B727,$G$5:$G$1004),N($E727)-N($G727)),"#,##0"),IF(AND(ISNUMBER($O727),N($K727)&lt;0),"請求額より多く消し込んでいます",IF($F727="","消込先が未定","OK")))))))</f>
        <v/>
      </c>
      <c r="M727" s="19" t="n"/>
      <c r="N727" s="56" t="n"/>
      <c r="O727" s="32">
        <f>IF($F727="","",IFERROR(MATCH($F727,'請求台帳'!$A$5:$A$1004,0),"なし"))</f>
        <v/>
      </c>
      <c r="P727" s="37">
        <f>IF(NOT(OR($A727&lt;&gt;"",$E727&lt;&gt;"",$F727&lt;&gt;"",$G727&lt;&gt;"",$H727&lt;&gt;"",$I727&lt;&gt;"")),"",IF(ISNUMBER($O727),IF(INDEX('請求台帳'!$C$5:$C$1004,$O727)="","",INDEX('請求台帳'!$C$5:$C$1004,$O727)),IF($C727="","",$C727)))</f>
        <v/>
      </c>
      <c r="Q727" s="35">
        <f>IF(OR(NOT(OR($A727&lt;&gt;"",$E727&lt;&gt;"",$F727&lt;&gt;"",$G727&lt;&gt;"",$H727&lt;&gt;"",$I727&lt;&gt;"")),$P727="",$P727&lt;&gt;'売掛帳'!$B$3,NOT(ISNUMBER($A727)),N($G727)+N($H727)+N($I727)=0),"",IF(AND($A727&gt;='売掛帳'!$Q$3,$A727&lt;='売掛帳'!$Q$4),$A727+0.5+ROW()/10000000,""))</f>
        <v/>
      </c>
      <c r="R727" s="32">
        <f>IF(AND(OR($A727&lt;&gt;"",$E727&lt;&gt;"",$F727&lt;&gt;"",$G727&lt;&gt;"",$H727&lt;&gt;"",$I727&lt;&gt;""),NOT(ISNUMBER($O727))),1,"")</f>
        <v/>
      </c>
    </row>
    <row r="728" ht="18" customHeight="1">
      <c r="A728" s="26" t="n"/>
      <c r="B728" s="18" t="n"/>
      <c r="C728" s="18" t="n"/>
      <c r="D728" s="20">
        <f>IF($P728="","",IFERROR(INDEX('得意先'!$C$5:$C$104,MATCH($P728,'得意先'!$B$5:$B$104,0))&amp;"","※得意先にないコード"))</f>
        <v/>
      </c>
      <c r="E728" s="27" t="n"/>
      <c r="F728" s="18" t="n"/>
      <c r="G728" s="27" t="n"/>
      <c r="H728" s="27" t="n"/>
      <c r="I728" s="27" t="n"/>
      <c r="J728" s="28">
        <f>IF(NOT(OR($A728&lt;&gt;"",$E728&lt;&gt;"",$F728&lt;&gt;"",$G728&lt;&gt;"",$H728&lt;&gt;"",$I728&lt;&gt;"")),"",N($G728)+N($H728)+N($I728))</f>
        <v/>
      </c>
      <c r="K728" s="28">
        <f>IF(ISNUMBER($O728),INDEX('請求台帳'!$R$5:$R$1004,$O728),"")</f>
        <v/>
      </c>
      <c r="L728" s="20">
        <f>IF(NOT(OR($A728&lt;&gt;"",$E728&lt;&gt;"",$F728&lt;&gt;"",$G728&lt;&gt;"",$H728&lt;&gt;"",$I728&lt;&gt;"")),"",IF(NOT(ISNUMBER($A728)),"入金日がありません",IF(AND($F728&lt;&gt;"",$O728="なし"),"請求Noが請求台帳にありません",IF(AND(ISNUMBER($O728),$C728&lt;&gt;"",$C728&lt;&gt;$P728),"請求の得意先は "&amp;$P728&amp;" です",IF(ROUND(IF($B728&lt;&gt;"",SUMIF($B$5:$B$1004,$B728,$E$5:$E$1004)-SUMIF($B$5:$B$1004,$B728,$G$5:$G$1004),N($E728)-N($G728)),0)&lt;&gt;0,"通帳の額と当てた額の差 "&amp;TEXT(IF($B728&lt;&gt;"",SUMIF($B$5:$B$1004,$B728,$E$5:$E$1004)-SUMIF($B$5:$B$1004,$B728,$G$5:$G$1004),N($E728)-N($G728)),"#,##0"),IF(AND(ISNUMBER($O728),N($K728)&lt;0),"請求額より多く消し込んでいます",IF($F728="","消込先が未定","OK")))))))</f>
        <v/>
      </c>
      <c r="M728" s="19" t="n"/>
      <c r="N728" s="56" t="n"/>
      <c r="O728" s="32">
        <f>IF($F728="","",IFERROR(MATCH($F728,'請求台帳'!$A$5:$A$1004,0),"なし"))</f>
        <v/>
      </c>
      <c r="P728" s="37">
        <f>IF(NOT(OR($A728&lt;&gt;"",$E728&lt;&gt;"",$F728&lt;&gt;"",$G728&lt;&gt;"",$H728&lt;&gt;"",$I728&lt;&gt;"")),"",IF(ISNUMBER($O728),IF(INDEX('請求台帳'!$C$5:$C$1004,$O728)="","",INDEX('請求台帳'!$C$5:$C$1004,$O728)),IF($C728="","",$C728)))</f>
        <v/>
      </c>
      <c r="Q728" s="35">
        <f>IF(OR(NOT(OR($A728&lt;&gt;"",$E728&lt;&gt;"",$F728&lt;&gt;"",$G728&lt;&gt;"",$H728&lt;&gt;"",$I728&lt;&gt;"")),$P728="",$P728&lt;&gt;'売掛帳'!$B$3,NOT(ISNUMBER($A728)),N($G728)+N($H728)+N($I728)=0),"",IF(AND($A728&gt;='売掛帳'!$Q$3,$A728&lt;='売掛帳'!$Q$4),$A728+0.5+ROW()/10000000,""))</f>
        <v/>
      </c>
      <c r="R728" s="32">
        <f>IF(AND(OR($A728&lt;&gt;"",$E728&lt;&gt;"",$F728&lt;&gt;"",$G728&lt;&gt;"",$H728&lt;&gt;"",$I728&lt;&gt;""),NOT(ISNUMBER($O728))),1,"")</f>
        <v/>
      </c>
    </row>
    <row r="729" ht="18" customHeight="1">
      <c r="A729" s="26" t="n"/>
      <c r="B729" s="18" t="n"/>
      <c r="C729" s="18" t="n"/>
      <c r="D729" s="20">
        <f>IF($P729="","",IFERROR(INDEX('得意先'!$C$5:$C$104,MATCH($P729,'得意先'!$B$5:$B$104,0))&amp;"","※得意先にないコード"))</f>
        <v/>
      </c>
      <c r="E729" s="27" t="n"/>
      <c r="F729" s="18" t="n"/>
      <c r="G729" s="27" t="n"/>
      <c r="H729" s="27" t="n"/>
      <c r="I729" s="27" t="n"/>
      <c r="J729" s="28">
        <f>IF(NOT(OR($A729&lt;&gt;"",$E729&lt;&gt;"",$F729&lt;&gt;"",$G729&lt;&gt;"",$H729&lt;&gt;"",$I729&lt;&gt;"")),"",N($G729)+N($H729)+N($I729))</f>
        <v/>
      </c>
      <c r="K729" s="28">
        <f>IF(ISNUMBER($O729),INDEX('請求台帳'!$R$5:$R$1004,$O729),"")</f>
        <v/>
      </c>
      <c r="L729" s="20">
        <f>IF(NOT(OR($A729&lt;&gt;"",$E729&lt;&gt;"",$F729&lt;&gt;"",$G729&lt;&gt;"",$H729&lt;&gt;"",$I729&lt;&gt;"")),"",IF(NOT(ISNUMBER($A729)),"入金日がありません",IF(AND($F729&lt;&gt;"",$O729="なし"),"請求Noが請求台帳にありません",IF(AND(ISNUMBER($O729),$C729&lt;&gt;"",$C729&lt;&gt;$P729),"請求の得意先は "&amp;$P729&amp;" です",IF(ROUND(IF($B729&lt;&gt;"",SUMIF($B$5:$B$1004,$B729,$E$5:$E$1004)-SUMIF($B$5:$B$1004,$B729,$G$5:$G$1004),N($E729)-N($G729)),0)&lt;&gt;0,"通帳の額と当てた額の差 "&amp;TEXT(IF($B729&lt;&gt;"",SUMIF($B$5:$B$1004,$B729,$E$5:$E$1004)-SUMIF($B$5:$B$1004,$B729,$G$5:$G$1004),N($E729)-N($G729)),"#,##0"),IF(AND(ISNUMBER($O729),N($K729)&lt;0),"請求額より多く消し込んでいます",IF($F729="","消込先が未定","OK")))))))</f>
        <v/>
      </c>
      <c r="M729" s="19" t="n"/>
      <c r="N729" s="56" t="n"/>
      <c r="O729" s="32">
        <f>IF($F729="","",IFERROR(MATCH($F729,'請求台帳'!$A$5:$A$1004,0),"なし"))</f>
        <v/>
      </c>
      <c r="P729" s="37">
        <f>IF(NOT(OR($A729&lt;&gt;"",$E729&lt;&gt;"",$F729&lt;&gt;"",$G729&lt;&gt;"",$H729&lt;&gt;"",$I729&lt;&gt;"")),"",IF(ISNUMBER($O729),IF(INDEX('請求台帳'!$C$5:$C$1004,$O729)="","",INDEX('請求台帳'!$C$5:$C$1004,$O729)),IF($C729="","",$C729)))</f>
        <v/>
      </c>
      <c r="Q729" s="35">
        <f>IF(OR(NOT(OR($A729&lt;&gt;"",$E729&lt;&gt;"",$F729&lt;&gt;"",$G729&lt;&gt;"",$H729&lt;&gt;"",$I729&lt;&gt;"")),$P729="",$P729&lt;&gt;'売掛帳'!$B$3,NOT(ISNUMBER($A729)),N($G729)+N($H729)+N($I729)=0),"",IF(AND($A729&gt;='売掛帳'!$Q$3,$A729&lt;='売掛帳'!$Q$4),$A729+0.5+ROW()/10000000,""))</f>
        <v/>
      </c>
      <c r="R729" s="32">
        <f>IF(AND(OR($A729&lt;&gt;"",$E729&lt;&gt;"",$F729&lt;&gt;"",$G729&lt;&gt;"",$H729&lt;&gt;"",$I729&lt;&gt;""),NOT(ISNUMBER($O729))),1,"")</f>
        <v/>
      </c>
    </row>
    <row r="730" ht="18" customHeight="1">
      <c r="A730" s="26" t="n"/>
      <c r="B730" s="18" t="n"/>
      <c r="C730" s="18" t="n"/>
      <c r="D730" s="20">
        <f>IF($P730="","",IFERROR(INDEX('得意先'!$C$5:$C$104,MATCH($P730,'得意先'!$B$5:$B$104,0))&amp;"","※得意先にないコード"))</f>
        <v/>
      </c>
      <c r="E730" s="27" t="n"/>
      <c r="F730" s="18" t="n"/>
      <c r="G730" s="27" t="n"/>
      <c r="H730" s="27" t="n"/>
      <c r="I730" s="27" t="n"/>
      <c r="J730" s="28">
        <f>IF(NOT(OR($A730&lt;&gt;"",$E730&lt;&gt;"",$F730&lt;&gt;"",$G730&lt;&gt;"",$H730&lt;&gt;"",$I730&lt;&gt;"")),"",N($G730)+N($H730)+N($I730))</f>
        <v/>
      </c>
      <c r="K730" s="28">
        <f>IF(ISNUMBER($O730),INDEX('請求台帳'!$R$5:$R$1004,$O730),"")</f>
        <v/>
      </c>
      <c r="L730" s="20">
        <f>IF(NOT(OR($A730&lt;&gt;"",$E730&lt;&gt;"",$F730&lt;&gt;"",$G730&lt;&gt;"",$H730&lt;&gt;"",$I730&lt;&gt;"")),"",IF(NOT(ISNUMBER($A730)),"入金日がありません",IF(AND($F730&lt;&gt;"",$O730="なし"),"請求Noが請求台帳にありません",IF(AND(ISNUMBER($O730),$C730&lt;&gt;"",$C730&lt;&gt;$P730),"請求の得意先は "&amp;$P730&amp;" です",IF(ROUND(IF($B730&lt;&gt;"",SUMIF($B$5:$B$1004,$B730,$E$5:$E$1004)-SUMIF($B$5:$B$1004,$B730,$G$5:$G$1004),N($E730)-N($G730)),0)&lt;&gt;0,"通帳の額と当てた額の差 "&amp;TEXT(IF($B730&lt;&gt;"",SUMIF($B$5:$B$1004,$B730,$E$5:$E$1004)-SUMIF($B$5:$B$1004,$B730,$G$5:$G$1004),N($E730)-N($G730)),"#,##0"),IF(AND(ISNUMBER($O730),N($K730)&lt;0),"請求額より多く消し込んでいます",IF($F730="","消込先が未定","OK")))))))</f>
        <v/>
      </c>
      <c r="M730" s="19" t="n"/>
      <c r="N730" s="56" t="n"/>
      <c r="O730" s="32">
        <f>IF($F730="","",IFERROR(MATCH($F730,'請求台帳'!$A$5:$A$1004,0),"なし"))</f>
        <v/>
      </c>
      <c r="P730" s="37">
        <f>IF(NOT(OR($A730&lt;&gt;"",$E730&lt;&gt;"",$F730&lt;&gt;"",$G730&lt;&gt;"",$H730&lt;&gt;"",$I730&lt;&gt;"")),"",IF(ISNUMBER($O730),IF(INDEX('請求台帳'!$C$5:$C$1004,$O730)="","",INDEX('請求台帳'!$C$5:$C$1004,$O730)),IF($C730="","",$C730)))</f>
        <v/>
      </c>
      <c r="Q730" s="35">
        <f>IF(OR(NOT(OR($A730&lt;&gt;"",$E730&lt;&gt;"",$F730&lt;&gt;"",$G730&lt;&gt;"",$H730&lt;&gt;"",$I730&lt;&gt;"")),$P730="",$P730&lt;&gt;'売掛帳'!$B$3,NOT(ISNUMBER($A730)),N($G730)+N($H730)+N($I730)=0),"",IF(AND($A730&gt;='売掛帳'!$Q$3,$A730&lt;='売掛帳'!$Q$4),$A730+0.5+ROW()/10000000,""))</f>
        <v/>
      </c>
      <c r="R730" s="32">
        <f>IF(AND(OR($A730&lt;&gt;"",$E730&lt;&gt;"",$F730&lt;&gt;"",$G730&lt;&gt;"",$H730&lt;&gt;"",$I730&lt;&gt;""),NOT(ISNUMBER($O730))),1,"")</f>
        <v/>
      </c>
    </row>
    <row r="731" ht="18" customHeight="1">
      <c r="A731" s="26" t="n"/>
      <c r="B731" s="18" t="n"/>
      <c r="C731" s="18" t="n"/>
      <c r="D731" s="20">
        <f>IF($P731="","",IFERROR(INDEX('得意先'!$C$5:$C$104,MATCH($P731,'得意先'!$B$5:$B$104,0))&amp;"","※得意先にないコード"))</f>
        <v/>
      </c>
      <c r="E731" s="27" t="n"/>
      <c r="F731" s="18" t="n"/>
      <c r="G731" s="27" t="n"/>
      <c r="H731" s="27" t="n"/>
      <c r="I731" s="27" t="n"/>
      <c r="J731" s="28">
        <f>IF(NOT(OR($A731&lt;&gt;"",$E731&lt;&gt;"",$F731&lt;&gt;"",$G731&lt;&gt;"",$H731&lt;&gt;"",$I731&lt;&gt;"")),"",N($G731)+N($H731)+N($I731))</f>
        <v/>
      </c>
      <c r="K731" s="28">
        <f>IF(ISNUMBER($O731),INDEX('請求台帳'!$R$5:$R$1004,$O731),"")</f>
        <v/>
      </c>
      <c r="L731" s="20">
        <f>IF(NOT(OR($A731&lt;&gt;"",$E731&lt;&gt;"",$F731&lt;&gt;"",$G731&lt;&gt;"",$H731&lt;&gt;"",$I731&lt;&gt;"")),"",IF(NOT(ISNUMBER($A731)),"入金日がありません",IF(AND($F731&lt;&gt;"",$O731="なし"),"請求Noが請求台帳にありません",IF(AND(ISNUMBER($O731),$C731&lt;&gt;"",$C731&lt;&gt;$P731),"請求の得意先は "&amp;$P731&amp;" です",IF(ROUND(IF($B731&lt;&gt;"",SUMIF($B$5:$B$1004,$B731,$E$5:$E$1004)-SUMIF($B$5:$B$1004,$B731,$G$5:$G$1004),N($E731)-N($G731)),0)&lt;&gt;0,"通帳の額と当てた額の差 "&amp;TEXT(IF($B731&lt;&gt;"",SUMIF($B$5:$B$1004,$B731,$E$5:$E$1004)-SUMIF($B$5:$B$1004,$B731,$G$5:$G$1004),N($E731)-N($G731)),"#,##0"),IF(AND(ISNUMBER($O731),N($K731)&lt;0),"請求額より多く消し込んでいます",IF($F731="","消込先が未定","OK")))))))</f>
        <v/>
      </c>
      <c r="M731" s="19" t="n"/>
      <c r="N731" s="56" t="n"/>
      <c r="O731" s="32">
        <f>IF($F731="","",IFERROR(MATCH($F731,'請求台帳'!$A$5:$A$1004,0),"なし"))</f>
        <v/>
      </c>
      <c r="P731" s="37">
        <f>IF(NOT(OR($A731&lt;&gt;"",$E731&lt;&gt;"",$F731&lt;&gt;"",$G731&lt;&gt;"",$H731&lt;&gt;"",$I731&lt;&gt;"")),"",IF(ISNUMBER($O731),IF(INDEX('請求台帳'!$C$5:$C$1004,$O731)="","",INDEX('請求台帳'!$C$5:$C$1004,$O731)),IF($C731="","",$C731)))</f>
        <v/>
      </c>
      <c r="Q731" s="35">
        <f>IF(OR(NOT(OR($A731&lt;&gt;"",$E731&lt;&gt;"",$F731&lt;&gt;"",$G731&lt;&gt;"",$H731&lt;&gt;"",$I731&lt;&gt;"")),$P731="",$P731&lt;&gt;'売掛帳'!$B$3,NOT(ISNUMBER($A731)),N($G731)+N($H731)+N($I731)=0),"",IF(AND($A731&gt;='売掛帳'!$Q$3,$A731&lt;='売掛帳'!$Q$4),$A731+0.5+ROW()/10000000,""))</f>
        <v/>
      </c>
      <c r="R731" s="32">
        <f>IF(AND(OR($A731&lt;&gt;"",$E731&lt;&gt;"",$F731&lt;&gt;"",$G731&lt;&gt;"",$H731&lt;&gt;"",$I731&lt;&gt;""),NOT(ISNUMBER($O731))),1,"")</f>
        <v/>
      </c>
    </row>
    <row r="732" ht="18" customHeight="1">
      <c r="A732" s="26" t="n"/>
      <c r="B732" s="18" t="n"/>
      <c r="C732" s="18" t="n"/>
      <c r="D732" s="20">
        <f>IF($P732="","",IFERROR(INDEX('得意先'!$C$5:$C$104,MATCH($P732,'得意先'!$B$5:$B$104,0))&amp;"","※得意先にないコード"))</f>
        <v/>
      </c>
      <c r="E732" s="27" t="n"/>
      <c r="F732" s="18" t="n"/>
      <c r="G732" s="27" t="n"/>
      <c r="H732" s="27" t="n"/>
      <c r="I732" s="27" t="n"/>
      <c r="J732" s="28">
        <f>IF(NOT(OR($A732&lt;&gt;"",$E732&lt;&gt;"",$F732&lt;&gt;"",$G732&lt;&gt;"",$H732&lt;&gt;"",$I732&lt;&gt;"")),"",N($G732)+N($H732)+N($I732))</f>
        <v/>
      </c>
      <c r="K732" s="28">
        <f>IF(ISNUMBER($O732),INDEX('請求台帳'!$R$5:$R$1004,$O732),"")</f>
        <v/>
      </c>
      <c r="L732" s="20">
        <f>IF(NOT(OR($A732&lt;&gt;"",$E732&lt;&gt;"",$F732&lt;&gt;"",$G732&lt;&gt;"",$H732&lt;&gt;"",$I732&lt;&gt;"")),"",IF(NOT(ISNUMBER($A732)),"入金日がありません",IF(AND($F732&lt;&gt;"",$O732="なし"),"請求Noが請求台帳にありません",IF(AND(ISNUMBER($O732),$C732&lt;&gt;"",$C732&lt;&gt;$P732),"請求の得意先は "&amp;$P732&amp;" です",IF(ROUND(IF($B732&lt;&gt;"",SUMIF($B$5:$B$1004,$B732,$E$5:$E$1004)-SUMIF($B$5:$B$1004,$B732,$G$5:$G$1004),N($E732)-N($G732)),0)&lt;&gt;0,"通帳の額と当てた額の差 "&amp;TEXT(IF($B732&lt;&gt;"",SUMIF($B$5:$B$1004,$B732,$E$5:$E$1004)-SUMIF($B$5:$B$1004,$B732,$G$5:$G$1004),N($E732)-N($G732)),"#,##0"),IF(AND(ISNUMBER($O732),N($K732)&lt;0),"請求額より多く消し込んでいます",IF($F732="","消込先が未定","OK")))))))</f>
        <v/>
      </c>
      <c r="M732" s="19" t="n"/>
      <c r="N732" s="56" t="n"/>
      <c r="O732" s="32">
        <f>IF($F732="","",IFERROR(MATCH($F732,'請求台帳'!$A$5:$A$1004,0),"なし"))</f>
        <v/>
      </c>
      <c r="P732" s="37">
        <f>IF(NOT(OR($A732&lt;&gt;"",$E732&lt;&gt;"",$F732&lt;&gt;"",$G732&lt;&gt;"",$H732&lt;&gt;"",$I732&lt;&gt;"")),"",IF(ISNUMBER($O732),IF(INDEX('請求台帳'!$C$5:$C$1004,$O732)="","",INDEX('請求台帳'!$C$5:$C$1004,$O732)),IF($C732="","",$C732)))</f>
        <v/>
      </c>
      <c r="Q732" s="35">
        <f>IF(OR(NOT(OR($A732&lt;&gt;"",$E732&lt;&gt;"",$F732&lt;&gt;"",$G732&lt;&gt;"",$H732&lt;&gt;"",$I732&lt;&gt;"")),$P732="",$P732&lt;&gt;'売掛帳'!$B$3,NOT(ISNUMBER($A732)),N($G732)+N($H732)+N($I732)=0),"",IF(AND($A732&gt;='売掛帳'!$Q$3,$A732&lt;='売掛帳'!$Q$4),$A732+0.5+ROW()/10000000,""))</f>
        <v/>
      </c>
      <c r="R732" s="32">
        <f>IF(AND(OR($A732&lt;&gt;"",$E732&lt;&gt;"",$F732&lt;&gt;"",$G732&lt;&gt;"",$H732&lt;&gt;"",$I732&lt;&gt;""),NOT(ISNUMBER($O732))),1,"")</f>
        <v/>
      </c>
    </row>
    <row r="733" ht="18" customHeight="1">
      <c r="A733" s="26" t="n"/>
      <c r="B733" s="18" t="n"/>
      <c r="C733" s="18" t="n"/>
      <c r="D733" s="20">
        <f>IF($P733="","",IFERROR(INDEX('得意先'!$C$5:$C$104,MATCH($P733,'得意先'!$B$5:$B$104,0))&amp;"","※得意先にないコード"))</f>
        <v/>
      </c>
      <c r="E733" s="27" t="n"/>
      <c r="F733" s="18" t="n"/>
      <c r="G733" s="27" t="n"/>
      <c r="H733" s="27" t="n"/>
      <c r="I733" s="27" t="n"/>
      <c r="J733" s="28">
        <f>IF(NOT(OR($A733&lt;&gt;"",$E733&lt;&gt;"",$F733&lt;&gt;"",$G733&lt;&gt;"",$H733&lt;&gt;"",$I733&lt;&gt;"")),"",N($G733)+N($H733)+N($I733))</f>
        <v/>
      </c>
      <c r="K733" s="28">
        <f>IF(ISNUMBER($O733),INDEX('請求台帳'!$R$5:$R$1004,$O733),"")</f>
        <v/>
      </c>
      <c r="L733" s="20">
        <f>IF(NOT(OR($A733&lt;&gt;"",$E733&lt;&gt;"",$F733&lt;&gt;"",$G733&lt;&gt;"",$H733&lt;&gt;"",$I733&lt;&gt;"")),"",IF(NOT(ISNUMBER($A733)),"入金日がありません",IF(AND($F733&lt;&gt;"",$O733="なし"),"請求Noが請求台帳にありません",IF(AND(ISNUMBER($O733),$C733&lt;&gt;"",$C733&lt;&gt;$P733),"請求の得意先は "&amp;$P733&amp;" です",IF(ROUND(IF($B733&lt;&gt;"",SUMIF($B$5:$B$1004,$B733,$E$5:$E$1004)-SUMIF($B$5:$B$1004,$B733,$G$5:$G$1004),N($E733)-N($G733)),0)&lt;&gt;0,"通帳の額と当てた額の差 "&amp;TEXT(IF($B733&lt;&gt;"",SUMIF($B$5:$B$1004,$B733,$E$5:$E$1004)-SUMIF($B$5:$B$1004,$B733,$G$5:$G$1004),N($E733)-N($G733)),"#,##0"),IF(AND(ISNUMBER($O733),N($K733)&lt;0),"請求額より多く消し込んでいます",IF($F733="","消込先が未定","OK")))))))</f>
        <v/>
      </c>
      <c r="M733" s="19" t="n"/>
      <c r="N733" s="56" t="n"/>
      <c r="O733" s="32">
        <f>IF($F733="","",IFERROR(MATCH($F733,'請求台帳'!$A$5:$A$1004,0),"なし"))</f>
        <v/>
      </c>
      <c r="P733" s="37">
        <f>IF(NOT(OR($A733&lt;&gt;"",$E733&lt;&gt;"",$F733&lt;&gt;"",$G733&lt;&gt;"",$H733&lt;&gt;"",$I733&lt;&gt;"")),"",IF(ISNUMBER($O733),IF(INDEX('請求台帳'!$C$5:$C$1004,$O733)="","",INDEX('請求台帳'!$C$5:$C$1004,$O733)),IF($C733="","",$C733)))</f>
        <v/>
      </c>
      <c r="Q733" s="35">
        <f>IF(OR(NOT(OR($A733&lt;&gt;"",$E733&lt;&gt;"",$F733&lt;&gt;"",$G733&lt;&gt;"",$H733&lt;&gt;"",$I733&lt;&gt;"")),$P733="",$P733&lt;&gt;'売掛帳'!$B$3,NOT(ISNUMBER($A733)),N($G733)+N($H733)+N($I733)=0),"",IF(AND($A733&gt;='売掛帳'!$Q$3,$A733&lt;='売掛帳'!$Q$4),$A733+0.5+ROW()/10000000,""))</f>
        <v/>
      </c>
      <c r="R733" s="32">
        <f>IF(AND(OR($A733&lt;&gt;"",$E733&lt;&gt;"",$F733&lt;&gt;"",$G733&lt;&gt;"",$H733&lt;&gt;"",$I733&lt;&gt;""),NOT(ISNUMBER($O733))),1,"")</f>
        <v/>
      </c>
    </row>
    <row r="734" ht="18" customHeight="1">
      <c r="A734" s="26" t="n"/>
      <c r="B734" s="18" t="n"/>
      <c r="C734" s="18" t="n"/>
      <c r="D734" s="20">
        <f>IF($P734="","",IFERROR(INDEX('得意先'!$C$5:$C$104,MATCH($P734,'得意先'!$B$5:$B$104,0))&amp;"","※得意先にないコード"))</f>
        <v/>
      </c>
      <c r="E734" s="27" t="n"/>
      <c r="F734" s="18" t="n"/>
      <c r="G734" s="27" t="n"/>
      <c r="H734" s="27" t="n"/>
      <c r="I734" s="27" t="n"/>
      <c r="J734" s="28">
        <f>IF(NOT(OR($A734&lt;&gt;"",$E734&lt;&gt;"",$F734&lt;&gt;"",$G734&lt;&gt;"",$H734&lt;&gt;"",$I734&lt;&gt;"")),"",N($G734)+N($H734)+N($I734))</f>
        <v/>
      </c>
      <c r="K734" s="28">
        <f>IF(ISNUMBER($O734),INDEX('請求台帳'!$R$5:$R$1004,$O734),"")</f>
        <v/>
      </c>
      <c r="L734" s="20">
        <f>IF(NOT(OR($A734&lt;&gt;"",$E734&lt;&gt;"",$F734&lt;&gt;"",$G734&lt;&gt;"",$H734&lt;&gt;"",$I734&lt;&gt;"")),"",IF(NOT(ISNUMBER($A734)),"入金日がありません",IF(AND($F734&lt;&gt;"",$O734="なし"),"請求Noが請求台帳にありません",IF(AND(ISNUMBER($O734),$C734&lt;&gt;"",$C734&lt;&gt;$P734),"請求の得意先は "&amp;$P734&amp;" です",IF(ROUND(IF($B734&lt;&gt;"",SUMIF($B$5:$B$1004,$B734,$E$5:$E$1004)-SUMIF($B$5:$B$1004,$B734,$G$5:$G$1004),N($E734)-N($G734)),0)&lt;&gt;0,"通帳の額と当てた額の差 "&amp;TEXT(IF($B734&lt;&gt;"",SUMIF($B$5:$B$1004,$B734,$E$5:$E$1004)-SUMIF($B$5:$B$1004,$B734,$G$5:$G$1004),N($E734)-N($G734)),"#,##0"),IF(AND(ISNUMBER($O734),N($K734)&lt;0),"請求額より多く消し込んでいます",IF($F734="","消込先が未定","OK")))))))</f>
        <v/>
      </c>
      <c r="M734" s="19" t="n"/>
      <c r="N734" s="56" t="n"/>
      <c r="O734" s="32">
        <f>IF($F734="","",IFERROR(MATCH($F734,'請求台帳'!$A$5:$A$1004,0),"なし"))</f>
        <v/>
      </c>
      <c r="P734" s="37">
        <f>IF(NOT(OR($A734&lt;&gt;"",$E734&lt;&gt;"",$F734&lt;&gt;"",$G734&lt;&gt;"",$H734&lt;&gt;"",$I734&lt;&gt;"")),"",IF(ISNUMBER($O734),IF(INDEX('請求台帳'!$C$5:$C$1004,$O734)="","",INDEX('請求台帳'!$C$5:$C$1004,$O734)),IF($C734="","",$C734)))</f>
        <v/>
      </c>
      <c r="Q734" s="35">
        <f>IF(OR(NOT(OR($A734&lt;&gt;"",$E734&lt;&gt;"",$F734&lt;&gt;"",$G734&lt;&gt;"",$H734&lt;&gt;"",$I734&lt;&gt;"")),$P734="",$P734&lt;&gt;'売掛帳'!$B$3,NOT(ISNUMBER($A734)),N($G734)+N($H734)+N($I734)=0),"",IF(AND($A734&gt;='売掛帳'!$Q$3,$A734&lt;='売掛帳'!$Q$4),$A734+0.5+ROW()/10000000,""))</f>
        <v/>
      </c>
      <c r="R734" s="32">
        <f>IF(AND(OR($A734&lt;&gt;"",$E734&lt;&gt;"",$F734&lt;&gt;"",$G734&lt;&gt;"",$H734&lt;&gt;"",$I734&lt;&gt;""),NOT(ISNUMBER($O734))),1,"")</f>
        <v/>
      </c>
    </row>
    <row r="735" ht="18" customHeight="1">
      <c r="A735" s="26" t="n"/>
      <c r="B735" s="18" t="n"/>
      <c r="C735" s="18" t="n"/>
      <c r="D735" s="20">
        <f>IF($P735="","",IFERROR(INDEX('得意先'!$C$5:$C$104,MATCH($P735,'得意先'!$B$5:$B$104,0))&amp;"","※得意先にないコード"))</f>
        <v/>
      </c>
      <c r="E735" s="27" t="n"/>
      <c r="F735" s="18" t="n"/>
      <c r="G735" s="27" t="n"/>
      <c r="H735" s="27" t="n"/>
      <c r="I735" s="27" t="n"/>
      <c r="J735" s="28">
        <f>IF(NOT(OR($A735&lt;&gt;"",$E735&lt;&gt;"",$F735&lt;&gt;"",$G735&lt;&gt;"",$H735&lt;&gt;"",$I735&lt;&gt;"")),"",N($G735)+N($H735)+N($I735))</f>
        <v/>
      </c>
      <c r="K735" s="28">
        <f>IF(ISNUMBER($O735),INDEX('請求台帳'!$R$5:$R$1004,$O735),"")</f>
        <v/>
      </c>
      <c r="L735" s="20">
        <f>IF(NOT(OR($A735&lt;&gt;"",$E735&lt;&gt;"",$F735&lt;&gt;"",$G735&lt;&gt;"",$H735&lt;&gt;"",$I735&lt;&gt;"")),"",IF(NOT(ISNUMBER($A735)),"入金日がありません",IF(AND($F735&lt;&gt;"",$O735="なし"),"請求Noが請求台帳にありません",IF(AND(ISNUMBER($O735),$C735&lt;&gt;"",$C735&lt;&gt;$P735),"請求の得意先は "&amp;$P735&amp;" です",IF(ROUND(IF($B735&lt;&gt;"",SUMIF($B$5:$B$1004,$B735,$E$5:$E$1004)-SUMIF($B$5:$B$1004,$B735,$G$5:$G$1004),N($E735)-N($G735)),0)&lt;&gt;0,"通帳の額と当てた額の差 "&amp;TEXT(IF($B735&lt;&gt;"",SUMIF($B$5:$B$1004,$B735,$E$5:$E$1004)-SUMIF($B$5:$B$1004,$B735,$G$5:$G$1004),N($E735)-N($G735)),"#,##0"),IF(AND(ISNUMBER($O735),N($K735)&lt;0),"請求額より多く消し込んでいます",IF($F735="","消込先が未定","OK")))))))</f>
        <v/>
      </c>
      <c r="M735" s="19" t="n"/>
      <c r="N735" s="56" t="n"/>
      <c r="O735" s="32">
        <f>IF($F735="","",IFERROR(MATCH($F735,'請求台帳'!$A$5:$A$1004,0),"なし"))</f>
        <v/>
      </c>
      <c r="P735" s="37">
        <f>IF(NOT(OR($A735&lt;&gt;"",$E735&lt;&gt;"",$F735&lt;&gt;"",$G735&lt;&gt;"",$H735&lt;&gt;"",$I735&lt;&gt;"")),"",IF(ISNUMBER($O735),IF(INDEX('請求台帳'!$C$5:$C$1004,$O735)="","",INDEX('請求台帳'!$C$5:$C$1004,$O735)),IF($C735="","",$C735)))</f>
        <v/>
      </c>
      <c r="Q735" s="35">
        <f>IF(OR(NOT(OR($A735&lt;&gt;"",$E735&lt;&gt;"",$F735&lt;&gt;"",$G735&lt;&gt;"",$H735&lt;&gt;"",$I735&lt;&gt;"")),$P735="",$P735&lt;&gt;'売掛帳'!$B$3,NOT(ISNUMBER($A735)),N($G735)+N($H735)+N($I735)=0),"",IF(AND($A735&gt;='売掛帳'!$Q$3,$A735&lt;='売掛帳'!$Q$4),$A735+0.5+ROW()/10000000,""))</f>
        <v/>
      </c>
      <c r="R735" s="32">
        <f>IF(AND(OR($A735&lt;&gt;"",$E735&lt;&gt;"",$F735&lt;&gt;"",$G735&lt;&gt;"",$H735&lt;&gt;"",$I735&lt;&gt;""),NOT(ISNUMBER($O735))),1,"")</f>
        <v/>
      </c>
    </row>
    <row r="736" ht="18" customHeight="1">
      <c r="A736" s="26" t="n"/>
      <c r="B736" s="18" t="n"/>
      <c r="C736" s="18" t="n"/>
      <c r="D736" s="20">
        <f>IF($P736="","",IFERROR(INDEX('得意先'!$C$5:$C$104,MATCH($P736,'得意先'!$B$5:$B$104,0))&amp;"","※得意先にないコード"))</f>
        <v/>
      </c>
      <c r="E736" s="27" t="n"/>
      <c r="F736" s="18" t="n"/>
      <c r="G736" s="27" t="n"/>
      <c r="H736" s="27" t="n"/>
      <c r="I736" s="27" t="n"/>
      <c r="J736" s="28">
        <f>IF(NOT(OR($A736&lt;&gt;"",$E736&lt;&gt;"",$F736&lt;&gt;"",$G736&lt;&gt;"",$H736&lt;&gt;"",$I736&lt;&gt;"")),"",N($G736)+N($H736)+N($I736))</f>
        <v/>
      </c>
      <c r="K736" s="28">
        <f>IF(ISNUMBER($O736),INDEX('請求台帳'!$R$5:$R$1004,$O736),"")</f>
        <v/>
      </c>
      <c r="L736" s="20">
        <f>IF(NOT(OR($A736&lt;&gt;"",$E736&lt;&gt;"",$F736&lt;&gt;"",$G736&lt;&gt;"",$H736&lt;&gt;"",$I736&lt;&gt;"")),"",IF(NOT(ISNUMBER($A736)),"入金日がありません",IF(AND($F736&lt;&gt;"",$O736="なし"),"請求Noが請求台帳にありません",IF(AND(ISNUMBER($O736),$C736&lt;&gt;"",$C736&lt;&gt;$P736),"請求の得意先は "&amp;$P736&amp;" です",IF(ROUND(IF($B736&lt;&gt;"",SUMIF($B$5:$B$1004,$B736,$E$5:$E$1004)-SUMIF($B$5:$B$1004,$B736,$G$5:$G$1004),N($E736)-N($G736)),0)&lt;&gt;0,"通帳の額と当てた額の差 "&amp;TEXT(IF($B736&lt;&gt;"",SUMIF($B$5:$B$1004,$B736,$E$5:$E$1004)-SUMIF($B$5:$B$1004,$B736,$G$5:$G$1004),N($E736)-N($G736)),"#,##0"),IF(AND(ISNUMBER($O736),N($K736)&lt;0),"請求額より多く消し込んでいます",IF($F736="","消込先が未定","OK")))))))</f>
        <v/>
      </c>
      <c r="M736" s="19" t="n"/>
      <c r="N736" s="56" t="n"/>
      <c r="O736" s="32">
        <f>IF($F736="","",IFERROR(MATCH($F736,'請求台帳'!$A$5:$A$1004,0),"なし"))</f>
        <v/>
      </c>
      <c r="P736" s="37">
        <f>IF(NOT(OR($A736&lt;&gt;"",$E736&lt;&gt;"",$F736&lt;&gt;"",$G736&lt;&gt;"",$H736&lt;&gt;"",$I736&lt;&gt;"")),"",IF(ISNUMBER($O736),IF(INDEX('請求台帳'!$C$5:$C$1004,$O736)="","",INDEX('請求台帳'!$C$5:$C$1004,$O736)),IF($C736="","",$C736)))</f>
        <v/>
      </c>
      <c r="Q736" s="35">
        <f>IF(OR(NOT(OR($A736&lt;&gt;"",$E736&lt;&gt;"",$F736&lt;&gt;"",$G736&lt;&gt;"",$H736&lt;&gt;"",$I736&lt;&gt;"")),$P736="",$P736&lt;&gt;'売掛帳'!$B$3,NOT(ISNUMBER($A736)),N($G736)+N($H736)+N($I736)=0),"",IF(AND($A736&gt;='売掛帳'!$Q$3,$A736&lt;='売掛帳'!$Q$4),$A736+0.5+ROW()/10000000,""))</f>
        <v/>
      </c>
      <c r="R736" s="32">
        <f>IF(AND(OR($A736&lt;&gt;"",$E736&lt;&gt;"",$F736&lt;&gt;"",$G736&lt;&gt;"",$H736&lt;&gt;"",$I736&lt;&gt;""),NOT(ISNUMBER($O736))),1,"")</f>
        <v/>
      </c>
    </row>
    <row r="737" ht="18" customHeight="1">
      <c r="A737" s="26" t="n"/>
      <c r="B737" s="18" t="n"/>
      <c r="C737" s="18" t="n"/>
      <c r="D737" s="20">
        <f>IF($P737="","",IFERROR(INDEX('得意先'!$C$5:$C$104,MATCH($P737,'得意先'!$B$5:$B$104,0))&amp;"","※得意先にないコード"))</f>
        <v/>
      </c>
      <c r="E737" s="27" t="n"/>
      <c r="F737" s="18" t="n"/>
      <c r="G737" s="27" t="n"/>
      <c r="H737" s="27" t="n"/>
      <c r="I737" s="27" t="n"/>
      <c r="J737" s="28">
        <f>IF(NOT(OR($A737&lt;&gt;"",$E737&lt;&gt;"",$F737&lt;&gt;"",$G737&lt;&gt;"",$H737&lt;&gt;"",$I737&lt;&gt;"")),"",N($G737)+N($H737)+N($I737))</f>
        <v/>
      </c>
      <c r="K737" s="28">
        <f>IF(ISNUMBER($O737),INDEX('請求台帳'!$R$5:$R$1004,$O737),"")</f>
        <v/>
      </c>
      <c r="L737" s="20">
        <f>IF(NOT(OR($A737&lt;&gt;"",$E737&lt;&gt;"",$F737&lt;&gt;"",$G737&lt;&gt;"",$H737&lt;&gt;"",$I737&lt;&gt;"")),"",IF(NOT(ISNUMBER($A737)),"入金日がありません",IF(AND($F737&lt;&gt;"",$O737="なし"),"請求Noが請求台帳にありません",IF(AND(ISNUMBER($O737),$C737&lt;&gt;"",$C737&lt;&gt;$P737),"請求の得意先は "&amp;$P737&amp;" です",IF(ROUND(IF($B737&lt;&gt;"",SUMIF($B$5:$B$1004,$B737,$E$5:$E$1004)-SUMIF($B$5:$B$1004,$B737,$G$5:$G$1004),N($E737)-N($G737)),0)&lt;&gt;0,"通帳の額と当てた額の差 "&amp;TEXT(IF($B737&lt;&gt;"",SUMIF($B$5:$B$1004,$B737,$E$5:$E$1004)-SUMIF($B$5:$B$1004,$B737,$G$5:$G$1004),N($E737)-N($G737)),"#,##0"),IF(AND(ISNUMBER($O737),N($K737)&lt;0),"請求額より多く消し込んでいます",IF($F737="","消込先が未定","OK")))))))</f>
        <v/>
      </c>
      <c r="M737" s="19" t="n"/>
      <c r="N737" s="56" t="n"/>
      <c r="O737" s="32">
        <f>IF($F737="","",IFERROR(MATCH($F737,'請求台帳'!$A$5:$A$1004,0),"なし"))</f>
        <v/>
      </c>
      <c r="P737" s="37">
        <f>IF(NOT(OR($A737&lt;&gt;"",$E737&lt;&gt;"",$F737&lt;&gt;"",$G737&lt;&gt;"",$H737&lt;&gt;"",$I737&lt;&gt;"")),"",IF(ISNUMBER($O737),IF(INDEX('請求台帳'!$C$5:$C$1004,$O737)="","",INDEX('請求台帳'!$C$5:$C$1004,$O737)),IF($C737="","",$C737)))</f>
        <v/>
      </c>
      <c r="Q737" s="35">
        <f>IF(OR(NOT(OR($A737&lt;&gt;"",$E737&lt;&gt;"",$F737&lt;&gt;"",$G737&lt;&gt;"",$H737&lt;&gt;"",$I737&lt;&gt;"")),$P737="",$P737&lt;&gt;'売掛帳'!$B$3,NOT(ISNUMBER($A737)),N($G737)+N($H737)+N($I737)=0),"",IF(AND($A737&gt;='売掛帳'!$Q$3,$A737&lt;='売掛帳'!$Q$4),$A737+0.5+ROW()/10000000,""))</f>
        <v/>
      </c>
      <c r="R737" s="32">
        <f>IF(AND(OR($A737&lt;&gt;"",$E737&lt;&gt;"",$F737&lt;&gt;"",$G737&lt;&gt;"",$H737&lt;&gt;"",$I737&lt;&gt;""),NOT(ISNUMBER($O737))),1,"")</f>
        <v/>
      </c>
    </row>
    <row r="738" ht="18" customHeight="1">
      <c r="A738" s="26" t="n"/>
      <c r="B738" s="18" t="n"/>
      <c r="C738" s="18" t="n"/>
      <c r="D738" s="20">
        <f>IF($P738="","",IFERROR(INDEX('得意先'!$C$5:$C$104,MATCH($P738,'得意先'!$B$5:$B$104,0))&amp;"","※得意先にないコード"))</f>
        <v/>
      </c>
      <c r="E738" s="27" t="n"/>
      <c r="F738" s="18" t="n"/>
      <c r="G738" s="27" t="n"/>
      <c r="H738" s="27" t="n"/>
      <c r="I738" s="27" t="n"/>
      <c r="J738" s="28">
        <f>IF(NOT(OR($A738&lt;&gt;"",$E738&lt;&gt;"",$F738&lt;&gt;"",$G738&lt;&gt;"",$H738&lt;&gt;"",$I738&lt;&gt;"")),"",N($G738)+N($H738)+N($I738))</f>
        <v/>
      </c>
      <c r="K738" s="28">
        <f>IF(ISNUMBER($O738),INDEX('請求台帳'!$R$5:$R$1004,$O738),"")</f>
        <v/>
      </c>
      <c r="L738" s="20">
        <f>IF(NOT(OR($A738&lt;&gt;"",$E738&lt;&gt;"",$F738&lt;&gt;"",$G738&lt;&gt;"",$H738&lt;&gt;"",$I738&lt;&gt;"")),"",IF(NOT(ISNUMBER($A738)),"入金日がありません",IF(AND($F738&lt;&gt;"",$O738="なし"),"請求Noが請求台帳にありません",IF(AND(ISNUMBER($O738),$C738&lt;&gt;"",$C738&lt;&gt;$P738),"請求の得意先は "&amp;$P738&amp;" です",IF(ROUND(IF($B738&lt;&gt;"",SUMIF($B$5:$B$1004,$B738,$E$5:$E$1004)-SUMIF($B$5:$B$1004,$B738,$G$5:$G$1004),N($E738)-N($G738)),0)&lt;&gt;0,"通帳の額と当てた額の差 "&amp;TEXT(IF($B738&lt;&gt;"",SUMIF($B$5:$B$1004,$B738,$E$5:$E$1004)-SUMIF($B$5:$B$1004,$B738,$G$5:$G$1004),N($E738)-N($G738)),"#,##0"),IF(AND(ISNUMBER($O738),N($K738)&lt;0),"請求額より多く消し込んでいます",IF($F738="","消込先が未定","OK")))))))</f>
        <v/>
      </c>
      <c r="M738" s="19" t="n"/>
      <c r="N738" s="56" t="n"/>
      <c r="O738" s="32">
        <f>IF($F738="","",IFERROR(MATCH($F738,'請求台帳'!$A$5:$A$1004,0),"なし"))</f>
        <v/>
      </c>
      <c r="P738" s="37">
        <f>IF(NOT(OR($A738&lt;&gt;"",$E738&lt;&gt;"",$F738&lt;&gt;"",$G738&lt;&gt;"",$H738&lt;&gt;"",$I738&lt;&gt;"")),"",IF(ISNUMBER($O738),IF(INDEX('請求台帳'!$C$5:$C$1004,$O738)="","",INDEX('請求台帳'!$C$5:$C$1004,$O738)),IF($C738="","",$C738)))</f>
        <v/>
      </c>
      <c r="Q738" s="35">
        <f>IF(OR(NOT(OR($A738&lt;&gt;"",$E738&lt;&gt;"",$F738&lt;&gt;"",$G738&lt;&gt;"",$H738&lt;&gt;"",$I738&lt;&gt;"")),$P738="",$P738&lt;&gt;'売掛帳'!$B$3,NOT(ISNUMBER($A738)),N($G738)+N($H738)+N($I738)=0),"",IF(AND($A738&gt;='売掛帳'!$Q$3,$A738&lt;='売掛帳'!$Q$4),$A738+0.5+ROW()/10000000,""))</f>
        <v/>
      </c>
      <c r="R738" s="32">
        <f>IF(AND(OR($A738&lt;&gt;"",$E738&lt;&gt;"",$F738&lt;&gt;"",$G738&lt;&gt;"",$H738&lt;&gt;"",$I738&lt;&gt;""),NOT(ISNUMBER($O738))),1,"")</f>
        <v/>
      </c>
    </row>
    <row r="739" ht="18" customHeight="1">
      <c r="A739" s="26" t="n"/>
      <c r="B739" s="18" t="n"/>
      <c r="C739" s="18" t="n"/>
      <c r="D739" s="20">
        <f>IF($P739="","",IFERROR(INDEX('得意先'!$C$5:$C$104,MATCH($P739,'得意先'!$B$5:$B$104,0))&amp;"","※得意先にないコード"))</f>
        <v/>
      </c>
      <c r="E739" s="27" t="n"/>
      <c r="F739" s="18" t="n"/>
      <c r="G739" s="27" t="n"/>
      <c r="H739" s="27" t="n"/>
      <c r="I739" s="27" t="n"/>
      <c r="J739" s="28">
        <f>IF(NOT(OR($A739&lt;&gt;"",$E739&lt;&gt;"",$F739&lt;&gt;"",$G739&lt;&gt;"",$H739&lt;&gt;"",$I739&lt;&gt;"")),"",N($G739)+N($H739)+N($I739))</f>
        <v/>
      </c>
      <c r="K739" s="28">
        <f>IF(ISNUMBER($O739),INDEX('請求台帳'!$R$5:$R$1004,$O739),"")</f>
        <v/>
      </c>
      <c r="L739" s="20">
        <f>IF(NOT(OR($A739&lt;&gt;"",$E739&lt;&gt;"",$F739&lt;&gt;"",$G739&lt;&gt;"",$H739&lt;&gt;"",$I739&lt;&gt;"")),"",IF(NOT(ISNUMBER($A739)),"入金日がありません",IF(AND($F739&lt;&gt;"",$O739="なし"),"請求Noが請求台帳にありません",IF(AND(ISNUMBER($O739),$C739&lt;&gt;"",$C739&lt;&gt;$P739),"請求の得意先は "&amp;$P739&amp;" です",IF(ROUND(IF($B739&lt;&gt;"",SUMIF($B$5:$B$1004,$B739,$E$5:$E$1004)-SUMIF($B$5:$B$1004,$B739,$G$5:$G$1004),N($E739)-N($G739)),0)&lt;&gt;0,"通帳の額と当てた額の差 "&amp;TEXT(IF($B739&lt;&gt;"",SUMIF($B$5:$B$1004,$B739,$E$5:$E$1004)-SUMIF($B$5:$B$1004,$B739,$G$5:$G$1004),N($E739)-N($G739)),"#,##0"),IF(AND(ISNUMBER($O739),N($K739)&lt;0),"請求額より多く消し込んでいます",IF($F739="","消込先が未定","OK")))))))</f>
        <v/>
      </c>
      <c r="M739" s="19" t="n"/>
      <c r="N739" s="56" t="n"/>
      <c r="O739" s="32">
        <f>IF($F739="","",IFERROR(MATCH($F739,'請求台帳'!$A$5:$A$1004,0),"なし"))</f>
        <v/>
      </c>
      <c r="P739" s="37">
        <f>IF(NOT(OR($A739&lt;&gt;"",$E739&lt;&gt;"",$F739&lt;&gt;"",$G739&lt;&gt;"",$H739&lt;&gt;"",$I739&lt;&gt;"")),"",IF(ISNUMBER($O739),IF(INDEX('請求台帳'!$C$5:$C$1004,$O739)="","",INDEX('請求台帳'!$C$5:$C$1004,$O739)),IF($C739="","",$C739)))</f>
        <v/>
      </c>
      <c r="Q739" s="35">
        <f>IF(OR(NOT(OR($A739&lt;&gt;"",$E739&lt;&gt;"",$F739&lt;&gt;"",$G739&lt;&gt;"",$H739&lt;&gt;"",$I739&lt;&gt;"")),$P739="",$P739&lt;&gt;'売掛帳'!$B$3,NOT(ISNUMBER($A739)),N($G739)+N($H739)+N($I739)=0),"",IF(AND($A739&gt;='売掛帳'!$Q$3,$A739&lt;='売掛帳'!$Q$4),$A739+0.5+ROW()/10000000,""))</f>
        <v/>
      </c>
      <c r="R739" s="32">
        <f>IF(AND(OR($A739&lt;&gt;"",$E739&lt;&gt;"",$F739&lt;&gt;"",$G739&lt;&gt;"",$H739&lt;&gt;"",$I739&lt;&gt;""),NOT(ISNUMBER($O739))),1,"")</f>
        <v/>
      </c>
    </row>
    <row r="740" ht="18" customHeight="1">
      <c r="A740" s="26" t="n"/>
      <c r="B740" s="18" t="n"/>
      <c r="C740" s="18" t="n"/>
      <c r="D740" s="20">
        <f>IF($P740="","",IFERROR(INDEX('得意先'!$C$5:$C$104,MATCH($P740,'得意先'!$B$5:$B$104,0))&amp;"","※得意先にないコード"))</f>
        <v/>
      </c>
      <c r="E740" s="27" t="n"/>
      <c r="F740" s="18" t="n"/>
      <c r="G740" s="27" t="n"/>
      <c r="H740" s="27" t="n"/>
      <c r="I740" s="27" t="n"/>
      <c r="J740" s="28">
        <f>IF(NOT(OR($A740&lt;&gt;"",$E740&lt;&gt;"",$F740&lt;&gt;"",$G740&lt;&gt;"",$H740&lt;&gt;"",$I740&lt;&gt;"")),"",N($G740)+N($H740)+N($I740))</f>
        <v/>
      </c>
      <c r="K740" s="28">
        <f>IF(ISNUMBER($O740),INDEX('請求台帳'!$R$5:$R$1004,$O740),"")</f>
        <v/>
      </c>
      <c r="L740" s="20">
        <f>IF(NOT(OR($A740&lt;&gt;"",$E740&lt;&gt;"",$F740&lt;&gt;"",$G740&lt;&gt;"",$H740&lt;&gt;"",$I740&lt;&gt;"")),"",IF(NOT(ISNUMBER($A740)),"入金日がありません",IF(AND($F740&lt;&gt;"",$O740="なし"),"請求Noが請求台帳にありません",IF(AND(ISNUMBER($O740),$C740&lt;&gt;"",$C740&lt;&gt;$P740),"請求の得意先は "&amp;$P740&amp;" です",IF(ROUND(IF($B740&lt;&gt;"",SUMIF($B$5:$B$1004,$B740,$E$5:$E$1004)-SUMIF($B$5:$B$1004,$B740,$G$5:$G$1004),N($E740)-N($G740)),0)&lt;&gt;0,"通帳の額と当てた額の差 "&amp;TEXT(IF($B740&lt;&gt;"",SUMIF($B$5:$B$1004,$B740,$E$5:$E$1004)-SUMIF($B$5:$B$1004,$B740,$G$5:$G$1004),N($E740)-N($G740)),"#,##0"),IF(AND(ISNUMBER($O740),N($K740)&lt;0),"請求額より多く消し込んでいます",IF($F740="","消込先が未定","OK")))))))</f>
        <v/>
      </c>
      <c r="M740" s="19" t="n"/>
      <c r="N740" s="56" t="n"/>
      <c r="O740" s="32">
        <f>IF($F740="","",IFERROR(MATCH($F740,'請求台帳'!$A$5:$A$1004,0),"なし"))</f>
        <v/>
      </c>
      <c r="P740" s="37">
        <f>IF(NOT(OR($A740&lt;&gt;"",$E740&lt;&gt;"",$F740&lt;&gt;"",$G740&lt;&gt;"",$H740&lt;&gt;"",$I740&lt;&gt;"")),"",IF(ISNUMBER($O740),IF(INDEX('請求台帳'!$C$5:$C$1004,$O740)="","",INDEX('請求台帳'!$C$5:$C$1004,$O740)),IF($C740="","",$C740)))</f>
        <v/>
      </c>
      <c r="Q740" s="35">
        <f>IF(OR(NOT(OR($A740&lt;&gt;"",$E740&lt;&gt;"",$F740&lt;&gt;"",$G740&lt;&gt;"",$H740&lt;&gt;"",$I740&lt;&gt;"")),$P740="",$P740&lt;&gt;'売掛帳'!$B$3,NOT(ISNUMBER($A740)),N($G740)+N($H740)+N($I740)=0),"",IF(AND($A740&gt;='売掛帳'!$Q$3,$A740&lt;='売掛帳'!$Q$4),$A740+0.5+ROW()/10000000,""))</f>
        <v/>
      </c>
      <c r="R740" s="32">
        <f>IF(AND(OR($A740&lt;&gt;"",$E740&lt;&gt;"",$F740&lt;&gt;"",$G740&lt;&gt;"",$H740&lt;&gt;"",$I740&lt;&gt;""),NOT(ISNUMBER($O740))),1,"")</f>
        <v/>
      </c>
    </row>
    <row r="741" ht="18" customHeight="1">
      <c r="A741" s="26" t="n"/>
      <c r="B741" s="18" t="n"/>
      <c r="C741" s="18" t="n"/>
      <c r="D741" s="20">
        <f>IF($P741="","",IFERROR(INDEX('得意先'!$C$5:$C$104,MATCH($P741,'得意先'!$B$5:$B$104,0))&amp;"","※得意先にないコード"))</f>
        <v/>
      </c>
      <c r="E741" s="27" t="n"/>
      <c r="F741" s="18" t="n"/>
      <c r="G741" s="27" t="n"/>
      <c r="H741" s="27" t="n"/>
      <c r="I741" s="27" t="n"/>
      <c r="J741" s="28">
        <f>IF(NOT(OR($A741&lt;&gt;"",$E741&lt;&gt;"",$F741&lt;&gt;"",$G741&lt;&gt;"",$H741&lt;&gt;"",$I741&lt;&gt;"")),"",N($G741)+N($H741)+N($I741))</f>
        <v/>
      </c>
      <c r="K741" s="28">
        <f>IF(ISNUMBER($O741),INDEX('請求台帳'!$R$5:$R$1004,$O741),"")</f>
        <v/>
      </c>
      <c r="L741" s="20">
        <f>IF(NOT(OR($A741&lt;&gt;"",$E741&lt;&gt;"",$F741&lt;&gt;"",$G741&lt;&gt;"",$H741&lt;&gt;"",$I741&lt;&gt;"")),"",IF(NOT(ISNUMBER($A741)),"入金日がありません",IF(AND($F741&lt;&gt;"",$O741="なし"),"請求Noが請求台帳にありません",IF(AND(ISNUMBER($O741),$C741&lt;&gt;"",$C741&lt;&gt;$P741),"請求の得意先は "&amp;$P741&amp;" です",IF(ROUND(IF($B741&lt;&gt;"",SUMIF($B$5:$B$1004,$B741,$E$5:$E$1004)-SUMIF($B$5:$B$1004,$B741,$G$5:$G$1004),N($E741)-N($G741)),0)&lt;&gt;0,"通帳の額と当てた額の差 "&amp;TEXT(IF($B741&lt;&gt;"",SUMIF($B$5:$B$1004,$B741,$E$5:$E$1004)-SUMIF($B$5:$B$1004,$B741,$G$5:$G$1004),N($E741)-N($G741)),"#,##0"),IF(AND(ISNUMBER($O741),N($K741)&lt;0),"請求額より多く消し込んでいます",IF($F741="","消込先が未定","OK")))))))</f>
        <v/>
      </c>
      <c r="M741" s="19" t="n"/>
      <c r="N741" s="56" t="n"/>
      <c r="O741" s="32">
        <f>IF($F741="","",IFERROR(MATCH($F741,'請求台帳'!$A$5:$A$1004,0),"なし"))</f>
        <v/>
      </c>
      <c r="P741" s="37">
        <f>IF(NOT(OR($A741&lt;&gt;"",$E741&lt;&gt;"",$F741&lt;&gt;"",$G741&lt;&gt;"",$H741&lt;&gt;"",$I741&lt;&gt;"")),"",IF(ISNUMBER($O741),IF(INDEX('請求台帳'!$C$5:$C$1004,$O741)="","",INDEX('請求台帳'!$C$5:$C$1004,$O741)),IF($C741="","",$C741)))</f>
        <v/>
      </c>
      <c r="Q741" s="35">
        <f>IF(OR(NOT(OR($A741&lt;&gt;"",$E741&lt;&gt;"",$F741&lt;&gt;"",$G741&lt;&gt;"",$H741&lt;&gt;"",$I741&lt;&gt;"")),$P741="",$P741&lt;&gt;'売掛帳'!$B$3,NOT(ISNUMBER($A741)),N($G741)+N($H741)+N($I741)=0),"",IF(AND($A741&gt;='売掛帳'!$Q$3,$A741&lt;='売掛帳'!$Q$4),$A741+0.5+ROW()/10000000,""))</f>
        <v/>
      </c>
      <c r="R741" s="32">
        <f>IF(AND(OR($A741&lt;&gt;"",$E741&lt;&gt;"",$F741&lt;&gt;"",$G741&lt;&gt;"",$H741&lt;&gt;"",$I741&lt;&gt;""),NOT(ISNUMBER($O741))),1,"")</f>
        <v/>
      </c>
    </row>
    <row r="742" ht="18" customHeight="1">
      <c r="A742" s="26" t="n"/>
      <c r="B742" s="18" t="n"/>
      <c r="C742" s="18" t="n"/>
      <c r="D742" s="20">
        <f>IF($P742="","",IFERROR(INDEX('得意先'!$C$5:$C$104,MATCH($P742,'得意先'!$B$5:$B$104,0))&amp;"","※得意先にないコード"))</f>
        <v/>
      </c>
      <c r="E742" s="27" t="n"/>
      <c r="F742" s="18" t="n"/>
      <c r="G742" s="27" t="n"/>
      <c r="H742" s="27" t="n"/>
      <c r="I742" s="27" t="n"/>
      <c r="J742" s="28">
        <f>IF(NOT(OR($A742&lt;&gt;"",$E742&lt;&gt;"",$F742&lt;&gt;"",$G742&lt;&gt;"",$H742&lt;&gt;"",$I742&lt;&gt;"")),"",N($G742)+N($H742)+N($I742))</f>
        <v/>
      </c>
      <c r="K742" s="28">
        <f>IF(ISNUMBER($O742),INDEX('請求台帳'!$R$5:$R$1004,$O742),"")</f>
        <v/>
      </c>
      <c r="L742" s="20">
        <f>IF(NOT(OR($A742&lt;&gt;"",$E742&lt;&gt;"",$F742&lt;&gt;"",$G742&lt;&gt;"",$H742&lt;&gt;"",$I742&lt;&gt;"")),"",IF(NOT(ISNUMBER($A742)),"入金日がありません",IF(AND($F742&lt;&gt;"",$O742="なし"),"請求Noが請求台帳にありません",IF(AND(ISNUMBER($O742),$C742&lt;&gt;"",$C742&lt;&gt;$P742),"請求の得意先は "&amp;$P742&amp;" です",IF(ROUND(IF($B742&lt;&gt;"",SUMIF($B$5:$B$1004,$B742,$E$5:$E$1004)-SUMIF($B$5:$B$1004,$B742,$G$5:$G$1004),N($E742)-N($G742)),0)&lt;&gt;0,"通帳の額と当てた額の差 "&amp;TEXT(IF($B742&lt;&gt;"",SUMIF($B$5:$B$1004,$B742,$E$5:$E$1004)-SUMIF($B$5:$B$1004,$B742,$G$5:$G$1004),N($E742)-N($G742)),"#,##0"),IF(AND(ISNUMBER($O742),N($K742)&lt;0),"請求額より多く消し込んでいます",IF($F742="","消込先が未定","OK")))))))</f>
        <v/>
      </c>
      <c r="M742" s="19" t="n"/>
      <c r="N742" s="56" t="n"/>
      <c r="O742" s="32">
        <f>IF($F742="","",IFERROR(MATCH($F742,'請求台帳'!$A$5:$A$1004,0),"なし"))</f>
        <v/>
      </c>
      <c r="P742" s="37">
        <f>IF(NOT(OR($A742&lt;&gt;"",$E742&lt;&gt;"",$F742&lt;&gt;"",$G742&lt;&gt;"",$H742&lt;&gt;"",$I742&lt;&gt;"")),"",IF(ISNUMBER($O742),IF(INDEX('請求台帳'!$C$5:$C$1004,$O742)="","",INDEX('請求台帳'!$C$5:$C$1004,$O742)),IF($C742="","",$C742)))</f>
        <v/>
      </c>
      <c r="Q742" s="35">
        <f>IF(OR(NOT(OR($A742&lt;&gt;"",$E742&lt;&gt;"",$F742&lt;&gt;"",$G742&lt;&gt;"",$H742&lt;&gt;"",$I742&lt;&gt;"")),$P742="",$P742&lt;&gt;'売掛帳'!$B$3,NOT(ISNUMBER($A742)),N($G742)+N($H742)+N($I742)=0),"",IF(AND($A742&gt;='売掛帳'!$Q$3,$A742&lt;='売掛帳'!$Q$4),$A742+0.5+ROW()/10000000,""))</f>
        <v/>
      </c>
      <c r="R742" s="32">
        <f>IF(AND(OR($A742&lt;&gt;"",$E742&lt;&gt;"",$F742&lt;&gt;"",$G742&lt;&gt;"",$H742&lt;&gt;"",$I742&lt;&gt;""),NOT(ISNUMBER($O742))),1,"")</f>
        <v/>
      </c>
    </row>
    <row r="743" ht="18" customHeight="1">
      <c r="A743" s="26" t="n"/>
      <c r="B743" s="18" t="n"/>
      <c r="C743" s="18" t="n"/>
      <c r="D743" s="20">
        <f>IF($P743="","",IFERROR(INDEX('得意先'!$C$5:$C$104,MATCH($P743,'得意先'!$B$5:$B$104,0))&amp;"","※得意先にないコード"))</f>
        <v/>
      </c>
      <c r="E743" s="27" t="n"/>
      <c r="F743" s="18" t="n"/>
      <c r="G743" s="27" t="n"/>
      <c r="H743" s="27" t="n"/>
      <c r="I743" s="27" t="n"/>
      <c r="J743" s="28">
        <f>IF(NOT(OR($A743&lt;&gt;"",$E743&lt;&gt;"",$F743&lt;&gt;"",$G743&lt;&gt;"",$H743&lt;&gt;"",$I743&lt;&gt;"")),"",N($G743)+N($H743)+N($I743))</f>
        <v/>
      </c>
      <c r="K743" s="28">
        <f>IF(ISNUMBER($O743),INDEX('請求台帳'!$R$5:$R$1004,$O743),"")</f>
        <v/>
      </c>
      <c r="L743" s="20">
        <f>IF(NOT(OR($A743&lt;&gt;"",$E743&lt;&gt;"",$F743&lt;&gt;"",$G743&lt;&gt;"",$H743&lt;&gt;"",$I743&lt;&gt;"")),"",IF(NOT(ISNUMBER($A743)),"入金日がありません",IF(AND($F743&lt;&gt;"",$O743="なし"),"請求Noが請求台帳にありません",IF(AND(ISNUMBER($O743),$C743&lt;&gt;"",$C743&lt;&gt;$P743),"請求の得意先は "&amp;$P743&amp;" です",IF(ROUND(IF($B743&lt;&gt;"",SUMIF($B$5:$B$1004,$B743,$E$5:$E$1004)-SUMIF($B$5:$B$1004,$B743,$G$5:$G$1004),N($E743)-N($G743)),0)&lt;&gt;0,"通帳の額と当てた額の差 "&amp;TEXT(IF($B743&lt;&gt;"",SUMIF($B$5:$B$1004,$B743,$E$5:$E$1004)-SUMIF($B$5:$B$1004,$B743,$G$5:$G$1004),N($E743)-N($G743)),"#,##0"),IF(AND(ISNUMBER($O743),N($K743)&lt;0),"請求額より多く消し込んでいます",IF($F743="","消込先が未定","OK")))))))</f>
        <v/>
      </c>
      <c r="M743" s="19" t="n"/>
      <c r="N743" s="56" t="n"/>
      <c r="O743" s="32">
        <f>IF($F743="","",IFERROR(MATCH($F743,'請求台帳'!$A$5:$A$1004,0),"なし"))</f>
        <v/>
      </c>
      <c r="P743" s="37">
        <f>IF(NOT(OR($A743&lt;&gt;"",$E743&lt;&gt;"",$F743&lt;&gt;"",$G743&lt;&gt;"",$H743&lt;&gt;"",$I743&lt;&gt;"")),"",IF(ISNUMBER($O743),IF(INDEX('請求台帳'!$C$5:$C$1004,$O743)="","",INDEX('請求台帳'!$C$5:$C$1004,$O743)),IF($C743="","",$C743)))</f>
        <v/>
      </c>
      <c r="Q743" s="35">
        <f>IF(OR(NOT(OR($A743&lt;&gt;"",$E743&lt;&gt;"",$F743&lt;&gt;"",$G743&lt;&gt;"",$H743&lt;&gt;"",$I743&lt;&gt;"")),$P743="",$P743&lt;&gt;'売掛帳'!$B$3,NOT(ISNUMBER($A743)),N($G743)+N($H743)+N($I743)=0),"",IF(AND($A743&gt;='売掛帳'!$Q$3,$A743&lt;='売掛帳'!$Q$4),$A743+0.5+ROW()/10000000,""))</f>
        <v/>
      </c>
      <c r="R743" s="32">
        <f>IF(AND(OR($A743&lt;&gt;"",$E743&lt;&gt;"",$F743&lt;&gt;"",$G743&lt;&gt;"",$H743&lt;&gt;"",$I743&lt;&gt;""),NOT(ISNUMBER($O743))),1,"")</f>
        <v/>
      </c>
    </row>
    <row r="744" ht="18" customHeight="1">
      <c r="A744" s="26" t="n"/>
      <c r="B744" s="18" t="n"/>
      <c r="C744" s="18" t="n"/>
      <c r="D744" s="20">
        <f>IF($P744="","",IFERROR(INDEX('得意先'!$C$5:$C$104,MATCH($P744,'得意先'!$B$5:$B$104,0))&amp;"","※得意先にないコード"))</f>
        <v/>
      </c>
      <c r="E744" s="27" t="n"/>
      <c r="F744" s="18" t="n"/>
      <c r="G744" s="27" t="n"/>
      <c r="H744" s="27" t="n"/>
      <c r="I744" s="27" t="n"/>
      <c r="J744" s="28">
        <f>IF(NOT(OR($A744&lt;&gt;"",$E744&lt;&gt;"",$F744&lt;&gt;"",$G744&lt;&gt;"",$H744&lt;&gt;"",$I744&lt;&gt;"")),"",N($G744)+N($H744)+N($I744))</f>
        <v/>
      </c>
      <c r="K744" s="28">
        <f>IF(ISNUMBER($O744),INDEX('請求台帳'!$R$5:$R$1004,$O744),"")</f>
        <v/>
      </c>
      <c r="L744" s="20">
        <f>IF(NOT(OR($A744&lt;&gt;"",$E744&lt;&gt;"",$F744&lt;&gt;"",$G744&lt;&gt;"",$H744&lt;&gt;"",$I744&lt;&gt;"")),"",IF(NOT(ISNUMBER($A744)),"入金日がありません",IF(AND($F744&lt;&gt;"",$O744="なし"),"請求Noが請求台帳にありません",IF(AND(ISNUMBER($O744),$C744&lt;&gt;"",$C744&lt;&gt;$P744),"請求の得意先は "&amp;$P744&amp;" です",IF(ROUND(IF($B744&lt;&gt;"",SUMIF($B$5:$B$1004,$B744,$E$5:$E$1004)-SUMIF($B$5:$B$1004,$B744,$G$5:$G$1004),N($E744)-N($G744)),0)&lt;&gt;0,"通帳の額と当てた額の差 "&amp;TEXT(IF($B744&lt;&gt;"",SUMIF($B$5:$B$1004,$B744,$E$5:$E$1004)-SUMIF($B$5:$B$1004,$B744,$G$5:$G$1004),N($E744)-N($G744)),"#,##0"),IF(AND(ISNUMBER($O744),N($K744)&lt;0),"請求額より多く消し込んでいます",IF($F744="","消込先が未定","OK")))))))</f>
        <v/>
      </c>
      <c r="M744" s="19" t="n"/>
      <c r="N744" s="56" t="n"/>
      <c r="O744" s="32">
        <f>IF($F744="","",IFERROR(MATCH($F744,'請求台帳'!$A$5:$A$1004,0),"なし"))</f>
        <v/>
      </c>
      <c r="P744" s="37">
        <f>IF(NOT(OR($A744&lt;&gt;"",$E744&lt;&gt;"",$F744&lt;&gt;"",$G744&lt;&gt;"",$H744&lt;&gt;"",$I744&lt;&gt;"")),"",IF(ISNUMBER($O744),IF(INDEX('請求台帳'!$C$5:$C$1004,$O744)="","",INDEX('請求台帳'!$C$5:$C$1004,$O744)),IF($C744="","",$C744)))</f>
        <v/>
      </c>
      <c r="Q744" s="35">
        <f>IF(OR(NOT(OR($A744&lt;&gt;"",$E744&lt;&gt;"",$F744&lt;&gt;"",$G744&lt;&gt;"",$H744&lt;&gt;"",$I744&lt;&gt;"")),$P744="",$P744&lt;&gt;'売掛帳'!$B$3,NOT(ISNUMBER($A744)),N($G744)+N($H744)+N($I744)=0),"",IF(AND($A744&gt;='売掛帳'!$Q$3,$A744&lt;='売掛帳'!$Q$4),$A744+0.5+ROW()/10000000,""))</f>
        <v/>
      </c>
      <c r="R744" s="32">
        <f>IF(AND(OR($A744&lt;&gt;"",$E744&lt;&gt;"",$F744&lt;&gt;"",$G744&lt;&gt;"",$H744&lt;&gt;"",$I744&lt;&gt;""),NOT(ISNUMBER($O744))),1,"")</f>
        <v/>
      </c>
    </row>
    <row r="745" ht="18" customHeight="1">
      <c r="A745" s="26" t="n"/>
      <c r="B745" s="18" t="n"/>
      <c r="C745" s="18" t="n"/>
      <c r="D745" s="20">
        <f>IF($P745="","",IFERROR(INDEX('得意先'!$C$5:$C$104,MATCH($P745,'得意先'!$B$5:$B$104,0))&amp;"","※得意先にないコード"))</f>
        <v/>
      </c>
      <c r="E745" s="27" t="n"/>
      <c r="F745" s="18" t="n"/>
      <c r="G745" s="27" t="n"/>
      <c r="H745" s="27" t="n"/>
      <c r="I745" s="27" t="n"/>
      <c r="J745" s="28">
        <f>IF(NOT(OR($A745&lt;&gt;"",$E745&lt;&gt;"",$F745&lt;&gt;"",$G745&lt;&gt;"",$H745&lt;&gt;"",$I745&lt;&gt;"")),"",N($G745)+N($H745)+N($I745))</f>
        <v/>
      </c>
      <c r="K745" s="28">
        <f>IF(ISNUMBER($O745),INDEX('請求台帳'!$R$5:$R$1004,$O745),"")</f>
        <v/>
      </c>
      <c r="L745" s="20">
        <f>IF(NOT(OR($A745&lt;&gt;"",$E745&lt;&gt;"",$F745&lt;&gt;"",$G745&lt;&gt;"",$H745&lt;&gt;"",$I745&lt;&gt;"")),"",IF(NOT(ISNUMBER($A745)),"入金日がありません",IF(AND($F745&lt;&gt;"",$O745="なし"),"請求Noが請求台帳にありません",IF(AND(ISNUMBER($O745),$C745&lt;&gt;"",$C745&lt;&gt;$P745),"請求の得意先は "&amp;$P745&amp;" です",IF(ROUND(IF($B745&lt;&gt;"",SUMIF($B$5:$B$1004,$B745,$E$5:$E$1004)-SUMIF($B$5:$B$1004,$B745,$G$5:$G$1004),N($E745)-N($G745)),0)&lt;&gt;0,"通帳の額と当てた額の差 "&amp;TEXT(IF($B745&lt;&gt;"",SUMIF($B$5:$B$1004,$B745,$E$5:$E$1004)-SUMIF($B$5:$B$1004,$B745,$G$5:$G$1004),N($E745)-N($G745)),"#,##0"),IF(AND(ISNUMBER($O745),N($K745)&lt;0),"請求額より多く消し込んでいます",IF($F745="","消込先が未定","OK")))))))</f>
        <v/>
      </c>
      <c r="M745" s="19" t="n"/>
      <c r="N745" s="56" t="n"/>
      <c r="O745" s="32">
        <f>IF($F745="","",IFERROR(MATCH($F745,'請求台帳'!$A$5:$A$1004,0),"なし"))</f>
        <v/>
      </c>
      <c r="P745" s="37">
        <f>IF(NOT(OR($A745&lt;&gt;"",$E745&lt;&gt;"",$F745&lt;&gt;"",$G745&lt;&gt;"",$H745&lt;&gt;"",$I745&lt;&gt;"")),"",IF(ISNUMBER($O745),IF(INDEX('請求台帳'!$C$5:$C$1004,$O745)="","",INDEX('請求台帳'!$C$5:$C$1004,$O745)),IF($C745="","",$C745)))</f>
        <v/>
      </c>
      <c r="Q745" s="35">
        <f>IF(OR(NOT(OR($A745&lt;&gt;"",$E745&lt;&gt;"",$F745&lt;&gt;"",$G745&lt;&gt;"",$H745&lt;&gt;"",$I745&lt;&gt;"")),$P745="",$P745&lt;&gt;'売掛帳'!$B$3,NOT(ISNUMBER($A745)),N($G745)+N($H745)+N($I745)=0),"",IF(AND($A745&gt;='売掛帳'!$Q$3,$A745&lt;='売掛帳'!$Q$4),$A745+0.5+ROW()/10000000,""))</f>
        <v/>
      </c>
      <c r="R745" s="32">
        <f>IF(AND(OR($A745&lt;&gt;"",$E745&lt;&gt;"",$F745&lt;&gt;"",$G745&lt;&gt;"",$H745&lt;&gt;"",$I745&lt;&gt;""),NOT(ISNUMBER($O745))),1,"")</f>
        <v/>
      </c>
    </row>
    <row r="746" ht="18" customHeight="1">
      <c r="A746" s="26" t="n"/>
      <c r="B746" s="18" t="n"/>
      <c r="C746" s="18" t="n"/>
      <c r="D746" s="20">
        <f>IF($P746="","",IFERROR(INDEX('得意先'!$C$5:$C$104,MATCH($P746,'得意先'!$B$5:$B$104,0))&amp;"","※得意先にないコード"))</f>
        <v/>
      </c>
      <c r="E746" s="27" t="n"/>
      <c r="F746" s="18" t="n"/>
      <c r="G746" s="27" t="n"/>
      <c r="H746" s="27" t="n"/>
      <c r="I746" s="27" t="n"/>
      <c r="J746" s="28">
        <f>IF(NOT(OR($A746&lt;&gt;"",$E746&lt;&gt;"",$F746&lt;&gt;"",$G746&lt;&gt;"",$H746&lt;&gt;"",$I746&lt;&gt;"")),"",N($G746)+N($H746)+N($I746))</f>
        <v/>
      </c>
      <c r="K746" s="28">
        <f>IF(ISNUMBER($O746),INDEX('請求台帳'!$R$5:$R$1004,$O746),"")</f>
        <v/>
      </c>
      <c r="L746" s="20">
        <f>IF(NOT(OR($A746&lt;&gt;"",$E746&lt;&gt;"",$F746&lt;&gt;"",$G746&lt;&gt;"",$H746&lt;&gt;"",$I746&lt;&gt;"")),"",IF(NOT(ISNUMBER($A746)),"入金日がありません",IF(AND($F746&lt;&gt;"",$O746="なし"),"請求Noが請求台帳にありません",IF(AND(ISNUMBER($O746),$C746&lt;&gt;"",$C746&lt;&gt;$P746),"請求の得意先は "&amp;$P746&amp;" です",IF(ROUND(IF($B746&lt;&gt;"",SUMIF($B$5:$B$1004,$B746,$E$5:$E$1004)-SUMIF($B$5:$B$1004,$B746,$G$5:$G$1004),N($E746)-N($G746)),0)&lt;&gt;0,"通帳の額と当てた額の差 "&amp;TEXT(IF($B746&lt;&gt;"",SUMIF($B$5:$B$1004,$B746,$E$5:$E$1004)-SUMIF($B$5:$B$1004,$B746,$G$5:$G$1004),N($E746)-N($G746)),"#,##0"),IF(AND(ISNUMBER($O746),N($K746)&lt;0),"請求額より多く消し込んでいます",IF($F746="","消込先が未定","OK")))))))</f>
        <v/>
      </c>
      <c r="M746" s="19" t="n"/>
      <c r="N746" s="56" t="n"/>
      <c r="O746" s="32">
        <f>IF($F746="","",IFERROR(MATCH($F746,'請求台帳'!$A$5:$A$1004,0),"なし"))</f>
        <v/>
      </c>
      <c r="P746" s="37">
        <f>IF(NOT(OR($A746&lt;&gt;"",$E746&lt;&gt;"",$F746&lt;&gt;"",$G746&lt;&gt;"",$H746&lt;&gt;"",$I746&lt;&gt;"")),"",IF(ISNUMBER($O746),IF(INDEX('請求台帳'!$C$5:$C$1004,$O746)="","",INDEX('請求台帳'!$C$5:$C$1004,$O746)),IF($C746="","",$C746)))</f>
        <v/>
      </c>
      <c r="Q746" s="35">
        <f>IF(OR(NOT(OR($A746&lt;&gt;"",$E746&lt;&gt;"",$F746&lt;&gt;"",$G746&lt;&gt;"",$H746&lt;&gt;"",$I746&lt;&gt;"")),$P746="",$P746&lt;&gt;'売掛帳'!$B$3,NOT(ISNUMBER($A746)),N($G746)+N($H746)+N($I746)=0),"",IF(AND($A746&gt;='売掛帳'!$Q$3,$A746&lt;='売掛帳'!$Q$4),$A746+0.5+ROW()/10000000,""))</f>
        <v/>
      </c>
      <c r="R746" s="32">
        <f>IF(AND(OR($A746&lt;&gt;"",$E746&lt;&gt;"",$F746&lt;&gt;"",$G746&lt;&gt;"",$H746&lt;&gt;"",$I746&lt;&gt;""),NOT(ISNUMBER($O746))),1,"")</f>
        <v/>
      </c>
    </row>
    <row r="747" ht="18" customHeight="1">
      <c r="A747" s="26" t="n"/>
      <c r="B747" s="18" t="n"/>
      <c r="C747" s="18" t="n"/>
      <c r="D747" s="20">
        <f>IF($P747="","",IFERROR(INDEX('得意先'!$C$5:$C$104,MATCH($P747,'得意先'!$B$5:$B$104,0))&amp;"","※得意先にないコード"))</f>
        <v/>
      </c>
      <c r="E747" s="27" t="n"/>
      <c r="F747" s="18" t="n"/>
      <c r="G747" s="27" t="n"/>
      <c r="H747" s="27" t="n"/>
      <c r="I747" s="27" t="n"/>
      <c r="J747" s="28">
        <f>IF(NOT(OR($A747&lt;&gt;"",$E747&lt;&gt;"",$F747&lt;&gt;"",$G747&lt;&gt;"",$H747&lt;&gt;"",$I747&lt;&gt;"")),"",N($G747)+N($H747)+N($I747))</f>
        <v/>
      </c>
      <c r="K747" s="28">
        <f>IF(ISNUMBER($O747),INDEX('請求台帳'!$R$5:$R$1004,$O747),"")</f>
        <v/>
      </c>
      <c r="L747" s="20">
        <f>IF(NOT(OR($A747&lt;&gt;"",$E747&lt;&gt;"",$F747&lt;&gt;"",$G747&lt;&gt;"",$H747&lt;&gt;"",$I747&lt;&gt;"")),"",IF(NOT(ISNUMBER($A747)),"入金日がありません",IF(AND($F747&lt;&gt;"",$O747="なし"),"請求Noが請求台帳にありません",IF(AND(ISNUMBER($O747),$C747&lt;&gt;"",$C747&lt;&gt;$P747),"請求の得意先は "&amp;$P747&amp;" です",IF(ROUND(IF($B747&lt;&gt;"",SUMIF($B$5:$B$1004,$B747,$E$5:$E$1004)-SUMIF($B$5:$B$1004,$B747,$G$5:$G$1004),N($E747)-N($G747)),0)&lt;&gt;0,"通帳の額と当てた額の差 "&amp;TEXT(IF($B747&lt;&gt;"",SUMIF($B$5:$B$1004,$B747,$E$5:$E$1004)-SUMIF($B$5:$B$1004,$B747,$G$5:$G$1004),N($E747)-N($G747)),"#,##0"),IF(AND(ISNUMBER($O747),N($K747)&lt;0),"請求額より多く消し込んでいます",IF($F747="","消込先が未定","OK")))))))</f>
        <v/>
      </c>
      <c r="M747" s="19" t="n"/>
      <c r="N747" s="56" t="n"/>
      <c r="O747" s="32">
        <f>IF($F747="","",IFERROR(MATCH($F747,'請求台帳'!$A$5:$A$1004,0),"なし"))</f>
        <v/>
      </c>
      <c r="P747" s="37">
        <f>IF(NOT(OR($A747&lt;&gt;"",$E747&lt;&gt;"",$F747&lt;&gt;"",$G747&lt;&gt;"",$H747&lt;&gt;"",$I747&lt;&gt;"")),"",IF(ISNUMBER($O747),IF(INDEX('請求台帳'!$C$5:$C$1004,$O747)="","",INDEX('請求台帳'!$C$5:$C$1004,$O747)),IF($C747="","",$C747)))</f>
        <v/>
      </c>
      <c r="Q747" s="35">
        <f>IF(OR(NOT(OR($A747&lt;&gt;"",$E747&lt;&gt;"",$F747&lt;&gt;"",$G747&lt;&gt;"",$H747&lt;&gt;"",$I747&lt;&gt;"")),$P747="",$P747&lt;&gt;'売掛帳'!$B$3,NOT(ISNUMBER($A747)),N($G747)+N($H747)+N($I747)=0),"",IF(AND($A747&gt;='売掛帳'!$Q$3,$A747&lt;='売掛帳'!$Q$4),$A747+0.5+ROW()/10000000,""))</f>
        <v/>
      </c>
      <c r="R747" s="32">
        <f>IF(AND(OR($A747&lt;&gt;"",$E747&lt;&gt;"",$F747&lt;&gt;"",$G747&lt;&gt;"",$H747&lt;&gt;"",$I747&lt;&gt;""),NOT(ISNUMBER($O747))),1,"")</f>
        <v/>
      </c>
    </row>
    <row r="748" ht="18" customHeight="1">
      <c r="A748" s="26" t="n"/>
      <c r="B748" s="18" t="n"/>
      <c r="C748" s="18" t="n"/>
      <c r="D748" s="20">
        <f>IF($P748="","",IFERROR(INDEX('得意先'!$C$5:$C$104,MATCH($P748,'得意先'!$B$5:$B$104,0))&amp;"","※得意先にないコード"))</f>
        <v/>
      </c>
      <c r="E748" s="27" t="n"/>
      <c r="F748" s="18" t="n"/>
      <c r="G748" s="27" t="n"/>
      <c r="H748" s="27" t="n"/>
      <c r="I748" s="27" t="n"/>
      <c r="J748" s="28">
        <f>IF(NOT(OR($A748&lt;&gt;"",$E748&lt;&gt;"",$F748&lt;&gt;"",$G748&lt;&gt;"",$H748&lt;&gt;"",$I748&lt;&gt;"")),"",N($G748)+N($H748)+N($I748))</f>
        <v/>
      </c>
      <c r="K748" s="28">
        <f>IF(ISNUMBER($O748),INDEX('請求台帳'!$R$5:$R$1004,$O748),"")</f>
        <v/>
      </c>
      <c r="L748" s="20">
        <f>IF(NOT(OR($A748&lt;&gt;"",$E748&lt;&gt;"",$F748&lt;&gt;"",$G748&lt;&gt;"",$H748&lt;&gt;"",$I748&lt;&gt;"")),"",IF(NOT(ISNUMBER($A748)),"入金日がありません",IF(AND($F748&lt;&gt;"",$O748="なし"),"請求Noが請求台帳にありません",IF(AND(ISNUMBER($O748),$C748&lt;&gt;"",$C748&lt;&gt;$P748),"請求の得意先は "&amp;$P748&amp;" です",IF(ROUND(IF($B748&lt;&gt;"",SUMIF($B$5:$B$1004,$B748,$E$5:$E$1004)-SUMIF($B$5:$B$1004,$B748,$G$5:$G$1004),N($E748)-N($G748)),0)&lt;&gt;0,"通帳の額と当てた額の差 "&amp;TEXT(IF($B748&lt;&gt;"",SUMIF($B$5:$B$1004,$B748,$E$5:$E$1004)-SUMIF($B$5:$B$1004,$B748,$G$5:$G$1004),N($E748)-N($G748)),"#,##0"),IF(AND(ISNUMBER($O748),N($K748)&lt;0),"請求額より多く消し込んでいます",IF($F748="","消込先が未定","OK")))))))</f>
        <v/>
      </c>
      <c r="M748" s="19" t="n"/>
      <c r="N748" s="56" t="n"/>
      <c r="O748" s="32">
        <f>IF($F748="","",IFERROR(MATCH($F748,'請求台帳'!$A$5:$A$1004,0),"なし"))</f>
        <v/>
      </c>
      <c r="P748" s="37">
        <f>IF(NOT(OR($A748&lt;&gt;"",$E748&lt;&gt;"",$F748&lt;&gt;"",$G748&lt;&gt;"",$H748&lt;&gt;"",$I748&lt;&gt;"")),"",IF(ISNUMBER($O748),IF(INDEX('請求台帳'!$C$5:$C$1004,$O748)="","",INDEX('請求台帳'!$C$5:$C$1004,$O748)),IF($C748="","",$C748)))</f>
        <v/>
      </c>
      <c r="Q748" s="35">
        <f>IF(OR(NOT(OR($A748&lt;&gt;"",$E748&lt;&gt;"",$F748&lt;&gt;"",$G748&lt;&gt;"",$H748&lt;&gt;"",$I748&lt;&gt;"")),$P748="",$P748&lt;&gt;'売掛帳'!$B$3,NOT(ISNUMBER($A748)),N($G748)+N($H748)+N($I748)=0),"",IF(AND($A748&gt;='売掛帳'!$Q$3,$A748&lt;='売掛帳'!$Q$4),$A748+0.5+ROW()/10000000,""))</f>
        <v/>
      </c>
      <c r="R748" s="32">
        <f>IF(AND(OR($A748&lt;&gt;"",$E748&lt;&gt;"",$F748&lt;&gt;"",$G748&lt;&gt;"",$H748&lt;&gt;"",$I748&lt;&gt;""),NOT(ISNUMBER($O748))),1,"")</f>
        <v/>
      </c>
    </row>
    <row r="749" ht="18" customHeight="1">
      <c r="A749" s="26" t="n"/>
      <c r="B749" s="18" t="n"/>
      <c r="C749" s="18" t="n"/>
      <c r="D749" s="20">
        <f>IF($P749="","",IFERROR(INDEX('得意先'!$C$5:$C$104,MATCH($P749,'得意先'!$B$5:$B$104,0))&amp;"","※得意先にないコード"))</f>
        <v/>
      </c>
      <c r="E749" s="27" t="n"/>
      <c r="F749" s="18" t="n"/>
      <c r="G749" s="27" t="n"/>
      <c r="H749" s="27" t="n"/>
      <c r="I749" s="27" t="n"/>
      <c r="J749" s="28">
        <f>IF(NOT(OR($A749&lt;&gt;"",$E749&lt;&gt;"",$F749&lt;&gt;"",$G749&lt;&gt;"",$H749&lt;&gt;"",$I749&lt;&gt;"")),"",N($G749)+N($H749)+N($I749))</f>
        <v/>
      </c>
      <c r="K749" s="28">
        <f>IF(ISNUMBER($O749),INDEX('請求台帳'!$R$5:$R$1004,$O749),"")</f>
        <v/>
      </c>
      <c r="L749" s="20">
        <f>IF(NOT(OR($A749&lt;&gt;"",$E749&lt;&gt;"",$F749&lt;&gt;"",$G749&lt;&gt;"",$H749&lt;&gt;"",$I749&lt;&gt;"")),"",IF(NOT(ISNUMBER($A749)),"入金日がありません",IF(AND($F749&lt;&gt;"",$O749="なし"),"請求Noが請求台帳にありません",IF(AND(ISNUMBER($O749),$C749&lt;&gt;"",$C749&lt;&gt;$P749),"請求の得意先は "&amp;$P749&amp;" です",IF(ROUND(IF($B749&lt;&gt;"",SUMIF($B$5:$B$1004,$B749,$E$5:$E$1004)-SUMIF($B$5:$B$1004,$B749,$G$5:$G$1004),N($E749)-N($G749)),0)&lt;&gt;0,"通帳の額と当てた額の差 "&amp;TEXT(IF($B749&lt;&gt;"",SUMIF($B$5:$B$1004,$B749,$E$5:$E$1004)-SUMIF($B$5:$B$1004,$B749,$G$5:$G$1004),N($E749)-N($G749)),"#,##0"),IF(AND(ISNUMBER($O749),N($K749)&lt;0),"請求額より多く消し込んでいます",IF($F749="","消込先が未定","OK")))))))</f>
        <v/>
      </c>
      <c r="M749" s="19" t="n"/>
      <c r="N749" s="56" t="n"/>
      <c r="O749" s="32">
        <f>IF($F749="","",IFERROR(MATCH($F749,'請求台帳'!$A$5:$A$1004,0),"なし"))</f>
        <v/>
      </c>
      <c r="P749" s="37">
        <f>IF(NOT(OR($A749&lt;&gt;"",$E749&lt;&gt;"",$F749&lt;&gt;"",$G749&lt;&gt;"",$H749&lt;&gt;"",$I749&lt;&gt;"")),"",IF(ISNUMBER($O749),IF(INDEX('請求台帳'!$C$5:$C$1004,$O749)="","",INDEX('請求台帳'!$C$5:$C$1004,$O749)),IF($C749="","",$C749)))</f>
        <v/>
      </c>
      <c r="Q749" s="35">
        <f>IF(OR(NOT(OR($A749&lt;&gt;"",$E749&lt;&gt;"",$F749&lt;&gt;"",$G749&lt;&gt;"",$H749&lt;&gt;"",$I749&lt;&gt;"")),$P749="",$P749&lt;&gt;'売掛帳'!$B$3,NOT(ISNUMBER($A749)),N($G749)+N($H749)+N($I749)=0),"",IF(AND($A749&gt;='売掛帳'!$Q$3,$A749&lt;='売掛帳'!$Q$4),$A749+0.5+ROW()/10000000,""))</f>
        <v/>
      </c>
      <c r="R749" s="32">
        <f>IF(AND(OR($A749&lt;&gt;"",$E749&lt;&gt;"",$F749&lt;&gt;"",$G749&lt;&gt;"",$H749&lt;&gt;"",$I749&lt;&gt;""),NOT(ISNUMBER($O749))),1,"")</f>
        <v/>
      </c>
    </row>
    <row r="750" ht="18" customHeight="1">
      <c r="A750" s="26" t="n"/>
      <c r="B750" s="18" t="n"/>
      <c r="C750" s="18" t="n"/>
      <c r="D750" s="20">
        <f>IF($P750="","",IFERROR(INDEX('得意先'!$C$5:$C$104,MATCH($P750,'得意先'!$B$5:$B$104,0))&amp;"","※得意先にないコード"))</f>
        <v/>
      </c>
      <c r="E750" s="27" t="n"/>
      <c r="F750" s="18" t="n"/>
      <c r="G750" s="27" t="n"/>
      <c r="H750" s="27" t="n"/>
      <c r="I750" s="27" t="n"/>
      <c r="J750" s="28">
        <f>IF(NOT(OR($A750&lt;&gt;"",$E750&lt;&gt;"",$F750&lt;&gt;"",$G750&lt;&gt;"",$H750&lt;&gt;"",$I750&lt;&gt;"")),"",N($G750)+N($H750)+N($I750))</f>
        <v/>
      </c>
      <c r="K750" s="28">
        <f>IF(ISNUMBER($O750),INDEX('請求台帳'!$R$5:$R$1004,$O750),"")</f>
        <v/>
      </c>
      <c r="L750" s="20">
        <f>IF(NOT(OR($A750&lt;&gt;"",$E750&lt;&gt;"",$F750&lt;&gt;"",$G750&lt;&gt;"",$H750&lt;&gt;"",$I750&lt;&gt;"")),"",IF(NOT(ISNUMBER($A750)),"入金日がありません",IF(AND($F750&lt;&gt;"",$O750="なし"),"請求Noが請求台帳にありません",IF(AND(ISNUMBER($O750),$C750&lt;&gt;"",$C750&lt;&gt;$P750),"請求の得意先は "&amp;$P750&amp;" です",IF(ROUND(IF($B750&lt;&gt;"",SUMIF($B$5:$B$1004,$B750,$E$5:$E$1004)-SUMIF($B$5:$B$1004,$B750,$G$5:$G$1004),N($E750)-N($G750)),0)&lt;&gt;0,"通帳の額と当てた額の差 "&amp;TEXT(IF($B750&lt;&gt;"",SUMIF($B$5:$B$1004,$B750,$E$5:$E$1004)-SUMIF($B$5:$B$1004,$B750,$G$5:$G$1004),N($E750)-N($G750)),"#,##0"),IF(AND(ISNUMBER($O750),N($K750)&lt;0),"請求額より多く消し込んでいます",IF($F750="","消込先が未定","OK")))))))</f>
        <v/>
      </c>
      <c r="M750" s="19" t="n"/>
      <c r="N750" s="56" t="n"/>
      <c r="O750" s="32">
        <f>IF($F750="","",IFERROR(MATCH($F750,'請求台帳'!$A$5:$A$1004,0),"なし"))</f>
        <v/>
      </c>
      <c r="P750" s="37">
        <f>IF(NOT(OR($A750&lt;&gt;"",$E750&lt;&gt;"",$F750&lt;&gt;"",$G750&lt;&gt;"",$H750&lt;&gt;"",$I750&lt;&gt;"")),"",IF(ISNUMBER($O750),IF(INDEX('請求台帳'!$C$5:$C$1004,$O750)="","",INDEX('請求台帳'!$C$5:$C$1004,$O750)),IF($C750="","",$C750)))</f>
        <v/>
      </c>
      <c r="Q750" s="35">
        <f>IF(OR(NOT(OR($A750&lt;&gt;"",$E750&lt;&gt;"",$F750&lt;&gt;"",$G750&lt;&gt;"",$H750&lt;&gt;"",$I750&lt;&gt;"")),$P750="",$P750&lt;&gt;'売掛帳'!$B$3,NOT(ISNUMBER($A750)),N($G750)+N($H750)+N($I750)=0),"",IF(AND($A750&gt;='売掛帳'!$Q$3,$A750&lt;='売掛帳'!$Q$4),$A750+0.5+ROW()/10000000,""))</f>
        <v/>
      </c>
      <c r="R750" s="32">
        <f>IF(AND(OR($A750&lt;&gt;"",$E750&lt;&gt;"",$F750&lt;&gt;"",$G750&lt;&gt;"",$H750&lt;&gt;"",$I750&lt;&gt;""),NOT(ISNUMBER($O750))),1,"")</f>
        <v/>
      </c>
    </row>
    <row r="751" ht="18" customHeight="1">
      <c r="A751" s="26" t="n"/>
      <c r="B751" s="18" t="n"/>
      <c r="C751" s="18" t="n"/>
      <c r="D751" s="20">
        <f>IF($P751="","",IFERROR(INDEX('得意先'!$C$5:$C$104,MATCH($P751,'得意先'!$B$5:$B$104,0))&amp;"","※得意先にないコード"))</f>
        <v/>
      </c>
      <c r="E751" s="27" t="n"/>
      <c r="F751" s="18" t="n"/>
      <c r="G751" s="27" t="n"/>
      <c r="H751" s="27" t="n"/>
      <c r="I751" s="27" t="n"/>
      <c r="J751" s="28">
        <f>IF(NOT(OR($A751&lt;&gt;"",$E751&lt;&gt;"",$F751&lt;&gt;"",$G751&lt;&gt;"",$H751&lt;&gt;"",$I751&lt;&gt;"")),"",N($G751)+N($H751)+N($I751))</f>
        <v/>
      </c>
      <c r="K751" s="28">
        <f>IF(ISNUMBER($O751),INDEX('請求台帳'!$R$5:$R$1004,$O751),"")</f>
        <v/>
      </c>
      <c r="L751" s="20">
        <f>IF(NOT(OR($A751&lt;&gt;"",$E751&lt;&gt;"",$F751&lt;&gt;"",$G751&lt;&gt;"",$H751&lt;&gt;"",$I751&lt;&gt;"")),"",IF(NOT(ISNUMBER($A751)),"入金日がありません",IF(AND($F751&lt;&gt;"",$O751="なし"),"請求Noが請求台帳にありません",IF(AND(ISNUMBER($O751),$C751&lt;&gt;"",$C751&lt;&gt;$P751),"請求の得意先は "&amp;$P751&amp;" です",IF(ROUND(IF($B751&lt;&gt;"",SUMIF($B$5:$B$1004,$B751,$E$5:$E$1004)-SUMIF($B$5:$B$1004,$B751,$G$5:$G$1004),N($E751)-N($G751)),0)&lt;&gt;0,"通帳の額と当てた額の差 "&amp;TEXT(IF($B751&lt;&gt;"",SUMIF($B$5:$B$1004,$B751,$E$5:$E$1004)-SUMIF($B$5:$B$1004,$B751,$G$5:$G$1004),N($E751)-N($G751)),"#,##0"),IF(AND(ISNUMBER($O751),N($K751)&lt;0),"請求額より多く消し込んでいます",IF($F751="","消込先が未定","OK")))))))</f>
        <v/>
      </c>
      <c r="M751" s="19" t="n"/>
      <c r="N751" s="56" t="n"/>
      <c r="O751" s="32">
        <f>IF($F751="","",IFERROR(MATCH($F751,'請求台帳'!$A$5:$A$1004,0),"なし"))</f>
        <v/>
      </c>
      <c r="P751" s="37">
        <f>IF(NOT(OR($A751&lt;&gt;"",$E751&lt;&gt;"",$F751&lt;&gt;"",$G751&lt;&gt;"",$H751&lt;&gt;"",$I751&lt;&gt;"")),"",IF(ISNUMBER($O751),IF(INDEX('請求台帳'!$C$5:$C$1004,$O751)="","",INDEX('請求台帳'!$C$5:$C$1004,$O751)),IF($C751="","",$C751)))</f>
        <v/>
      </c>
      <c r="Q751" s="35">
        <f>IF(OR(NOT(OR($A751&lt;&gt;"",$E751&lt;&gt;"",$F751&lt;&gt;"",$G751&lt;&gt;"",$H751&lt;&gt;"",$I751&lt;&gt;"")),$P751="",$P751&lt;&gt;'売掛帳'!$B$3,NOT(ISNUMBER($A751)),N($G751)+N($H751)+N($I751)=0),"",IF(AND($A751&gt;='売掛帳'!$Q$3,$A751&lt;='売掛帳'!$Q$4),$A751+0.5+ROW()/10000000,""))</f>
        <v/>
      </c>
      <c r="R751" s="32">
        <f>IF(AND(OR($A751&lt;&gt;"",$E751&lt;&gt;"",$F751&lt;&gt;"",$G751&lt;&gt;"",$H751&lt;&gt;"",$I751&lt;&gt;""),NOT(ISNUMBER($O751))),1,"")</f>
        <v/>
      </c>
    </row>
    <row r="752" ht="18" customHeight="1">
      <c r="A752" s="26" t="n"/>
      <c r="B752" s="18" t="n"/>
      <c r="C752" s="18" t="n"/>
      <c r="D752" s="20">
        <f>IF($P752="","",IFERROR(INDEX('得意先'!$C$5:$C$104,MATCH($P752,'得意先'!$B$5:$B$104,0))&amp;"","※得意先にないコード"))</f>
        <v/>
      </c>
      <c r="E752" s="27" t="n"/>
      <c r="F752" s="18" t="n"/>
      <c r="G752" s="27" t="n"/>
      <c r="H752" s="27" t="n"/>
      <c r="I752" s="27" t="n"/>
      <c r="J752" s="28">
        <f>IF(NOT(OR($A752&lt;&gt;"",$E752&lt;&gt;"",$F752&lt;&gt;"",$G752&lt;&gt;"",$H752&lt;&gt;"",$I752&lt;&gt;"")),"",N($G752)+N($H752)+N($I752))</f>
        <v/>
      </c>
      <c r="K752" s="28">
        <f>IF(ISNUMBER($O752),INDEX('請求台帳'!$R$5:$R$1004,$O752),"")</f>
        <v/>
      </c>
      <c r="L752" s="20">
        <f>IF(NOT(OR($A752&lt;&gt;"",$E752&lt;&gt;"",$F752&lt;&gt;"",$G752&lt;&gt;"",$H752&lt;&gt;"",$I752&lt;&gt;"")),"",IF(NOT(ISNUMBER($A752)),"入金日がありません",IF(AND($F752&lt;&gt;"",$O752="なし"),"請求Noが請求台帳にありません",IF(AND(ISNUMBER($O752),$C752&lt;&gt;"",$C752&lt;&gt;$P752),"請求の得意先は "&amp;$P752&amp;" です",IF(ROUND(IF($B752&lt;&gt;"",SUMIF($B$5:$B$1004,$B752,$E$5:$E$1004)-SUMIF($B$5:$B$1004,$B752,$G$5:$G$1004),N($E752)-N($G752)),0)&lt;&gt;0,"通帳の額と当てた額の差 "&amp;TEXT(IF($B752&lt;&gt;"",SUMIF($B$5:$B$1004,$B752,$E$5:$E$1004)-SUMIF($B$5:$B$1004,$B752,$G$5:$G$1004),N($E752)-N($G752)),"#,##0"),IF(AND(ISNUMBER($O752),N($K752)&lt;0),"請求額より多く消し込んでいます",IF($F752="","消込先が未定","OK")))))))</f>
        <v/>
      </c>
      <c r="M752" s="19" t="n"/>
      <c r="N752" s="56" t="n"/>
      <c r="O752" s="32">
        <f>IF($F752="","",IFERROR(MATCH($F752,'請求台帳'!$A$5:$A$1004,0),"なし"))</f>
        <v/>
      </c>
      <c r="P752" s="37">
        <f>IF(NOT(OR($A752&lt;&gt;"",$E752&lt;&gt;"",$F752&lt;&gt;"",$G752&lt;&gt;"",$H752&lt;&gt;"",$I752&lt;&gt;"")),"",IF(ISNUMBER($O752),IF(INDEX('請求台帳'!$C$5:$C$1004,$O752)="","",INDEX('請求台帳'!$C$5:$C$1004,$O752)),IF($C752="","",$C752)))</f>
        <v/>
      </c>
      <c r="Q752" s="35">
        <f>IF(OR(NOT(OR($A752&lt;&gt;"",$E752&lt;&gt;"",$F752&lt;&gt;"",$G752&lt;&gt;"",$H752&lt;&gt;"",$I752&lt;&gt;"")),$P752="",$P752&lt;&gt;'売掛帳'!$B$3,NOT(ISNUMBER($A752)),N($G752)+N($H752)+N($I752)=0),"",IF(AND($A752&gt;='売掛帳'!$Q$3,$A752&lt;='売掛帳'!$Q$4),$A752+0.5+ROW()/10000000,""))</f>
        <v/>
      </c>
      <c r="R752" s="32">
        <f>IF(AND(OR($A752&lt;&gt;"",$E752&lt;&gt;"",$F752&lt;&gt;"",$G752&lt;&gt;"",$H752&lt;&gt;"",$I752&lt;&gt;""),NOT(ISNUMBER($O752))),1,"")</f>
        <v/>
      </c>
    </row>
    <row r="753" ht="18" customHeight="1">
      <c r="A753" s="26" t="n"/>
      <c r="B753" s="18" t="n"/>
      <c r="C753" s="18" t="n"/>
      <c r="D753" s="20">
        <f>IF($P753="","",IFERROR(INDEX('得意先'!$C$5:$C$104,MATCH($P753,'得意先'!$B$5:$B$104,0))&amp;"","※得意先にないコード"))</f>
        <v/>
      </c>
      <c r="E753" s="27" t="n"/>
      <c r="F753" s="18" t="n"/>
      <c r="G753" s="27" t="n"/>
      <c r="H753" s="27" t="n"/>
      <c r="I753" s="27" t="n"/>
      <c r="J753" s="28">
        <f>IF(NOT(OR($A753&lt;&gt;"",$E753&lt;&gt;"",$F753&lt;&gt;"",$G753&lt;&gt;"",$H753&lt;&gt;"",$I753&lt;&gt;"")),"",N($G753)+N($H753)+N($I753))</f>
        <v/>
      </c>
      <c r="K753" s="28">
        <f>IF(ISNUMBER($O753),INDEX('請求台帳'!$R$5:$R$1004,$O753),"")</f>
        <v/>
      </c>
      <c r="L753" s="20">
        <f>IF(NOT(OR($A753&lt;&gt;"",$E753&lt;&gt;"",$F753&lt;&gt;"",$G753&lt;&gt;"",$H753&lt;&gt;"",$I753&lt;&gt;"")),"",IF(NOT(ISNUMBER($A753)),"入金日がありません",IF(AND($F753&lt;&gt;"",$O753="なし"),"請求Noが請求台帳にありません",IF(AND(ISNUMBER($O753),$C753&lt;&gt;"",$C753&lt;&gt;$P753),"請求の得意先は "&amp;$P753&amp;" です",IF(ROUND(IF($B753&lt;&gt;"",SUMIF($B$5:$B$1004,$B753,$E$5:$E$1004)-SUMIF($B$5:$B$1004,$B753,$G$5:$G$1004),N($E753)-N($G753)),0)&lt;&gt;0,"通帳の額と当てた額の差 "&amp;TEXT(IF($B753&lt;&gt;"",SUMIF($B$5:$B$1004,$B753,$E$5:$E$1004)-SUMIF($B$5:$B$1004,$B753,$G$5:$G$1004),N($E753)-N($G753)),"#,##0"),IF(AND(ISNUMBER($O753),N($K753)&lt;0),"請求額より多く消し込んでいます",IF($F753="","消込先が未定","OK")))))))</f>
        <v/>
      </c>
      <c r="M753" s="19" t="n"/>
      <c r="N753" s="56" t="n"/>
      <c r="O753" s="32">
        <f>IF($F753="","",IFERROR(MATCH($F753,'請求台帳'!$A$5:$A$1004,0),"なし"))</f>
        <v/>
      </c>
      <c r="P753" s="37">
        <f>IF(NOT(OR($A753&lt;&gt;"",$E753&lt;&gt;"",$F753&lt;&gt;"",$G753&lt;&gt;"",$H753&lt;&gt;"",$I753&lt;&gt;"")),"",IF(ISNUMBER($O753),IF(INDEX('請求台帳'!$C$5:$C$1004,$O753)="","",INDEX('請求台帳'!$C$5:$C$1004,$O753)),IF($C753="","",$C753)))</f>
        <v/>
      </c>
      <c r="Q753" s="35">
        <f>IF(OR(NOT(OR($A753&lt;&gt;"",$E753&lt;&gt;"",$F753&lt;&gt;"",$G753&lt;&gt;"",$H753&lt;&gt;"",$I753&lt;&gt;"")),$P753="",$P753&lt;&gt;'売掛帳'!$B$3,NOT(ISNUMBER($A753)),N($G753)+N($H753)+N($I753)=0),"",IF(AND($A753&gt;='売掛帳'!$Q$3,$A753&lt;='売掛帳'!$Q$4),$A753+0.5+ROW()/10000000,""))</f>
        <v/>
      </c>
      <c r="R753" s="32">
        <f>IF(AND(OR($A753&lt;&gt;"",$E753&lt;&gt;"",$F753&lt;&gt;"",$G753&lt;&gt;"",$H753&lt;&gt;"",$I753&lt;&gt;""),NOT(ISNUMBER($O753))),1,"")</f>
        <v/>
      </c>
    </row>
    <row r="754" ht="18" customHeight="1">
      <c r="A754" s="26" t="n"/>
      <c r="B754" s="18" t="n"/>
      <c r="C754" s="18" t="n"/>
      <c r="D754" s="20">
        <f>IF($P754="","",IFERROR(INDEX('得意先'!$C$5:$C$104,MATCH($P754,'得意先'!$B$5:$B$104,0))&amp;"","※得意先にないコード"))</f>
        <v/>
      </c>
      <c r="E754" s="27" t="n"/>
      <c r="F754" s="18" t="n"/>
      <c r="G754" s="27" t="n"/>
      <c r="H754" s="27" t="n"/>
      <c r="I754" s="27" t="n"/>
      <c r="J754" s="28">
        <f>IF(NOT(OR($A754&lt;&gt;"",$E754&lt;&gt;"",$F754&lt;&gt;"",$G754&lt;&gt;"",$H754&lt;&gt;"",$I754&lt;&gt;"")),"",N($G754)+N($H754)+N($I754))</f>
        <v/>
      </c>
      <c r="K754" s="28">
        <f>IF(ISNUMBER($O754),INDEX('請求台帳'!$R$5:$R$1004,$O754),"")</f>
        <v/>
      </c>
      <c r="L754" s="20">
        <f>IF(NOT(OR($A754&lt;&gt;"",$E754&lt;&gt;"",$F754&lt;&gt;"",$G754&lt;&gt;"",$H754&lt;&gt;"",$I754&lt;&gt;"")),"",IF(NOT(ISNUMBER($A754)),"入金日がありません",IF(AND($F754&lt;&gt;"",$O754="なし"),"請求Noが請求台帳にありません",IF(AND(ISNUMBER($O754),$C754&lt;&gt;"",$C754&lt;&gt;$P754),"請求の得意先は "&amp;$P754&amp;" です",IF(ROUND(IF($B754&lt;&gt;"",SUMIF($B$5:$B$1004,$B754,$E$5:$E$1004)-SUMIF($B$5:$B$1004,$B754,$G$5:$G$1004),N($E754)-N($G754)),0)&lt;&gt;0,"通帳の額と当てた額の差 "&amp;TEXT(IF($B754&lt;&gt;"",SUMIF($B$5:$B$1004,$B754,$E$5:$E$1004)-SUMIF($B$5:$B$1004,$B754,$G$5:$G$1004),N($E754)-N($G754)),"#,##0"),IF(AND(ISNUMBER($O754),N($K754)&lt;0),"請求額より多く消し込んでいます",IF($F754="","消込先が未定","OK")))))))</f>
        <v/>
      </c>
      <c r="M754" s="19" t="n"/>
      <c r="N754" s="56" t="n"/>
      <c r="O754" s="32">
        <f>IF($F754="","",IFERROR(MATCH($F754,'請求台帳'!$A$5:$A$1004,0),"なし"))</f>
        <v/>
      </c>
      <c r="P754" s="37">
        <f>IF(NOT(OR($A754&lt;&gt;"",$E754&lt;&gt;"",$F754&lt;&gt;"",$G754&lt;&gt;"",$H754&lt;&gt;"",$I754&lt;&gt;"")),"",IF(ISNUMBER($O754),IF(INDEX('請求台帳'!$C$5:$C$1004,$O754)="","",INDEX('請求台帳'!$C$5:$C$1004,$O754)),IF($C754="","",$C754)))</f>
        <v/>
      </c>
      <c r="Q754" s="35">
        <f>IF(OR(NOT(OR($A754&lt;&gt;"",$E754&lt;&gt;"",$F754&lt;&gt;"",$G754&lt;&gt;"",$H754&lt;&gt;"",$I754&lt;&gt;"")),$P754="",$P754&lt;&gt;'売掛帳'!$B$3,NOT(ISNUMBER($A754)),N($G754)+N($H754)+N($I754)=0),"",IF(AND($A754&gt;='売掛帳'!$Q$3,$A754&lt;='売掛帳'!$Q$4),$A754+0.5+ROW()/10000000,""))</f>
        <v/>
      </c>
      <c r="R754" s="32">
        <f>IF(AND(OR($A754&lt;&gt;"",$E754&lt;&gt;"",$F754&lt;&gt;"",$G754&lt;&gt;"",$H754&lt;&gt;"",$I754&lt;&gt;""),NOT(ISNUMBER($O754))),1,"")</f>
        <v/>
      </c>
    </row>
    <row r="755" ht="18" customHeight="1">
      <c r="A755" s="26" t="n"/>
      <c r="B755" s="18" t="n"/>
      <c r="C755" s="18" t="n"/>
      <c r="D755" s="20">
        <f>IF($P755="","",IFERROR(INDEX('得意先'!$C$5:$C$104,MATCH($P755,'得意先'!$B$5:$B$104,0))&amp;"","※得意先にないコード"))</f>
        <v/>
      </c>
      <c r="E755" s="27" t="n"/>
      <c r="F755" s="18" t="n"/>
      <c r="G755" s="27" t="n"/>
      <c r="H755" s="27" t="n"/>
      <c r="I755" s="27" t="n"/>
      <c r="J755" s="28">
        <f>IF(NOT(OR($A755&lt;&gt;"",$E755&lt;&gt;"",$F755&lt;&gt;"",$G755&lt;&gt;"",$H755&lt;&gt;"",$I755&lt;&gt;"")),"",N($G755)+N($H755)+N($I755))</f>
        <v/>
      </c>
      <c r="K755" s="28">
        <f>IF(ISNUMBER($O755),INDEX('請求台帳'!$R$5:$R$1004,$O755),"")</f>
        <v/>
      </c>
      <c r="L755" s="20">
        <f>IF(NOT(OR($A755&lt;&gt;"",$E755&lt;&gt;"",$F755&lt;&gt;"",$G755&lt;&gt;"",$H755&lt;&gt;"",$I755&lt;&gt;"")),"",IF(NOT(ISNUMBER($A755)),"入金日がありません",IF(AND($F755&lt;&gt;"",$O755="なし"),"請求Noが請求台帳にありません",IF(AND(ISNUMBER($O755),$C755&lt;&gt;"",$C755&lt;&gt;$P755),"請求の得意先は "&amp;$P755&amp;" です",IF(ROUND(IF($B755&lt;&gt;"",SUMIF($B$5:$B$1004,$B755,$E$5:$E$1004)-SUMIF($B$5:$B$1004,$B755,$G$5:$G$1004),N($E755)-N($G755)),0)&lt;&gt;0,"通帳の額と当てた額の差 "&amp;TEXT(IF($B755&lt;&gt;"",SUMIF($B$5:$B$1004,$B755,$E$5:$E$1004)-SUMIF($B$5:$B$1004,$B755,$G$5:$G$1004),N($E755)-N($G755)),"#,##0"),IF(AND(ISNUMBER($O755),N($K755)&lt;0),"請求額より多く消し込んでいます",IF($F755="","消込先が未定","OK")))))))</f>
        <v/>
      </c>
      <c r="M755" s="19" t="n"/>
      <c r="N755" s="56" t="n"/>
      <c r="O755" s="32">
        <f>IF($F755="","",IFERROR(MATCH($F755,'請求台帳'!$A$5:$A$1004,0),"なし"))</f>
        <v/>
      </c>
      <c r="P755" s="37">
        <f>IF(NOT(OR($A755&lt;&gt;"",$E755&lt;&gt;"",$F755&lt;&gt;"",$G755&lt;&gt;"",$H755&lt;&gt;"",$I755&lt;&gt;"")),"",IF(ISNUMBER($O755),IF(INDEX('請求台帳'!$C$5:$C$1004,$O755)="","",INDEX('請求台帳'!$C$5:$C$1004,$O755)),IF($C755="","",$C755)))</f>
        <v/>
      </c>
      <c r="Q755" s="35">
        <f>IF(OR(NOT(OR($A755&lt;&gt;"",$E755&lt;&gt;"",$F755&lt;&gt;"",$G755&lt;&gt;"",$H755&lt;&gt;"",$I755&lt;&gt;"")),$P755="",$P755&lt;&gt;'売掛帳'!$B$3,NOT(ISNUMBER($A755)),N($G755)+N($H755)+N($I755)=0),"",IF(AND($A755&gt;='売掛帳'!$Q$3,$A755&lt;='売掛帳'!$Q$4),$A755+0.5+ROW()/10000000,""))</f>
        <v/>
      </c>
      <c r="R755" s="32">
        <f>IF(AND(OR($A755&lt;&gt;"",$E755&lt;&gt;"",$F755&lt;&gt;"",$G755&lt;&gt;"",$H755&lt;&gt;"",$I755&lt;&gt;""),NOT(ISNUMBER($O755))),1,"")</f>
        <v/>
      </c>
    </row>
    <row r="756" ht="18" customHeight="1">
      <c r="A756" s="26" t="n"/>
      <c r="B756" s="18" t="n"/>
      <c r="C756" s="18" t="n"/>
      <c r="D756" s="20">
        <f>IF($P756="","",IFERROR(INDEX('得意先'!$C$5:$C$104,MATCH($P756,'得意先'!$B$5:$B$104,0))&amp;"","※得意先にないコード"))</f>
        <v/>
      </c>
      <c r="E756" s="27" t="n"/>
      <c r="F756" s="18" t="n"/>
      <c r="G756" s="27" t="n"/>
      <c r="H756" s="27" t="n"/>
      <c r="I756" s="27" t="n"/>
      <c r="J756" s="28">
        <f>IF(NOT(OR($A756&lt;&gt;"",$E756&lt;&gt;"",$F756&lt;&gt;"",$G756&lt;&gt;"",$H756&lt;&gt;"",$I756&lt;&gt;"")),"",N($G756)+N($H756)+N($I756))</f>
        <v/>
      </c>
      <c r="K756" s="28">
        <f>IF(ISNUMBER($O756),INDEX('請求台帳'!$R$5:$R$1004,$O756),"")</f>
        <v/>
      </c>
      <c r="L756" s="20">
        <f>IF(NOT(OR($A756&lt;&gt;"",$E756&lt;&gt;"",$F756&lt;&gt;"",$G756&lt;&gt;"",$H756&lt;&gt;"",$I756&lt;&gt;"")),"",IF(NOT(ISNUMBER($A756)),"入金日がありません",IF(AND($F756&lt;&gt;"",$O756="なし"),"請求Noが請求台帳にありません",IF(AND(ISNUMBER($O756),$C756&lt;&gt;"",$C756&lt;&gt;$P756),"請求の得意先は "&amp;$P756&amp;" です",IF(ROUND(IF($B756&lt;&gt;"",SUMIF($B$5:$B$1004,$B756,$E$5:$E$1004)-SUMIF($B$5:$B$1004,$B756,$G$5:$G$1004),N($E756)-N($G756)),0)&lt;&gt;0,"通帳の額と当てた額の差 "&amp;TEXT(IF($B756&lt;&gt;"",SUMIF($B$5:$B$1004,$B756,$E$5:$E$1004)-SUMIF($B$5:$B$1004,$B756,$G$5:$G$1004),N($E756)-N($G756)),"#,##0"),IF(AND(ISNUMBER($O756),N($K756)&lt;0),"請求額より多く消し込んでいます",IF($F756="","消込先が未定","OK")))))))</f>
        <v/>
      </c>
      <c r="M756" s="19" t="n"/>
      <c r="N756" s="56" t="n"/>
      <c r="O756" s="32">
        <f>IF($F756="","",IFERROR(MATCH($F756,'請求台帳'!$A$5:$A$1004,0),"なし"))</f>
        <v/>
      </c>
      <c r="P756" s="37">
        <f>IF(NOT(OR($A756&lt;&gt;"",$E756&lt;&gt;"",$F756&lt;&gt;"",$G756&lt;&gt;"",$H756&lt;&gt;"",$I756&lt;&gt;"")),"",IF(ISNUMBER($O756),IF(INDEX('請求台帳'!$C$5:$C$1004,$O756)="","",INDEX('請求台帳'!$C$5:$C$1004,$O756)),IF($C756="","",$C756)))</f>
        <v/>
      </c>
      <c r="Q756" s="35">
        <f>IF(OR(NOT(OR($A756&lt;&gt;"",$E756&lt;&gt;"",$F756&lt;&gt;"",$G756&lt;&gt;"",$H756&lt;&gt;"",$I756&lt;&gt;"")),$P756="",$P756&lt;&gt;'売掛帳'!$B$3,NOT(ISNUMBER($A756)),N($G756)+N($H756)+N($I756)=0),"",IF(AND($A756&gt;='売掛帳'!$Q$3,$A756&lt;='売掛帳'!$Q$4),$A756+0.5+ROW()/10000000,""))</f>
        <v/>
      </c>
      <c r="R756" s="32">
        <f>IF(AND(OR($A756&lt;&gt;"",$E756&lt;&gt;"",$F756&lt;&gt;"",$G756&lt;&gt;"",$H756&lt;&gt;"",$I756&lt;&gt;""),NOT(ISNUMBER($O756))),1,"")</f>
        <v/>
      </c>
    </row>
    <row r="757" ht="18" customHeight="1">
      <c r="A757" s="26" t="n"/>
      <c r="B757" s="18" t="n"/>
      <c r="C757" s="18" t="n"/>
      <c r="D757" s="20">
        <f>IF($P757="","",IFERROR(INDEX('得意先'!$C$5:$C$104,MATCH($P757,'得意先'!$B$5:$B$104,0))&amp;"","※得意先にないコード"))</f>
        <v/>
      </c>
      <c r="E757" s="27" t="n"/>
      <c r="F757" s="18" t="n"/>
      <c r="G757" s="27" t="n"/>
      <c r="H757" s="27" t="n"/>
      <c r="I757" s="27" t="n"/>
      <c r="J757" s="28">
        <f>IF(NOT(OR($A757&lt;&gt;"",$E757&lt;&gt;"",$F757&lt;&gt;"",$G757&lt;&gt;"",$H757&lt;&gt;"",$I757&lt;&gt;"")),"",N($G757)+N($H757)+N($I757))</f>
        <v/>
      </c>
      <c r="K757" s="28">
        <f>IF(ISNUMBER($O757),INDEX('請求台帳'!$R$5:$R$1004,$O757),"")</f>
        <v/>
      </c>
      <c r="L757" s="20">
        <f>IF(NOT(OR($A757&lt;&gt;"",$E757&lt;&gt;"",$F757&lt;&gt;"",$G757&lt;&gt;"",$H757&lt;&gt;"",$I757&lt;&gt;"")),"",IF(NOT(ISNUMBER($A757)),"入金日がありません",IF(AND($F757&lt;&gt;"",$O757="なし"),"請求Noが請求台帳にありません",IF(AND(ISNUMBER($O757),$C757&lt;&gt;"",$C757&lt;&gt;$P757),"請求の得意先は "&amp;$P757&amp;" です",IF(ROUND(IF($B757&lt;&gt;"",SUMIF($B$5:$B$1004,$B757,$E$5:$E$1004)-SUMIF($B$5:$B$1004,$B757,$G$5:$G$1004),N($E757)-N($G757)),0)&lt;&gt;0,"通帳の額と当てた額の差 "&amp;TEXT(IF($B757&lt;&gt;"",SUMIF($B$5:$B$1004,$B757,$E$5:$E$1004)-SUMIF($B$5:$B$1004,$B757,$G$5:$G$1004),N($E757)-N($G757)),"#,##0"),IF(AND(ISNUMBER($O757),N($K757)&lt;0),"請求額より多く消し込んでいます",IF($F757="","消込先が未定","OK")))))))</f>
        <v/>
      </c>
      <c r="M757" s="19" t="n"/>
      <c r="N757" s="56" t="n"/>
      <c r="O757" s="32">
        <f>IF($F757="","",IFERROR(MATCH($F757,'請求台帳'!$A$5:$A$1004,0),"なし"))</f>
        <v/>
      </c>
      <c r="P757" s="37">
        <f>IF(NOT(OR($A757&lt;&gt;"",$E757&lt;&gt;"",$F757&lt;&gt;"",$G757&lt;&gt;"",$H757&lt;&gt;"",$I757&lt;&gt;"")),"",IF(ISNUMBER($O757),IF(INDEX('請求台帳'!$C$5:$C$1004,$O757)="","",INDEX('請求台帳'!$C$5:$C$1004,$O757)),IF($C757="","",$C757)))</f>
        <v/>
      </c>
      <c r="Q757" s="35">
        <f>IF(OR(NOT(OR($A757&lt;&gt;"",$E757&lt;&gt;"",$F757&lt;&gt;"",$G757&lt;&gt;"",$H757&lt;&gt;"",$I757&lt;&gt;"")),$P757="",$P757&lt;&gt;'売掛帳'!$B$3,NOT(ISNUMBER($A757)),N($G757)+N($H757)+N($I757)=0),"",IF(AND($A757&gt;='売掛帳'!$Q$3,$A757&lt;='売掛帳'!$Q$4),$A757+0.5+ROW()/10000000,""))</f>
        <v/>
      </c>
      <c r="R757" s="32">
        <f>IF(AND(OR($A757&lt;&gt;"",$E757&lt;&gt;"",$F757&lt;&gt;"",$G757&lt;&gt;"",$H757&lt;&gt;"",$I757&lt;&gt;""),NOT(ISNUMBER($O757))),1,"")</f>
        <v/>
      </c>
    </row>
    <row r="758" ht="18" customHeight="1">
      <c r="A758" s="26" t="n"/>
      <c r="B758" s="18" t="n"/>
      <c r="C758" s="18" t="n"/>
      <c r="D758" s="20">
        <f>IF($P758="","",IFERROR(INDEX('得意先'!$C$5:$C$104,MATCH($P758,'得意先'!$B$5:$B$104,0))&amp;"","※得意先にないコード"))</f>
        <v/>
      </c>
      <c r="E758" s="27" t="n"/>
      <c r="F758" s="18" t="n"/>
      <c r="G758" s="27" t="n"/>
      <c r="H758" s="27" t="n"/>
      <c r="I758" s="27" t="n"/>
      <c r="J758" s="28">
        <f>IF(NOT(OR($A758&lt;&gt;"",$E758&lt;&gt;"",$F758&lt;&gt;"",$G758&lt;&gt;"",$H758&lt;&gt;"",$I758&lt;&gt;"")),"",N($G758)+N($H758)+N($I758))</f>
        <v/>
      </c>
      <c r="K758" s="28">
        <f>IF(ISNUMBER($O758),INDEX('請求台帳'!$R$5:$R$1004,$O758),"")</f>
        <v/>
      </c>
      <c r="L758" s="20">
        <f>IF(NOT(OR($A758&lt;&gt;"",$E758&lt;&gt;"",$F758&lt;&gt;"",$G758&lt;&gt;"",$H758&lt;&gt;"",$I758&lt;&gt;"")),"",IF(NOT(ISNUMBER($A758)),"入金日がありません",IF(AND($F758&lt;&gt;"",$O758="なし"),"請求Noが請求台帳にありません",IF(AND(ISNUMBER($O758),$C758&lt;&gt;"",$C758&lt;&gt;$P758),"請求の得意先は "&amp;$P758&amp;" です",IF(ROUND(IF($B758&lt;&gt;"",SUMIF($B$5:$B$1004,$B758,$E$5:$E$1004)-SUMIF($B$5:$B$1004,$B758,$G$5:$G$1004),N($E758)-N($G758)),0)&lt;&gt;0,"通帳の額と当てた額の差 "&amp;TEXT(IF($B758&lt;&gt;"",SUMIF($B$5:$B$1004,$B758,$E$5:$E$1004)-SUMIF($B$5:$B$1004,$B758,$G$5:$G$1004),N($E758)-N($G758)),"#,##0"),IF(AND(ISNUMBER($O758),N($K758)&lt;0),"請求額より多く消し込んでいます",IF($F758="","消込先が未定","OK")))))))</f>
        <v/>
      </c>
      <c r="M758" s="19" t="n"/>
      <c r="N758" s="56" t="n"/>
      <c r="O758" s="32">
        <f>IF($F758="","",IFERROR(MATCH($F758,'請求台帳'!$A$5:$A$1004,0),"なし"))</f>
        <v/>
      </c>
      <c r="P758" s="37">
        <f>IF(NOT(OR($A758&lt;&gt;"",$E758&lt;&gt;"",$F758&lt;&gt;"",$G758&lt;&gt;"",$H758&lt;&gt;"",$I758&lt;&gt;"")),"",IF(ISNUMBER($O758),IF(INDEX('請求台帳'!$C$5:$C$1004,$O758)="","",INDEX('請求台帳'!$C$5:$C$1004,$O758)),IF($C758="","",$C758)))</f>
        <v/>
      </c>
      <c r="Q758" s="35">
        <f>IF(OR(NOT(OR($A758&lt;&gt;"",$E758&lt;&gt;"",$F758&lt;&gt;"",$G758&lt;&gt;"",$H758&lt;&gt;"",$I758&lt;&gt;"")),$P758="",$P758&lt;&gt;'売掛帳'!$B$3,NOT(ISNUMBER($A758)),N($G758)+N($H758)+N($I758)=0),"",IF(AND($A758&gt;='売掛帳'!$Q$3,$A758&lt;='売掛帳'!$Q$4),$A758+0.5+ROW()/10000000,""))</f>
        <v/>
      </c>
      <c r="R758" s="32">
        <f>IF(AND(OR($A758&lt;&gt;"",$E758&lt;&gt;"",$F758&lt;&gt;"",$G758&lt;&gt;"",$H758&lt;&gt;"",$I758&lt;&gt;""),NOT(ISNUMBER($O758))),1,"")</f>
        <v/>
      </c>
    </row>
    <row r="759" ht="18" customHeight="1">
      <c r="A759" s="26" t="n"/>
      <c r="B759" s="18" t="n"/>
      <c r="C759" s="18" t="n"/>
      <c r="D759" s="20">
        <f>IF($P759="","",IFERROR(INDEX('得意先'!$C$5:$C$104,MATCH($P759,'得意先'!$B$5:$B$104,0))&amp;"","※得意先にないコード"))</f>
        <v/>
      </c>
      <c r="E759" s="27" t="n"/>
      <c r="F759" s="18" t="n"/>
      <c r="G759" s="27" t="n"/>
      <c r="H759" s="27" t="n"/>
      <c r="I759" s="27" t="n"/>
      <c r="J759" s="28">
        <f>IF(NOT(OR($A759&lt;&gt;"",$E759&lt;&gt;"",$F759&lt;&gt;"",$G759&lt;&gt;"",$H759&lt;&gt;"",$I759&lt;&gt;"")),"",N($G759)+N($H759)+N($I759))</f>
        <v/>
      </c>
      <c r="K759" s="28">
        <f>IF(ISNUMBER($O759),INDEX('請求台帳'!$R$5:$R$1004,$O759),"")</f>
        <v/>
      </c>
      <c r="L759" s="20">
        <f>IF(NOT(OR($A759&lt;&gt;"",$E759&lt;&gt;"",$F759&lt;&gt;"",$G759&lt;&gt;"",$H759&lt;&gt;"",$I759&lt;&gt;"")),"",IF(NOT(ISNUMBER($A759)),"入金日がありません",IF(AND($F759&lt;&gt;"",$O759="なし"),"請求Noが請求台帳にありません",IF(AND(ISNUMBER($O759),$C759&lt;&gt;"",$C759&lt;&gt;$P759),"請求の得意先は "&amp;$P759&amp;" です",IF(ROUND(IF($B759&lt;&gt;"",SUMIF($B$5:$B$1004,$B759,$E$5:$E$1004)-SUMIF($B$5:$B$1004,$B759,$G$5:$G$1004),N($E759)-N($G759)),0)&lt;&gt;0,"通帳の額と当てた額の差 "&amp;TEXT(IF($B759&lt;&gt;"",SUMIF($B$5:$B$1004,$B759,$E$5:$E$1004)-SUMIF($B$5:$B$1004,$B759,$G$5:$G$1004),N($E759)-N($G759)),"#,##0"),IF(AND(ISNUMBER($O759),N($K759)&lt;0),"請求額より多く消し込んでいます",IF($F759="","消込先が未定","OK")))))))</f>
        <v/>
      </c>
      <c r="M759" s="19" t="n"/>
      <c r="N759" s="56" t="n"/>
      <c r="O759" s="32">
        <f>IF($F759="","",IFERROR(MATCH($F759,'請求台帳'!$A$5:$A$1004,0),"なし"))</f>
        <v/>
      </c>
      <c r="P759" s="37">
        <f>IF(NOT(OR($A759&lt;&gt;"",$E759&lt;&gt;"",$F759&lt;&gt;"",$G759&lt;&gt;"",$H759&lt;&gt;"",$I759&lt;&gt;"")),"",IF(ISNUMBER($O759),IF(INDEX('請求台帳'!$C$5:$C$1004,$O759)="","",INDEX('請求台帳'!$C$5:$C$1004,$O759)),IF($C759="","",$C759)))</f>
        <v/>
      </c>
      <c r="Q759" s="35">
        <f>IF(OR(NOT(OR($A759&lt;&gt;"",$E759&lt;&gt;"",$F759&lt;&gt;"",$G759&lt;&gt;"",$H759&lt;&gt;"",$I759&lt;&gt;"")),$P759="",$P759&lt;&gt;'売掛帳'!$B$3,NOT(ISNUMBER($A759)),N($G759)+N($H759)+N($I759)=0),"",IF(AND($A759&gt;='売掛帳'!$Q$3,$A759&lt;='売掛帳'!$Q$4),$A759+0.5+ROW()/10000000,""))</f>
        <v/>
      </c>
      <c r="R759" s="32">
        <f>IF(AND(OR($A759&lt;&gt;"",$E759&lt;&gt;"",$F759&lt;&gt;"",$G759&lt;&gt;"",$H759&lt;&gt;"",$I759&lt;&gt;""),NOT(ISNUMBER($O759))),1,"")</f>
        <v/>
      </c>
    </row>
    <row r="760" ht="18" customHeight="1">
      <c r="A760" s="26" t="n"/>
      <c r="B760" s="18" t="n"/>
      <c r="C760" s="18" t="n"/>
      <c r="D760" s="20">
        <f>IF($P760="","",IFERROR(INDEX('得意先'!$C$5:$C$104,MATCH($P760,'得意先'!$B$5:$B$104,0))&amp;"","※得意先にないコード"))</f>
        <v/>
      </c>
      <c r="E760" s="27" t="n"/>
      <c r="F760" s="18" t="n"/>
      <c r="G760" s="27" t="n"/>
      <c r="H760" s="27" t="n"/>
      <c r="I760" s="27" t="n"/>
      <c r="J760" s="28">
        <f>IF(NOT(OR($A760&lt;&gt;"",$E760&lt;&gt;"",$F760&lt;&gt;"",$G760&lt;&gt;"",$H760&lt;&gt;"",$I760&lt;&gt;"")),"",N($G760)+N($H760)+N($I760))</f>
        <v/>
      </c>
      <c r="K760" s="28">
        <f>IF(ISNUMBER($O760),INDEX('請求台帳'!$R$5:$R$1004,$O760),"")</f>
        <v/>
      </c>
      <c r="L760" s="20">
        <f>IF(NOT(OR($A760&lt;&gt;"",$E760&lt;&gt;"",$F760&lt;&gt;"",$G760&lt;&gt;"",$H760&lt;&gt;"",$I760&lt;&gt;"")),"",IF(NOT(ISNUMBER($A760)),"入金日がありません",IF(AND($F760&lt;&gt;"",$O760="なし"),"請求Noが請求台帳にありません",IF(AND(ISNUMBER($O760),$C760&lt;&gt;"",$C760&lt;&gt;$P760),"請求の得意先は "&amp;$P760&amp;" です",IF(ROUND(IF($B760&lt;&gt;"",SUMIF($B$5:$B$1004,$B760,$E$5:$E$1004)-SUMIF($B$5:$B$1004,$B760,$G$5:$G$1004),N($E760)-N($G760)),0)&lt;&gt;0,"通帳の額と当てた額の差 "&amp;TEXT(IF($B760&lt;&gt;"",SUMIF($B$5:$B$1004,$B760,$E$5:$E$1004)-SUMIF($B$5:$B$1004,$B760,$G$5:$G$1004),N($E760)-N($G760)),"#,##0"),IF(AND(ISNUMBER($O760),N($K760)&lt;0),"請求額より多く消し込んでいます",IF($F760="","消込先が未定","OK")))))))</f>
        <v/>
      </c>
      <c r="M760" s="19" t="n"/>
      <c r="N760" s="56" t="n"/>
      <c r="O760" s="32">
        <f>IF($F760="","",IFERROR(MATCH($F760,'請求台帳'!$A$5:$A$1004,0),"なし"))</f>
        <v/>
      </c>
      <c r="P760" s="37">
        <f>IF(NOT(OR($A760&lt;&gt;"",$E760&lt;&gt;"",$F760&lt;&gt;"",$G760&lt;&gt;"",$H760&lt;&gt;"",$I760&lt;&gt;"")),"",IF(ISNUMBER($O760),IF(INDEX('請求台帳'!$C$5:$C$1004,$O760)="","",INDEX('請求台帳'!$C$5:$C$1004,$O760)),IF($C760="","",$C760)))</f>
        <v/>
      </c>
      <c r="Q760" s="35">
        <f>IF(OR(NOT(OR($A760&lt;&gt;"",$E760&lt;&gt;"",$F760&lt;&gt;"",$G760&lt;&gt;"",$H760&lt;&gt;"",$I760&lt;&gt;"")),$P760="",$P760&lt;&gt;'売掛帳'!$B$3,NOT(ISNUMBER($A760)),N($G760)+N($H760)+N($I760)=0),"",IF(AND($A760&gt;='売掛帳'!$Q$3,$A760&lt;='売掛帳'!$Q$4),$A760+0.5+ROW()/10000000,""))</f>
        <v/>
      </c>
      <c r="R760" s="32">
        <f>IF(AND(OR($A760&lt;&gt;"",$E760&lt;&gt;"",$F760&lt;&gt;"",$G760&lt;&gt;"",$H760&lt;&gt;"",$I760&lt;&gt;""),NOT(ISNUMBER($O760))),1,"")</f>
        <v/>
      </c>
    </row>
    <row r="761" ht="18" customHeight="1">
      <c r="A761" s="26" t="n"/>
      <c r="B761" s="18" t="n"/>
      <c r="C761" s="18" t="n"/>
      <c r="D761" s="20">
        <f>IF($P761="","",IFERROR(INDEX('得意先'!$C$5:$C$104,MATCH($P761,'得意先'!$B$5:$B$104,0))&amp;"","※得意先にないコード"))</f>
        <v/>
      </c>
      <c r="E761" s="27" t="n"/>
      <c r="F761" s="18" t="n"/>
      <c r="G761" s="27" t="n"/>
      <c r="H761" s="27" t="n"/>
      <c r="I761" s="27" t="n"/>
      <c r="J761" s="28">
        <f>IF(NOT(OR($A761&lt;&gt;"",$E761&lt;&gt;"",$F761&lt;&gt;"",$G761&lt;&gt;"",$H761&lt;&gt;"",$I761&lt;&gt;"")),"",N($G761)+N($H761)+N($I761))</f>
        <v/>
      </c>
      <c r="K761" s="28">
        <f>IF(ISNUMBER($O761),INDEX('請求台帳'!$R$5:$R$1004,$O761),"")</f>
        <v/>
      </c>
      <c r="L761" s="20">
        <f>IF(NOT(OR($A761&lt;&gt;"",$E761&lt;&gt;"",$F761&lt;&gt;"",$G761&lt;&gt;"",$H761&lt;&gt;"",$I761&lt;&gt;"")),"",IF(NOT(ISNUMBER($A761)),"入金日がありません",IF(AND($F761&lt;&gt;"",$O761="なし"),"請求Noが請求台帳にありません",IF(AND(ISNUMBER($O761),$C761&lt;&gt;"",$C761&lt;&gt;$P761),"請求の得意先は "&amp;$P761&amp;" です",IF(ROUND(IF($B761&lt;&gt;"",SUMIF($B$5:$B$1004,$B761,$E$5:$E$1004)-SUMIF($B$5:$B$1004,$B761,$G$5:$G$1004),N($E761)-N($G761)),0)&lt;&gt;0,"通帳の額と当てた額の差 "&amp;TEXT(IF($B761&lt;&gt;"",SUMIF($B$5:$B$1004,$B761,$E$5:$E$1004)-SUMIF($B$5:$B$1004,$B761,$G$5:$G$1004),N($E761)-N($G761)),"#,##0"),IF(AND(ISNUMBER($O761),N($K761)&lt;0),"請求額より多く消し込んでいます",IF($F761="","消込先が未定","OK")))))))</f>
        <v/>
      </c>
      <c r="M761" s="19" t="n"/>
      <c r="N761" s="56" t="n"/>
      <c r="O761" s="32">
        <f>IF($F761="","",IFERROR(MATCH($F761,'請求台帳'!$A$5:$A$1004,0),"なし"))</f>
        <v/>
      </c>
      <c r="P761" s="37">
        <f>IF(NOT(OR($A761&lt;&gt;"",$E761&lt;&gt;"",$F761&lt;&gt;"",$G761&lt;&gt;"",$H761&lt;&gt;"",$I761&lt;&gt;"")),"",IF(ISNUMBER($O761),IF(INDEX('請求台帳'!$C$5:$C$1004,$O761)="","",INDEX('請求台帳'!$C$5:$C$1004,$O761)),IF($C761="","",$C761)))</f>
        <v/>
      </c>
      <c r="Q761" s="35">
        <f>IF(OR(NOT(OR($A761&lt;&gt;"",$E761&lt;&gt;"",$F761&lt;&gt;"",$G761&lt;&gt;"",$H761&lt;&gt;"",$I761&lt;&gt;"")),$P761="",$P761&lt;&gt;'売掛帳'!$B$3,NOT(ISNUMBER($A761)),N($G761)+N($H761)+N($I761)=0),"",IF(AND($A761&gt;='売掛帳'!$Q$3,$A761&lt;='売掛帳'!$Q$4),$A761+0.5+ROW()/10000000,""))</f>
        <v/>
      </c>
      <c r="R761" s="32">
        <f>IF(AND(OR($A761&lt;&gt;"",$E761&lt;&gt;"",$F761&lt;&gt;"",$G761&lt;&gt;"",$H761&lt;&gt;"",$I761&lt;&gt;""),NOT(ISNUMBER($O761))),1,"")</f>
        <v/>
      </c>
    </row>
    <row r="762" ht="18" customHeight="1">
      <c r="A762" s="26" t="n"/>
      <c r="B762" s="18" t="n"/>
      <c r="C762" s="18" t="n"/>
      <c r="D762" s="20">
        <f>IF($P762="","",IFERROR(INDEX('得意先'!$C$5:$C$104,MATCH($P762,'得意先'!$B$5:$B$104,0))&amp;"","※得意先にないコード"))</f>
        <v/>
      </c>
      <c r="E762" s="27" t="n"/>
      <c r="F762" s="18" t="n"/>
      <c r="G762" s="27" t="n"/>
      <c r="H762" s="27" t="n"/>
      <c r="I762" s="27" t="n"/>
      <c r="J762" s="28">
        <f>IF(NOT(OR($A762&lt;&gt;"",$E762&lt;&gt;"",$F762&lt;&gt;"",$G762&lt;&gt;"",$H762&lt;&gt;"",$I762&lt;&gt;"")),"",N($G762)+N($H762)+N($I762))</f>
        <v/>
      </c>
      <c r="K762" s="28">
        <f>IF(ISNUMBER($O762),INDEX('請求台帳'!$R$5:$R$1004,$O762),"")</f>
        <v/>
      </c>
      <c r="L762" s="20">
        <f>IF(NOT(OR($A762&lt;&gt;"",$E762&lt;&gt;"",$F762&lt;&gt;"",$G762&lt;&gt;"",$H762&lt;&gt;"",$I762&lt;&gt;"")),"",IF(NOT(ISNUMBER($A762)),"入金日がありません",IF(AND($F762&lt;&gt;"",$O762="なし"),"請求Noが請求台帳にありません",IF(AND(ISNUMBER($O762),$C762&lt;&gt;"",$C762&lt;&gt;$P762),"請求の得意先は "&amp;$P762&amp;" です",IF(ROUND(IF($B762&lt;&gt;"",SUMIF($B$5:$B$1004,$B762,$E$5:$E$1004)-SUMIF($B$5:$B$1004,$B762,$G$5:$G$1004),N($E762)-N($G762)),0)&lt;&gt;0,"通帳の額と当てた額の差 "&amp;TEXT(IF($B762&lt;&gt;"",SUMIF($B$5:$B$1004,$B762,$E$5:$E$1004)-SUMIF($B$5:$B$1004,$B762,$G$5:$G$1004),N($E762)-N($G762)),"#,##0"),IF(AND(ISNUMBER($O762),N($K762)&lt;0),"請求額より多く消し込んでいます",IF($F762="","消込先が未定","OK")))))))</f>
        <v/>
      </c>
      <c r="M762" s="19" t="n"/>
      <c r="N762" s="56" t="n"/>
      <c r="O762" s="32">
        <f>IF($F762="","",IFERROR(MATCH($F762,'請求台帳'!$A$5:$A$1004,0),"なし"))</f>
        <v/>
      </c>
      <c r="P762" s="37">
        <f>IF(NOT(OR($A762&lt;&gt;"",$E762&lt;&gt;"",$F762&lt;&gt;"",$G762&lt;&gt;"",$H762&lt;&gt;"",$I762&lt;&gt;"")),"",IF(ISNUMBER($O762),IF(INDEX('請求台帳'!$C$5:$C$1004,$O762)="","",INDEX('請求台帳'!$C$5:$C$1004,$O762)),IF($C762="","",$C762)))</f>
        <v/>
      </c>
      <c r="Q762" s="35">
        <f>IF(OR(NOT(OR($A762&lt;&gt;"",$E762&lt;&gt;"",$F762&lt;&gt;"",$G762&lt;&gt;"",$H762&lt;&gt;"",$I762&lt;&gt;"")),$P762="",$P762&lt;&gt;'売掛帳'!$B$3,NOT(ISNUMBER($A762)),N($G762)+N($H762)+N($I762)=0),"",IF(AND($A762&gt;='売掛帳'!$Q$3,$A762&lt;='売掛帳'!$Q$4),$A762+0.5+ROW()/10000000,""))</f>
        <v/>
      </c>
      <c r="R762" s="32">
        <f>IF(AND(OR($A762&lt;&gt;"",$E762&lt;&gt;"",$F762&lt;&gt;"",$G762&lt;&gt;"",$H762&lt;&gt;"",$I762&lt;&gt;""),NOT(ISNUMBER($O762))),1,"")</f>
        <v/>
      </c>
    </row>
    <row r="763" ht="18" customHeight="1">
      <c r="A763" s="26" t="n"/>
      <c r="B763" s="18" t="n"/>
      <c r="C763" s="18" t="n"/>
      <c r="D763" s="20">
        <f>IF($P763="","",IFERROR(INDEX('得意先'!$C$5:$C$104,MATCH($P763,'得意先'!$B$5:$B$104,0))&amp;"","※得意先にないコード"))</f>
        <v/>
      </c>
      <c r="E763" s="27" t="n"/>
      <c r="F763" s="18" t="n"/>
      <c r="G763" s="27" t="n"/>
      <c r="H763" s="27" t="n"/>
      <c r="I763" s="27" t="n"/>
      <c r="J763" s="28">
        <f>IF(NOT(OR($A763&lt;&gt;"",$E763&lt;&gt;"",$F763&lt;&gt;"",$G763&lt;&gt;"",$H763&lt;&gt;"",$I763&lt;&gt;"")),"",N($G763)+N($H763)+N($I763))</f>
        <v/>
      </c>
      <c r="K763" s="28">
        <f>IF(ISNUMBER($O763),INDEX('請求台帳'!$R$5:$R$1004,$O763),"")</f>
        <v/>
      </c>
      <c r="L763" s="20">
        <f>IF(NOT(OR($A763&lt;&gt;"",$E763&lt;&gt;"",$F763&lt;&gt;"",$G763&lt;&gt;"",$H763&lt;&gt;"",$I763&lt;&gt;"")),"",IF(NOT(ISNUMBER($A763)),"入金日がありません",IF(AND($F763&lt;&gt;"",$O763="なし"),"請求Noが請求台帳にありません",IF(AND(ISNUMBER($O763),$C763&lt;&gt;"",$C763&lt;&gt;$P763),"請求の得意先は "&amp;$P763&amp;" です",IF(ROUND(IF($B763&lt;&gt;"",SUMIF($B$5:$B$1004,$B763,$E$5:$E$1004)-SUMIF($B$5:$B$1004,$B763,$G$5:$G$1004),N($E763)-N($G763)),0)&lt;&gt;0,"通帳の額と当てた額の差 "&amp;TEXT(IF($B763&lt;&gt;"",SUMIF($B$5:$B$1004,$B763,$E$5:$E$1004)-SUMIF($B$5:$B$1004,$B763,$G$5:$G$1004),N($E763)-N($G763)),"#,##0"),IF(AND(ISNUMBER($O763),N($K763)&lt;0),"請求額より多く消し込んでいます",IF($F763="","消込先が未定","OK")))))))</f>
        <v/>
      </c>
      <c r="M763" s="19" t="n"/>
      <c r="N763" s="56" t="n"/>
      <c r="O763" s="32">
        <f>IF($F763="","",IFERROR(MATCH($F763,'請求台帳'!$A$5:$A$1004,0),"なし"))</f>
        <v/>
      </c>
      <c r="P763" s="37">
        <f>IF(NOT(OR($A763&lt;&gt;"",$E763&lt;&gt;"",$F763&lt;&gt;"",$G763&lt;&gt;"",$H763&lt;&gt;"",$I763&lt;&gt;"")),"",IF(ISNUMBER($O763),IF(INDEX('請求台帳'!$C$5:$C$1004,$O763)="","",INDEX('請求台帳'!$C$5:$C$1004,$O763)),IF($C763="","",$C763)))</f>
        <v/>
      </c>
      <c r="Q763" s="35">
        <f>IF(OR(NOT(OR($A763&lt;&gt;"",$E763&lt;&gt;"",$F763&lt;&gt;"",$G763&lt;&gt;"",$H763&lt;&gt;"",$I763&lt;&gt;"")),$P763="",$P763&lt;&gt;'売掛帳'!$B$3,NOT(ISNUMBER($A763)),N($G763)+N($H763)+N($I763)=0),"",IF(AND($A763&gt;='売掛帳'!$Q$3,$A763&lt;='売掛帳'!$Q$4),$A763+0.5+ROW()/10000000,""))</f>
        <v/>
      </c>
      <c r="R763" s="32">
        <f>IF(AND(OR($A763&lt;&gt;"",$E763&lt;&gt;"",$F763&lt;&gt;"",$G763&lt;&gt;"",$H763&lt;&gt;"",$I763&lt;&gt;""),NOT(ISNUMBER($O763))),1,"")</f>
        <v/>
      </c>
    </row>
    <row r="764" ht="18" customHeight="1">
      <c r="A764" s="26" t="n"/>
      <c r="B764" s="18" t="n"/>
      <c r="C764" s="18" t="n"/>
      <c r="D764" s="20">
        <f>IF($P764="","",IFERROR(INDEX('得意先'!$C$5:$C$104,MATCH($P764,'得意先'!$B$5:$B$104,0))&amp;"","※得意先にないコード"))</f>
        <v/>
      </c>
      <c r="E764" s="27" t="n"/>
      <c r="F764" s="18" t="n"/>
      <c r="G764" s="27" t="n"/>
      <c r="H764" s="27" t="n"/>
      <c r="I764" s="27" t="n"/>
      <c r="J764" s="28">
        <f>IF(NOT(OR($A764&lt;&gt;"",$E764&lt;&gt;"",$F764&lt;&gt;"",$G764&lt;&gt;"",$H764&lt;&gt;"",$I764&lt;&gt;"")),"",N($G764)+N($H764)+N($I764))</f>
        <v/>
      </c>
      <c r="K764" s="28">
        <f>IF(ISNUMBER($O764),INDEX('請求台帳'!$R$5:$R$1004,$O764),"")</f>
        <v/>
      </c>
      <c r="L764" s="20">
        <f>IF(NOT(OR($A764&lt;&gt;"",$E764&lt;&gt;"",$F764&lt;&gt;"",$G764&lt;&gt;"",$H764&lt;&gt;"",$I764&lt;&gt;"")),"",IF(NOT(ISNUMBER($A764)),"入金日がありません",IF(AND($F764&lt;&gt;"",$O764="なし"),"請求Noが請求台帳にありません",IF(AND(ISNUMBER($O764),$C764&lt;&gt;"",$C764&lt;&gt;$P764),"請求の得意先は "&amp;$P764&amp;" です",IF(ROUND(IF($B764&lt;&gt;"",SUMIF($B$5:$B$1004,$B764,$E$5:$E$1004)-SUMIF($B$5:$B$1004,$B764,$G$5:$G$1004),N($E764)-N($G764)),0)&lt;&gt;0,"通帳の額と当てた額の差 "&amp;TEXT(IF($B764&lt;&gt;"",SUMIF($B$5:$B$1004,$B764,$E$5:$E$1004)-SUMIF($B$5:$B$1004,$B764,$G$5:$G$1004),N($E764)-N($G764)),"#,##0"),IF(AND(ISNUMBER($O764),N($K764)&lt;0),"請求額より多く消し込んでいます",IF($F764="","消込先が未定","OK")))))))</f>
        <v/>
      </c>
      <c r="M764" s="19" t="n"/>
      <c r="N764" s="56" t="n"/>
      <c r="O764" s="32">
        <f>IF($F764="","",IFERROR(MATCH($F764,'請求台帳'!$A$5:$A$1004,0),"なし"))</f>
        <v/>
      </c>
      <c r="P764" s="37">
        <f>IF(NOT(OR($A764&lt;&gt;"",$E764&lt;&gt;"",$F764&lt;&gt;"",$G764&lt;&gt;"",$H764&lt;&gt;"",$I764&lt;&gt;"")),"",IF(ISNUMBER($O764),IF(INDEX('請求台帳'!$C$5:$C$1004,$O764)="","",INDEX('請求台帳'!$C$5:$C$1004,$O764)),IF($C764="","",$C764)))</f>
        <v/>
      </c>
      <c r="Q764" s="35">
        <f>IF(OR(NOT(OR($A764&lt;&gt;"",$E764&lt;&gt;"",$F764&lt;&gt;"",$G764&lt;&gt;"",$H764&lt;&gt;"",$I764&lt;&gt;"")),$P764="",$P764&lt;&gt;'売掛帳'!$B$3,NOT(ISNUMBER($A764)),N($G764)+N($H764)+N($I764)=0),"",IF(AND($A764&gt;='売掛帳'!$Q$3,$A764&lt;='売掛帳'!$Q$4),$A764+0.5+ROW()/10000000,""))</f>
        <v/>
      </c>
      <c r="R764" s="32">
        <f>IF(AND(OR($A764&lt;&gt;"",$E764&lt;&gt;"",$F764&lt;&gt;"",$G764&lt;&gt;"",$H764&lt;&gt;"",$I764&lt;&gt;""),NOT(ISNUMBER($O764))),1,"")</f>
        <v/>
      </c>
    </row>
    <row r="765" ht="18" customHeight="1">
      <c r="A765" s="26" t="n"/>
      <c r="B765" s="18" t="n"/>
      <c r="C765" s="18" t="n"/>
      <c r="D765" s="20">
        <f>IF($P765="","",IFERROR(INDEX('得意先'!$C$5:$C$104,MATCH($P765,'得意先'!$B$5:$B$104,0))&amp;"","※得意先にないコード"))</f>
        <v/>
      </c>
      <c r="E765" s="27" t="n"/>
      <c r="F765" s="18" t="n"/>
      <c r="G765" s="27" t="n"/>
      <c r="H765" s="27" t="n"/>
      <c r="I765" s="27" t="n"/>
      <c r="J765" s="28">
        <f>IF(NOT(OR($A765&lt;&gt;"",$E765&lt;&gt;"",$F765&lt;&gt;"",$G765&lt;&gt;"",$H765&lt;&gt;"",$I765&lt;&gt;"")),"",N($G765)+N($H765)+N($I765))</f>
        <v/>
      </c>
      <c r="K765" s="28">
        <f>IF(ISNUMBER($O765),INDEX('請求台帳'!$R$5:$R$1004,$O765),"")</f>
        <v/>
      </c>
      <c r="L765" s="20">
        <f>IF(NOT(OR($A765&lt;&gt;"",$E765&lt;&gt;"",$F765&lt;&gt;"",$G765&lt;&gt;"",$H765&lt;&gt;"",$I765&lt;&gt;"")),"",IF(NOT(ISNUMBER($A765)),"入金日がありません",IF(AND($F765&lt;&gt;"",$O765="なし"),"請求Noが請求台帳にありません",IF(AND(ISNUMBER($O765),$C765&lt;&gt;"",$C765&lt;&gt;$P765),"請求の得意先は "&amp;$P765&amp;" です",IF(ROUND(IF($B765&lt;&gt;"",SUMIF($B$5:$B$1004,$B765,$E$5:$E$1004)-SUMIF($B$5:$B$1004,$B765,$G$5:$G$1004),N($E765)-N($G765)),0)&lt;&gt;0,"通帳の額と当てた額の差 "&amp;TEXT(IF($B765&lt;&gt;"",SUMIF($B$5:$B$1004,$B765,$E$5:$E$1004)-SUMIF($B$5:$B$1004,$B765,$G$5:$G$1004),N($E765)-N($G765)),"#,##0"),IF(AND(ISNUMBER($O765),N($K765)&lt;0),"請求額より多く消し込んでいます",IF($F765="","消込先が未定","OK")))))))</f>
        <v/>
      </c>
      <c r="M765" s="19" t="n"/>
      <c r="N765" s="56" t="n"/>
      <c r="O765" s="32">
        <f>IF($F765="","",IFERROR(MATCH($F765,'請求台帳'!$A$5:$A$1004,0),"なし"))</f>
        <v/>
      </c>
      <c r="P765" s="37">
        <f>IF(NOT(OR($A765&lt;&gt;"",$E765&lt;&gt;"",$F765&lt;&gt;"",$G765&lt;&gt;"",$H765&lt;&gt;"",$I765&lt;&gt;"")),"",IF(ISNUMBER($O765),IF(INDEX('請求台帳'!$C$5:$C$1004,$O765)="","",INDEX('請求台帳'!$C$5:$C$1004,$O765)),IF($C765="","",$C765)))</f>
        <v/>
      </c>
      <c r="Q765" s="35">
        <f>IF(OR(NOT(OR($A765&lt;&gt;"",$E765&lt;&gt;"",$F765&lt;&gt;"",$G765&lt;&gt;"",$H765&lt;&gt;"",$I765&lt;&gt;"")),$P765="",$P765&lt;&gt;'売掛帳'!$B$3,NOT(ISNUMBER($A765)),N($G765)+N($H765)+N($I765)=0),"",IF(AND($A765&gt;='売掛帳'!$Q$3,$A765&lt;='売掛帳'!$Q$4),$A765+0.5+ROW()/10000000,""))</f>
        <v/>
      </c>
      <c r="R765" s="32">
        <f>IF(AND(OR($A765&lt;&gt;"",$E765&lt;&gt;"",$F765&lt;&gt;"",$G765&lt;&gt;"",$H765&lt;&gt;"",$I765&lt;&gt;""),NOT(ISNUMBER($O765))),1,"")</f>
        <v/>
      </c>
    </row>
    <row r="766" ht="18" customHeight="1">
      <c r="A766" s="26" t="n"/>
      <c r="B766" s="18" t="n"/>
      <c r="C766" s="18" t="n"/>
      <c r="D766" s="20">
        <f>IF($P766="","",IFERROR(INDEX('得意先'!$C$5:$C$104,MATCH($P766,'得意先'!$B$5:$B$104,0))&amp;"","※得意先にないコード"))</f>
        <v/>
      </c>
      <c r="E766" s="27" t="n"/>
      <c r="F766" s="18" t="n"/>
      <c r="G766" s="27" t="n"/>
      <c r="H766" s="27" t="n"/>
      <c r="I766" s="27" t="n"/>
      <c r="J766" s="28">
        <f>IF(NOT(OR($A766&lt;&gt;"",$E766&lt;&gt;"",$F766&lt;&gt;"",$G766&lt;&gt;"",$H766&lt;&gt;"",$I766&lt;&gt;"")),"",N($G766)+N($H766)+N($I766))</f>
        <v/>
      </c>
      <c r="K766" s="28">
        <f>IF(ISNUMBER($O766),INDEX('請求台帳'!$R$5:$R$1004,$O766),"")</f>
        <v/>
      </c>
      <c r="L766" s="20">
        <f>IF(NOT(OR($A766&lt;&gt;"",$E766&lt;&gt;"",$F766&lt;&gt;"",$G766&lt;&gt;"",$H766&lt;&gt;"",$I766&lt;&gt;"")),"",IF(NOT(ISNUMBER($A766)),"入金日がありません",IF(AND($F766&lt;&gt;"",$O766="なし"),"請求Noが請求台帳にありません",IF(AND(ISNUMBER($O766),$C766&lt;&gt;"",$C766&lt;&gt;$P766),"請求の得意先は "&amp;$P766&amp;" です",IF(ROUND(IF($B766&lt;&gt;"",SUMIF($B$5:$B$1004,$B766,$E$5:$E$1004)-SUMIF($B$5:$B$1004,$B766,$G$5:$G$1004),N($E766)-N($G766)),0)&lt;&gt;0,"通帳の額と当てた額の差 "&amp;TEXT(IF($B766&lt;&gt;"",SUMIF($B$5:$B$1004,$B766,$E$5:$E$1004)-SUMIF($B$5:$B$1004,$B766,$G$5:$G$1004),N($E766)-N($G766)),"#,##0"),IF(AND(ISNUMBER($O766),N($K766)&lt;0),"請求額より多く消し込んでいます",IF($F766="","消込先が未定","OK")))))))</f>
        <v/>
      </c>
      <c r="M766" s="19" t="n"/>
      <c r="N766" s="56" t="n"/>
      <c r="O766" s="32">
        <f>IF($F766="","",IFERROR(MATCH($F766,'請求台帳'!$A$5:$A$1004,0),"なし"))</f>
        <v/>
      </c>
      <c r="P766" s="37">
        <f>IF(NOT(OR($A766&lt;&gt;"",$E766&lt;&gt;"",$F766&lt;&gt;"",$G766&lt;&gt;"",$H766&lt;&gt;"",$I766&lt;&gt;"")),"",IF(ISNUMBER($O766),IF(INDEX('請求台帳'!$C$5:$C$1004,$O766)="","",INDEX('請求台帳'!$C$5:$C$1004,$O766)),IF($C766="","",$C766)))</f>
        <v/>
      </c>
      <c r="Q766" s="35">
        <f>IF(OR(NOT(OR($A766&lt;&gt;"",$E766&lt;&gt;"",$F766&lt;&gt;"",$G766&lt;&gt;"",$H766&lt;&gt;"",$I766&lt;&gt;"")),$P766="",$P766&lt;&gt;'売掛帳'!$B$3,NOT(ISNUMBER($A766)),N($G766)+N($H766)+N($I766)=0),"",IF(AND($A766&gt;='売掛帳'!$Q$3,$A766&lt;='売掛帳'!$Q$4),$A766+0.5+ROW()/10000000,""))</f>
        <v/>
      </c>
      <c r="R766" s="32">
        <f>IF(AND(OR($A766&lt;&gt;"",$E766&lt;&gt;"",$F766&lt;&gt;"",$G766&lt;&gt;"",$H766&lt;&gt;"",$I766&lt;&gt;""),NOT(ISNUMBER($O766))),1,"")</f>
        <v/>
      </c>
    </row>
    <row r="767" ht="18" customHeight="1">
      <c r="A767" s="26" t="n"/>
      <c r="B767" s="18" t="n"/>
      <c r="C767" s="18" t="n"/>
      <c r="D767" s="20">
        <f>IF($P767="","",IFERROR(INDEX('得意先'!$C$5:$C$104,MATCH($P767,'得意先'!$B$5:$B$104,0))&amp;"","※得意先にないコード"))</f>
        <v/>
      </c>
      <c r="E767" s="27" t="n"/>
      <c r="F767" s="18" t="n"/>
      <c r="G767" s="27" t="n"/>
      <c r="H767" s="27" t="n"/>
      <c r="I767" s="27" t="n"/>
      <c r="J767" s="28">
        <f>IF(NOT(OR($A767&lt;&gt;"",$E767&lt;&gt;"",$F767&lt;&gt;"",$G767&lt;&gt;"",$H767&lt;&gt;"",$I767&lt;&gt;"")),"",N($G767)+N($H767)+N($I767))</f>
        <v/>
      </c>
      <c r="K767" s="28">
        <f>IF(ISNUMBER($O767),INDEX('請求台帳'!$R$5:$R$1004,$O767),"")</f>
        <v/>
      </c>
      <c r="L767" s="20">
        <f>IF(NOT(OR($A767&lt;&gt;"",$E767&lt;&gt;"",$F767&lt;&gt;"",$G767&lt;&gt;"",$H767&lt;&gt;"",$I767&lt;&gt;"")),"",IF(NOT(ISNUMBER($A767)),"入金日がありません",IF(AND($F767&lt;&gt;"",$O767="なし"),"請求Noが請求台帳にありません",IF(AND(ISNUMBER($O767),$C767&lt;&gt;"",$C767&lt;&gt;$P767),"請求の得意先は "&amp;$P767&amp;" です",IF(ROUND(IF($B767&lt;&gt;"",SUMIF($B$5:$B$1004,$B767,$E$5:$E$1004)-SUMIF($B$5:$B$1004,$B767,$G$5:$G$1004),N($E767)-N($G767)),0)&lt;&gt;0,"通帳の額と当てた額の差 "&amp;TEXT(IF($B767&lt;&gt;"",SUMIF($B$5:$B$1004,$B767,$E$5:$E$1004)-SUMIF($B$5:$B$1004,$B767,$G$5:$G$1004),N($E767)-N($G767)),"#,##0"),IF(AND(ISNUMBER($O767),N($K767)&lt;0),"請求額より多く消し込んでいます",IF($F767="","消込先が未定","OK")))))))</f>
        <v/>
      </c>
      <c r="M767" s="19" t="n"/>
      <c r="N767" s="56" t="n"/>
      <c r="O767" s="32">
        <f>IF($F767="","",IFERROR(MATCH($F767,'請求台帳'!$A$5:$A$1004,0),"なし"))</f>
        <v/>
      </c>
      <c r="P767" s="37">
        <f>IF(NOT(OR($A767&lt;&gt;"",$E767&lt;&gt;"",$F767&lt;&gt;"",$G767&lt;&gt;"",$H767&lt;&gt;"",$I767&lt;&gt;"")),"",IF(ISNUMBER($O767),IF(INDEX('請求台帳'!$C$5:$C$1004,$O767)="","",INDEX('請求台帳'!$C$5:$C$1004,$O767)),IF($C767="","",$C767)))</f>
        <v/>
      </c>
      <c r="Q767" s="35">
        <f>IF(OR(NOT(OR($A767&lt;&gt;"",$E767&lt;&gt;"",$F767&lt;&gt;"",$G767&lt;&gt;"",$H767&lt;&gt;"",$I767&lt;&gt;"")),$P767="",$P767&lt;&gt;'売掛帳'!$B$3,NOT(ISNUMBER($A767)),N($G767)+N($H767)+N($I767)=0),"",IF(AND($A767&gt;='売掛帳'!$Q$3,$A767&lt;='売掛帳'!$Q$4),$A767+0.5+ROW()/10000000,""))</f>
        <v/>
      </c>
      <c r="R767" s="32">
        <f>IF(AND(OR($A767&lt;&gt;"",$E767&lt;&gt;"",$F767&lt;&gt;"",$G767&lt;&gt;"",$H767&lt;&gt;"",$I767&lt;&gt;""),NOT(ISNUMBER($O767))),1,"")</f>
        <v/>
      </c>
    </row>
    <row r="768" ht="18" customHeight="1">
      <c r="A768" s="26" t="n"/>
      <c r="B768" s="18" t="n"/>
      <c r="C768" s="18" t="n"/>
      <c r="D768" s="20">
        <f>IF($P768="","",IFERROR(INDEX('得意先'!$C$5:$C$104,MATCH($P768,'得意先'!$B$5:$B$104,0))&amp;"","※得意先にないコード"))</f>
        <v/>
      </c>
      <c r="E768" s="27" t="n"/>
      <c r="F768" s="18" t="n"/>
      <c r="G768" s="27" t="n"/>
      <c r="H768" s="27" t="n"/>
      <c r="I768" s="27" t="n"/>
      <c r="J768" s="28">
        <f>IF(NOT(OR($A768&lt;&gt;"",$E768&lt;&gt;"",$F768&lt;&gt;"",$G768&lt;&gt;"",$H768&lt;&gt;"",$I768&lt;&gt;"")),"",N($G768)+N($H768)+N($I768))</f>
        <v/>
      </c>
      <c r="K768" s="28">
        <f>IF(ISNUMBER($O768),INDEX('請求台帳'!$R$5:$R$1004,$O768),"")</f>
        <v/>
      </c>
      <c r="L768" s="20">
        <f>IF(NOT(OR($A768&lt;&gt;"",$E768&lt;&gt;"",$F768&lt;&gt;"",$G768&lt;&gt;"",$H768&lt;&gt;"",$I768&lt;&gt;"")),"",IF(NOT(ISNUMBER($A768)),"入金日がありません",IF(AND($F768&lt;&gt;"",$O768="なし"),"請求Noが請求台帳にありません",IF(AND(ISNUMBER($O768),$C768&lt;&gt;"",$C768&lt;&gt;$P768),"請求の得意先は "&amp;$P768&amp;" です",IF(ROUND(IF($B768&lt;&gt;"",SUMIF($B$5:$B$1004,$B768,$E$5:$E$1004)-SUMIF($B$5:$B$1004,$B768,$G$5:$G$1004),N($E768)-N($G768)),0)&lt;&gt;0,"通帳の額と当てた額の差 "&amp;TEXT(IF($B768&lt;&gt;"",SUMIF($B$5:$B$1004,$B768,$E$5:$E$1004)-SUMIF($B$5:$B$1004,$B768,$G$5:$G$1004),N($E768)-N($G768)),"#,##0"),IF(AND(ISNUMBER($O768),N($K768)&lt;0),"請求額より多く消し込んでいます",IF($F768="","消込先が未定","OK")))))))</f>
        <v/>
      </c>
      <c r="M768" s="19" t="n"/>
      <c r="N768" s="56" t="n"/>
      <c r="O768" s="32">
        <f>IF($F768="","",IFERROR(MATCH($F768,'請求台帳'!$A$5:$A$1004,0),"なし"))</f>
        <v/>
      </c>
      <c r="P768" s="37">
        <f>IF(NOT(OR($A768&lt;&gt;"",$E768&lt;&gt;"",$F768&lt;&gt;"",$G768&lt;&gt;"",$H768&lt;&gt;"",$I768&lt;&gt;"")),"",IF(ISNUMBER($O768),IF(INDEX('請求台帳'!$C$5:$C$1004,$O768)="","",INDEX('請求台帳'!$C$5:$C$1004,$O768)),IF($C768="","",$C768)))</f>
        <v/>
      </c>
      <c r="Q768" s="35">
        <f>IF(OR(NOT(OR($A768&lt;&gt;"",$E768&lt;&gt;"",$F768&lt;&gt;"",$G768&lt;&gt;"",$H768&lt;&gt;"",$I768&lt;&gt;"")),$P768="",$P768&lt;&gt;'売掛帳'!$B$3,NOT(ISNUMBER($A768)),N($G768)+N($H768)+N($I768)=0),"",IF(AND($A768&gt;='売掛帳'!$Q$3,$A768&lt;='売掛帳'!$Q$4),$A768+0.5+ROW()/10000000,""))</f>
        <v/>
      </c>
      <c r="R768" s="32">
        <f>IF(AND(OR($A768&lt;&gt;"",$E768&lt;&gt;"",$F768&lt;&gt;"",$G768&lt;&gt;"",$H768&lt;&gt;"",$I768&lt;&gt;""),NOT(ISNUMBER($O768))),1,"")</f>
        <v/>
      </c>
    </row>
    <row r="769" ht="18" customHeight="1">
      <c r="A769" s="26" t="n"/>
      <c r="B769" s="18" t="n"/>
      <c r="C769" s="18" t="n"/>
      <c r="D769" s="20">
        <f>IF($P769="","",IFERROR(INDEX('得意先'!$C$5:$C$104,MATCH($P769,'得意先'!$B$5:$B$104,0))&amp;"","※得意先にないコード"))</f>
        <v/>
      </c>
      <c r="E769" s="27" t="n"/>
      <c r="F769" s="18" t="n"/>
      <c r="G769" s="27" t="n"/>
      <c r="H769" s="27" t="n"/>
      <c r="I769" s="27" t="n"/>
      <c r="J769" s="28">
        <f>IF(NOT(OR($A769&lt;&gt;"",$E769&lt;&gt;"",$F769&lt;&gt;"",$G769&lt;&gt;"",$H769&lt;&gt;"",$I769&lt;&gt;"")),"",N($G769)+N($H769)+N($I769))</f>
        <v/>
      </c>
      <c r="K769" s="28">
        <f>IF(ISNUMBER($O769),INDEX('請求台帳'!$R$5:$R$1004,$O769),"")</f>
        <v/>
      </c>
      <c r="L769" s="20">
        <f>IF(NOT(OR($A769&lt;&gt;"",$E769&lt;&gt;"",$F769&lt;&gt;"",$G769&lt;&gt;"",$H769&lt;&gt;"",$I769&lt;&gt;"")),"",IF(NOT(ISNUMBER($A769)),"入金日がありません",IF(AND($F769&lt;&gt;"",$O769="なし"),"請求Noが請求台帳にありません",IF(AND(ISNUMBER($O769),$C769&lt;&gt;"",$C769&lt;&gt;$P769),"請求の得意先は "&amp;$P769&amp;" です",IF(ROUND(IF($B769&lt;&gt;"",SUMIF($B$5:$B$1004,$B769,$E$5:$E$1004)-SUMIF($B$5:$B$1004,$B769,$G$5:$G$1004),N($E769)-N($G769)),0)&lt;&gt;0,"通帳の額と当てた額の差 "&amp;TEXT(IF($B769&lt;&gt;"",SUMIF($B$5:$B$1004,$B769,$E$5:$E$1004)-SUMIF($B$5:$B$1004,$B769,$G$5:$G$1004),N($E769)-N($G769)),"#,##0"),IF(AND(ISNUMBER($O769),N($K769)&lt;0),"請求額より多く消し込んでいます",IF($F769="","消込先が未定","OK")))))))</f>
        <v/>
      </c>
      <c r="M769" s="19" t="n"/>
      <c r="N769" s="56" t="n"/>
      <c r="O769" s="32">
        <f>IF($F769="","",IFERROR(MATCH($F769,'請求台帳'!$A$5:$A$1004,0),"なし"))</f>
        <v/>
      </c>
      <c r="P769" s="37">
        <f>IF(NOT(OR($A769&lt;&gt;"",$E769&lt;&gt;"",$F769&lt;&gt;"",$G769&lt;&gt;"",$H769&lt;&gt;"",$I769&lt;&gt;"")),"",IF(ISNUMBER($O769),IF(INDEX('請求台帳'!$C$5:$C$1004,$O769)="","",INDEX('請求台帳'!$C$5:$C$1004,$O769)),IF($C769="","",$C769)))</f>
        <v/>
      </c>
      <c r="Q769" s="35">
        <f>IF(OR(NOT(OR($A769&lt;&gt;"",$E769&lt;&gt;"",$F769&lt;&gt;"",$G769&lt;&gt;"",$H769&lt;&gt;"",$I769&lt;&gt;"")),$P769="",$P769&lt;&gt;'売掛帳'!$B$3,NOT(ISNUMBER($A769)),N($G769)+N($H769)+N($I769)=0),"",IF(AND($A769&gt;='売掛帳'!$Q$3,$A769&lt;='売掛帳'!$Q$4),$A769+0.5+ROW()/10000000,""))</f>
        <v/>
      </c>
      <c r="R769" s="32">
        <f>IF(AND(OR($A769&lt;&gt;"",$E769&lt;&gt;"",$F769&lt;&gt;"",$G769&lt;&gt;"",$H769&lt;&gt;"",$I769&lt;&gt;""),NOT(ISNUMBER($O769))),1,"")</f>
        <v/>
      </c>
    </row>
    <row r="770" ht="18" customHeight="1">
      <c r="A770" s="26" t="n"/>
      <c r="B770" s="18" t="n"/>
      <c r="C770" s="18" t="n"/>
      <c r="D770" s="20">
        <f>IF($P770="","",IFERROR(INDEX('得意先'!$C$5:$C$104,MATCH($P770,'得意先'!$B$5:$B$104,0))&amp;"","※得意先にないコード"))</f>
        <v/>
      </c>
      <c r="E770" s="27" t="n"/>
      <c r="F770" s="18" t="n"/>
      <c r="G770" s="27" t="n"/>
      <c r="H770" s="27" t="n"/>
      <c r="I770" s="27" t="n"/>
      <c r="J770" s="28">
        <f>IF(NOT(OR($A770&lt;&gt;"",$E770&lt;&gt;"",$F770&lt;&gt;"",$G770&lt;&gt;"",$H770&lt;&gt;"",$I770&lt;&gt;"")),"",N($G770)+N($H770)+N($I770))</f>
        <v/>
      </c>
      <c r="K770" s="28">
        <f>IF(ISNUMBER($O770),INDEX('請求台帳'!$R$5:$R$1004,$O770),"")</f>
        <v/>
      </c>
      <c r="L770" s="20">
        <f>IF(NOT(OR($A770&lt;&gt;"",$E770&lt;&gt;"",$F770&lt;&gt;"",$G770&lt;&gt;"",$H770&lt;&gt;"",$I770&lt;&gt;"")),"",IF(NOT(ISNUMBER($A770)),"入金日がありません",IF(AND($F770&lt;&gt;"",$O770="なし"),"請求Noが請求台帳にありません",IF(AND(ISNUMBER($O770),$C770&lt;&gt;"",$C770&lt;&gt;$P770),"請求の得意先は "&amp;$P770&amp;" です",IF(ROUND(IF($B770&lt;&gt;"",SUMIF($B$5:$B$1004,$B770,$E$5:$E$1004)-SUMIF($B$5:$B$1004,$B770,$G$5:$G$1004),N($E770)-N($G770)),0)&lt;&gt;0,"通帳の額と当てた額の差 "&amp;TEXT(IF($B770&lt;&gt;"",SUMIF($B$5:$B$1004,$B770,$E$5:$E$1004)-SUMIF($B$5:$B$1004,$B770,$G$5:$G$1004),N($E770)-N($G770)),"#,##0"),IF(AND(ISNUMBER($O770),N($K770)&lt;0),"請求額より多く消し込んでいます",IF($F770="","消込先が未定","OK")))))))</f>
        <v/>
      </c>
      <c r="M770" s="19" t="n"/>
      <c r="N770" s="56" t="n"/>
      <c r="O770" s="32">
        <f>IF($F770="","",IFERROR(MATCH($F770,'請求台帳'!$A$5:$A$1004,0),"なし"))</f>
        <v/>
      </c>
      <c r="P770" s="37">
        <f>IF(NOT(OR($A770&lt;&gt;"",$E770&lt;&gt;"",$F770&lt;&gt;"",$G770&lt;&gt;"",$H770&lt;&gt;"",$I770&lt;&gt;"")),"",IF(ISNUMBER($O770),IF(INDEX('請求台帳'!$C$5:$C$1004,$O770)="","",INDEX('請求台帳'!$C$5:$C$1004,$O770)),IF($C770="","",$C770)))</f>
        <v/>
      </c>
      <c r="Q770" s="35">
        <f>IF(OR(NOT(OR($A770&lt;&gt;"",$E770&lt;&gt;"",$F770&lt;&gt;"",$G770&lt;&gt;"",$H770&lt;&gt;"",$I770&lt;&gt;"")),$P770="",$P770&lt;&gt;'売掛帳'!$B$3,NOT(ISNUMBER($A770)),N($G770)+N($H770)+N($I770)=0),"",IF(AND($A770&gt;='売掛帳'!$Q$3,$A770&lt;='売掛帳'!$Q$4),$A770+0.5+ROW()/10000000,""))</f>
        <v/>
      </c>
      <c r="R770" s="32">
        <f>IF(AND(OR($A770&lt;&gt;"",$E770&lt;&gt;"",$F770&lt;&gt;"",$G770&lt;&gt;"",$H770&lt;&gt;"",$I770&lt;&gt;""),NOT(ISNUMBER($O770))),1,"")</f>
        <v/>
      </c>
    </row>
    <row r="771" ht="18" customHeight="1">
      <c r="A771" s="26" t="n"/>
      <c r="B771" s="18" t="n"/>
      <c r="C771" s="18" t="n"/>
      <c r="D771" s="20">
        <f>IF($P771="","",IFERROR(INDEX('得意先'!$C$5:$C$104,MATCH($P771,'得意先'!$B$5:$B$104,0))&amp;"","※得意先にないコード"))</f>
        <v/>
      </c>
      <c r="E771" s="27" t="n"/>
      <c r="F771" s="18" t="n"/>
      <c r="G771" s="27" t="n"/>
      <c r="H771" s="27" t="n"/>
      <c r="I771" s="27" t="n"/>
      <c r="J771" s="28">
        <f>IF(NOT(OR($A771&lt;&gt;"",$E771&lt;&gt;"",$F771&lt;&gt;"",$G771&lt;&gt;"",$H771&lt;&gt;"",$I771&lt;&gt;"")),"",N($G771)+N($H771)+N($I771))</f>
        <v/>
      </c>
      <c r="K771" s="28">
        <f>IF(ISNUMBER($O771),INDEX('請求台帳'!$R$5:$R$1004,$O771),"")</f>
        <v/>
      </c>
      <c r="L771" s="20">
        <f>IF(NOT(OR($A771&lt;&gt;"",$E771&lt;&gt;"",$F771&lt;&gt;"",$G771&lt;&gt;"",$H771&lt;&gt;"",$I771&lt;&gt;"")),"",IF(NOT(ISNUMBER($A771)),"入金日がありません",IF(AND($F771&lt;&gt;"",$O771="なし"),"請求Noが請求台帳にありません",IF(AND(ISNUMBER($O771),$C771&lt;&gt;"",$C771&lt;&gt;$P771),"請求の得意先は "&amp;$P771&amp;" です",IF(ROUND(IF($B771&lt;&gt;"",SUMIF($B$5:$B$1004,$B771,$E$5:$E$1004)-SUMIF($B$5:$B$1004,$B771,$G$5:$G$1004),N($E771)-N($G771)),0)&lt;&gt;0,"通帳の額と当てた額の差 "&amp;TEXT(IF($B771&lt;&gt;"",SUMIF($B$5:$B$1004,$B771,$E$5:$E$1004)-SUMIF($B$5:$B$1004,$B771,$G$5:$G$1004),N($E771)-N($G771)),"#,##0"),IF(AND(ISNUMBER($O771),N($K771)&lt;0),"請求額より多く消し込んでいます",IF($F771="","消込先が未定","OK")))))))</f>
        <v/>
      </c>
      <c r="M771" s="19" t="n"/>
      <c r="N771" s="56" t="n"/>
      <c r="O771" s="32">
        <f>IF($F771="","",IFERROR(MATCH($F771,'請求台帳'!$A$5:$A$1004,0),"なし"))</f>
        <v/>
      </c>
      <c r="P771" s="37">
        <f>IF(NOT(OR($A771&lt;&gt;"",$E771&lt;&gt;"",$F771&lt;&gt;"",$G771&lt;&gt;"",$H771&lt;&gt;"",$I771&lt;&gt;"")),"",IF(ISNUMBER($O771),IF(INDEX('請求台帳'!$C$5:$C$1004,$O771)="","",INDEX('請求台帳'!$C$5:$C$1004,$O771)),IF($C771="","",$C771)))</f>
        <v/>
      </c>
      <c r="Q771" s="35">
        <f>IF(OR(NOT(OR($A771&lt;&gt;"",$E771&lt;&gt;"",$F771&lt;&gt;"",$G771&lt;&gt;"",$H771&lt;&gt;"",$I771&lt;&gt;"")),$P771="",$P771&lt;&gt;'売掛帳'!$B$3,NOT(ISNUMBER($A771)),N($G771)+N($H771)+N($I771)=0),"",IF(AND($A771&gt;='売掛帳'!$Q$3,$A771&lt;='売掛帳'!$Q$4),$A771+0.5+ROW()/10000000,""))</f>
        <v/>
      </c>
      <c r="R771" s="32">
        <f>IF(AND(OR($A771&lt;&gt;"",$E771&lt;&gt;"",$F771&lt;&gt;"",$G771&lt;&gt;"",$H771&lt;&gt;"",$I771&lt;&gt;""),NOT(ISNUMBER($O771))),1,"")</f>
        <v/>
      </c>
    </row>
    <row r="772" ht="18" customHeight="1">
      <c r="A772" s="26" t="n"/>
      <c r="B772" s="18" t="n"/>
      <c r="C772" s="18" t="n"/>
      <c r="D772" s="20">
        <f>IF($P772="","",IFERROR(INDEX('得意先'!$C$5:$C$104,MATCH($P772,'得意先'!$B$5:$B$104,0))&amp;"","※得意先にないコード"))</f>
        <v/>
      </c>
      <c r="E772" s="27" t="n"/>
      <c r="F772" s="18" t="n"/>
      <c r="G772" s="27" t="n"/>
      <c r="H772" s="27" t="n"/>
      <c r="I772" s="27" t="n"/>
      <c r="J772" s="28">
        <f>IF(NOT(OR($A772&lt;&gt;"",$E772&lt;&gt;"",$F772&lt;&gt;"",$G772&lt;&gt;"",$H772&lt;&gt;"",$I772&lt;&gt;"")),"",N($G772)+N($H772)+N($I772))</f>
        <v/>
      </c>
      <c r="K772" s="28">
        <f>IF(ISNUMBER($O772),INDEX('請求台帳'!$R$5:$R$1004,$O772),"")</f>
        <v/>
      </c>
      <c r="L772" s="20">
        <f>IF(NOT(OR($A772&lt;&gt;"",$E772&lt;&gt;"",$F772&lt;&gt;"",$G772&lt;&gt;"",$H772&lt;&gt;"",$I772&lt;&gt;"")),"",IF(NOT(ISNUMBER($A772)),"入金日がありません",IF(AND($F772&lt;&gt;"",$O772="なし"),"請求Noが請求台帳にありません",IF(AND(ISNUMBER($O772),$C772&lt;&gt;"",$C772&lt;&gt;$P772),"請求の得意先は "&amp;$P772&amp;" です",IF(ROUND(IF($B772&lt;&gt;"",SUMIF($B$5:$B$1004,$B772,$E$5:$E$1004)-SUMIF($B$5:$B$1004,$B772,$G$5:$G$1004),N($E772)-N($G772)),0)&lt;&gt;0,"通帳の額と当てた額の差 "&amp;TEXT(IF($B772&lt;&gt;"",SUMIF($B$5:$B$1004,$B772,$E$5:$E$1004)-SUMIF($B$5:$B$1004,$B772,$G$5:$G$1004),N($E772)-N($G772)),"#,##0"),IF(AND(ISNUMBER($O772),N($K772)&lt;0),"請求額より多く消し込んでいます",IF($F772="","消込先が未定","OK")))))))</f>
        <v/>
      </c>
      <c r="M772" s="19" t="n"/>
      <c r="N772" s="56" t="n"/>
      <c r="O772" s="32">
        <f>IF($F772="","",IFERROR(MATCH($F772,'請求台帳'!$A$5:$A$1004,0),"なし"))</f>
        <v/>
      </c>
      <c r="P772" s="37">
        <f>IF(NOT(OR($A772&lt;&gt;"",$E772&lt;&gt;"",$F772&lt;&gt;"",$G772&lt;&gt;"",$H772&lt;&gt;"",$I772&lt;&gt;"")),"",IF(ISNUMBER($O772),IF(INDEX('請求台帳'!$C$5:$C$1004,$O772)="","",INDEX('請求台帳'!$C$5:$C$1004,$O772)),IF($C772="","",$C772)))</f>
        <v/>
      </c>
      <c r="Q772" s="35">
        <f>IF(OR(NOT(OR($A772&lt;&gt;"",$E772&lt;&gt;"",$F772&lt;&gt;"",$G772&lt;&gt;"",$H772&lt;&gt;"",$I772&lt;&gt;"")),$P772="",$P772&lt;&gt;'売掛帳'!$B$3,NOT(ISNUMBER($A772)),N($G772)+N($H772)+N($I772)=0),"",IF(AND($A772&gt;='売掛帳'!$Q$3,$A772&lt;='売掛帳'!$Q$4),$A772+0.5+ROW()/10000000,""))</f>
        <v/>
      </c>
      <c r="R772" s="32">
        <f>IF(AND(OR($A772&lt;&gt;"",$E772&lt;&gt;"",$F772&lt;&gt;"",$G772&lt;&gt;"",$H772&lt;&gt;"",$I772&lt;&gt;""),NOT(ISNUMBER($O772))),1,"")</f>
        <v/>
      </c>
    </row>
    <row r="773" ht="18" customHeight="1">
      <c r="A773" s="26" t="n"/>
      <c r="B773" s="18" t="n"/>
      <c r="C773" s="18" t="n"/>
      <c r="D773" s="20">
        <f>IF($P773="","",IFERROR(INDEX('得意先'!$C$5:$C$104,MATCH($P773,'得意先'!$B$5:$B$104,0))&amp;"","※得意先にないコード"))</f>
        <v/>
      </c>
      <c r="E773" s="27" t="n"/>
      <c r="F773" s="18" t="n"/>
      <c r="G773" s="27" t="n"/>
      <c r="H773" s="27" t="n"/>
      <c r="I773" s="27" t="n"/>
      <c r="J773" s="28">
        <f>IF(NOT(OR($A773&lt;&gt;"",$E773&lt;&gt;"",$F773&lt;&gt;"",$G773&lt;&gt;"",$H773&lt;&gt;"",$I773&lt;&gt;"")),"",N($G773)+N($H773)+N($I773))</f>
        <v/>
      </c>
      <c r="K773" s="28">
        <f>IF(ISNUMBER($O773),INDEX('請求台帳'!$R$5:$R$1004,$O773),"")</f>
        <v/>
      </c>
      <c r="L773" s="20">
        <f>IF(NOT(OR($A773&lt;&gt;"",$E773&lt;&gt;"",$F773&lt;&gt;"",$G773&lt;&gt;"",$H773&lt;&gt;"",$I773&lt;&gt;"")),"",IF(NOT(ISNUMBER($A773)),"入金日がありません",IF(AND($F773&lt;&gt;"",$O773="なし"),"請求Noが請求台帳にありません",IF(AND(ISNUMBER($O773),$C773&lt;&gt;"",$C773&lt;&gt;$P773),"請求の得意先は "&amp;$P773&amp;" です",IF(ROUND(IF($B773&lt;&gt;"",SUMIF($B$5:$B$1004,$B773,$E$5:$E$1004)-SUMIF($B$5:$B$1004,$B773,$G$5:$G$1004),N($E773)-N($G773)),0)&lt;&gt;0,"通帳の額と当てた額の差 "&amp;TEXT(IF($B773&lt;&gt;"",SUMIF($B$5:$B$1004,$B773,$E$5:$E$1004)-SUMIF($B$5:$B$1004,$B773,$G$5:$G$1004),N($E773)-N($G773)),"#,##0"),IF(AND(ISNUMBER($O773),N($K773)&lt;0),"請求額より多く消し込んでいます",IF($F773="","消込先が未定","OK")))))))</f>
        <v/>
      </c>
      <c r="M773" s="19" t="n"/>
      <c r="N773" s="56" t="n"/>
      <c r="O773" s="32">
        <f>IF($F773="","",IFERROR(MATCH($F773,'請求台帳'!$A$5:$A$1004,0),"なし"))</f>
        <v/>
      </c>
      <c r="P773" s="37">
        <f>IF(NOT(OR($A773&lt;&gt;"",$E773&lt;&gt;"",$F773&lt;&gt;"",$G773&lt;&gt;"",$H773&lt;&gt;"",$I773&lt;&gt;"")),"",IF(ISNUMBER($O773),IF(INDEX('請求台帳'!$C$5:$C$1004,$O773)="","",INDEX('請求台帳'!$C$5:$C$1004,$O773)),IF($C773="","",$C773)))</f>
        <v/>
      </c>
      <c r="Q773" s="35">
        <f>IF(OR(NOT(OR($A773&lt;&gt;"",$E773&lt;&gt;"",$F773&lt;&gt;"",$G773&lt;&gt;"",$H773&lt;&gt;"",$I773&lt;&gt;"")),$P773="",$P773&lt;&gt;'売掛帳'!$B$3,NOT(ISNUMBER($A773)),N($G773)+N($H773)+N($I773)=0),"",IF(AND($A773&gt;='売掛帳'!$Q$3,$A773&lt;='売掛帳'!$Q$4),$A773+0.5+ROW()/10000000,""))</f>
        <v/>
      </c>
      <c r="R773" s="32">
        <f>IF(AND(OR($A773&lt;&gt;"",$E773&lt;&gt;"",$F773&lt;&gt;"",$G773&lt;&gt;"",$H773&lt;&gt;"",$I773&lt;&gt;""),NOT(ISNUMBER($O773))),1,"")</f>
        <v/>
      </c>
    </row>
    <row r="774" ht="18" customHeight="1">
      <c r="A774" s="26" t="n"/>
      <c r="B774" s="18" t="n"/>
      <c r="C774" s="18" t="n"/>
      <c r="D774" s="20">
        <f>IF($P774="","",IFERROR(INDEX('得意先'!$C$5:$C$104,MATCH($P774,'得意先'!$B$5:$B$104,0))&amp;"","※得意先にないコード"))</f>
        <v/>
      </c>
      <c r="E774" s="27" t="n"/>
      <c r="F774" s="18" t="n"/>
      <c r="G774" s="27" t="n"/>
      <c r="H774" s="27" t="n"/>
      <c r="I774" s="27" t="n"/>
      <c r="J774" s="28">
        <f>IF(NOT(OR($A774&lt;&gt;"",$E774&lt;&gt;"",$F774&lt;&gt;"",$G774&lt;&gt;"",$H774&lt;&gt;"",$I774&lt;&gt;"")),"",N($G774)+N($H774)+N($I774))</f>
        <v/>
      </c>
      <c r="K774" s="28">
        <f>IF(ISNUMBER($O774),INDEX('請求台帳'!$R$5:$R$1004,$O774),"")</f>
        <v/>
      </c>
      <c r="L774" s="20">
        <f>IF(NOT(OR($A774&lt;&gt;"",$E774&lt;&gt;"",$F774&lt;&gt;"",$G774&lt;&gt;"",$H774&lt;&gt;"",$I774&lt;&gt;"")),"",IF(NOT(ISNUMBER($A774)),"入金日がありません",IF(AND($F774&lt;&gt;"",$O774="なし"),"請求Noが請求台帳にありません",IF(AND(ISNUMBER($O774),$C774&lt;&gt;"",$C774&lt;&gt;$P774),"請求の得意先は "&amp;$P774&amp;" です",IF(ROUND(IF($B774&lt;&gt;"",SUMIF($B$5:$B$1004,$B774,$E$5:$E$1004)-SUMIF($B$5:$B$1004,$B774,$G$5:$G$1004),N($E774)-N($G774)),0)&lt;&gt;0,"通帳の額と当てた額の差 "&amp;TEXT(IF($B774&lt;&gt;"",SUMIF($B$5:$B$1004,$B774,$E$5:$E$1004)-SUMIF($B$5:$B$1004,$B774,$G$5:$G$1004),N($E774)-N($G774)),"#,##0"),IF(AND(ISNUMBER($O774),N($K774)&lt;0),"請求額より多く消し込んでいます",IF($F774="","消込先が未定","OK")))))))</f>
        <v/>
      </c>
      <c r="M774" s="19" t="n"/>
      <c r="N774" s="56" t="n"/>
      <c r="O774" s="32">
        <f>IF($F774="","",IFERROR(MATCH($F774,'請求台帳'!$A$5:$A$1004,0),"なし"))</f>
        <v/>
      </c>
      <c r="P774" s="37">
        <f>IF(NOT(OR($A774&lt;&gt;"",$E774&lt;&gt;"",$F774&lt;&gt;"",$G774&lt;&gt;"",$H774&lt;&gt;"",$I774&lt;&gt;"")),"",IF(ISNUMBER($O774),IF(INDEX('請求台帳'!$C$5:$C$1004,$O774)="","",INDEX('請求台帳'!$C$5:$C$1004,$O774)),IF($C774="","",$C774)))</f>
        <v/>
      </c>
      <c r="Q774" s="35">
        <f>IF(OR(NOT(OR($A774&lt;&gt;"",$E774&lt;&gt;"",$F774&lt;&gt;"",$G774&lt;&gt;"",$H774&lt;&gt;"",$I774&lt;&gt;"")),$P774="",$P774&lt;&gt;'売掛帳'!$B$3,NOT(ISNUMBER($A774)),N($G774)+N($H774)+N($I774)=0),"",IF(AND($A774&gt;='売掛帳'!$Q$3,$A774&lt;='売掛帳'!$Q$4),$A774+0.5+ROW()/10000000,""))</f>
        <v/>
      </c>
      <c r="R774" s="32">
        <f>IF(AND(OR($A774&lt;&gt;"",$E774&lt;&gt;"",$F774&lt;&gt;"",$G774&lt;&gt;"",$H774&lt;&gt;"",$I774&lt;&gt;""),NOT(ISNUMBER($O774))),1,"")</f>
        <v/>
      </c>
    </row>
    <row r="775" ht="18" customHeight="1">
      <c r="A775" s="26" t="n"/>
      <c r="B775" s="18" t="n"/>
      <c r="C775" s="18" t="n"/>
      <c r="D775" s="20">
        <f>IF($P775="","",IFERROR(INDEX('得意先'!$C$5:$C$104,MATCH($P775,'得意先'!$B$5:$B$104,0))&amp;"","※得意先にないコード"))</f>
        <v/>
      </c>
      <c r="E775" s="27" t="n"/>
      <c r="F775" s="18" t="n"/>
      <c r="G775" s="27" t="n"/>
      <c r="H775" s="27" t="n"/>
      <c r="I775" s="27" t="n"/>
      <c r="J775" s="28">
        <f>IF(NOT(OR($A775&lt;&gt;"",$E775&lt;&gt;"",$F775&lt;&gt;"",$G775&lt;&gt;"",$H775&lt;&gt;"",$I775&lt;&gt;"")),"",N($G775)+N($H775)+N($I775))</f>
        <v/>
      </c>
      <c r="K775" s="28">
        <f>IF(ISNUMBER($O775),INDEX('請求台帳'!$R$5:$R$1004,$O775),"")</f>
        <v/>
      </c>
      <c r="L775" s="20">
        <f>IF(NOT(OR($A775&lt;&gt;"",$E775&lt;&gt;"",$F775&lt;&gt;"",$G775&lt;&gt;"",$H775&lt;&gt;"",$I775&lt;&gt;"")),"",IF(NOT(ISNUMBER($A775)),"入金日がありません",IF(AND($F775&lt;&gt;"",$O775="なし"),"請求Noが請求台帳にありません",IF(AND(ISNUMBER($O775),$C775&lt;&gt;"",$C775&lt;&gt;$P775),"請求の得意先は "&amp;$P775&amp;" です",IF(ROUND(IF($B775&lt;&gt;"",SUMIF($B$5:$B$1004,$B775,$E$5:$E$1004)-SUMIF($B$5:$B$1004,$B775,$G$5:$G$1004),N($E775)-N($G775)),0)&lt;&gt;0,"通帳の額と当てた額の差 "&amp;TEXT(IF($B775&lt;&gt;"",SUMIF($B$5:$B$1004,$B775,$E$5:$E$1004)-SUMIF($B$5:$B$1004,$B775,$G$5:$G$1004),N($E775)-N($G775)),"#,##0"),IF(AND(ISNUMBER($O775),N($K775)&lt;0),"請求額より多く消し込んでいます",IF($F775="","消込先が未定","OK")))))))</f>
        <v/>
      </c>
      <c r="M775" s="19" t="n"/>
      <c r="N775" s="56" t="n"/>
      <c r="O775" s="32">
        <f>IF($F775="","",IFERROR(MATCH($F775,'請求台帳'!$A$5:$A$1004,0),"なし"))</f>
        <v/>
      </c>
      <c r="P775" s="37">
        <f>IF(NOT(OR($A775&lt;&gt;"",$E775&lt;&gt;"",$F775&lt;&gt;"",$G775&lt;&gt;"",$H775&lt;&gt;"",$I775&lt;&gt;"")),"",IF(ISNUMBER($O775),IF(INDEX('請求台帳'!$C$5:$C$1004,$O775)="","",INDEX('請求台帳'!$C$5:$C$1004,$O775)),IF($C775="","",$C775)))</f>
        <v/>
      </c>
      <c r="Q775" s="35">
        <f>IF(OR(NOT(OR($A775&lt;&gt;"",$E775&lt;&gt;"",$F775&lt;&gt;"",$G775&lt;&gt;"",$H775&lt;&gt;"",$I775&lt;&gt;"")),$P775="",$P775&lt;&gt;'売掛帳'!$B$3,NOT(ISNUMBER($A775)),N($G775)+N($H775)+N($I775)=0),"",IF(AND($A775&gt;='売掛帳'!$Q$3,$A775&lt;='売掛帳'!$Q$4),$A775+0.5+ROW()/10000000,""))</f>
        <v/>
      </c>
      <c r="R775" s="32">
        <f>IF(AND(OR($A775&lt;&gt;"",$E775&lt;&gt;"",$F775&lt;&gt;"",$G775&lt;&gt;"",$H775&lt;&gt;"",$I775&lt;&gt;""),NOT(ISNUMBER($O775))),1,"")</f>
        <v/>
      </c>
    </row>
    <row r="776" ht="18" customHeight="1">
      <c r="A776" s="26" t="n"/>
      <c r="B776" s="18" t="n"/>
      <c r="C776" s="18" t="n"/>
      <c r="D776" s="20">
        <f>IF($P776="","",IFERROR(INDEX('得意先'!$C$5:$C$104,MATCH($P776,'得意先'!$B$5:$B$104,0))&amp;"","※得意先にないコード"))</f>
        <v/>
      </c>
      <c r="E776" s="27" t="n"/>
      <c r="F776" s="18" t="n"/>
      <c r="G776" s="27" t="n"/>
      <c r="H776" s="27" t="n"/>
      <c r="I776" s="27" t="n"/>
      <c r="J776" s="28">
        <f>IF(NOT(OR($A776&lt;&gt;"",$E776&lt;&gt;"",$F776&lt;&gt;"",$G776&lt;&gt;"",$H776&lt;&gt;"",$I776&lt;&gt;"")),"",N($G776)+N($H776)+N($I776))</f>
        <v/>
      </c>
      <c r="K776" s="28">
        <f>IF(ISNUMBER($O776),INDEX('請求台帳'!$R$5:$R$1004,$O776),"")</f>
        <v/>
      </c>
      <c r="L776" s="20">
        <f>IF(NOT(OR($A776&lt;&gt;"",$E776&lt;&gt;"",$F776&lt;&gt;"",$G776&lt;&gt;"",$H776&lt;&gt;"",$I776&lt;&gt;"")),"",IF(NOT(ISNUMBER($A776)),"入金日がありません",IF(AND($F776&lt;&gt;"",$O776="なし"),"請求Noが請求台帳にありません",IF(AND(ISNUMBER($O776),$C776&lt;&gt;"",$C776&lt;&gt;$P776),"請求の得意先は "&amp;$P776&amp;" です",IF(ROUND(IF($B776&lt;&gt;"",SUMIF($B$5:$B$1004,$B776,$E$5:$E$1004)-SUMIF($B$5:$B$1004,$B776,$G$5:$G$1004),N($E776)-N($G776)),0)&lt;&gt;0,"通帳の額と当てた額の差 "&amp;TEXT(IF($B776&lt;&gt;"",SUMIF($B$5:$B$1004,$B776,$E$5:$E$1004)-SUMIF($B$5:$B$1004,$B776,$G$5:$G$1004),N($E776)-N($G776)),"#,##0"),IF(AND(ISNUMBER($O776),N($K776)&lt;0),"請求額より多く消し込んでいます",IF($F776="","消込先が未定","OK")))))))</f>
        <v/>
      </c>
      <c r="M776" s="19" t="n"/>
      <c r="N776" s="56" t="n"/>
      <c r="O776" s="32">
        <f>IF($F776="","",IFERROR(MATCH($F776,'請求台帳'!$A$5:$A$1004,0),"なし"))</f>
        <v/>
      </c>
      <c r="P776" s="37">
        <f>IF(NOT(OR($A776&lt;&gt;"",$E776&lt;&gt;"",$F776&lt;&gt;"",$G776&lt;&gt;"",$H776&lt;&gt;"",$I776&lt;&gt;"")),"",IF(ISNUMBER($O776),IF(INDEX('請求台帳'!$C$5:$C$1004,$O776)="","",INDEX('請求台帳'!$C$5:$C$1004,$O776)),IF($C776="","",$C776)))</f>
        <v/>
      </c>
      <c r="Q776" s="35">
        <f>IF(OR(NOT(OR($A776&lt;&gt;"",$E776&lt;&gt;"",$F776&lt;&gt;"",$G776&lt;&gt;"",$H776&lt;&gt;"",$I776&lt;&gt;"")),$P776="",$P776&lt;&gt;'売掛帳'!$B$3,NOT(ISNUMBER($A776)),N($G776)+N($H776)+N($I776)=0),"",IF(AND($A776&gt;='売掛帳'!$Q$3,$A776&lt;='売掛帳'!$Q$4),$A776+0.5+ROW()/10000000,""))</f>
        <v/>
      </c>
      <c r="R776" s="32">
        <f>IF(AND(OR($A776&lt;&gt;"",$E776&lt;&gt;"",$F776&lt;&gt;"",$G776&lt;&gt;"",$H776&lt;&gt;"",$I776&lt;&gt;""),NOT(ISNUMBER($O776))),1,"")</f>
        <v/>
      </c>
    </row>
    <row r="777" ht="18" customHeight="1">
      <c r="A777" s="26" t="n"/>
      <c r="B777" s="18" t="n"/>
      <c r="C777" s="18" t="n"/>
      <c r="D777" s="20">
        <f>IF($P777="","",IFERROR(INDEX('得意先'!$C$5:$C$104,MATCH($P777,'得意先'!$B$5:$B$104,0))&amp;"","※得意先にないコード"))</f>
        <v/>
      </c>
      <c r="E777" s="27" t="n"/>
      <c r="F777" s="18" t="n"/>
      <c r="G777" s="27" t="n"/>
      <c r="H777" s="27" t="n"/>
      <c r="I777" s="27" t="n"/>
      <c r="J777" s="28">
        <f>IF(NOT(OR($A777&lt;&gt;"",$E777&lt;&gt;"",$F777&lt;&gt;"",$G777&lt;&gt;"",$H777&lt;&gt;"",$I777&lt;&gt;"")),"",N($G777)+N($H777)+N($I777))</f>
        <v/>
      </c>
      <c r="K777" s="28">
        <f>IF(ISNUMBER($O777),INDEX('請求台帳'!$R$5:$R$1004,$O777),"")</f>
        <v/>
      </c>
      <c r="L777" s="20">
        <f>IF(NOT(OR($A777&lt;&gt;"",$E777&lt;&gt;"",$F777&lt;&gt;"",$G777&lt;&gt;"",$H777&lt;&gt;"",$I777&lt;&gt;"")),"",IF(NOT(ISNUMBER($A777)),"入金日がありません",IF(AND($F777&lt;&gt;"",$O777="なし"),"請求Noが請求台帳にありません",IF(AND(ISNUMBER($O777),$C777&lt;&gt;"",$C777&lt;&gt;$P777),"請求の得意先は "&amp;$P777&amp;" です",IF(ROUND(IF($B777&lt;&gt;"",SUMIF($B$5:$B$1004,$B777,$E$5:$E$1004)-SUMIF($B$5:$B$1004,$B777,$G$5:$G$1004),N($E777)-N($G777)),0)&lt;&gt;0,"通帳の額と当てた額の差 "&amp;TEXT(IF($B777&lt;&gt;"",SUMIF($B$5:$B$1004,$B777,$E$5:$E$1004)-SUMIF($B$5:$B$1004,$B777,$G$5:$G$1004),N($E777)-N($G777)),"#,##0"),IF(AND(ISNUMBER($O777),N($K777)&lt;0),"請求額より多く消し込んでいます",IF($F777="","消込先が未定","OK")))))))</f>
        <v/>
      </c>
      <c r="M777" s="19" t="n"/>
      <c r="N777" s="56" t="n"/>
      <c r="O777" s="32">
        <f>IF($F777="","",IFERROR(MATCH($F777,'請求台帳'!$A$5:$A$1004,0),"なし"))</f>
        <v/>
      </c>
      <c r="P777" s="37">
        <f>IF(NOT(OR($A777&lt;&gt;"",$E777&lt;&gt;"",$F777&lt;&gt;"",$G777&lt;&gt;"",$H777&lt;&gt;"",$I777&lt;&gt;"")),"",IF(ISNUMBER($O777),IF(INDEX('請求台帳'!$C$5:$C$1004,$O777)="","",INDEX('請求台帳'!$C$5:$C$1004,$O777)),IF($C777="","",$C777)))</f>
        <v/>
      </c>
      <c r="Q777" s="35">
        <f>IF(OR(NOT(OR($A777&lt;&gt;"",$E777&lt;&gt;"",$F777&lt;&gt;"",$G777&lt;&gt;"",$H777&lt;&gt;"",$I777&lt;&gt;"")),$P777="",$P777&lt;&gt;'売掛帳'!$B$3,NOT(ISNUMBER($A777)),N($G777)+N($H777)+N($I777)=0),"",IF(AND($A777&gt;='売掛帳'!$Q$3,$A777&lt;='売掛帳'!$Q$4),$A777+0.5+ROW()/10000000,""))</f>
        <v/>
      </c>
      <c r="R777" s="32">
        <f>IF(AND(OR($A777&lt;&gt;"",$E777&lt;&gt;"",$F777&lt;&gt;"",$G777&lt;&gt;"",$H777&lt;&gt;"",$I777&lt;&gt;""),NOT(ISNUMBER($O777))),1,"")</f>
        <v/>
      </c>
    </row>
    <row r="778" ht="18" customHeight="1">
      <c r="A778" s="26" t="n"/>
      <c r="B778" s="18" t="n"/>
      <c r="C778" s="18" t="n"/>
      <c r="D778" s="20">
        <f>IF($P778="","",IFERROR(INDEX('得意先'!$C$5:$C$104,MATCH($P778,'得意先'!$B$5:$B$104,0))&amp;"","※得意先にないコード"))</f>
        <v/>
      </c>
      <c r="E778" s="27" t="n"/>
      <c r="F778" s="18" t="n"/>
      <c r="G778" s="27" t="n"/>
      <c r="H778" s="27" t="n"/>
      <c r="I778" s="27" t="n"/>
      <c r="J778" s="28">
        <f>IF(NOT(OR($A778&lt;&gt;"",$E778&lt;&gt;"",$F778&lt;&gt;"",$G778&lt;&gt;"",$H778&lt;&gt;"",$I778&lt;&gt;"")),"",N($G778)+N($H778)+N($I778))</f>
        <v/>
      </c>
      <c r="K778" s="28">
        <f>IF(ISNUMBER($O778),INDEX('請求台帳'!$R$5:$R$1004,$O778),"")</f>
        <v/>
      </c>
      <c r="L778" s="20">
        <f>IF(NOT(OR($A778&lt;&gt;"",$E778&lt;&gt;"",$F778&lt;&gt;"",$G778&lt;&gt;"",$H778&lt;&gt;"",$I778&lt;&gt;"")),"",IF(NOT(ISNUMBER($A778)),"入金日がありません",IF(AND($F778&lt;&gt;"",$O778="なし"),"請求Noが請求台帳にありません",IF(AND(ISNUMBER($O778),$C778&lt;&gt;"",$C778&lt;&gt;$P778),"請求の得意先は "&amp;$P778&amp;" です",IF(ROUND(IF($B778&lt;&gt;"",SUMIF($B$5:$B$1004,$B778,$E$5:$E$1004)-SUMIF($B$5:$B$1004,$B778,$G$5:$G$1004),N($E778)-N($G778)),0)&lt;&gt;0,"通帳の額と当てた額の差 "&amp;TEXT(IF($B778&lt;&gt;"",SUMIF($B$5:$B$1004,$B778,$E$5:$E$1004)-SUMIF($B$5:$B$1004,$B778,$G$5:$G$1004),N($E778)-N($G778)),"#,##0"),IF(AND(ISNUMBER($O778),N($K778)&lt;0),"請求額より多く消し込んでいます",IF($F778="","消込先が未定","OK")))))))</f>
        <v/>
      </c>
      <c r="M778" s="19" t="n"/>
      <c r="N778" s="56" t="n"/>
      <c r="O778" s="32">
        <f>IF($F778="","",IFERROR(MATCH($F778,'請求台帳'!$A$5:$A$1004,0),"なし"))</f>
        <v/>
      </c>
      <c r="P778" s="37">
        <f>IF(NOT(OR($A778&lt;&gt;"",$E778&lt;&gt;"",$F778&lt;&gt;"",$G778&lt;&gt;"",$H778&lt;&gt;"",$I778&lt;&gt;"")),"",IF(ISNUMBER($O778),IF(INDEX('請求台帳'!$C$5:$C$1004,$O778)="","",INDEX('請求台帳'!$C$5:$C$1004,$O778)),IF($C778="","",$C778)))</f>
        <v/>
      </c>
      <c r="Q778" s="35">
        <f>IF(OR(NOT(OR($A778&lt;&gt;"",$E778&lt;&gt;"",$F778&lt;&gt;"",$G778&lt;&gt;"",$H778&lt;&gt;"",$I778&lt;&gt;"")),$P778="",$P778&lt;&gt;'売掛帳'!$B$3,NOT(ISNUMBER($A778)),N($G778)+N($H778)+N($I778)=0),"",IF(AND($A778&gt;='売掛帳'!$Q$3,$A778&lt;='売掛帳'!$Q$4),$A778+0.5+ROW()/10000000,""))</f>
        <v/>
      </c>
      <c r="R778" s="32">
        <f>IF(AND(OR($A778&lt;&gt;"",$E778&lt;&gt;"",$F778&lt;&gt;"",$G778&lt;&gt;"",$H778&lt;&gt;"",$I778&lt;&gt;""),NOT(ISNUMBER($O778))),1,"")</f>
        <v/>
      </c>
    </row>
    <row r="779" ht="18" customHeight="1">
      <c r="A779" s="26" t="n"/>
      <c r="B779" s="18" t="n"/>
      <c r="C779" s="18" t="n"/>
      <c r="D779" s="20">
        <f>IF($P779="","",IFERROR(INDEX('得意先'!$C$5:$C$104,MATCH($P779,'得意先'!$B$5:$B$104,0))&amp;"","※得意先にないコード"))</f>
        <v/>
      </c>
      <c r="E779" s="27" t="n"/>
      <c r="F779" s="18" t="n"/>
      <c r="G779" s="27" t="n"/>
      <c r="H779" s="27" t="n"/>
      <c r="I779" s="27" t="n"/>
      <c r="J779" s="28">
        <f>IF(NOT(OR($A779&lt;&gt;"",$E779&lt;&gt;"",$F779&lt;&gt;"",$G779&lt;&gt;"",$H779&lt;&gt;"",$I779&lt;&gt;"")),"",N($G779)+N($H779)+N($I779))</f>
        <v/>
      </c>
      <c r="K779" s="28">
        <f>IF(ISNUMBER($O779),INDEX('請求台帳'!$R$5:$R$1004,$O779),"")</f>
        <v/>
      </c>
      <c r="L779" s="20">
        <f>IF(NOT(OR($A779&lt;&gt;"",$E779&lt;&gt;"",$F779&lt;&gt;"",$G779&lt;&gt;"",$H779&lt;&gt;"",$I779&lt;&gt;"")),"",IF(NOT(ISNUMBER($A779)),"入金日がありません",IF(AND($F779&lt;&gt;"",$O779="なし"),"請求Noが請求台帳にありません",IF(AND(ISNUMBER($O779),$C779&lt;&gt;"",$C779&lt;&gt;$P779),"請求の得意先は "&amp;$P779&amp;" です",IF(ROUND(IF($B779&lt;&gt;"",SUMIF($B$5:$B$1004,$B779,$E$5:$E$1004)-SUMIF($B$5:$B$1004,$B779,$G$5:$G$1004),N($E779)-N($G779)),0)&lt;&gt;0,"通帳の額と当てた額の差 "&amp;TEXT(IF($B779&lt;&gt;"",SUMIF($B$5:$B$1004,$B779,$E$5:$E$1004)-SUMIF($B$5:$B$1004,$B779,$G$5:$G$1004),N($E779)-N($G779)),"#,##0"),IF(AND(ISNUMBER($O779),N($K779)&lt;0),"請求額より多く消し込んでいます",IF($F779="","消込先が未定","OK")))))))</f>
        <v/>
      </c>
      <c r="M779" s="19" t="n"/>
      <c r="N779" s="56" t="n"/>
      <c r="O779" s="32">
        <f>IF($F779="","",IFERROR(MATCH($F779,'請求台帳'!$A$5:$A$1004,0),"なし"))</f>
        <v/>
      </c>
      <c r="P779" s="37">
        <f>IF(NOT(OR($A779&lt;&gt;"",$E779&lt;&gt;"",$F779&lt;&gt;"",$G779&lt;&gt;"",$H779&lt;&gt;"",$I779&lt;&gt;"")),"",IF(ISNUMBER($O779),IF(INDEX('請求台帳'!$C$5:$C$1004,$O779)="","",INDEX('請求台帳'!$C$5:$C$1004,$O779)),IF($C779="","",$C779)))</f>
        <v/>
      </c>
      <c r="Q779" s="35">
        <f>IF(OR(NOT(OR($A779&lt;&gt;"",$E779&lt;&gt;"",$F779&lt;&gt;"",$G779&lt;&gt;"",$H779&lt;&gt;"",$I779&lt;&gt;"")),$P779="",$P779&lt;&gt;'売掛帳'!$B$3,NOT(ISNUMBER($A779)),N($G779)+N($H779)+N($I779)=0),"",IF(AND($A779&gt;='売掛帳'!$Q$3,$A779&lt;='売掛帳'!$Q$4),$A779+0.5+ROW()/10000000,""))</f>
        <v/>
      </c>
      <c r="R779" s="32">
        <f>IF(AND(OR($A779&lt;&gt;"",$E779&lt;&gt;"",$F779&lt;&gt;"",$G779&lt;&gt;"",$H779&lt;&gt;"",$I779&lt;&gt;""),NOT(ISNUMBER($O779))),1,"")</f>
        <v/>
      </c>
    </row>
    <row r="780" ht="18" customHeight="1">
      <c r="A780" s="26" t="n"/>
      <c r="B780" s="18" t="n"/>
      <c r="C780" s="18" t="n"/>
      <c r="D780" s="20">
        <f>IF($P780="","",IFERROR(INDEX('得意先'!$C$5:$C$104,MATCH($P780,'得意先'!$B$5:$B$104,0))&amp;"","※得意先にないコード"))</f>
        <v/>
      </c>
      <c r="E780" s="27" t="n"/>
      <c r="F780" s="18" t="n"/>
      <c r="G780" s="27" t="n"/>
      <c r="H780" s="27" t="n"/>
      <c r="I780" s="27" t="n"/>
      <c r="J780" s="28">
        <f>IF(NOT(OR($A780&lt;&gt;"",$E780&lt;&gt;"",$F780&lt;&gt;"",$G780&lt;&gt;"",$H780&lt;&gt;"",$I780&lt;&gt;"")),"",N($G780)+N($H780)+N($I780))</f>
        <v/>
      </c>
      <c r="K780" s="28">
        <f>IF(ISNUMBER($O780),INDEX('請求台帳'!$R$5:$R$1004,$O780),"")</f>
        <v/>
      </c>
      <c r="L780" s="20">
        <f>IF(NOT(OR($A780&lt;&gt;"",$E780&lt;&gt;"",$F780&lt;&gt;"",$G780&lt;&gt;"",$H780&lt;&gt;"",$I780&lt;&gt;"")),"",IF(NOT(ISNUMBER($A780)),"入金日がありません",IF(AND($F780&lt;&gt;"",$O780="なし"),"請求Noが請求台帳にありません",IF(AND(ISNUMBER($O780),$C780&lt;&gt;"",$C780&lt;&gt;$P780),"請求の得意先は "&amp;$P780&amp;" です",IF(ROUND(IF($B780&lt;&gt;"",SUMIF($B$5:$B$1004,$B780,$E$5:$E$1004)-SUMIF($B$5:$B$1004,$B780,$G$5:$G$1004),N($E780)-N($G780)),0)&lt;&gt;0,"通帳の額と当てた額の差 "&amp;TEXT(IF($B780&lt;&gt;"",SUMIF($B$5:$B$1004,$B780,$E$5:$E$1004)-SUMIF($B$5:$B$1004,$B780,$G$5:$G$1004),N($E780)-N($G780)),"#,##0"),IF(AND(ISNUMBER($O780),N($K780)&lt;0),"請求額より多く消し込んでいます",IF($F780="","消込先が未定","OK")))))))</f>
        <v/>
      </c>
      <c r="M780" s="19" t="n"/>
      <c r="N780" s="56" t="n"/>
      <c r="O780" s="32">
        <f>IF($F780="","",IFERROR(MATCH($F780,'請求台帳'!$A$5:$A$1004,0),"なし"))</f>
        <v/>
      </c>
      <c r="P780" s="37">
        <f>IF(NOT(OR($A780&lt;&gt;"",$E780&lt;&gt;"",$F780&lt;&gt;"",$G780&lt;&gt;"",$H780&lt;&gt;"",$I780&lt;&gt;"")),"",IF(ISNUMBER($O780),IF(INDEX('請求台帳'!$C$5:$C$1004,$O780)="","",INDEX('請求台帳'!$C$5:$C$1004,$O780)),IF($C780="","",$C780)))</f>
        <v/>
      </c>
      <c r="Q780" s="35">
        <f>IF(OR(NOT(OR($A780&lt;&gt;"",$E780&lt;&gt;"",$F780&lt;&gt;"",$G780&lt;&gt;"",$H780&lt;&gt;"",$I780&lt;&gt;"")),$P780="",$P780&lt;&gt;'売掛帳'!$B$3,NOT(ISNUMBER($A780)),N($G780)+N($H780)+N($I780)=0),"",IF(AND($A780&gt;='売掛帳'!$Q$3,$A780&lt;='売掛帳'!$Q$4),$A780+0.5+ROW()/10000000,""))</f>
        <v/>
      </c>
      <c r="R780" s="32">
        <f>IF(AND(OR($A780&lt;&gt;"",$E780&lt;&gt;"",$F780&lt;&gt;"",$G780&lt;&gt;"",$H780&lt;&gt;"",$I780&lt;&gt;""),NOT(ISNUMBER($O780))),1,"")</f>
        <v/>
      </c>
    </row>
    <row r="781" ht="18" customHeight="1">
      <c r="A781" s="26" t="n"/>
      <c r="B781" s="18" t="n"/>
      <c r="C781" s="18" t="n"/>
      <c r="D781" s="20">
        <f>IF($P781="","",IFERROR(INDEX('得意先'!$C$5:$C$104,MATCH($P781,'得意先'!$B$5:$B$104,0))&amp;"","※得意先にないコード"))</f>
        <v/>
      </c>
      <c r="E781" s="27" t="n"/>
      <c r="F781" s="18" t="n"/>
      <c r="G781" s="27" t="n"/>
      <c r="H781" s="27" t="n"/>
      <c r="I781" s="27" t="n"/>
      <c r="J781" s="28">
        <f>IF(NOT(OR($A781&lt;&gt;"",$E781&lt;&gt;"",$F781&lt;&gt;"",$G781&lt;&gt;"",$H781&lt;&gt;"",$I781&lt;&gt;"")),"",N($G781)+N($H781)+N($I781))</f>
        <v/>
      </c>
      <c r="K781" s="28">
        <f>IF(ISNUMBER($O781),INDEX('請求台帳'!$R$5:$R$1004,$O781),"")</f>
        <v/>
      </c>
      <c r="L781" s="20">
        <f>IF(NOT(OR($A781&lt;&gt;"",$E781&lt;&gt;"",$F781&lt;&gt;"",$G781&lt;&gt;"",$H781&lt;&gt;"",$I781&lt;&gt;"")),"",IF(NOT(ISNUMBER($A781)),"入金日がありません",IF(AND($F781&lt;&gt;"",$O781="なし"),"請求Noが請求台帳にありません",IF(AND(ISNUMBER($O781),$C781&lt;&gt;"",$C781&lt;&gt;$P781),"請求の得意先は "&amp;$P781&amp;" です",IF(ROUND(IF($B781&lt;&gt;"",SUMIF($B$5:$B$1004,$B781,$E$5:$E$1004)-SUMIF($B$5:$B$1004,$B781,$G$5:$G$1004),N($E781)-N($G781)),0)&lt;&gt;0,"通帳の額と当てた額の差 "&amp;TEXT(IF($B781&lt;&gt;"",SUMIF($B$5:$B$1004,$B781,$E$5:$E$1004)-SUMIF($B$5:$B$1004,$B781,$G$5:$G$1004),N($E781)-N($G781)),"#,##0"),IF(AND(ISNUMBER($O781),N($K781)&lt;0),"請求額より多く消し込んでいます",IF($F781="","消込先が未定","OK")))))))</f>
        <v/>
      </c>
      <c r="M781" s="19" t="n"/>
      <c r="N781" s="56" t="n"/>
      <c r="O781" s="32">
        <f>IF($F781="","",IFERROR(MATCH($F781,'請求台帳'!$A$5:$A$1004,0),"なし"))</f>
        <v/>
      </c>
      <c r="P781" s="37">
        <f>IF(NOT(OR($A781&lt;&gt;"",$E781&lt;&gt;"",$F781&lt;&gt;"",$G781&lt;&gt;"",$H781&lt;&gt;"",$I781&lt;&gt;"")),"",IF(ISNUMBER($O781),IF(INDEX('請求台帳'!$C$5:$C$1004,$O781)="","",INDEX('請求台帳'!$C$5:$C$1004,$O781)),IF($C781="","",$C781)))</f>
        <v/>
      </c>
      <c r="Q781" s="35">
        <f>IF(OR(NOT(OR($A781&lt;&gt;"",$E781&lt;&gt;"",$F781&lt;&gt;"",$G781&lt;&gt;"",$H781&lt;&gt;"",$I781&lt;&gt;"")),$P781="",$P781&lt;&gt;'売掛帳'!$B$3,NOT(ISNUMBER($A781)),N($G781)+N($H781)+N($I781)=0),"",IF(AND($A781&gt;='売掛帳'!$Q$3,$A781&lt;='売掛帳'!$Q$4),$A781+0.5+ROW()/10000000,""))</f>
        <v/>
      </c>
      <c r="R781" s="32">
        <f>IF(AND(OR($A781&lt;&gt;"",$E781&lt;&gt;"",$F781&lt;&gt;"",$G781&lt;&gt;"",$H781&lt;&gt;"",$I781&lt;&gt;""),NOT(ISNUMBER($O781))),1,"")</f>
        <v/>
      </c>
    </row>
    <row r="782" ht="18" customHeight="1">
      <c r="A782" s="26" t="n"/>
      <c r="B782" s="18" t="n"/>
      <c r="C782" s="18" t="n"/>
      <c r="D782" s="20">
        <f>IF($P782="","",IFERROR(INDEX('得意先'!$C$5:$C$104,MATCH($P782,'得意先'!$B$5:$B$104,0))&amp;"","※得意先にないコード"))</f>
        <v/>
      </c>
      <c r="E782" s="27" t="n"/>
      <c r="F782" s="18" t="n"/>
      <c r="G782" s="27" t="n"/>
      <c r="H782" s="27" t="n"/>
      <c r="I782" s="27" t="n"/>
      <c r="J782" s="28">
        <f>IF(NOT(OR($A782&lt;&gt;"",$E782&lt;&gt;"",$F782&lt;&gt;"",$G782&lt;&gt;"",$H782&lt;&gt;"",$I782&lt;&gt;"")),"",N($G782)+N($H782)+N($I782))</f>
        <v/>
      </c>
      <c r="K782" s="28">
        <f>IF(ISNUMBER($O782),INDEX('請求台帳'!$R$5:$R$1004,$O782),"")</f>
        <v/>
      </c>
      <c r="L782" s="20">
        <f>IF(NOT(OR($A782&lt;&gt;"",$E782&lt;&gt;"",$F782&lt;&gt;"",$G782&lt;&gt;"",$H782&lt;&gt;"",$I782&lt;&gt;"")),"",IF(NOT(ISNUMBER($A782)),"入金日がありません",IF(AND($F782&lt;&gt;"",$O782="なし"),"請求Noが請求台帳にありません",IF(AND(ISNUMBER($O782),$C782&lt;&gt;"",$C782&lt;&gt;$P782),"請求の得意先は "&amp;$P782&amp;" です",IF(ROUND(IF($B782&lt;&gt;"",SUMIF($B$5:$B$1004,$B782,$E$5:$E$1004)-SUMIF($B$5:$B$1004,$B782,$G$5:$G$1004),N($E782)-N($G782)),0)&lt;&gt;0,"通帳の額と当てた額の差 "&amp;TEXT(IF($B782&lt;&gt;"",SUMIF($B$5:$B$1004,$B782,$E$5:$E$1004)-SUMIF($B$5:$B$1004,$B782,$G$5:$G$1004),N($E782)-N($G782)),"#,##0"),IF(AND(ISNUMBER($O782),N($K782)&lt;0),"請求額より多く消し込んでいます",IF($F782="","消込先が未定","OK")))))))</f>
        <v/>
      </c>
      <c r="M782" s="19" t="n"/>
      <c r="N782" s="56" t="n"/>
      <c r="O782" s="32">
        <f>IF($F782="","",IFERROR(MATCH($F782,'請求台帳'!$A$5:$A$1004,0),"なし"))</f>
        <v/>
      </c>
      <c r="P782" s="37">
        <f>IF(NOT(OR($A782&lt;&gt;"",$E782&lt;&gt;"",$F782&lt;&gt;"",$G782&lt;&gt;"",$H782&lt;&gt;"",$I782&lt;&gt;"")),"",IF(ISNUMBER($O782),IF(INDEX('請求台帳'!$C$5:$C$1004,$O782)="","",INDEX('請求台帳'!$C$5:$C$1004,$O782)),IF($C782="","",$C782)))</f>
        <v/>
      </c>
      <c r="Q782" s="35">
        <f>IF(OR(NOT(OR($A782&lt;&gt;"",$E782&lt;&gt;"",$F782&lt;&gt;"",$G782&lt;&gt;"",$H782&lt;&gt;"",$I782&lt;&gt;"")),$P782="",$P782&lt;&gt;'売掛帳'!$B$3,NOT(ISNUMBER($A782)),N($G782)+N($H782)+N($I782)=0),"",IF(AND($A782&gt;='売掛帳'!$Q$3,$A782&lt;='売掛帳'!$Q$4),$A782+0.5+ROW()/10000000,""))</f>
        <v/>
      </c>
      <c r="R782" s="32">
        <f>IF(AND(OR($A782&lt;&gt;"",$E782&lt;&gt;"",$F782&lt;&gt;"",$G782&lt;&gt;"",$H782&lt;&gt;"",$I782&lt;&gt;""),NOT(ISNUMBER($O782))),1,"")</f>
        <v/>
      </c>
    </row>
    <row r="783" ht="18" customHeight="1">
      <c r="A783" s="26" t="n"/>
      <c r="B783" s="18" t="n"/>
      <c r="C783" s="18" t="n"/>
      <c r="D783" s="20">
        <f>IF($P783="","",IFERROR(INDEX('得意先'!$C$5:$C$104,MATCH($P783,'得意先'!$B$5:$B$104,0))&amp;"","※得意先にないコード"))</f>
        <v/>
      </c>
      <c r="E783" s="27" t="n"/>
      <c r="F783" s="18" t="n"/>
      <c r="G783" s="27" t="n"/>
      <c r="H783" s="27" t="n"/>
      <c r="I783" s="27" t="n"/>
      <c r="J783" s="28">
        <f>IF(NOT(OR($A783&lt;&gt;"",$E783&lt;&gt;"",$F783&lt;&gt;"",$G783&lt;&gt;"",$H783&lt;&gt;"",$I783&lt;&gt;"")),"",N($G783)+N($H783)+N($I783))</f>
        <v/>
      </c>
      <c r="K783" s="28">
        <f>IF(ISNUMBER($O783),INDEX('請求台帳'!$R$5:$R$1004,$O783),"")</f>
        <v/>
      </c>
      <c r="L783" s="20">
        <f>IF(NOT(OR($A783&lt;&gt;"",$E783&lt;&gt;"",$F783&lt;&gt;"",$G783&lt;&gt;"",$H783&lt;&gt;"",$I783&lt;&gt;"")),"",IF(NOT(ISNUMBER($A783)),"入金日がありません",IF(AND($F783&lt;&gt;"",$O783="なし"),"請求Noが請求台帳にありません",IF(AND(ISNUMBER($O783),$C783&lt;&gt;"",$C783&lt;&gt;$P783),"請求の得意先は "&amp;$P783&amp;" です",IF(ROUND(IF($B783&lt;&gt;"",SUMIF($B$5:$B$1004,$B783,$E$5:$E$1004)-SUMIF($B$5:$B$1004,$B783,$G$5:$G$1004),N($E783)-N($G783)),0)&lt;&gt;0,"通帳の額と当てた額の差 "&amp;TEXT(IF($B783&lt;&gt;"",SUMIF($B$5:$B$1004,$B783,$E$5:$E$1004)-SUMIF($B$5:$B$1004,$B783,$G$5:$G$1004),N($E783)-N($G783)),"#,##0"),IF(AND(ISNUMBER($O783),N($K783)&lt;0),"請求額より多く消し込んでいます",IF($F783="","消込先が未定","OK")))))))</f>
        <v/>
      </c>
      <c r="M783" s="19" t="n"/>
      <c r="N783" s="56" t="n"/>
      <c r="O783" s="32">
        <f>IF($F783="","",IFERROR(MATCH($F783,'請求台帳'!$A$5:$A$1004,0),"なし"))</f>
        <v/>
      </c>
      <c r="P783" s="37">
        <f>IF(NOT(OR($A783&lt;&gt;"",$E783&lt;&gt;"",$F783&lt;&gt;"",$G783&lt;&gt;"",$H783&lt;&gt;"",$I783&lt;&gt;"")),"",IF(ISNUMBER($O783),IF(INDEX('請求台帳'!$C$5:$C$1004,$O783)="","",INDEX('請求台帳'!$C$5:$C$1004,$O783)),IF($C783="","",$C783)))</f>
        <v/>
      </c>
      <c r="Q783" s="35">
        <f>IF(OR(NOT(OR($A783&lt;&gt;"",$E783&lt;&gt;"",$F783&lt;&gt;"",$G783&lt;&gt;"",$H783&lt;&gt;"",$I783&lt;&gt;"")),$P783="",$P783&lt;&gt;'売掛帳'!$B$3,NOT(ISNUMBER($A783)),N($G783)+N($H783)+N($I783)=0),"",IF(AND($A783&gt;='売掛帳'!$Q$3,$A783&lt;='売掛帳'!$Q$4),$A783+0.5+ROW()/10000000,""))</f>
        <v/>
      </c>
      <c r="R783" s="32">
        <f>IF(AND(OR($A783&lt;&gt;"",$E783&lt;&gt;"",$F783&lt;&gt;"",$G783&lt;&gt;"",$H783&lt;&gt;"",$I783&lt;&gt;""),NOT(ISNUMBER($O783))),1,"")</f>
        <v/>
      </c>
    </row>
    <row r="784" ht="18" customHeight="1">
      <c r="A784" s="26" t="n"/>
      <c r="B784" s="18" t="n"/>
      <c r="C784" s="18" t="n"/>
      <c r="D784" s="20">
        <f>IF($P784="","",IFERROR(INDEX('得意先'!$C$5:$C$104,MATCH($P784,'得意先'!$B$5:$B$104,0))&amp;"","※得意先にないコード"))</f>
        <v/>
      </c>
      <c r="E784" s="27" t="n"/>
      <c r="F784" s="18" t="n"/>
      <c r="G784" s="27" t="n"/>
      <c r="H784" s="27" t="n"/>
      <c r="I784" s="27" t="n"/>
      <c r="J784" s="28">
        <f>IF(NOT(OR($A784&lt;&gt;"",$E784&lt;&gt;"",$F784&lt;&gt;"",$G784&lt;&gt;"",$H784&lt;&gt;"",$I784&lt;&gt;"")),"",N($G784)+N($H784)+N($I784))</f>
        <v/>
      </c>
      <c r="K784" s="28">
        <f>IF(ISNUMBER($O784),INDEX('請求台帳'!$R$5:$R$1004,$O784),"")</f>
        <v/>
      </c>
      <c r="L784" s="20">
        <f>IF(NOT(OR($A784&lt;&gt;"",$E784&lt;&gt;"",$F784&lt;&gt;"",$G784&lt;&gt;"",$H784&lt;&gt;"",$I784&lt;&gt;"")),"",IF(NOT(ISNUMBER($A784)),"入金日がありません",IF(AND($F784&lt;&gt;"",$O784="なし"),"請求Noが請求台帳にありません",IF(AND(ISNUMBER($O784),$C784&lt;&gt;"",$C784&lt;&gt;$P784),"請求の得意先は "&amp;$P784&amp;" です",IF(ROUND(IF($B784&lt;&gt;"",SUMIF($B$5:$B$1004,$B784,$E$5:$E$1004)-SUMIF($B$5:$B$1004,$B784,$G$5:$G$1004),N($E784)-N($G784)),0)&lt;&gt;0,"通帳の額と当てた額の差 "&amp;TEXT(IF($B784&lt;&gt;"",SUMIF($B$5:$B$1004,$B784,$E$5:$E$1004)-SUMIF($B$5:$B$1004,$B784,$G$5:$G$1004),N($E784)-N($G784)),"#,##0"),IF(AND(ISNUMBER($O784),N($K784)&lt;0),"請求額より多く消し込んでいます",IF($F784="","消込先が未定","OK")))))))</f>
        <v/>
      </c>
      <c r="M784" s="19" t="n"/>
      <c r="N784" s="56" t="n"/>
      <c r="O784" s="32">
        <f>IF($F784="","",IFERROR(MATCH($F784,'請求台帳'!$A$5:$A$1004,0),"なし"))</f>
        <v/>
      </c>
      <c r="P784" s="37">
        <f>IF(NOT(OR($A784&lt;&gt;"",$E784&lt;&gt;"",$F784&lt;&gt;"",$G784&lt;&gt;"",$H784&lt;&gt;"",$I784&lt;&gt;"")),"",IF(ISNUMBER($O784),IF(INDEX('請求台帳'!$C$5:$C$1004,$O784)="","",INDEX('請求台帳'!$C$5:$C$1004,$O784)),IF($C784="","",$C784)))</f>
        <v/>
      </c>
      <c r="Q784" s="35">
        <f>IF(OR(NOT(OR($A784&lt;&gt;"",$E784&lt;&gt;"",$F784&lt;&gt;"",$G784&lt;&gt;"",$H784&lt;&gt;"",$I784&lt;&gt;"")),$P784="",$P784&lt;&gt;'売掛帳'!$B$3,NOT(ISNUMBER($A784)),N($G784)+N($H784)+N($I784)=0),"",IF(AND($A784&gt;='売掛帳'!$Q$3,$A784&lt;='売掛帳'!$Q$4),$A784+0.5+ROW()/10000000,""))</f>
        <v/>
      </c>
      <c r="R784" s="32">
        <f>IF(AND(OR($A784&lt;&gt;"",$E784&lt;&gt;"",$F784&lt;&gt;"",$G784&lt;&gt;"",$H784&lt;&gt;"",$I784&lt;&gt;""),NOT(ISNUMBER($O784))),1,"")</f>
        <v/>
      </c>
    </row>
    <row r="785" ht="18" customHeight="1">
      <c r="A785" s="26" t="n"/>
      <c r="B785" s="18" t="n"/>
      <c r="C785" s="18" t="n"/>
      <c r="D785" s="20">
        <f>IF($P785="","",IFERROR(INDEX('得意先'!$C$5:$C$104,MATCH($P785,'得意先'!$B$5:$B$104,0))&amp;"","※得意先にないコード"))</f>
        <v/>
      </c>
      <c r="E785" s="27" t="n"/>
      <c r="F785" s="18" t="n"/>
      <c r="G785" s="27" t="n"/>
      <c r="H785" s="27" t="n"/>
      <c r="I785" s="27" t="n"/>
      <c r="J785" s="28">
        <f>IF(NOT(OR($A785&lt;&gt;"",$E785&lt;&gt;"",$F785&lt;&gt;"",$G785&lt;&gt;"",$H785&lt;&gt;"",$I785&lt;&gt;"")),"",N($G785)+N($H785)+N($I785))</f>
        <v/>
      </c>
      <c r="K785" s="28">
        <f>IF(ISNUMBER($O785),INDEX('請求台帳'!$R$5:$R$1004,$O785),"")</f>
        <v/>
      </c>
      <c r="L785" s="20">
        <f>IF(NOT(OR($A785&lt;&gt;"",$E785&lt;&gt;"",$F785&lt;&gt;"",$G785&lt;&gt;"",$H785&lt;&gt;"",$I785&lt;&gt;"")),"",IF(NOT(ISNUMBER($A785)),"入金日がありません",IF(AND($F785&lt;&gt;"",$O785="なし"),"請求Noが請求台帳にありません",IF(AND(ISNUMBER($O785),$C785&lt;&gt;"",$C785&lt;&gt;$P785),"請求の得意先は "&amp;$P785&amp;" です",IF(ROUND(IF($B785&lt;&gt;"",SUMIF($B$5:$B$1004,$B785,$E$5:$E$1004)-SUMIF($B$5:$B$1004,$B785,$G$5:$G$1004),N($E785)-N($G785)),0)&lt;&gt;0,"通帳の額と当てた額の差 "&amp;TEXT(IF($B785&lt;&gt;"",SUMIF($B$5:$B$1004,$B785,$E$5:$E$1004)-SUMIF($B$5:$B$1004,$B785,$G$5:$G$1004),N($E785)-N($G785)),"#,##0"),IF(AND(ISNUMBER($O785),N($K785)&lt;0),"請求額より多く消し込んでいます",IF($F785="","消込先が未定","OK")))))))</f>
        <v/>
      </c>
      <c r="M785" s="19" t="n"/>
      <c r="N785" s="56" t="n"/>
      <c r="O785" s="32">
        <f>IF($F785="","",IFERROR(MATCH($F785,'請求台帳'!$A$5:$A$1004,0),"なし"))</f>
        <v/>
      </c>
      <c r="P785" s="37">
        <f>IF(NOT(OR($A785&lt;&gt;"",$E785&lt;&gt;"",$F785&lt;&gt;"",$G785&lt;&gt;"",$H785&lt;&gt;"",$I785&lt;&gt;"")),"",IF(ISNUMBER($O785),IF(INDEX('請求台帳'!$C$5:$C$1004,$O785)="","",INDEX('請求台帳'!$C$5:$C$1004,$O785)),IF($C785="","",$C785)))</f>
        <v/>
      </c>
      <c r="Q785" s="35">
        <f>IF(OR(NOT(OR($A785&lt;&gt;"",$E785&lt;&gt;"",$F785&lt;&gt;"",$G785&lt;&gt;"",$H785&lt;&gt;"",$I785&lt;&gt;"")),$P785="",$P785&lt;&gt;'売掛帳'!$B$3,NOT(ISNUMBER($A785)),N($G785)+N($H785)+N($I785)=0),"",IF(AND($A785&gt;='売掛帳'!$Q$3,$A785&lt;='売掛帳'!$Q$4),$A785+0.5+ROW()/10000000,""))</f>
        <v/>
      </c>
      <c r="R785" s="32">
        <f>IF(AND(OR($A785&lt;&gt;"",$E785&lt;&gt;"",$F785&lt;&gt;"",$G785&lt;&gt;"",$H785&lt;&gt;"",$I785&lt;&gt;""),NOT(ISNUMBER($O785))),1,"")</f>
        <v/>
      </c>
    </row>
    <row r="786" ht="18" customHeight="1">
      <c r="A786" s="26" t="n"/>
      <c r="B786" s="18" t="n"/>
      <c r="C786" s="18" t="n"/>
      <c r="D786" s="20">
        <f>IF($P786="","",IFERROR(INDEX('得意先'!$C$5:$C$104,MATCH($P786,'得意先'!$B$5:$B$104,0))&amp;"","※得意先にないコード"))</f>
        <v/>
      </c>
      <c r="E786" s="27" t="n"/>
      <c r="F786" s="18" t="n"/>
      <c r="G786" s="27" t="n"/>
      <c r="H786" s="27" t="n"/>
      <c r="I786" s="27" t="n"/>
      <c r="J786" s="28">
        <f>IF(NOT(OR($A786&lt;&gt;"",$E786&lt;&gt;"",$F786&lt;&gt;"",$G786&lt;&gt;"",$H786&lt;&gt;"",$I786&lt;&gt;"")),"",N($G786)+N($H786)+N($I786))</f>
        <v/>
      </c>
      <c r="K786" s="28">
        <f>IF(ISNUMBER($O786),INDEX('請求台帳'!$R$5:$R$1004,$O786),"")</f>
        <v/>
      </c>
      <c r="L786" s="20">
        <f>IF(NOT(OR($A786&lt;&gt;"",$E786&lt;&gt;"",$F786&lt;&gt;"",$G786&lt;&gt;"",$H786&lt;&gt;"",$I786&lt;&gt;"")),"",IF(NOT(ISNUMBER($A786)),"入金日がありません",IF(AND($F786&lt;&gt;"",$O786="なし"),"請求Noが請求台帳にありません",IF(AND(ISNUMBER($O786),$C786&lt;&gt;"",$C786&lt;&gt;$P786),"請求の得意先は "&amp;$P786&amp;" です",IF(ROUND(IF($B786&lt;&gt;"",SUMIF($B$5:$B$1004,$B786,$E$5:$E$1004)-SUMIF($B$5:$B$1004,$B786,$G$5:$G$1004),N($E786)-N($G786)),0)&lt;&gt;0,"通帳の額と当てた額の差 "&amp;TEXT(IF($B786&lt;&gt;"",SUMIF($B$5:$B$1004,$B786,$E$5:$E$1004)-SUMIF($B$5:$B$1004,$B786,$G$5:$G$1004),N($E786)-N($G786)),"#,##0"),IF(AND(ISNUMBER($O786),N($K786)&lt;0),"請求額より多く消し込んでいます",IF($F786="","消込先が未定","OK")))))))</f>
        <v/>
      </c>
      <c r="M786" s="19" t="n"/>
      <c r="N786" s="56" t="n"/>
      <c r="O786" s="32">
        <f>IF($F786="","",IFERROR(MATCH($F786,'請求台帳'!$A$5:$A$1004,0),"なし"))</f>
        <v/>
      </c>
      <c r="P786" s="37">
        <f>IF(NOT(OR($A786&lt;&gt;"",$E786&lt;&gt;"",$F786&lt;&gt;"",$G786&lt;&gt;"",$H786&lt;&gt;"",$I786&lt;&gt;"")),"",IF(ISNUMBER($O786),IF(INDEX('請求台帳'!$C$5:$C$1004,$O786)="","",INDEX('請求台帳'!$C$5:$C$1004,$O786)),IF($C786="","",$C786)))</f>
        <v/>
      </c>
      <c r="Q786" s="35">
        <f>IF(OR(NOT(OR($A786&lt;&gt;"",$E786&lt;&gt;"",$F786&lt;&gt;"",$G786&lt;&gt;"",$H786&lt;&gt;"",$I786&lt;&gt;"")),$P786="",$P786&lt;&gt;'売掛帳'!$B$3,NOT(ISNUMBER($A786)),N($G786)+N($H786)+N($I786)=0),"",IF(AND($A786&gt;='売掛帳'!$Q$3,$A786&lt;='売掛帳'!$Q$4),$A786+0.5+ROW()/10000000,""))</f>
        <v/>
      </c>
      <c r="R786" s="32">
        <f>IF(AND(OR($A786&lt;&gt;"",$E786&lt;&gt;"",$F786&lt;&gt;"",$G786&lt;&gt;"",$H786&lt;&gt;"",$I786&lt;&gt;""),NOT(ISNUMBER($O786))),1,"")</f>
        <v/>
      </c>
    </row>
    <row r="787" ht="18" customHeight="1">
      <c r="A787" s="26" t="n"/>
      <c r="B787" s="18" t="n"/>
      <c r="C787" s="18" t="n"/>
      <c r="D787" s="20">
        <f>IF($P787="","",IFERROR(INDEX('得意先'!$C$5:$C$104,MATCH($P787,'得意先'!$B$5:$B$104,0))&amp;"","※得意先にないコード"))</f>
        <v/>
      </c>
      <c r="E787" s="27" t="n"/>
      <c r="F787" s="18" t="n"/>
      <c r="G787" s="27" t="n"/>
      <c r="H787" s="27" t="n"/>
      <c r="I787" s="27" t="n"/>
      <c r="J787" s="28">
        <f>IF(NOT(OR($A787&lt;&gt;"",$E787&lt;&gt;"",$F787&lt;&gt;"",$G787&lt;&gt;"",$H787&lt;&gt;"",$I787&lt;&gt;"")),"",N($G787)+N($H787)+N($I787))</f>
        <v/>
      </c>
      <c r="K787" s="28">
        <f>IF(ISNUMBER($O787),INDEX('請求台帳'!$R$5:$R$1004,$O787),"")</f>
        <v/>
      </c>
      <c r="L787" s="20">
        <f>IF(NOT(OR($A787&lt;&gt;"",$E787&lt;&gt;"",$F787&lt;&gt;"",$G787&lt;&gt;"",$H787&lt;&gt;"",$I787&lt;&gt;"")),"",IF(NOT(ISNUMBER($A787)),"入金日がありません",IF(AND($F787&lt;&gt;"",$O787="なし"),"請求Noが請求台帳にありません",IF(AND(ISNUMBER($O787),$C787&lt;&gt;"",$C787&lt;&gt;$P787),"請求の得意先は "&amp;$P787&amp;" です",IF(ROUND(IF($B787&lt;&gt;"",SUMIF($B$5:$B$1004,$B787,$E$5:$E$1004)-SUMIF($B$5:$B$1004,$B787,$G$5:$G$1004),N($E787)-N($G787)),0)&lt;&gt;0,"通帳の額と当てた額の差 "&amp;TEXT(IF($B787&lt;&gt;"",SUMIF($B$5:$B$1004,$B787,$E$5:$E$1004)-SUMIF($B$5:$B$1004,$B787,$G$5:$G$1004),N($E787)-N($G787)),"#,##0"),IF(AND(ISNUMBER($O787),N($K787)&lt;0),"請求額より多く消し込んでいます",IF($F787="","消込先が未定","OK")))))))</f>
        <v/>
      </c>
      <c r="M787" s="19" t="n"/>
      <c r="N787" s="56" t="n"/>
      <c r="O787" s="32">
        <f>IF($F787="","",IFERROR(MATCH($F787,'請求台帳'!$A$5:$A$1004,0),"なし"))</f>
        <v/>
      </c>
      <c r="P787" s="37">
        <f>IF(NOT(OR($A787&lt;&gt;"",$E787&lt;&gt;"",$F787&lt;&gt;"",$G787&lt;&gt;"",$H787&lt;&gt;"",$I787&lt;&gt;"")),"",IF(ISNUMBER($O787),IF(INDEX('請求台帳'!$C$5:$C$1004,$O787)="","",INDEX('請求台帳'!$C$5:$C$1004,$O787)),IF($C787="","",$C787)))</f>
        <v/>
      </c>
      <c r="Q787" s="35">
        <f>IF(OR(NOT(OR($A787&lt;&gt;"",$E787&lt;&gt;"",$F787&lt;&gt;"",$G787&lt;&gt;"",$H787&lt;&gt;"",$I787&lt;&gt;"")),$P787="",$P787&lt;&gt;'売掛帳'!$B$3,NOT(ISNUMBER($A787)),N($G787)+N($H787)+N($I787)=0),"",IF(AND($A787&gt;='売掛帳'!$Q$3,$A787&lt;='売掛帳'!$Q$4),$A787+0.5+ROW()/10000000,""))</f>
        <v/>
      </c>
      <c r="R787" s="32">
        <f>IF(AND(OR($A787&lt;&gt;"",$E787&lt;&gt;"",$F787&lt;&gt;"",$G787&lt;&gt;"",$H787&lt;&gt;"",$I787&lt;&gt;""),NOT(ISNUMBER($O787))),1,"")</f>
        <v/>
      </c>
    </row>
    <row r="788" ht="18" customHeight="1">
      <c r="A788" s="26" t="n"/>
      <c r="B788" s="18" t="n"/>
      <c r="C788" s="18" t="n"/>
      <c r="D788" s="20">
        <f>IF($P788="","",IFERROR(INDEX('得意先'!$C$5:$C$104,MATCH($P788,'得意先'!$B$5:$B$104,0))&amp;"","※得意先にないコード"))</f>
        <v/>
      </c>
      <c r="E788" s="27" t="n"/>
      <c r="F788" s="18" t="n"/>
      <c r="G788" s="27" t="n"/>
      <c r="H788" s="27" t="n"/>
      <c r="I788" s="27" t="n"/>
      <c r="J788" s="28">
        <f>IF(NOT(OR($A788&lt;&gt;"",$E788&lt;&gt;"",$F788&lt;&gt;"",$G788&lt;&gt;"",$H788&lt;&gt;"",$I788&lt;&gt;"")),"",N($G788)+N($H788)+N($I788))</f>
        <v/>
      </c>
      <c r="K788" s="28">
        <f>IF(ISNUMBER($O788),INDEX('請求台帳'!$R$5:$R$1004,$O788),"")</f>
        <v/>
      </c>
      <c r="L788" s="20">
        <f>IF(NOT(OR($A788&lt;&gt;"",$E788&lt;&gt;"",$F788&lt;&gt;"",$G788&lt;&gt;"",$H788&lt;&gt;"",$I788&lt;&gt;"")),"",IF(NOT(ISNUMBER($A788)),"入金日がありません",IF(AND($F788&lt;&gt;"",$O788="なし"),"請求Noが請求台帳にありません",IF(AND(ISNUMBER($O788),$C788&lt;&gt;"",$C788&lt;&gt;$P788),"請求の得意先は "&amp;$P788&amp;" です",IF(ROUND(IF($B788&lt;&gt;"",SUMIF($B$5:$B$1004,$B788,$E$5:$E$1004)-SUMIF($B$5:$B$1004,$B788,$G$5:$G$1004),N($E788)-N($G788)),0)&lt;&gt;0,"通帳の額と当てた額の差 "&amp;TEXT(IF($B788&lt;&gt;"",SUMIF($B$5:$B$1004,$B788,$E$5:$E$1004)-SUMIF($B$5:$B$1004,$B788,$G$5:$G$1004),N($E788)-N($G788)),"#,##0"),IF(AND(ISNUMBER($O788),N($K788)&lt;0),"請求額より多く消し込んでいます",IF($F788="","消込先が未定","OK")))))))</f>
        <v/>
      </c>
      <c r="M788" s="19" t="n"/>
      <c r="N788" s="56" t="n"/>
      <c r="O788" s="32">
        <f>IF($F788="","",IFERROR(MATCH($F788,'請求台帳'!$A$5:$A$1004,0),"なし"))</f>
        <v/>
      </c>
      <c r="P788" s="37">
        <f>IF(NOT(OR($A788&lt;&gt;"",$E788&lt;&gt;"",$F788&lt;&gt;"",$G788&lt;&gt;"",$H788&lt;&gt;"",$I788&lt;&gt;"")),"",IF(ISNUMBER($O788),IF(INDEX('請求台帳'!$C$5:$C$1004,$O788)="","",INDEX('請求台帳'!$C$5:$C$1004,$O788)),IF($C788="","",$C788)))</f>
        <v/>
      </c>
      <c r="Q788" s="35">
        <f>IF(OR(NOT(OR($A788&lt;&gt;"",$E788&lt;&gt;"",$F788&lt;&gt;"",$G788&lt;&gt;"",$H788&lt;&gt;"",$I788&lt;&gt;"")),$P788="",$P788&lt;&gt;'売掛帳'!$B$3,NOT(ISNUMBER($A788)),N($G788)+N($H788)+N($I788)=0),"",IF(AND($A788&gt;='売掛帳'!$Q$3,$A788&lt;='売掛帳'!$Q$4),$A788+0.5+ROW()/10000000,""))</f>
        <v/>
      </c>
      <c r="R788" s="32">
        <f>IF(AND(OR($A788&lt;&gt;"",$E788&lt;&gt;"",$F788&lt;&gt;"",$G788&lt;&gt;"",$H788&lt;&gt;"",$I788&lt;&gt;""),NOT(ISNUMBER($O788))),1,"")</f>
        <v/>
      </c>
    </row>
    <row r="789" ht="18" customHeight="1">
      <c r="A789" s="26" t="n"/>
      <c r="B789" s="18" t="n"/>
      <c r="C789" s="18" t="n"/>
      <c r="D789" s="20">
        <f>IF($P789="","",IFERROR(INDEX('得意先'!$C$5:$C$104,MATCH($P789,'得意先'!$B$5:$B$104,0))&amp;"","※得意先にないコード"))</f>
        <v/>
      </c>
      <c r="E789" s="27" t="n"/>
      <c r="F789" s="18" t="n"/>
      <c r="G789" s="27" t="n"/>
      <c r="H789" s="27" t="n"/>
      <c r="I789" s="27" t="n"/>
      <c r="J789" s="28">
        <f>IF(NOT(OR($A789&lt;&gt;"",$E789&lt;&gt;"",$F789&lt;&gt;"",$G789&lt;&gt;"",$H789&lt;&gt;"",$I789&lt;&gt;"")),"",N($G789)+N($H789)+N($I789))</f>
        <v/>
      </c>
      <c r="K789" s="28">
        <f>IF(ISNUMBER($O789),INDEX('請求台帳'!$R$5:$R$1004,$O789),"")</f>
        <v/>
      </c>
      <c r="L789" s="20">
        <f>IF(NOT(OR($A789&lt;&gt;"",$E789&lt;&gt;"",$F789&lt;&gt;"",$G789&lt;&gt;"",$H789&lt;&gt;"",$I789&lt;&gt;"")),"",IF(NOT(ISNUMBER($A789)),"入金日がありません",IF(AND($F789&lt;&gt;"",$O789="なし"),"請求Noが請求台帳にありません",IF(AND(ISNUMBER($O789),$C789&lt;&gt;"",$C789&lt;&gt;$P789),"請求の得意先は "&amp;$P789&amp;" です",IF(ROUND(IF($B789&lt;&gt;"",SUMIF($B$5:$B$1004,$B789,$E$5:$E$1004)-SUMIF($B$5:$B$1004,$B789,$G$5:$G$1004),N($E789)-N($G789)),0)&lt;&gt;0,"通帳の額と当てた額の差 "&amp;TEXT(IF($B789&lt;&gt;"",SUMIF($B$5:$B$1004,$B789,$E$5:$E$1004)-SUMIF($B$5:$B$1004,$B789,$G$5:$G$1004),N($E789)-N($G789)),"#,##0"),IF(AND(ISNUMBER($O789),N($K789)&lt;0),"請求額より多く消し込んでいます",IF($F789="","消込先が未定","OK")))))))</f>
        <v/>
      </c>
      <c r="M789" s="19" t="n"/>
      <c r="N789" s="56" t="n"/>
      <c r="O789" s="32">
        <f>IF($F789="","",IFERROR(MATCH($F789,'請求台帳'!$A$5:$A$1004,0),"なし"))</f>
        <v/>
      </c>
      <c r="P789" s="37">
        <f>IF(NOT(OR($A789&lt;&gt;"",$E789&lt;&gt;"",$F789&lt;&gt;"",$G789&lt;&gt;"",$H789&lt;&gt;"",$I789&lt;&gt;"")),"",IF(ISNUMBER($O789),IF(INDEX('請求台帳'!$C$5:$C$1004,$O789)="","",INDEX('請求台帳'!$C$5:$C$1004,$O789)),IF($C789="","",$C789)))</f>
        <v/>
      </c>
      <c r="Q789" s="35">
        <f>IF(OR(NOT(OR($A789&lt;&gt;"",$E789&lt;&gt;"",$F789&lt;&gt;"",$G789&lt;&gt;"",$H789&lt;&gt;"",$I789&lt;&gt;"")),$P789="",$P789&lt;&gt;'売掛帳'!$B$3,NOT(ISNUMBER($A789)),N($G789)+N($H789)+N($I789)=0),"",IF(AND($A789&gt;='売掛帳'!$Q$3,$A789&lt;='売掛帳'!$Q$4),$A789+0.5+ROW()/10000000,""))</f>
        <v/>
      </c>
      <c r="R789" s="32">
        <f>IF(AND(OR($A789&lt;&gt;"",$E789&lt;&gt;"",$F789&lt;&gt;"",$G789&lt;&gt;"",$H789&lt;&gt;"",$I789&lt;&gt;""),NOT(ISNUMBER($O789))),1,"")</f>
        <v/>
      </c>
    </row>
    <row r="790" ht="18" customHeight="1">
      <c r="A790" s="26" t="n"/>
      <c r="B790" s="18" t="n"/>
      <c r="C790" s="18" t="n"/>
      <c r="D790" s="20">
        <f>IF($P790="","",IFERROR(INDEX('得意先'!$C$5:$C$104,MATCH($P790,'得意先'!$B$5:$B$104,0))&amp;"","※得意先にないコード"))</f>
        <v/>
      </c>
      <c r="E790" s="27" t="n"/>
      <c r="F790" s="18" t="n"/>
      <c r="G790" s="27" t="n"/>
      <c r="H790" s="27" t="n"/>
      <c r="I790" s="27" t="n"/>
      <c r="J790" s="28">
        <f>IF(NOT(OR($A790&lt;&gt;"",$E790&lt;&gt;"",$F790&lt;&gt;"",$G790&lt;&gt;"",$H790&lt;&gt;"",$I790&lt;&gt;"")),"",N($G790)+N($H790)+N($I790))</f>
        <v/>
      </c>
      <c r="K790" s="28">
        <f>IF(ISNUMBER($O790),INDEX('請求台帳'!$R$5:$R$1004,$O790),"")</f>
        <v/>
      </c>
      <c r="L790" s="20">
        <f>IF(NOT(OR($A790&lt;&gt;"",$E790&lt;&gt;"",$F790&lt;&gt;"",$G790&lt;&gt;"",$H790&lt;&gt;"",$I790&lt;&gt;"")),"",IF(NOT(ISNUMBER($A790)),"入金日がありません",IF(AND($F790&lt;&gt;"",$O790="なし"),"請求Noが請求台帳にありません",IF(AND(ISNUMBER($O790),$C790&lt;&gt;"",$C790&lt;&gt;$P790),"請求の得意先は "&amp;$P790&amp;" です",IF(ROUND(IF($B790&lt;&gt;"",SUMIF($B$5:$B$1004,$B790,$E$5:$E$1004)-SUMIF($B$5:$B$1004,$B790,$G$5:$G$1004),N($E790)-N($G790)),0)&lt;&gt;0,"通帳の額と当てた額の差 "&amp;TEXT(IF($B790&lt;&gt;"",SUMIF($B$5:$B$1004,$B790,$E$5:$E$1004)-SUMIF($B$5:$B$1004,$B790,$G$5:$G$1004),N($E790)-N($G790)),"#,##0"),IF(AND(ISNUMBER($O790),N($K790)&lt;0),"請求額より多く消し込んでいます",IF($F790="","消込先が未定","OK")))))))</f>
        <v/>
      </c>
      <c r="M790" s="19" t="n"/>
      <c r="N790" s="56" t="n"/>
      <c r="O790" s="32">
        <f>IF($F790="","",IFERROR(MATCH($F790,'請求台帳'!$A$5:$A$1004,0),"なし"))</f>
        <v/>
      </c>
      <c r="P790" s="37">
        <f>IF(NOT(OR($A790&lt;&gt;"",$E790&lt;&gt;"",$F790&lt;&gt;"",$G790&lt;&gt;"",$H790&lt;&gt;"",$I790&lt;&gt;"")),"",IF(ISNUMBER($O790),IF(INDEX('請求台帳'!$C$5:$C$1004,$O790)="","",INDEX('請求台帳'!$C$5:$C$1004,$O790)),IF($C790="","",$C790)))</f>
        <v/>
      </c>
      <c r="Q790" s="35">
        <f>IF(OR(NOT(OR($A790&lt;&gt;"",$E790&lt;&gt;"",$F790&lt;&gt;"",$G790&lt;&gt;"",$H790&lt;&gt;"",$I790&lt;&gt;"")),$P790="",$P790&lt;&gt;'売掛帳'!$B$3,NOT(ISNUMBER($A790)),N($G790)+N($H790)+N($I790)=0),"",IF(AND($A790&gt;='売掛帳'!$Q$3,$A790&lt;='売掛帳'!$Q$4),$A790+0.5+ROW()/10000000,""))</f>
        <v/>
      </c>
      <c r="R790" s="32">
        <f>IF(AND(OR($A790&lt;&gt;"",$E790&lt;&gt;"",$F790&lt;&gt;"",$G790&lt;&gt;"",$H790&lt;&gt;"",$I790&lt;&gt;""),NOT(ISNUMBER($O790))),1,"")</f>
        <v/>
      </c>
    </row>
    <row r="791" ht="18" customHeight="1">
      <c r="A791" s="26" t="n"/>
      <c r="B791" s="18" t="n"/>
      <c r="C791" s="18" t="n"/>
      <c r="D791" s="20">
        <f>IF($P791="","",IFERROR(INDEX('得意先'!$C$5:$C$104,MATCH($P791,'得意先'!$B$5:$B$104,0))&amp;"","※得意先にないコード"))</f>
        <v/>
      </c>
      <c r="E791" s="27" t="n"/>
      <c r="F791" s="18" t="n"/>
      <c r="G791" s="27" t="n"/>
      <c r="H791" s="27" t="n"/>
      <c r="I791" s="27" t="n"/>
      <c r="J791" s="28">
        <f>IF(NOT(OR($A791&lt;&gt;"",$E791&lt;&gt;"",$F791&lt;&gt;"",$G791&lt;&gt;"",$H791&lt;&gt;"",$I791&lt;&gt;"")),"",N($G791)+N($H791)+N($I791))</f>
        <v/>
      </c>
      <c r="K791" s="28">
        <f>IF(ISNUMBER($O791),INDEX('請求台帳'!$R$5:$R$1004,$O791),"")</f>
        <v/>
      </c>
      <c r="L791" s="20">
        <f>IF(NOT(OR($A791&lt;&gt;"",$E791&lt;&gt;"",$F791&lt;&gt;"",$G791&lt;&gt;"",$H791&lt;&gt;"",$I791&lt;&gt;"")),"",IF(NOT(ISNUMBER($A791)),"入金日がありません",IF(AND($F791&lt;&gt;"",$O791="なし"),"請求Noが請求台帳にありません",IF(AND(ISNUMBER($O791),$C791&lt;&gt;"",$C791&lt;&gt;$P791),"請求の得意先は "&amp;$P791&amp;" です",IF(ROUND(IF($B791&lt;&gt;"",SUMIF($B$5:$B$1004,$B791,$E$5:$E$1004)-SUMIF($B$5:$B$1004,$B791,$G$5:$G$1004),N($E791)-N($G791)),0)&lt;&gt;0,"通帳の額と当てた額の差 "&amp;TEXT(IF($B791&lt;&gt;"",SUMIF($B$5:$B$1004,$B791,$E$5:$E$1004)-SUMIF($B$5:$B$1004,$B791,$G$5:$G$1004),N($E791)-N($G791)),"#,##0"),IF(AND(ISNUMBER($O791),N($K791)&lt;0),"請求額より多く消し込んでいます",IF($F791="","消込先が未定","OK")))))))</f>
        <v/>
      </c>
      <c r="M791" s="19" t="n"/>
      <c r="N791" s="56" t="n"/>
      <c r="O791" s="32">
        <f>IF($F791="","",IFERROR(MATCH($F791,'請求台帳'!$A$5:$A$1004,0),"なし"))</f>
        <v/>
      </c>
      <c r="P791" s="37">
        <f>IF(NOT(OR($A791&lt;&gt;"",$E791&lt;&gt;"",$F791&lt;&gt;"",$G791&lt;&gt;"",$H791&lt;&gt;"",$I791&lt;&gt;"")),"",IF(ISNUMBER($O791),IF(INDEX('請求台帳'!$C$5:$C$1004,$O791)="","",INDEX('請求台帳'!$C$5:$C$1004,$O791)),IF($C791="","",$C791)))</f>
        <v/>
      </c>
      <c r="Q791" s="35">
        <f>IF(OR(NOT(OR($A791&lt;&gt;"",$E791&lt;&gt;"",$F791&lt;&gt;"",$G791&lt;&gt;"",$H791&lt;&gt;"",$I791&lt;&gt;"")),$P791="",$P791&lt;&gt;'売掛帳'!$B$3,NOT(ISNUMBER($A791)),N($G791)+N($H791)+N($I791)=0),"",IF(AND($A791&gt;='売掛帳'!$Q$3,$A791&lt;='売掛帳'!$Q$4),$A791+0.5+ROW()/10000000,""))</f>
        <v/>
      </c>
      <c r="R791" s="32">
        <f>IF(AND(OR($A791&lt;&gt;"",$E791&lt;&gt;"",$F791&lt;&gt;"",$G791&lt;&gt;"",$H791&lt;&gt;"",$I791&lt;&gt;""),NOT(ISNUMBER($O791))),1,"")</f>
        <v/>
      </c>
    </row>
    <row r="792" ht="18" customHeight="1">
      <c r="A792" s="26" t="n"/>
      <c r="B792" s="18" t="n"/>
      <c r="C792" s="18" t="n"/>
      <c r="D792" s="20">
        <f>IF($P792="","",IFERROR(INDEX('得意先'!$C$5:$C$104,MATCH($P792,'得意先'!$B$5:$B$104,0))&amp;"","※得意先にないコード"))</f>
        <v/>
      </c>
      <c r="E792" s="27" t="n"/>
      <c r="F792" s="18" t="n"/>
      <c r="G792" s="27" t="n"/>
      <c r="H792" s="27" t="n"/>
      <c r="I792" s="27" t="n"/>
      <c r="J792" s="28">
        <f>IF(NOT(OR($A792&lt;&gt;"",$E792&lt;&gt;"",$F792&lt;&gt;"",$G792&lt;&gt;"",$H792&lt;&gt;"",$I792&lt;&gt;"")),"",N($G792)+N($H792)+N($I792))</f>
        <v/>
      </c>
      <c r="K792" s="28">
        <f>IF(ISNUMBER($O792),INDEX('請求台帳'!$R$5:$R$1004,$O792),"")</f>
        <v/>
      </c>
      <c r="L792" s="20">
        <f>IF(NOT(OR($A792&lt;&gt;"",$E792&lt;&gt;"",$F792&lt;&gt;"",$G792&lt;&gt;"",$H792&lt;&gt;"",$I792&lt;&gt;"")),"",IF(NOT(ISNUMBER($A792)),"入金日がありません",IF(AND($F792&lt;&gt;"",$O792="なし"),"請求Noが請求台帳にありません",IF(AND(ISNUMBER($O792),$C792&lt;&gt;"",$C792&lt;&gt;$P792),"請求の得意先は "&amp;$P792&amp;" です",IF(ROUND(IF($B792&lt;&gt;"",SUMIF($B$5:$B$1004,$B792,$E$5:$E$1004)-SUMIF($B$5:$B$1004,$B792,$G$5:$G$1004),N($E792)-N($G792)),0)&lt;&gt;0,"通帳の額と当てた額の差 "&amp;TEXT(IF($B792&lt;&gt;"",SUMIF($B$5:$B$1004,$B792,$E$5:$E$1004)-SUMIF($B$5:$B$1004,$B792,$G$5:$G$1004),N($E792)-N($G792)),"#,##0"),IF(AND(ISNUMBER($O792),N($K792)&lt;0),"請求額より多く消し込んでいます",IF($F792="","消込先が未定","OK")))))))</f>
        <v/>
      </c>
      <c r="M792" s="19" t="n"/>
      <c r="N792" s="56" t="n"/>
      <c r="O792" s="32">
        <f>IF($F792="","",IFERROR(MATCH($F792,'請求台帳'!$A$5:$A$1004,0),"なし"))</f>
        <v/>
      </c>
      <c r="P792" s="37">
        <f>IF(NOT(OR($A792&lt;&gt;"",$E792&lt;&gt;"",$F792&lt;&gt;"",$G792&lt;&gt;"",$H792&lt;&gt;"",$I792&lt;&gt;"")),"",IF(ISNUMBER($O792),IF(INDEX('請求台帳'!$C$5:$C$1004,$O792)="","",INDEX('請求台帳'!$C$5:$C$1004,$O792)),IF($C792="","",$C792)))</f>
        <v/>
      </c>
      <c r="Q792" s="35">
        <f>IF(OR(NOT(OR($A792&lt;&gt;"",$E792&lt;&gt;"",$F792&lt;&gt;"",$G792&lt;&gt;"",$H792&lt;&gt;"",$I792&lt;&gt;"")),$P792="",$P792&lt;&gt;'売掛帳'!$B$3,NOT(ISNUMBER($A792)),N($G792)+N($H792)+N($I792)=0),"",IF(AND($A792&gt;='売掛帳'!$Q$3,$A792&lt;='売掛帳'!$Q$4),$A792+0.5+ROW()/10000000,""))</f>
        <v/>
      </c>
      <c r="R792" s="32">
        <f>IF(AND(OR($A792&lt;&gt;"",$E792&lt;&gt;"",$F792&lt;&gt;"",$G792&lt;&gt;"",$H792&lt;&gt;"",$I792&lt;&gt;""),NOT(ISNUMBER($O792))),1,"")</f>
        <v/>
      </c>
    </row>
    <row r="793" ht="18" customHeight="1">
      <c r="A793" s="26" t="n"/>
      <c r="B793" s="18" t="n"/>
      <c r="C793" s="18" t="n"/>
      <c r="D793" s="20">
        <f>IF($P793="","",IFERROR(INDEX('得意先'!$C$5:$C$104,MATCH($P793,'得意先'!$B$5:$B$104,0))&amp;"","※得意先にないコード"))</f>
        <v/>
      </c>
      <c r="E793" s="27" t="n"/>
      <c r="F793" s="18" t="n"/>
      <c r="G793" s="27" t="n"/>
      <c r="H793" s="27" t="n"/>
      <c r="I793" s="27" t="n"/>
      <c r="J793" s="28">
        <f>IF(NOT(OR($A793&lt;&gt;"",$E793&lt;&gt;"",$F793&lt;&gt;"",$G793&lt;&gt;"",$H793&lt;&gt;"",$I793&lt;&gt;"")),"",N($G793)+N($H793)+N($I793))</f>
        <v/>
      </c>
      <c r="K793" s="28">
        <f>IF(ISNUMBER($O793),INDEX('請求台帳'!$R$5:$R$1004,$O793),"")</f>
        <v/>
      </c>
      <c r="L793" s="20">
        <f>IF(NOT(OR($A793&lt;&gt;"",$E793&lt;&gt;"",$F793&lt;&gt;"",$G793&lt;&gt;"",$H793&lt;&gt;"",$I793&lt;&gt;"")),"",IF(NOT(ISNUMBER($A793)),"入金日がありません",IF(AND($F793&lt;&gt;"",$O793="なし"),"請求Noが請求台帳にありません",IF(AND(ISNUMBER($O793),$C793&lt;&gt;"",$C793&lt;&gt;$P793),"請求の得意先は "&amp;$P793&amp;" です",IF(ROUND(IF($B793&lt;&gt;"",SUMIF($B$5:$B$1004,$B793,$E$5:$E$1004)-SUMIF($B$5:$B$1004,$B793,$G$5:$G$1004),N($E793)-N($G793)),0)&lt;&gt;0,"通帳の額と当てた額の差 "&amp;TEXT(IF($B793&lt;&gt;"",SUMIF($B$5:$B$1004,$B793,$E$5:$E$1004)-SUMIF($B$5:$B$1004,$B793,$G$5:$G$1004),N($E793)-N($G793)),"#,##0"),IF(AND(ISNUMBER($O793),N($K793)&lt;0),"請求額より多く消し込んでいます",IF($F793="","消込先が未定","OK")))))))</f>
        <v/>
      </c>
      <c r="M793" s="19" t="n"/>
      <c r="N793" s="56" t="n"/>
      <c r="O793" s="32">
        <f>IF($F793="","",IFERROR(MATCH($F793,'請求台帳'!$A$5:$A$1004,0),"なし"))</f>
        <v/>
      </c>
      <c r="P793" s="37">
        <f>IF(NOT(OR($A793&lt;&gt;"",$E793&lt;&gt;"",$F793&lt;&gt;"",$G793&lt;&gt;"",$H793&lt;&gt;"",$I793&lt;&gt;"")),"",IF(ISNUMBER($O793),IF(INDEX('請求台帳'!$C$5:$C$1004,$O793)="","",INDEX('請求台帳'!$C$5:$C$1004,$O793)),IF($C793="","",$C793)))</f>
        <v/>
      </c>
      <c r="Q793" s="35">
        <f>IF(OR(NOT(OR($A793&lt;&gt;"",$E793&lt;&gt;"",$F793&lt;&gt;"",$G793&lt;&gt;"",$H793&lt;&gt;"",$I793&lt;&gt;"")),$P793="",$P793&lt;&gt;'売掛帳'!$B$3,NOT(ISNUMBER($A793)),N($G793)+N($H793)+N($I793)=0),"",IF(AND($A793&gt;='売掛帳'!$Q$3,$A793&lt;='売掛帳'!$Q$4),$A793+0.5+ROW()/10000000,""))</f>
        <v/>
      </c>
      <c r="R793" s="32">
        <f>IF(AND(OR($A793&lt;&gt;"",$E793&lt;&gt;"",$F793&lt;&gt;"",$G793&lt;&gt;"",$H793&lt;&gt;"",$I793&lt;&gt;""),NOT(ISNUMBER($O793))),1,"")</f>
        <v/>
      </c>
    </row>
    <row r="794" ht="18" customHeight="1">
      <c r="A794" s="26" t="n"/>
      <c r="B794" s="18" t="n"/>
      <c r="C794" s="18" t="n"/>
      <c r="D794" s="20">
        <f>IF($P794="","",IFERROR(INDEX('得意先'!$C$5:$C$104,MATCH($P794,'得意先'!$B$5:$B$104,0))&amp;"","※得意先にないコード"))</f>
        <v/>
      </c>
      <c r="E794" s="27" t="n"/>
      <c r="F794" s="18" t="n"/>
      <c r="G794" s="27" t="n"/>
      <c r="H794" s="27" t="n"/>
      <c r="I794" s="27" t="n"/>
      <c r="J794" s="28">
        <f>IF(NOT(OR($A794&lt;&gt;"",$E794&lt;&gt;"",$F794&lt;&gt;"",$G794&lt;&gt;"",$H794&lt;&gt;"",$I794&lt;&gt;"")),"",N($G794)+N($H794)+N($I794))</f>
        <v/>
      </c>
      <c r="K794" s="28">
        <f>IF(ISNUMBER($O794),INDEX('請求台帳'!$R$5:$R$1004,$O794),"")</f>
        <v/>
      </c>
      <c r="L794" s="20">
        <f>IF(NOT(OR($A794&lt;&gt;"",$E794&lt;&gt;"",$F794&lt;&gt;"",$G794&lt;&gt;"",$H794&lt;&gt;"",$I794&lt;&gt;"")),"",IF(NOT(ISNUMBER($A794)),"入金日がありません",IF(AND($F794&lt;&gt;"",$O794="なし"),"請求Noが請求台帳にありません",IF(AND(ISNUMBER($O794),$C794&lt;&gt;"",$C794&lt;&gt;$P794),"請求の得意先は "&amp;$P794&amp;" です",IF(ROUND(IF($B794&lt;&gt;"",SUMIF($B$5:$B$1004,$B794,$E$5:$E$1004)-SUMIF($B$5:$B$1004,$B794,$G$5:$G$1004),N($E794)-N($G794)),0)&lt;&gt;0,"通帳の額と当てた額の差 "&amp;TEXT(IF($B794&lt;&gt;"",SUMIF($B$5:$B$1004,$B794,$E$5:$E$1004)-SUMIF($B$5:$B$1004,$B794,$G$5:$G$1004),N($E794)-N($G794)),"#,##0"),IF(AND(ISNUMBER($O794),N($K794)&lt;0),"請求額より多く消し込んでいます",IF($F794="","消込先が未定","OK")))))))</f>
        <v/>
      </c>
      <c r="M794" s="19" t="n"/>
      <c r="N794" s="56" t="n"/>
      <c r="O794" s="32">
        <f>IF($F794="","",IFERROR(MATCH($F794,'請求台帳'!$A$5:$A$1004,0),"なし"))</f>
        <v/>
      </c>
      <c r="P794" s="37">
        <f>IF(NOT(OR($A794&lt;&gt;"",$E794&lt;&gt;"",$F794&lt;&gt;"",$G794&lt;&gt;"",$H794&lt;&gt;"",$I794&lt;&gt;"")),"",IF(ISNUMBER($O794),IF(INDEX('請求台帳'!$C$5:$C$1004,$O794)="","",INDEX('請求台帳'!$C$5:$C$1004,$O794)),IF($C794="","",$C794)))</f>
        <v/>
      </c>
      <c r="Q794" s="35">
        <f>IF(OR(NOT(OR($A794&lt;&gt;"",$E794&lt;&gt;"",$F794&lt;&gt;"",$G794&lt;&gt;"",$H794&lt;&gt;"",$I794&lt;&gt;"")),$P794="",$P794&lt;&gt;'売掛帳'!$B$3,NOT(ISNUMBER($A794)),N($G794)+N($H794)+N($I794)=0),"",IF(AND($A794&gt;='売掛帳'!$Q$3,$A794&lt;='売掛帳'!$Q$4),$A794+0.5+ROW()/10000000,""))</f>
        <v/>
      </c>
      <c r="R794" s="32">
        <f>IF(AND(OR($A794&lt;&gt;"",$E794&lt;&gt;"",$F794&lt;&gt;"",$G794&lt;&gt;"",$H794&lt;&gt;"",$I794&lt;&gt;""),NOT(ISNUMBER($O794))),1,"")</f>
        <v/>
      </c>
    </row>
    <row r="795" ht="18" customHeight="1">
      <c r="A795" s="26" t="n"/>
      <c r="B795" s="18" t="n"/>
      <c r="C795" s="18" t="n"/>
      <c r="D795" s="20">
        <f>IF($P795="","",IFERROR(INDEX('得意先'!$C$5:$C$104,MATCH($P795,'得意先'!$B$5:$B$104,0))&amp;"","※得意先にないコード"))</f>
        <v/>
      </c>
      <c r="E795" s="27" t="n"/>
      <c r="F795" s="18" t="n"/>
      <c r="G795" s="27" t="n"/>
      <c r="H795" s="27" t="n"/>
      <c r="I795" s="27" t="n"/>
      <c r="J795" s="28">
        <f>IF(NOT(OR($A795&lt;&gt;"",$E795&lt;&gt;"",$F795&lt;&gt;"",$G795&lt;&gt;"",$H795&lt;&gt;"",$I795&lt;&gt;"")),"",N($G795)+N($H795)+N($I795))</f>
        <v/>
      </c>
      <c r="K795" s="28">
        <f>IF(ISNUMBER($O795),INDEX('請求台帳'!$R$5:$R$1004,$O795),"")</f>
        <v/>
      </c>
      <c r="L795" s="20">
        <f>IF(NOT(OR($A795&lt;&gt;"",$E795&lt;&gt;"",$F795&lt;&gt;"",$G795&lt;&gt;"",$H795&lt;&gt;"",$I795&lt;&gt;"")),"",IF(NOT(ISNUMBER($A795)),"入金日がありません",IF(AND($F795&lt;&gt;"",$O795="なし"),"請求Noが請求台帳にありません",IF(AND(ISNUMBER($O795),$C795&lt;&gt;"",$C795&lt;&gt;$P795),"請求の得意先は "&amp;$P795&amp;" です",IF(ROUND(IF($B795&lt;&gt;"",SUMIF($B$5:$B$1004,$B795,$E$5:$E$1004)-SUMIF($B$5:$B$1004,$B795,$G$5:$G$1004),N($E795)-N($G795)),0)&lt;&gt;0,"通帳の額と当てた額の差 "&amp;TEXT(IF($B795&lt;&gt;"",SUMIF($B$5:$B$1004,$B795,$E$5:$E$1004)-SUMIF($B$5:$B$1004,$B795,$G$5:$G$1004),N($E795)-N($G795)),"#,##0"),IF(AND(ISNUMBER($O795),N($K795)&lt;0),"請求額より多く消し込んでいます",IF($F795="","消込先が未定","OK")))))))</f>
        <v/>
      </c>
      <c r="M795" s="19" t="n"/>
      <c r="N795" s="56" t="n"/>
      <c r="O795" s="32">
        <f>IF($F795="","",IFERROR(MATCH($F795,'請求台帳'!$A$5:$A$1004,0),"なし"))</f>
        <v/>
      </c>
      <c r="P795" s="37">
        <f>IF(NOT(OR($A795&lt;&gt;"",$E795&lt;&gt;"",$F795&lt;&gt;"",$G795&lt;&gt;"",$H795&lt;&gt;"",$I795&lt;&gt;"")),"",IF(ISNUMBER($O795),IF(INDEX('請求台帳'!$C$5:$C$1004,$O795)="","",INDEX('請求台帳'!$C$5:$C$1004,$O795)),IF($C795="","",$C795)))</f>
        <v/>
      </c>
      <c r="Q795" s="35">
        <f>IF(OR(NOT(OR($A795&lt;&gt;"",$E795&lt;&gt;"",$F795&lt;&gt;"",$G795&lt;&gt;"",$H795&lt;&gt;"",$I795&lt;&gt;"")),$P795="",$P795&lt;&gt;'売掛帳'!$B$3,NOT(ISNUMBER($A795)),N($G795)+N($H795)+N($I795)=0),"",IF(AND($A795&gt;='売掛帳'!$Q$3,$A795&lt;='売掛帳'!$Q$4),$A795+0.5+ROW()/10000000,""))</f>
        <v/>
      </c>
      <c r="R795" s="32">
        <f>IF(AND(OR($A795&lt;&gt;"",$E795&lt;&gt;"",$F795&lt;&gt;"",$G795&lt;&gt;"",$H795&lt;&gt;"",$I795&lt;&gt;""),NOT(ISNUMBER($O795))),1,"")</f>
        <v/>
      </c>
    </row>
    <row r="796" ht="18" customHeight="1">
      <c r="A796" s="26" t="n"/>
      <c r="B796" s="18" t="n"/>
      <c r="C796" s="18" t="n"/>
      <c r="D796" s="20">
        <f>IF($P796="","",IFERROR(INDEX('得意先'!$C$5:$C$104,MATCH($P796,'得意先'!$B$5:$B$104,0))&amp;"","※得意先にないコード"))</f>
        <v/>
      </c>
      <c r="E796" s="27" t="n"/>
      <c r="F796" s="18" t="n"/>
      <c r="G796" s="27" t="n"/>
      <c r="H796" s="27" t="n"/>
      <c r="I796" s="27" t="n"/>
      <c r="J796" s="28">
        <f>IF(NOT(OR($A796&lt;&gt;"",$E796&lt;&gt;"",$F796&lt;&gt;"",$G796&lt;&gt;"",$H796&lt;&gt;"",$I796&lt;&gt;"")),"",N($G796)+N($H796)+N($I796))</f>
        <v/>
      </c>
      <c r="K796" s="28">
        <f>IF(ISNUMBER($O796),INDEX('請求台帳'!$R$5:$R$1004,$O796),"")</f>
        <v/>
      </c>
      <c r="L796" s="20">
        <f>IF(NOT(OR($A796&lt;&gt;"",$E796&lt;&gt;"",$F796&lt;&gt;"",$G796&lt;&gt;"",$H796&lt;&gt;"",$I796&lt;&gt;"")),"",IF(NOT(ISNUMBER($A796)),"入金日がありません",IF(AND($F796&lt;&gt;"",$O796="なし"),"請求Noが請求台帳にありません",IF(AND(ISNUMBER($O796),$C796&lt;&gt;"",$C796&lt;&gt;$P796),"請求の得意先は "&amp;$P796&amp;" です",IF(ROUND(IF($B796&lt;&gt;"",SUMIF($B$5:$B$1004,$B796,$E$5:$E$1004)-SUMIF($B$5:$B$1004,$B796,$G$5:$G$1004),N($E796)-N($G796)),0)&lt;&gt;0,"通帳の額と当てた額の差 "&amp;TEXT(IF($B796&lt;&gt;"",SUMIF($B$5:$B$1004,$B796,$E$5:$E$1004)-SUMIF($B$5:$B$1004,$B796,$G$5:$G$1004),N($E796)-N($G796)),"#,##0"),IF(AND(ISNUMBER($O796),N($K796)&lt;0),"請求額より多く消し込んでいます",IF($F796="","消込先が未定","OK")))))))</f>
        <v/>
      </c>
      <c r="M796" s="19" t="n"/>
      <c r="N796" s="56" t="n"/>
      <c r="O796" s="32">
        <f>IF($F796="","",IFERROR(MATCH($F796,'請求台帳'!$A$5:$A$1004,0),"なし"))</f>
        <v/>
      </c>
      <c r="P796" s="37">
        <f>IF(NOT(OR($A796&lt;&gt;"",$E796&lt;&gt;"",$F796&lt;&gt;"",$G796&lt;&gt;"",$H796&lt;&gt;"",$I796&lt;&gt;"")),"",IF(ISNUMBER($O796),IF(INDEX('請求台帳'!$C$5:$C$1004,$O796)="","",INDEX('請求台帳'!$C$5:$C$1004,$O796)),IF($C796="","",$C796)))</f>
        <v/>
      </c>
      <c r="Q796" s="35">
        <f>IF(OR(NOT(OR($A796&lt;&gt;"",$E796&lt;&gt;"",$F796&lt;&gt;"",$G796&lt;&gt;"",$H796&lt;&gt;"",$I796&lt;&gt;"")),$P796="",$P796&lt;&gt;'売掛帳'!$B$3,NOT(ISNUMBER($A796)),N($G796)+N($H796)+N($I796)=0),"",IF(AND($A796&gt;='売掛帳'!$Q$3,$A796&lt;='売掛帳'!$Q$4),$A796+0.5+ROW()/10000000,""))</f>
        <v/>
      </c>
      <c r="R796" s="32">
        <f>IF(AND(OR($A796&lt;&gt;"",$E796&lt;&gt;"",$F796&lt;&gt;"",$G796&lt;&gt;"",$H796&lt;&gt;"",$I796&lt;&gt;""),NOT(ISNUMBER($O796))),1,"")</f>
        <v/>
      </c>
    </row>
    <row r="797" ht="18" customHeight="1">
      <c r="A797" s="26" t="n"/>
      <c r="B797" s="18" t="n"/>
      <c r="C797" s="18" t="n"/>
      <c r="D797" s="20">
        <f>IF($P797="","",IFERROR(INDEX('得意先'!$C$5:$C$104,MATCH($P797,'得意先'!$B$5:$B$104,0))&amp;"","※得意先にないコード"))</f>
        <v/>
      </c>
      <c r="E797" s="27" t="n"/>
      <c r="F797" s="18" t="n"/>
      <c r="G797" s="27" t="n"/>
      <c r="H797" s="27" t="n"/>
      <c r="I797" s="27" t="n"/>
      <c r="J797" s="28">
        <f>IF(NOT(OR($A797&lt;&gt;"",$E797&lt;&gt;"",$F797&lt;&gt;"",$G797&lt;&gt;"",$H797&lt;&gt;"",$I797&lt;&gt;"")),"",N($G797)+N($H797)+N($I797))</f>
        <v/>
      </c>
      <c r="K797" s="28">
        <f>IF(ISNUMBER($O797),INDEX('請求台帳'!$R$5:$R$1004,$O797),"")</f>
        <v/>
      </c>
      <c r="L797" s="20">
        <f>IF(NOT(OR($A797&lt;&gt;"",$E797&lt;&gt;"",$F797&lt;&gt;"",$G797&lt;&gt;"",$H797&lt;&gt;"",$I797&lt;&gt;"")),"",IF(NOT(ISNUMBER($A797)),"入金日がありません",IF(AND($F797&lt;&gt;"",$O797="なし"),"請求Noが請求台帳にありません",IF(AND(ISNUMBER($O797),$C797&lt;&gt;"",$C797&lt;&gt;$P797),"請求の得意先は "&amp;$P797&amp;" です",IF(ROUND(IF($B797&lt;&gt;"",SUMIF($B$5:$B$1004,$B797,$E$5:$E$1004)-SUMIF($B$5:$B$1004,$B797,$G$5:$G$1004),N($E797)-N($G797)),0)&lt;&gt;0,"通帳の額と当てた額の差 "&amp;TEXT(IF($B797&lt;&gt;"",SUMIF($B$5:$B$1004,$B797,$E$5:$E$1004)-SUMIF($B$5:$B$1004,$B797,$G$5:$G$1004),N($E797)-N($G797)),"#,##0"),IF(AND(ISNUMBER($O797),N($K797)&lt;0),"請求額より多く消し込んでいます",IF($F797="","消込先が未定","OK")))))))</f>
        <v/>
      </c>
      <c r="M797" s="19" t="n"/>
      <c r="N797" s="56" t="n"/>
      <c r="O797" s="32">
        <f>IF($F797="","",IFERROR(MATCH($F797,'請求台帳'!$A$5:$A$1004,0),"なし"))</f>
        <v/>
      </c>
      <c r="P797" s="37">
        <f>IF(NOT(OR($A797&lt;&gt;"",$E797&lt;&gt;"",$F797&lt;&gt;"",$G797&lt;&gt;"",$H797&lt;&gt;"",$I797&lt;&gt;"")),"",IF(ISNUMBER($O797),IF(INDEX('請求台帳'!$C$5:$C$1004,$O797)="","",INDEX('請求台帳'!$C$5:$C$1004,$O797)),IF($C797="","",$C797)))</f>
        <v/>
      </c>
      <c r="Q797" s="35">
        <f>IF(OR(NOT(OR($A797&lt;&gt;"",$E797&lt;&gt;"",$F797&lt;&gt;"",$G797&lt;&gt;"",$H797&lt;&gt;"",$I797&lt;&gt;"")),$P797="",$P797&lt;&gt;'売掛帳'!$B$3,NOT(ISNUMBER($A797)),N($G797)+N($H797)+N($I797)=0),"",IF(AND($A797&gt;='売掛帳'!$Q$3,$A797&lt;='売掛帳'!$Q$4),$A797+0.5+ROW()/10000000,""))</f>
        <v/>
      </c>
      <c r="R797" s="32">
        <f>IF(AND(OR($A797&lt;&gt;"",$E797&lt;&gt;"",$F797&lt;&gt;"",$G797&lt;&gt;"",$H797&lt;&gt;"",$I797&lt;&gt;""),NOT(ISNUMBER($O797))),1,"")</f>
        <v/>
      </c>
    </row>
    <row r="798" ht="18" customHeight="1">
      <c r="A798" s="26" t="n"/>
      <c r="B798" s="18" t="n"/>
      <c r="C798" s="18" t="n"/>
      <c r="D798" s="20">
        <f>IF($P798="","",IFERROR(INDEX('得意先'!$C$5:$C$104,MATCH($P798,'得意先'!$B$5:$B$104,0))&amp;"","※得意先にないコード"))</f>
        <v/>
      </c>
      <c r="E798" s="27" t="n"/>
      <c r="F798" s="18" t="n"/>
      <c r="G798" s="27" t="n"/>
      <c r="H798" s="27" t="n"/>
      <c r="I798" s="27" t="n"/>
      <c r="J798" s="28">
        <f>IF(NOT(OR($A798&lt;&gt;"",$E798&lt;&gt;"",$F798&lt;&gt;"",$G798&lt;&gt;"",$H798&lt;&gt;"",$I798&lt;&gt;"")),"",N($G798)+N($H798)+N($I798))</f>
        <v/>
      </c>
      <c r="K798" s="28">
        <f>IF(ISNUMBER($O798),INDEX('請求台帳'!$R$5:$R$1004,$O798),"")</f>
        <v/>
      </c>
      <c r="L798" s="20">
        <f>IF(NOT(OR($A798&lt;&gt;"",$E798&lt;&gt;"",$F798&lt;&gt;"",$G798&lt;&gt;"",$H798&lt;&gt;"",$I798&lt;&gt;"")),"",IF(NOT(ISNUMBER($A798)),"入金日がありません",IF(AND($F798&lt;&gt;"",$O798="なし"),"請求Noが請求台帳にありません",IF(AND(ISNUMBER($O798),$C798&lt;&gt;"",$C798&lt;&gt;$P798),"請求の得意先は "&amp;$P798&amp;" です",IF(ROUND(IF($B798&lt;&gt;"",SUMIF($B$5:$B$1004,$B798,$E$5:$E$1004)-SUMIF($B$5:$B$1004,$B798,$G$5:$G$1004),N($E798)-N($G798)),0)&lt;&gt;0,"通帳の額と当てた額の差 "&amp;TEXT(IF($B798&lt;&gt;"",SUMIF($B$5:$B$1004,$B798,$E$5:$E$1004)-SUMIF($B$5:$B$1004,$B798,$G$5:$G$1004),N($E798)-N($G798)),"#,##0"),IF(AND(ISNUMBER($O798),N($K798)&lt;0),"請求額より多く消し込んでいます",IF($F798="","消込先が未定","OK")))))))</f>
        <v/>
      </c>
      <c r="M798" s="19" t="n"/>
      <c r="N798" s="56" t="n"/>
      <c r="O798" s="32">
        <f>IF($F798="","",IFERROR(MATCH($F798,'請求台帳'!$A$5:$A$1004,0),"なし"))</f>
        <v/>
      </c>
      <c r="P798" s="37">
        <f>IF(NOT(OR($A798&lt;&gt;"",$E798&lt;&gt;"",$F798&lt;&gt;"",$G798&lt;&gt;"",$H798&lt;&gt;"",$I798&lt;&gt;"")),"",IF(ISNUMBER($O798),IF(INDEX('請求台帳'!$C$5:$C$1004,$O798)="","",INDEX('請求台帳'!$C$5:$C$1004,$O798)),IF($C798="","",$C798)))</f>
        <v/>
      </c>
      <c r="Q798" s="35">
        <f>IF(OR(NOT(OR($A798&lt;&gt;"",$E798&lt;&gt;"",$F798&lt;&gt;"",$G798&lt;&gt;"",$H798&lt;&gt;"",$I798&lt;&gt;"")),$P798="",$P798&lt;&gt;'売掛帳'!$B$3,NOT(ISNUMBER($A798)),N($G798)+N($H798)+N($I798)=0),"",IF(AND($A798&gt;='売掛帳'!$Q$3,$A798&lt;='売掛帳'!$Q$4),$A798+0.5+ROW()/10000000,""))</f>
        <v/>
      </c>
      <c r="R798" s="32">
        <f>IF(AND(OR($A798&lt;&gt;"",$E798&lt;&gt;"",$F798&lt;&gt;"",$G798&lt;&gt;"",$H798&lt;&gt;"",$I798&lt;&gt;""),NOT(ISNUMBER($O798))),1,"")</f>
        <v/>
      </c>
    </row>
    <row r="799" ht="18" customHeight="1">
      <c r="A799" s="26" t="n"/>
      <c r="B799" s="18" t="n"/>
      <c r="C799" s="18" t="n"/>
      <c r="D799" s="20">
        <f>IF($P799="","",IFERROR(INDEX('得意先'!$C$5:$C$104,MATCH($P799,'得意先'!$B$5:$B$104,0))&amp;"","※得意先にないコード"))</f>
        <v/>
      </c>
      <c r="E799" s="27" t="n"/>
      <c r="F799" s="18" t="n"/>
      <c r="G799" s="27" t="n"/>
      <c r="H799" s="27" t="n"/>
      <c r="I799" s="27" t="n"/>
      <c r="J799" s="28">
        <f>IF(NOT(OR($A799&lt;&gt;"",$E799&lt;&gt;"",$F799&lt;&gt;"",$G799&lt;&gt;"",$H799&lt;&gt;"",$I799&lt;&gt;"")),"",N($G799)+N($H799)+N($I799))</f>
        <v/>
      </c>
      <c r="K799" s="28">
        <f>IF(ISNUMBER($O799),INDEX('請求台帳'!$R$5:$R$1004,$O799),"")</f>
        <v/>
      </c>
      <c r="L799" s="20">
        <f>IF(NOT(OR($A799&lt;&gt;"",$E799&lt;&gt;"",$F799&lt;&gt;"",$G799&lt;&gt;"",$H799&lt;&gt;"",$I799&lt;&gt;"")),"",IF(NOT(ISNUMBER($A799)),"入金日がありません",IF(AND($F799&lt;&gt;"",$O799="なし"),"請求Noが請求台帳にありません",IF(AND(ISNUMBER($O799),$C799&lt;&gt;"",$C799&lt;&gt;$P799),"請求の得意先は "&amp;$P799&amp;" です",IF(ROUND(IF($B799&lt;&gt;"",SUMIF($B$5:$B$1004,$B799,$E$5:$E$1004)-SUMIF($B$5:$B$1004,$B799,$G$5:$G$1004),N($E799)-N($G799)),0)&lt;&gt;0,"通帳の額と当てた額の差 "&amp;TEXT(IF($B799&lt;&gt;"",SUMIF($B$5:$B$1004,$B799,$E$5:$E$1004)-SUMIF($B$5:$B$1004,$B799,$G$5:$G$1004),N($E799)-N($G799)),"#,##0"),IF(AND(ISNUMBER($O799),N($K799)&lt;0),"請求額より多く消し込んでいます",IF($F799="","消込先が未定","OK")))))))</f>
        <v/>
      </c>
      <c r="M799" s="19" t="n"/>
      <c r="N799" s="56" t="n"/>
      <c r="O799" s="32">
        <f>IF($F799="","",IFERROR(MATCH($F799,'請求台帳'!$A$5:$A$1004,0),"なし"))</f>
        <v/>
      </c>
      <c r="P799" s="37">
        <f>IF(NOT(OR($A799&lt;&gt;"",$E799&lt;&gt;"",$F799&lt;&gt;"",$G799&lt;&gt;"",$H799&lt;&gt;"",$I799&lt;&gt;"")),"",IF(ISNUMBER($O799),IF(INDEX('請求台帳'!$C$5:$C$1004,$O799)="","",INDEX('請求台帳'!$C$5:$C$1004,$O799)),IF($C799="","",$C799)))</f>
        <v/>
      </c>
      <c r="Q799" s="35">
        <f>IF(OR(NOT(OR($A799&lt;&gt;"",$E799&lt;&gt;"",$F799&lt;&gt;"",$G799&lt;&gt;"",$H799&lt;&gt;"",$I799&lt;&gt;"")),$P799="",$P799&lt;&gt;'売掛帳'!$B$3,NOT(ISNUMBER($A799)),N($G799)+N($H799)+N($I799)=0),"",IF(AND($A799&gt;='売掛帳'!$Q$3,$A799&lt;='売掛帳'!$Q$4),$A799+0.5+ROW()/10000000,""))</f>
        <v/>
      </c>
      <c r="R799" s="32">
        <f>IF(AND(OR($A799&lt;&gt;"",$E799&lt;&gt;"",$F799&lt;&gt;"",$G799&lt;&gt;"",$H799&lt;&gt;"",$I799&lt;&gt;""),NOT(ISNUMBER($O799))),1,"")</f>
        <v/>
      </c>
    </row>
    <row r="800" ht="18" customHeight="1">
      <c r="A800" s="26" t="n"/>
      <c r="B800" s="18" t="n"/>
      <c r="C800" s="18" t="n"/>
      <c r="D800" s="20">
        <f>IF($P800="","",IFERROR(INDEX('得意先'!$C$5:$C$104,MATCH($P800,'得意先'!$B$5:$B$104,0))&amp;"","※得意先にないコード"))</f>
        <v/>
      </c>
      <c r="E800" s="27" t="n"/>
      <c r="F800" s="18" t="n"/>
      <c r="G800" s="27" t="n"/>
      <c r="H800" s="27" t="n"/>
      <c r="I800" s="27" t="n"/>
      <c r="J800" s="28">
        <f>IF(NOT(OR($A800&lt;&gt;"",$E800&lt;&gt;"",$F800&lt;&gt;"",$G800&lt;&gt;"",$H800&lt;&gt;"",$I800&lt;&gt;"")),"",N($G800)+N($H800)+N($I800))</f>
        <v/>
      </c>
      <c r="K800" s="28">
        <f>IF(ISNUMBER($O800),INDEX('請求台帳'!$R$5:$R$1004,$O800),"")</f>
        <v/>
      </c>
      <c r="L800" s="20">
        <f>IF(NOT(OR($A800&lt;&gt;"",$E800&lt;&gt;"",$F800&lt;&gt;"",$G800&lt;&gt;"",$H800&lt;&gt;"",$I800&lt;&gt;"")),"",IF(NOT(ISNUMBER($A800)),"入金日がありません",IF(AND($F800&lt;&gt;"",$O800="なし"),"請求Noが請求台帳にありません",IF(AND(ISNUMBER($O800),$C800&lt;&gt;"",$C800&lt;&gt;$P800),"請求の得意先は "&amp;$P800&amp;" です",IF(ROUND(IF($B800&lt;&gt;"",SUMIF($B$5:$B$1004,$B800,$E$5:$E$1004)-SUMIF($B$5:$B$1004,$B800,$G$5:$G$1004),N($E800)-N($G800)),0)&lt;&gt;0,"通帳の額と当てた額の差 "&amp;TEXT(IF($B800&lt;&gt;"",SUMIF($B$5:$B$1004,$B800,$E$5:$E$1004)-SUMIF($B$5:$B$1004,$B800,$G$5:$G$1004),N($E800)-N($G800)),"#,##0"),IF(AND(ISNUMBER($O800),N($K800)&lt;0),"請求額より多く消し込んでいます",IF($F800="","消込先が未定","OK")))))))</f>
        <v/>
      </c>
      <c r="M800" s="19" t="n"/>
      <c r="N800" s="56" t="n"/>
      <c r="O800" s="32">
        <f>IF($F800="","",IFERROR(MATCH($F800,'請求台帳'!$A$5:$A$1004,0),"なし"))</f>
        <v/>
      </c>
      <c r="P800" s="37">
        <f>IF(NOT(OR($A800&lt;&gt;"",$E800&lt;&gt;"",$F800&lt;&gt;"",$G800&lt;&gt;"",$H800&lt;&gt;"",$I800&lt;&gt;"")),"",IF(ISNUMBER($O800),IF(INDEX('請求台帳'!$C$5:$C$1004,$O800)="","",INDEX('請求台帳'!$C$5:$C$1004,$O800)),IF($C800="","",$C800)))</f>
        <v/>
      </c>
      <c r="Q800" s="35">
        <f>IF(OR(NOT(OR($A800&lt;&gt;"",$E800&lt;&gt;"",$F800&lt;&gt;"",$G800&lt;&gt;"",$H800&lt;&gt;"",$I800&lt;&gt;"")),$P800="",$P800&lt;&gt;'売掛帳'!$B$3,NOT(ISNUMBER($A800)),N($G800)+N($H800)+N($I800)=0),"",IF(AND($A800&gt;='売掛帳'!$Q$3,$A800&lt;='売掛帳'!$Q$4),$A800+0.5+ROW()/10000000,""))</f>
        <v/>
      </c>
      <c r="R800" s="32">
        <f>IF(AND(OR($A800&lt;&gt;"",$E800&lt;&gt;"",$F800&lt;&gt;"",$G800&lt;&gt;"",$H800&lt;&gt;"",$I800&lt;&gt;""),NOT(ISNUMBER($O800))),1,"")</f>
        <v/>
      </c>
    </row>
    <row r="801" ht="18" customHeight="1">
      <c r="A801" s="26" t="n"/>
      <c r="B801" s="18" t="n"/>
      <c r="C801" s="18" t="n"/>
      <c r="D801" s="20">
        <f>IF($P801="","",IFERROR(INDEX('得意先'!$C$5:$C$104,MATCH($P801,'得意先'!$B$5:$B$104,0))&amp;"","※得意先にないコード"))</f>
        <v/>
      </c>
      <c r="E801" s="27" t="n"/>
      <c r="F801" s="18" t="n"/>
      <c r="G801" s="27" t="n"/>
      <c r="H801" s="27" t="n"/>
      <c r="I801" s="27" t="n"/>
      <c r="J801" s="28">
        <f>IF(NOT(OR($A801&lt;&gt;"",$E801&lt;&gt;"",$F801&lt;&gt;"",$G801&lt;&gt;"",$H801&lt;&gt;"",$I801&lt;&gt;"")),"",N($G801)+N($H801)+N($I801))</f>
        <v/>
      </c>
      <c r="K801" s="28">
        <f>IF(ISNUMBER($O801),INDEX('請求台帳'!$R$5:$R$1004,$O801),"")</f>
        <v/>
      </c>
      <c r="L801" s="20">
        <f>IF(NOT(OR($A801&lt;&gt;"",$E801&lt;&gt;"",$F801&lt;&gt;"",$G801&lt;&gt;"",$H801&lt;&gt;"",$I801&lt;&gt;"")),"",IF(NOT(ISNUMBER($A801)),"入金日がありません",IF(AND($F801&lt;&gt;"",$O801="なし"),"請求Noが請求台帳にありません",IF(AND(ISNUMBER($O801),$C801&lt;&gt;"",$C801&lt;&gt;$P801),"請求の得意先は "&amp;$P801&amp;" です",IF(ROUND(IF($B801&lt;&gt;"",SUMIF($B$5:$B$1004,$B801,$E$5:$E$1004)-SUMIF($B$5:$B$1004,$B801,$G$5:$G$1004),N($E801)-N($G801)),0)&lt;&gt;0,"通帳の額と当てた額の差 "&amp;TEXT(IF($B801&lt;&gt;"",SUMIF($B$5:$B$1004,$B801,$E$5:$E$1004)-SUMIF($B$5:$B$1004,$B801,$G$5:$G$1004),N($E801)-N($G801)),"#,##0"),IF(AND(ISNUMBER($O801),N($K801)&lt;0),"請求額より多く消し込んでいます",IF($F801="","消込先が未定","OK")))))))</f>
        <v/>
      </c>
      <c r="M801" s="19" t="n"/>
      <c r="N801" s="56" t="n"/>
      <c r="O801" s="32">
        <f>IF($F801="","",IFERROR(MATCH($F801,'請求台帳'!$A$5:$A$1004,0),"なし"))</f>
        <v/>
      </c>
      <c r="P801" s="37">
        <f>IF(NOT(OR($A801&lt;&gt;"",$E801&lt;&gt;"",$F801&lt;&gt;"",$G801&lt;&gt;"",$H801&lt;&gt;"",$I801&lt;&gt;"")),"",IF(ISNUMBER($O801),IF(INDEX('請求台帳'!$C$5:$C$1004,$O801)="","",INDEX('請求台帳'!$C$5:$C$1004,$O801)),IF($C801="","",$C801)))</f>
        <v/>
      </c>
      <c r="Q801" s="35">
        <f>IF(OR(NOT(OR($A801&lt;&gt;"",$E801&lt;&gt;"",$F801&lt;&gt;"",$G801&lt;&gt;"",$H801&lt;&gt;"",$I801&lt;&gt;"")),$P801="",$P801&lt;&gt;'売掛帳'!$B$3,NOT(ISNUMBER($A801)),N($G801)+N($H801)+N($I801)=0),"",IF(AND($A801&gt;='売掛帳'!$Q$3,$A801&lt;='売掛帳'!$Q$4),$A801+0.5+ROW()/10000000,""))</f>
        <v/>
      </c>
      <c r="R801" s="32">
        <f>IF(AND(OR($A801&lt;&gt;"",$E801&lt;&gt;"",$F801&lt;&gt;"",$G801&lt;&gt;"",$H801&lt;&gt;"",$I801&lt;&gt;""),NOT(ISNUMBER($O801))),1,"")</f>
        <v/>
      </c>
    </row>
    <row r="802" ht="18" customHeight="1">
      <c r="A802" s="26" t="n"/>
      <c r="B802" s="18" t="n"/>
      <c r="C802" s="18" t="n"/>
      <c r="D802" s="20">
        <f>IF($P802="","",IFERROR(INDEX('得意先'!$C$5:$C$104,MATCH($P802,'得意先'!$B$5:$B$104,0))&amp;"","※得意先にないコード"))</f>
        <v/>
      </c>
      <c r="E802" s="27" t="n"/>
      <c r="F802" s="18" t="n"/>
      <c r="G802" s="27" t="n"/>
      <c r="H802" s="27" t="n"/>
      <c r="I802" s="27" t="n"/>
      <c r="J802" s="28">
        <f>IF(NOT(OR($A802&lt;&gt;"",$E802&lt;&gt;"",$F802&lt;&gt;"",$G802&lt;&gt;"",$H802&lt;&gt;"",$I802&lt;&gt;"")),"",N($G802)+N($H802)+N($I802))</f>
        <v/>
      </c>
      <c r="K802" s="28">
        <f>IF(ISNUMBER($O802),INDEX('請求台帳'!$R$5:$R$1004,$O802),"")</f>
        <v/>
      </c>
      <c r="L802" s="20">
        <f>IF(NOT(OR($A802&lt;&gt;"",$E802&lt;&gt;"",$F802&lt;&gt;"",$G802&lt;&gt;"",$H802&lt;&gt;"",$I802&lt;&gt;"")),"",IF(NOT(ISNUMBER($A802)),"入金日がありません",IF(AND($F802&lt;&gt;"",$O802="なし"),"請求Noが請求台帳にありません",IF(AND(ISNUMBER($O802),$C802&lt;&gt;"",$C802&lt;&gt;$P802),"請求の得意先は "&amp;$P802&amp;" です",IF(ROUND(IF($B802&lt;&gt;"",SUMIF($B$5:$B$1004,$B802,$E$5:$E$1004)-SUMIF($B$5:$B$1004,$B802,$G$5:$G$1004),N($E802)-N($G802)),0)&lt;&gt;0,"通帳の額と当てた額の差 "&amp;TEXT(IF($B802&lt;&gt;"",SUMIF($B$5:$B$1004,$B802,$E$5:$E$1004)-SUMIF($B$5:$B$1004,$B802,$G$5:$G$1004),N($E802)-N($G802)),"#,##0"),IF(AND(ISNUMBER($O802),N($K802)&lt;0),"請求額より多く消し込んでいます",IF($F802="","消込先が未定","OK")))))))</f>
        <v/>
      </c>
      <c r="M802" s="19" t="n"/>
      <c r="N802" s="56" t="n"/>
      <c r="O802" s="32">
        <f>IF($F802="","",IFERROR(MATCH($F802,'請求台帳'!$A$5:$A$1004,0),"なし"))</f>
        <v/>
      </c>
      <c r="P802" s="37">
        <f>IF(NOT(OR($A802&lt;&gt;"",$E802&lt;&gt;"",$F802&lt;&gt;"",$G802&lt;&gt;"",$H802&lt;&gt;"",$I802&lt;&gt;"")),"",IF(ISNUMBER($O802),IF(INDEX('請求台帳'!$C$5:$C$1004,$O802)="","",INDEX('請求台帳'!$C$5:$C$1004,$O802)),IF($C802="","",$C802)))</f>
        <v/>
      </c>
      <c r="Q802" s="35">
        <f>IF(OR(NOT(OR($A802&lt;&gt;"",$E802&lt;&gt;"",$F802&lt;&gt;"",$G802&lt;&gt;"",$H802&lt;&gt;"",$I802&lt;&gt;"")),$P802="",$P802&lt;&gt;'売掛帳'!$B$3,NOT(ISNUMBER($A802)),N($G802)+N($H802)+N($I802)=0),"",IF(AND($A802&gt;='売掛帳'!$Q$3,$A802&lt;='売掛帳'!$Q$4),$A802+0.5+ROW()/10000000,""))</f>
        <v/>
      </c>
      <c r="R802" s="32">
        <f>IF(AND(OR($A802&lt;&gt;"",$E802&lt;&gt;"",$F802&lt;&gt;"",$G802&lt;&gt;"",$H802&lt;&gt;"",$I802&lt;&gt;""),NOT(ISNUMBER($O802))),1,"")</f>
        <v/>
      </c>
    </row>
    <row r="803" ht="18" customHeight="1">
      <c r="A803" s="26" t="n"/>
      <c r="B803" s="18" t="n"/>
      <c r="C803" s="18" t="n"/>
      <c r="D803" s="20">
        <f>IF($P803="","",IFERROR(INDEX('得意先'!$C$5:$C$104,MATCH($P803,'得意先'!$B$5:$B$104,0))&amp;"","※得意先にないコード"))</f>
        <v/>
      </c>
      <c r="E803" s="27" t="n"/>
      <c r="F803" s="18" t="n"/>
      <c r="G803" s="27" t="n"/>
      <c r="H803" s="27" t="n"/>
      <c r="I803" s="27" t="n"/>
      <c r="J803" s="28">
        <f>IF(NOT(OR($A803&lt;&gt;"",$E803&lt;&gt;"",$F803&lt;&gt;"",$G803&lt;&gt;"",$H803&lt;&gt;"",$I803&lt;&gt;"")),"",N($G803)+N($H803)+N($I803))</f>
        <v/>
      </c>
      <c r="K803" s="28">
        <f>IF(ISNUMBER($O803),INDEX('請求台帳'!$R$5:$R$1004,$O803),"")</f>
        <v/>
      </c>
      <c r="L803" s="20">
        <f>IF(NOT(OR($A803&lt;&gt;"",$E803&lt;&gt;"",$F803&lt;&gt;"",$G803&lt;&gt;"",$H803&lt;&gt;"",$I803&lt;&gt;"")),"",IF(NOT(ISNUMBER($A803)),"入金日がありません",IF(AND($F803&lt;&gt;"",$O803="なし"),"請求Noが請求台帳にありません",IF(AND(ISNUMBER($O803),$C803&lt;&gt;"",$C803&lt;&gt;$P803),"請求の得意先は "&amp;$P803&amp;" です",IF(ROUND(IF($B803&lt;&gt;"",SUMIF($B$5:$B$1004,$B803,$E$5:$E$1004)-SUMIF($B$5:$B$1004,$B803,$G$5:$G$1004),N($E803)-N($G803)),0)&lt;&gt;0,"通帳の額と当てた額の差 "&amp;TEXT(IF($B803&lt;&gt;"",SUMIF($B$5:$B$1004,$B803,$E$5:$E$1004)-SUMIF($B$5:$B$1004,$B803,$G$5:$G$1004),N($E803)-N($G803)),"#,##0"),IF(AND(ISNUMBER($O803),N($K803)&lt;0),"請求額より多く消し込んでいます",IF($F803="","消込先が未定","OK")))))))</f>
        <v/>
      </c>
      <c r="M803" s="19" t="n"/>
      <c r="N803" s="56" t="n"/>
      <c r="O803" s="32">
        <f>IF($F803="","",IFERROR(MATCH($F803,'請求台帳'!$A$5:$A$1004,0),"なし"))</f>
        <v/>
      </c>
      <c r="P803" s="37">
        <f>IF(NOT(OR($A803&lt;&gt;"",$E803&lt;&gt;"",$F803&lt;&gt;"",$G803&lt;&gt;"",$H803&lt;&gt;"",$I803&lt;&gt;"")),"",IF(ISNUMBER($O803),IF(INDEX('請求台帳'!$C$5:$C$1004,$O803)="","",INDEX('請求台帳'!$C$5:$C$1004,$O803)),IF($C803="","",$C803)))</f>
        <v/>
      </c>
      <c r="Q803" s="35">
        <f>IF(OR(NOT(OR($A803&lt;&gt;"",$E803&lt;&gt;"",$F803&lt;&gt;"",$G803&lt;&gt;"",$H803&lt;&gt;"",$I803&lt;&gt;"")),$P803="",$P803&lt;&gt;'売掛帳'!$B$3,NOT(ISNUMBER($A803)),N($G803)+N($H803)+N($I803)=0),"",IF(AND($A803&gt;='売掛帳'!$Q$3,$A803&lt;='売掛帳'!$Q$4),$A803+0.5+ROW()/10000000,""))</f>
        <v/>
      </c>
      <c r="R803" s="32">
        <f>IF(AND(OR($A803&lt;&gt;"",$E803&lt;&gt;"",$F803&lt;&gt;"",$G803&lt;&gt;"",$H803&lt;&gt;"",$I803&lt;&gt;""),NOT(ISNUMBER($O803))),1,"")</f>
        <v/>
      </c>
    </row>
    <row r="804" ht="18" customHeight="1">
      <c r="A804" s="26" t="n"/>
      <c r="B804" s="18" t="n"/>
      <c r="C804" s="18" t="n"/>
      <c r="D804" s="20">
        <f>IF($P804="","",IFERROR(INDEX('得意先'!$C$5:$C$104,MATCH($P804,'得意先'!$B$5:$B$104,0))&amp;"","※得意先にないコード"))</f>
        <v/>
      </c>
      <c r="E804" s="27" t="n"/>
      <c r="F804" s="18" t="n"/>
      <c r="G804" s="27" t="n"/>
      <c r="H804" s="27" t="n"/>
      <c r="I804" s="27" t="n"/>
      <c r="J804" s="28">
        <f>IF(NOT(OR($A804&lt;&gt;"",$E804&lt;&gt;"",$F804&lt;&gt;"",$G804&lt;&gt;"",$H804&lt;&gt;"",$I804&lt;&gt;"")),"",N($G804)+N($H804)+N($I804))</f>
        <v/>
      </c>
      <c r="K804" s="28">
        <f>IF(ISNUMBER($O804),INDEX('請求台帳'!$R$5:$R$1004,$O804),"")</f>
        <v/>
      </c>
      <c r="L804" s="20">
        <f>IF(NOT(OR($A804&lt;&gt;"",$E804&lt;&gt;"",$F804&lt;&gt;"",$G804&lt;&gt;"",$H804&lt;&gt;"",$I804&lt;&gt;"")),"",IF(NOT(ISNUMBER($A804)),"入金日がありません",IF(AND($F804&lt;&gt;"",$O804="なし"),"請求Noが請求台帳にありません",IF(AND(ISNUMBER($O804),$C804&lt;&gt;"",$C804&lt;&gt;$P804),"請求の得意先は "&amp;$P804&amp;" です",IF(ROUND(IF($B804&lt;&gt;"",SUMIF($B$5:$B$1004,$B804,$E$5:$E$1004)-SUMIF($B$5:$B$1004,$B804,$G$5:$G$1004),N($E804)-N($G804)),0)&lt;&gt;0,"通帳の額と当てた額の差 "&amp;TEXT(IF($B804&lt;&gt;"",SUMIF($B$5:$B$1004,$B804,$E$5:$E$1004)-SUMIF($B$5:$B$1004,$B804,$G$5:$G$1004),N($E804)-N($G804)),"#,##0"),IF(AND(ISNUMBER($O804),N($K804)&lt;0),"請求額より多く消し込んでいます",IF($F804="","消込先が未定","OK")))))))</f>
        <v/>
      </c>
      <c r="M804" s="19" t="n"/>
      <c r="N804" s="56" t="n"/>
      <c r="O804" s="32">
        <f>IF($F804="","",IFERROR(MATCH($F804,'請求台帳'!$A$5:$A$1004,0),"なし"))</f>
        <v/>
      </c>
      <c r="P804" s="37">
        <f>IF(NOT(OR($A804&lt;&gt;"",$E804&lt;&gt;"",$F804&lt;&gt;"",$G804&lt;&gt;"",$H804&lt;&gt;"",$I804&lt;&gt;"")),"",IF(ISNUMBER($O804),IF(INDEX('請求台帳'!$C$5:$C$1004,$O804)="","",INDEX('請求台帳'!$C$5:$C$1004,$O804)),IF($C804="","",$C804)))</f>
        <v/>
      </c>
      <c r="Q804" s="35">
        <f>IF(OR(NOT(OR($A804&lt;&gt;"",$E804&lt;&gt;"",$F804&lt;&gt;"",$G804&lt;&gt;"",$H804&lt;&gt;"",$I804&lt;&gt;"")),$P804="",$P804&lt;&gt;'売掛帳'!$B$3,NOT(ISNUMBER($A804)),N($G804)+N($H804)+N($I804)=0),"",IF(AND($A804&gt;='売掛帳'!$Q$3,$A804&lt;='売掛帳'!$Q$4),$A804+0.5+ROW()/10000000,""))</f>
        <v/>
      </c>
      <c r="R804" s="32">
        <f>IF(AND(OR($A804&lt;&gt;"",$E804&lt;&gt;"",$F804&lt;&gt;"",$G804&lt;&gt;"",$H804&lt;&gt;"",$I804&lt;&gt;""),NOT(ISNUMBER($O804))),1,"")</f>
        <v/>
      </c>
    </row>
    <row r="805" ht="18" customHeight="1">
      <c r="A805" s="26" t="n"/>
      <c r="B805" s="18" t="n"/>
      <c r="C805" s="18" t="n"/>
      <c r="D805" s="20">
        <f>IF($P805="","",IFERROR(INDEX('得意先'!$C$5:$C$104,MATCH($P805,'得意先'!$B$5:$B$104,0))&amp;"","※得意先にないコード"))</f>
        <v/>
      </c>
      <c r="E805" s="27" t="n"/>
      <c r="F805" s="18" t="n"/>
      <c r="G805" s="27" t="n"/>
      <c r="H805" s="27" t="n"/>
      <c r="I805" s="27" t="n"/>
      <c r="J805" s="28">
        <f>IF(NOT(OR($A805&lt;&gt;"",$E805&lt;&gt;"",$F805&lt;&gt;"",$G805&lt;&gt;"",$H805&lt;&gt;"",$I805&lt;&gt;"")),"",N($G805)+N($H805)+N($I805))</f>
        <v/>
      </c>
      <c r="K805" s="28">
        <f>IF(ISNUMBER($O805),INDEX('請求台帳'!$R$5:$R$1004,$O805),"")</f>
        <v/>
      </c>
      <c r="L805" s="20">
        <f>IF(NOT(OR($A805&lt;&gt;"",$E805&lt;&gt;"",$F805&lt;&gt;"",$G805&lt;&gt;"",$H805&lt;&gt;"",$I805&lt;&gt;"")),"",IF(NOT(ISNUMBER($A805)),"入金日がありません",IF(AND($F805&lt;&gt;"",$O805="なし"),"請求Noが請求台帳にありません",IF(AND(ISNUMBER($O805),$C805&lt;&gt;"",$C805&lt;&gt;$P805),"請求の得意先は "&amp;$P805&amp;" です",IF(ROUND(IF($B805&lt;&gt;"",SUMIF($B$5:$B$1004,$B805,$E$5:$E$1004)-SUMIF($B$5:$B$1004,$B805,$G$5:$G$1004),N($E805)-N($G805)),0)&lt;&gt;0,"通帳の額と当てた額の差 "&amp;TEXT(IF($B805&lt;&gt;"",SUMIF($B$5:$B$1004,$B805,$E$5:$E$1004)-SUMIF($B$5:$B$1004,$B805,$G$5:$G$1004),N($E805)-N($G805)),"#,##0"),IF(AND(ISNUMBER($O805),N($K805)&lt;0),"請求額より多く消し込んでいます",IF($F805="","消込先が未定","OK")))))))</f>
        <v/>
      </c>
      <c r="M805" s="19" t="n"/>
      <c r="N805" s="56" t="n"/>
      <c r="O805" s="32">
        <f>IF($F805="","",IFERROR(MATCH($F805,'請求台帳'!$A$5:$A$1004,0),"なし"))</f>
        <v/>
      </c>
      <c r="P805" s="37">
        <f>IF(NOT(OR($A805&lt;&gt;"",$E805&lt;&gt;"",$F805&lt;&gt;"",$G805&lt;&gt;"",$H805&lt;&gt;"",$I805&lt;&gt;"")),"",IF(ISNUMBER($O805),IF(INDEX('請求台帳'!$C$5:$C$1004,$O805)="","",INDEX('請求台帳'!$C$5:$C$1004,$O805)),IF($C805="","",$C805)))</f>
        <v/>
      </c>
      <c r="Q805" s="35">
        <f>IF(OR(NOT(OR($A805&lt;&gt;"",$E805&lt;&gt;"",$F805&lt;&gt;"",$G805&lt;&gt;"",$H805&lt;&gt;"",$I805&lt;&gt;"")),$P805="",$P805&lt;&gt;'売掛帳'!$B$3,NOT(ISNUMBER($A805)),N($G805)+N($H805)+N($I805)=0),"",IF(AND($A805&gt;='売掛帳'!$Q$3,$A805&lt;='売掛帳'!$Q$4),$A805+0.5+ROW()/10000000,""))</f>
        <v/>
      </c>
      <c r="R805" s="32">
        <f>IF(AND(OR($A805&lt;&gt;"",$E805&lt;&gt;"",$F805&lt;&gt;"",$G805&lt;&gt;"",$H805&lt;&gt;"",$I805&lt;&gt;""),NOT(ISNUMBER($O805))),1,"")</f>
        <v/>
      </c>
    </row>
    <row r="806" ht="18" customHeight="1">
      <c r="A806" s="26" t="n"/>
      <c r="B806" s="18" t="n"/>
      <c r="C806" s="18" t="n"/>
      <c r="D806" s="20">
        <f>IF($P806="","",IFERROR(INDEX('得意先'!$C$5:$C$104,MATCH($P806,'得意先'!$B$5:$B$104,0))&amp;"","※得意先にないコード"))</f>
        <v/>
      </c>
      <c r="E806" s="27" t="n"/>
      <c r="F806" s="18" t="n"/>
      <c r="G806" s="27" t="n"/>
      <c r="H806" s="27" t="n"/>
      <c r="I806" s="27" t="n"/>
      <c r="J806" s="28">
        <f>IF(NOT(OR($A806&lt;&gt;"",$E806&lt;&gt;"",$F806&lt;&gt;"",$G806&lt;&gt;"",$H806&lt;&gt;"",$I806&lt;&gt;"")),"",N($G806)+N($H806)+N($I806))</f>
        <v/>
      </c>
      <c r="K806" s="28">
        <f>IF(ISNUMBER($O806),INDEX('請求台帳'!$R$5:$R$1004,$O806),"")</f>
        <v/>
      </c>
      <c r="L806" s="20">
        <f>IF(NOT(OR($A806&lt;&gt;"",$E806&lt;&gt;"",$F806&lt;&gt;"",$G806&lt;&gt;"",$H806&lt;&gt;"",$I806&lt;&gt;"")),"",IF(NOT(ISNUMBER($A806)),"入金日がありません",IF(AND($F806&lt;&gt;"",$O806="なし"),"請求Noが請求台帳にありません",IF(AND(ISNUMBER($O806),$C806&lt;&gt;"",$C806&lt;&gt;$P806),"請求の得意先は "&amp;$P806&amp;" です",IF(ROUND(IF($B806&lt;&gt;"",SUMIF($B$5:$B$1004,$B806,$E$5:$E$1004)-SUMIF($B$5:$B$1004,$B806,$G$5:$G$1004),N($E806)-N($G806)),0)&lt;&gt;0,"通帳の額と当てた額の差 "&amp;TEXT(IF($B806&lt;&gt;"",SUMIF($B$5:$B$1004,$B806,$E$5:$E$1004)-SUMIF($B$5:$B$1004,$B806,$G$5:$G$1004),N($E806)-N($G806)),"#,##0"),IF(AND(ISNUMBER($O806),N($K806)&lt;0),"請求額より多く消し込んでいます",IF($F806="","消込先が未定","OK")))))))</f>
        <v/>
      </c>
      <c r="M806" s="19" t="n"/>
      <c r="N806" s="56" t="n"/>
      <c r="O806" s="32">
        <f>IF($F806="","",IFERROR(MATCH($F806,'請求台帳'!$A$5:$A$1004,0),"なし"))</f>
        <v/>
      </c>
      <c r="P806" s="37">
        <f>IF(NOT(OR($A806&lt;&gt;"",$E806&lt;&gt;"",$F806&lt;&gt;"",$G806&lt;&gt;"",$H806&lt;&gt;"",$I806&lt;&gt;"")),"",IF(ISNUMBER($O806),IF(INDEX('請求台帳'!$C$5:$C$1004,$O806)="","",INDEX('請求台帳'!$C$5:$C$1004,$O806)),IF($C806="","",$C806)))</f>
        <v/>
      </c>
      <c r="Q806" s="35">
        <f>IF(OR(NOT(OR($A806&lt;&gt;"",$E806&lt;&gt;"",$F806&lt;&gt;"",$G806&lt;&gt;"",$H806&lt;&gt;"",$I806&lt;&gt;"")),$P806="",$P806&lt;&gt;'売掛帳'!$B$3,NOT(ISNUMBER($A806)),N($G806)+N($H806)+N($I806)=0),"",IF(AND($A806&gt;='売掛帳'!$Q$3,$A806&lt;='売掛帳'!$Q$4),$A806+0.5+ROW()/10000000,""))</f>
        <v/>
      </c>
      <c r="R806" s="32">
        <f>IF(AND(OR($A806&lt;&gt;"",$E806&lt;&gt;"",$F806&lt;&gt;"",$G806&lt;&gt;"",$H806&lt;&gt;"",$I806&lt;&gt;""),NOT(ISNUMBER($O806))),1,"")</f>
        <v/>
      </c>
    </row>
    <row r="807" ht="18" customHeight="1">
      <c r="A807" s="26" t="n"/>
      <c r="B807" s="18" t="n"/>
      <c r="C807" s="18" t="n"/>
      <c r="D807" s="20">
        <f>IF($P807="","",IFERROR(INDEX('得意先'!$C$5:$C$104,MATCH($P807,'得意先'!$B$5:$B$104,0))&amp;"","※得意先にないコード"))</f>
        <v/>
      </c>
      <c r="E807" s="27" t="n"/>
      <c r="F807" s="18" t="n"/>
      <c r="G807" s="27" t="n"/>
      <c r="H807" s="27" t="n"/>
      <c r="I807" s="27" t="n"/>
      <c r="J807" s="28">
        <f>IF(NOT(OR($A807&lt;&gt;"",$E807&lt;&gt;"",$F807&lt;&gt;"",$G807&lt;&gt;"",$H807&lt;&gt;"",$I807&lt;&gt;"")),"",N($G807)+N($H807)+N($I807))</f>
        <v/>
      </c>
      <c r="K807" s="28">
        <f>IF(ISNUMBER($O807),INDEX('請求台帳'!$R$5:$R$1004,$O807),"")</f>
        <v/>
      </c>
      <c r="L807" s="20">
        <f>IF(NOT(OR($A807&lt;&gt;"",$E807&lt;&gt;"",$F807&lt;&gt;"",$G807&lt;&gt;"",$H807&lt;&gt;"",$I807&lt;&gt;"")),"",IF(NOT(ISNUMBER($A807)),"入金日がありません",IF(AND($F807&lt;&gt;"",$O807="なし"),"請求Noが請求台帳にありません",IF(AND(ISNUMBER($O807),$C807&lt;&gt;"",$C807&lt;&gt;$P807),"請求の得意先は "&amp;$P807&amp;" です",IF(ROUND(IF($B807&lt;&gt;"",SUMIF($B$5:$B$1004,$B807,$E$5:$E$1004)-SUMIF($B$5:$B$1004,$B807,$G$5:$G$1004),N($E807)-N($G807)),0)&lt;&gt;0,"通帳の額と当てた額の差 "&amp;TEXT(IF($B807&lt;&gt;"",SUMIF($B$5:$B$1004,$B807,$E$5:$E$1004)-SUMIF($B$5:$B$1004,$B807,$G$5:$G$1004),N($E807)-N($G807)),"#,##0"),IF(AND(ISNUMBER($O807),N($K807)&lt;0),"請求額より多く消し込んでいます",IF($F807="","消込先が未定","OK")))))))</f>
        <v/>
      </c>
      <c r="M807" s="19" t="n"/>
      <c r="N807" s="56" t="n"/>
      <c r="O807" s="32">
        <f>IF($F807="","",IFERROR(MATCH($F807,'請求台帳'!$A$5:$A$1004,0),"なし"))</f>
        <v/>
      </c>
      <c r="P807" s="37">
        <f>IF(NOT(OR($A807&lt;&gt;"",$E807&lt;&gt;"",$F807&lt;&gt;"",$G807&lt;&gt;"",$H807&lt;&gt;"",$I807&lt;&gt;"")),"",IF(ISNUMBER($O807),IF(INDEX('請求台帳'!$C$5:$C$1004,$O807)="","",INDEX('請求台帳'!$C$5:$C$1004,$O807)),IF($C807="","",$C807)))</f>
        <v/>
      </c>
      <c r="Q807" s="35">
        <f>IF(OR(NOT(OR($A807&lt;&gt;"",$E807&lt;&gt;"",$F807&lt;&gt;"",$G807&lt;&gt;"",$H807&lt;&gt;"",$I807&lt;&gt;"")),$P807="",$P807&lt;&gt;'売掛帳'!$B$3,NOT(ISNUMBER($A807)),N($G807)+N($H807)+N($I807)=0),"",IF(AND($A807&gt;='売掛帳'!$Q$3,$A807&lt;='売掛帳'!$Q$4),$A807+0.5+ROW()/10000000,""))</f>
        <v/>
      </c>
      <c r="R807" s="32">
        <f>IF(AND(OR($A807&lt;&gt;"",$E807&lt;&gt;"",$F807&lt;&gt;"",$G807&lt;&gt;"",$H807&lt;&gt;"",$I807&lt;&gt;""),NOT(ISNUMBER($O807))),1,"")</f>
        <v/>
      </c>
    </row>
    <row r="808" ht="18" customHeight="1">
      <c r="A808" s="26" t="n"/>
      <c r="B808" s="18" t="n"/>
      <c r="C808" s="18" t="n"/>
      <c r="D808" s="20">
        <f>IF($P808="","",IFERROR(INDEX('得意先'!$C$5:$C$104,MATCH($P808,'得意先'!$B$5:$B$104,0))&amp;"","※得意先にないコード"))</f>
        <v/>
      </c>
      <c r="E808" s="27" t="n"/>
      <c r="F808" s="18" t="n"/>
      <c r="G808" s="27" t="n"/>
      <c r="H808" s="27" t="n"/>
      <c r="I808" s="27" t="n"/>
      <c r="J808" s="28">
        <f>IF(NOT(OR($A808&lt;&gt;"",$E808&lt;&gt;"",$F808&lt;&gt;"",$G808&lt;&gt;"",$H808&lt;&gt;"",$I808&lt;&gt;"")),"",N($G808)+N($H808)+N($I808))</f>
        <v/>
      </c>
      <c r="K808" s="28">
        <f>IF(ISNUMBER($O808),INDEX('請求台帳'!$R$5:$R$1004,$O808),"")</f>
        <v/>
      </c>
      <c r="L808" s="20">
        <f>IF(NOT(OR($A808&lt;&gt;"",$E808&lt;&gt;"",$F808&lt;&gt;"",$G808&lt;&gt;"",$H808&lt;&gt;"",$I808&lt;&gt;"")),"",IF(NOT(ISNUMBER($A808)),"入金日がありません",IF(AND($F808&lt;&gt;"",$O808="なし"),"請求Noが請求台帳にありません",IF(AND(ISNUMBER($O808),$C808&lt;&gt;"",$C808&lt;&gt;$P808),"請求の得意先は "&amp;$P808&amp;" です",IF(ROUND(IF($B808&lt;&gt;"",SUMIF($B$5:$B$1004,$B808,$E$5:$E$1004)-SUMIF($B$5:$B$1004,$B808,$G$5:$G$1004),N($E808)-N($G808)),0)&lt;&gt;0,"通帳の額と当てた額の差 "&amp;TEXT(IF($B808&lt;&gt;"",SUMIF($B$5:$B$1004,$B808,$E$5:$E$1004)-SUMIF($B$5:$B$1004,$B808,$G$5:$G$1004),N($E808)-N($G808)),"#,##0"),IF(AND(ISNUMBER($O808),N($K808)&lt;0),"請求額より多く消し込んでいます",IF($F808="","消込先が未定","OK")))))))</f>
        <v/>
      </c>
      <c r="M808" s="19" t="n"/>
      <c r="N808" s="56" t="n"/>
      <c r="O808" s="32">
        <f>IF($F808="","",IFERROR(MATCH($F808,'請求台帳'!$A$5:$A$1004,0),"なし"))</f>
        <v/>
      </c>
      <c r="P808" s="37">
        <f>IF(NOT(OR($A808&lt;&gt;"",$E808&lt;&gt;"",$F808&lt;&gt;"",$G808&lt;&gt;"",$H808&lt;&gt;"",$I808&lt;&gt;"")),"",IF(ISNUMBER($O808),IF(INDEX('請求台帳'!$C$5:$C$1004,$O808)="","",INDEX('請求台帳'!$C$5:$C$1004,$O808)),IF($C808="","",$C808)))</f>
        <v/>
      </c>
      <c r="Q808" s="35">
        <f>IF(OR(NOT(OR($A808&lt;&gt;"",$E808&lt;&gt;"",$F808&lt;&gt;"",$G808&lt;&gt;"",$H808&lt;&gt;"",$I808&lt;&gt;"")),$P808="",$P808&lt;&gt;'売掛帳'!$B$3,NOT(ISNUMBER($A808)),N($G808)+N($H808)+N($I808)=0),"",IF(AND($A808&gt;='売掛帳'!$Q$3,$A808&lt;='売掛帳'!$Q$4),$A808+0.5+ROW()/10000000,""))</f>
        <v/>
      </c>
      <c r="R808" s="32">
        <f>IF(AND(OR($A808&lt;&gt;"",$E808&lt;&gt;"",$F808&lt;&gt;"",$G808&lt;&gt;"",$H808&lt;&gt;"",$I808&lt;&gt;""),NOT(ISNUMBER($O808))),1,"")</f>
        <v/>
      </c>
    </row>
    <row r="809" ht="18" customHeight="1">
      <c r="A809" s="26" t="n"/>
      <c r="B809" s="18" t="n"/>
      <c r="C809" s="18" t="n"/>
      <c r="D809" s="20">
        <f>IF($P809="","",IFERROR(INDEX('得意先'!$C$5:$C$104,MATCH($P809,'得意先'!$B$5:$B$104,0))&amp;"","※得意先にないコード"))</f>
        <v/>
      </c>
      <c r="E809" s="27" t="n"/>
      <c r="F809" s="18" t="n"/>
      <c r="G809" s="27" t="n"/>
      <c r="H809" s="27" t="n"/>
      <c r="I809" s="27" t="n"/>
      <c r="J809" s="28">
        <f>IF(NOT(OR($A809&lt;&gt;"",$E809&lt;&gt;"",$F809&lt;&gt;"",$G809&lt;&gt;"",$H809&lt;&gt;"",$I809&lt;&gt;"")),"",N($G809)+N($H809)+N($I809))</f>
        <v/>
      </c>
      <c r="K809" s="28">
        <f>IF(ISNUMBER($O809),INDEX('請求台帳'!$R$5:$R$1004,$O809),"")</f>
        <v/>
      </c>
      <c r="L809" s="20">
        <f>IF(NOT(OR($A809&lt;&gt;"",$E809&lt;&gt;"",$F809&lt;&gt;"",$G809&lt;&gt;"",$H809&lt;&gt;"",$I809&lt;&gt;"")),"",IF(NOT(ISNUMBER($A809)),"入金日がありません",IF(AND($F809&lt;&gt;"",$O809="なし"),"請求Noが請求台帳にありません",IF(AND(ISNUMBER($O809),$C809&lt;&gt;"",$C809&lt;&gt;$P809),"請求の得意先は "&amp;$P809&amp;" です",IF(ROUND(IF($B809&lt;&gt;"",SUMIF($B$5:$B$1004,$B809,$E$5:$E$1004)-SUMIF($B$5:$B$1004,$B809,$G$5:$G$1004),N($E809)-N($G809)),0)&lt;&gt;0,"通帳の額と当てた額の差 "&amp;TEXT(IF($B809&lt;&gt;"",SUMIF($B$5:$B$1004,$B809,$E$5:$E$1004)-SUMIF($B$5:$B$1004,$B809,$G$5:$G$1004),N($E809)-N($G809)),"#,##0"),IF(AND(ISNUMBER($O809),N($K809)&lt;0),"請求額より多く消し込んでいます",IF($F809="","消込先が未定","OK")))))))</f>
        <v/>
      </c>
      <c r="M809" s="19" t="n"/>
      <c r="N809" s="56" t="n"/>
      <c r="O809" s="32">
        <f>IF($F809="","",IFERROR(MATCH($F809,'請求台帳'!$A$5:$A$1004,0),"なし"))</f>
        <v/>
      </c>
      <c r="P809" s="37">
        <f>IF(NOT(OR($A809&lt;&gt;"",$E809&lt;&gt;"",$F809&lt;&gt;"",$G809&lt;&gt;"",$H809&lt;&gt;"",$I809&lt;&gt;"")),"",IF(ISNUMBER($O809),IF(INDEX('請求台帳'!$C$5:$C$1004,$O809)="","",INDEX('請求台帳'!$C$5:$C$1004,$O809)),IF($C809="","",$C809)))</f>
        <v/>
      </c>
      <c r="Q809" s="35">
        <f>IF(OR(NOT(OR($A809&lt;&gt;"",$E809&lt;&gt;"",$F809&lt;&gt;"",$G809&lt;&gt;"",$H809&lt;&gt;"",$I809&lt;&gt;"")),$P809="",$P809&lt;&gt;'売掛帳'!$B$3,NOT(ISNUMBER($A809)),N($G809)+N($H809)+N($I809)=0),"",IF(AND($A809&gt;='売掛帳'!$Q$3,$A809&lt;='売掛帳'!$Q$4),$A809+0.5+ROW()/10000000,""))</f>
        <v/>
      </c>
      <c r="R809" s="32">
        <f>IF(AND(OR($A809&lt;&gt;"",$E809&lt;&gt;"",$F809&lt;&gt;"",$G809&lt;&gt;"",$H809&lt;&gt;"",$I809&lt;&gt;""),NOT(ISNUMBER($O809))),1,"")</f>
        <v/>
      </c>
    </row>
    <row r="810" ht="18" customHeight="1">
      <c r="A810" s="26" t="n"/>
      <c r="B810" s="18" t="n"/>
      <c r="C810" s="18" t="n"/>
      <c r="D810" s="20">
        <f>IF($P810="","",IFERROR(INDEX('得意先'!$C$5:$C$104,MATCH($P810,'得意先'!$B$5:$B$104,0))&amp;"","※得意先にないコード"))</f>
        <v/>
      </c>
      <c r="E810" s="27" t="n"/>
      <c r="F810" s="18" t="n"/>
      <c r="G810" s="27" t="n"/>
      <c r="H810" s="27" t="n"/>
      <c r="I810" s="27" t="n"/>
      <c r="J810" s="28">
        <f>IF(NOT(OR($A810&lt;&gt;"",$E810&lt;&gt;"",$F810&lt;&gt;"",$G810&lt;&gt;"",$H810&lt;&gt;"",$I810&lt;&gt;"")),"",N($G810)+N($H810)+N($I810))</f>
        <v/>
      </c>
      <c r="K810" s="28">
        <f>IF(ISNUMBER($O810),INDEX('請求台帳'!$R$5:$R$1004,$O810),"")</f>
        <v/>
      </c>
      <c r="L810" s="20">
        <f>IF(NOT(OR($A810&lt;&gt;"",$E810&lt;&gt;"",$F810&lt;&gt;"",$G810&lt;&gt;"",$H810&lt;&gt;"",$I810&lt;&gt;"")),"",IF(NOT(ISNUMBER($A810)),"入金日がありません",IF(AND($F810&lt;&gt;"",$O810="なし"),"請求Noが請求台帳にありません",IF(AND(ISNUMBER($O810),$C810&lt;&gt;"",$C810&lt;&gt;$P810),"請求の得意先は "&amp;$P810&amp;" です",IF(ROUND(IF($B810&lt;&gt;"",SUMIF($B$5:$B$1004,$B810,$E$5:$E$1004)-SUMIF($B$5:$B$1004,$B810,$G$5:$G$1004),N($E810)-N($G810)),0)&lt;&gt;0,"通帳の額と当てた額の差 "&amp;TEXT(IF($B810&lt;&gt;"",SUMIF($B$5:$B$1004,$B810,$E$5:$E$1004)-SUMIF($B$5:$B$1004,$B810,$G$5:$G$1004),N($E810)-N($G810)),"#,##0"),IF(AND(ISNUMBER($O810),N($K810)&lt;0),"請求額より多く消し込んでいます",IF($F810="","消込先が未定","OK")))))))</f>
        <v/>
      </c>
      <c r="M810" s="19" t="n"/>
      <c r="N810" s="56" t="n"/>
      <c r="O810" s="32">
        <f>IF($F810="","",IFERROR(MATCH($F810,'請求台帳'!$A$5:$A$1004,0),"なし"))</f>
        <v/>
      </c>
      <c r="P810" s="37">
        <f>IF(NOT(OR($A810&lt;&gt;"",$E810&lt;&gt;"",$F810&lt;&gt;"",$G810&lt;&gt;"",$H810&lt;&gt;"",$I810&lt;&gt;"")),"",IF(ISNUMBER($O810),IF(INDEX('請求台帳'!$C$5:$C$1004,$O810)="","",INDEX('請求台帳'!$C$5:$C$1004,$O810)),IF($C810="","",$C810)))</f>
        <v/>
      </c>
      <c r="Q810" s="35">
        <f>IF(OR(NOT(OR($A810&lt;&gt;"",$E810&lt;&gt;"",$F810&lt;&gt;"",$G810&lt;&gt;"",$H810&lt;&gt;"",$I810&lt;&gt;"")),$P810="",$P810&lt;&gt;'売掛帳'!$B$3,NOT(ISNUMBER($A810)),N($G810)+N($H810)+N($I810)=0),"",IF(AND($A810&gt;='売掛帳'!$Q$3,$A810&lt;='売掛帳'!$Q$4),$A810+0.5+ROW()/10000000,""))</f>
        <v/>
      </c>
      <c r="R810" s="32">
        <f>IF(AND(OR($A810&lt;&gt;"",$E810&lt;&gt;"",$F810&lt;&gt;"",$G810&lt;&gt;"",$H810&lt;&gt;"",$I810&lt;&gt;""),NOT(ISNUMBER($O810))),1,"")</f>
        <v/>
      </c>
    </row>
    <row r="811" ht="18" customHeight="1">
      <c r="A811" s="26" t="n"/>
      <c r="B811" s="18" t="n"/>
      <c r="C811" s="18" t="n"/>
      <c r="D811" s="20">
        <f>IF($P811="","",IFERROR(INDEX('得意先'!$C$5:$C$104,MATCH($P811,'得意先'!$B$5:$B$104,0))&amp;"","※得意先にないコード"))</f>
        <v/>
      </c>
      <c r="E811" s="27" t="n"/>
      <c r="F811" s="18" t="n"/>
      <c r="G811" s="27" t="n"/>
      <c r="H811" s="27" t="n"/>
      <c r="I811" s="27" t="n"/>
      <c r="J811" s="28">
        <f>IF(NOT(OR($A811&lt;&gt;"",$E811&lt;&gt;"",$F811&lt;&gt;"",$G811&lt;&gt;"",$H811&lt;&gt;"",$I811&lt;&gt;"")),"",N($G811)+N($H811)+N($I811))</f>
        <v/>
      </c>
      <c r="K811" s="28">
        <f>IF(ISNUMBER($O811),INDEX('請求台帳'!$R$5:$R$1004,$O811),"")</f>
        <v/>
      </c>
      <c r="L811" s="20">
        <f>IF(NOT(OR($A811&lt;&gt;"",$E811&lt;&gt;"",$F811&lt;&gt;"",$G811&lt;&gt;"",$H811&lt;&gt;"",$I811&lt;&gt;"")),"",IF(NOT(ISNUMBER($A811)),"入金日がありません",IF(AND($F811&lt;&gt;"",$O811="なし"),"請求Noが請求台帳にありません",IF(AND(ISNUMBER($O811),$C811&lt;&gt;"",$C811&lt;&gt;$P811),"請求の得意先は "&amp;$P811&amp;" です",IF(ROUND(IF($B811&lt;&gt;"",SUMIF($B$5:$B$1004,$B811,$E$5:$E$1004)-SUMIF($B$5:$B$1004,$B811,$G$5:$G$1004),N($E811)-N($G811)),0)&lt;&gt;0,"通帳の額と当てた額の差 "&amp;TEXT(IF($B811&lt;&gt;"",SUMIF($B$5:$B$1004,$B811,$E$5:$E$1004)-SUMIF($B$5:$B$1004,$B811,$G$5:$G$1004),N($E811)-N($G811)),"#,##0"),IF(AND(ISNUMBER($O811),N($K811)&lt;0),"請求額より多く消し込んでいます",IF($F811="","消込先が未定","OK")))))))</f>
        <v/>
      </c>
      <c r="M811" s="19" t="n"/>
      <c r="N811" s="56" t="n"/>
      <c r="O811" s="32">
        <f>IF($F811="","",IFERROR(MATCH($F811,'請求台帳'!$A$5:$A$1004,0),"なし"))</f>
        <v/>
      </c>
      <c r="P811" s="37">
        <f>IF(NOT(OR($A811&lt;&gt;"",$E811&lt;&gt;"",$F811&lt;&gt;"",$G811&lt;&gt;"",$H811&lt;&gt;"",$I811&lt;&gt;"")),"",IF(ISNUMBER($O811),IF(INDEX('請求台帳'!$C$5:$C$1004,$O811)="","",INDEX('請求台帳'!$C$5:$C$1004,$O811)),IF($C811="","",$C811)))</f>
        <v/>
      </c>
      <c r="Q811" s="35">
        <f>IF(OR(NOT(OR($A811&lt;&gt;"",$E811&lt;&gt;"",$F811&lt;&gt;"",$G811&lt;&gt;"",$H811&lt;&gt;"",$I811&lt;&gt;"")),$P811="",$P811&lt;&gt;'売掛帳'!$B$3,NOT(ISNUMBER($A811)),N($G811)+N($H811)+N($I811)=0),"",IF(AND($A811&gt;='売掛帳'!$Q$3,$A811&lt;='売掛帳'!$Q$4),$A811+0.5+ROW()/10000000,""))</f>
        <v/>
      </c>
      <c r="R811" s="32">
        <f>IF(AND(OR($A811&lt;&gt;"",$E811&lt;&gt;"",$F811&lt;&gt;"",$G811&lt;&gt;"",$H811&lt;&gt;"",$I811&lt;&gt;""),NOT(ISNUMBER($O811))),1,"")</f>
        <v/>
      </c>
    </row>
    <row r="812" ht="18" customHeight="1">
      <c r="A812" s="26" t="n"/>
      <c r="B812" s="18" t="n"/>
      <c r="C812" s="18" t="n"/>
      <c r="D812" s="20">
        <f>IF($P812="","",IFERROR(INDEX('得意先'!$C$5:$C$104,MATCH($P812,'得意先'!$B$5:$B$104,0))&amp;"","※得意先にないコード"))</f>
        <v/>
      </c>
      <c r="E812" s="27" t="n"/>
      <c r="F812" s="18" t="n"/>
      <c r="G812" s="27" t="n"/>
      <c r="H812" s="27" t="n"/>
      <c r="I812" s="27" t="n"/>
      <c r="J812" s="28">
        <f>IF(NOT(OR($A812&lt;&gt;"",$E812&lt;&gt;"",$F812&lt;&gt;"",$G812&lt;&gt;"",$H812&lt;&gt;"",$I812&lt;&gt;"")),"",N($G812)+N($H812)+N($I812))</f>
        <v/>
      </c>
      <c r="K812" s="28">
        <f>IF(ISNUMBER($O812),INDEX('請求台帳'!$R$5:$R$1004,$O812),"")</f>
        <v/>
      </c>
      <c r="L812" s="20">
        <f>IF(NOT(OR($A812&lt;&gt;"",$E812&lt;&gt;"",$F812&lt;&gt;"",$G812&lt;&gt;"",$H812&lt;&gt;"",$I812&lt;&gt;"")),"",IF(NOT(ISNUMBER($A812)),"入金日がありません",IF(AND($F812&lt;&gt;"",$O812="なし"),"請求Noが請求台帳にありません",IF(AND(ISNUMBER($O812),$C812&lt;&gt;"",$C812&lt;&gt;$P812),"請求の得意先は "&amp;$P812&amp;" です",IF(ROUND(IF($B812&lt;&gt;"",SUMIF($B$5:$B$1004,$B812,$E$5:$E$1004)-SUMIF($B$5:$B$1004,$B812,$G$5:$G$1004),N($E812)-N($G812)),0)&lt;&gt;0,"通帳の額と当てた額の差 "&amp;TEXT(IF($B812&lt;&gt;"",SUMIF($B$5:$B$1004,$B812,$E$5:$E$1004)-SUMIF($B$5:$B$1004,$B812,$G$5:$G$1004),N($E812)-N($G812)),"#,##0"),IF(AND(ISNUMBER($O812),N($K812)&lt;0),"請求額より多く消し込んでいます",IF($F812="","消込先が未定","OK")))))))</f>
        <v/>
      </c>
      <c r="M812" s="19" t="n"/>
      <c r="N812" s="56" t="n"/>
      <c r="O812" s="32">
        <f>IF($F812="","",IFERROR(MATCH($F812,'請求台帳'!$A$5:$A$1004,0),"なし"))</f>
        <v/>
      </c>
      <c r="P812" s="37">
        <f>IF(NOT(OR($A812&lt;&gt;"",$E812&lt;&gt;"",$F812&lt;&gt;"",$G812&lt;&gt;"",$H812&lt;&gt;"",$I812&lt;&gt;"")),"",IF(ISNUMBER($O812),IF(INDEX('請求台帳'!$C$5:$C$1004,$O812)="","",INDEX('請求台帳'!$C$5:$C$1004,$O812)),IF($C812="","",$C812)))</f>
        <v/>
      </c>
      <c r="Q812" s="35">
        <f>IF(OR(NOT(OR($A812&lt;&gt;"",$E812&lt;&gt;"",$F812&lt;&gt;"",$G812&lt;&gt;"",$H812&lt;&gt;"",$I812&lt;&gt;"")),$P812="",$P812&lt;&gt;'売掛帳'!$B$3,NOT(ISNUMBER($A812)),N($G812)+N($H812)+N($I812)=0),"",IF(AND($A812&gt;='売掛帳'!$Q$3,$A812&lt;='売掛帳'!$Q$4),$A812+0.5+ROW()/10000000,""))</f>
        <v/>
      </c>
      <c r="R812" s="32">
        <f>IF(AND(OR($A812&lt;&gt;"",$E812&lt;&gt;"",$F812&lt;&gt;"",$G812&lt;&gt;"",$H812&lt;&gt;"",$I812&lt;&gt;""),NOT(ISNUMBER($O812))),1,"")</f>
        <v/>
      </c>
    </row>
    <row r="813" ht="18" customHeight="1">
      <c r="A813" s="26" t="n"/>
      <c r="B813" s="18" t="n"/>
      <c r="C813" s="18" t="n"/>
      <c r="D813" s="20">
        <f>IF($P813="","",IFERROR(INDEX('得意先'!$C$5:$C$104,MATCH($P813,'得意先'!$B$5:$B$104,0))&amp;"","※得意先にないコード"))</f>
        <v/>
      </c>
      <c r="E813" s="27" t="n"/>
      <c r="F813" s="18" t="n"/>
      <c r="G813" s="27" t="n"/>
      <c r="H813" s="27" t="n"/>
      <c r="I813" s="27" t="n"/>
      <c r="J813" s="28">
        <f>IF(NOT(OR($A813&lt;&gt;"",$E813&lt;&gt;"",$F813&lt;&gt;"",$G813&lt;&gt;"",$H813&lt;&gt;"",$I813&lt;&gt;"")),"",N($G813)+N($H813)+N($I813))</f>
        <v/>
      </c>
      <c r="K813" s="28">
        <f>IF(ISNUMBER($O813),INDEX('請求台帳'!$R$5:$R$1004,$O813),"")</f>
        <v/>
      </c>
      <c r="L813" s="20">
        <f>IF(NOT(OR($A813&lt;&gt;"",$E813&lt;&gt;"",$F813&lt;&gt;"",$G813&lt;&gt;"",$H813&lt;&gt;"",$I813&lt;&gt;"")),"",IF(NOT(ISNUMBER($A813)),"入金日がありません",IF(AND($F813&lt;&gt;"",$O813="なし"),"請求Noが請求台帳にありません",IF(AND(ISNUMBER($O813),$C813&lt;&gt;"",$C813&lt;&gt;$P813),"請求の得意先は "&amp;$P813&amp;" です",IF(ROUND(IF($B813&lt;&gt;"",SUMIF($B$5:$B$1004,$B813,$E$5:$E$1004)-SUMIF($B$5:$B$1004,$B813,$G$5:$G$1004),N($E813)-N($G813)),0)&lt;&gt;0,"通帳の額と当てた額の差 "&amp;TEXT(IF($B813&lt;&gt;"",SUMIF($B$5:$B$1004,$B813,$E$5:$E$1004)-SUMIF($B$5:$B$1004,$B813,$G$5:$G$1004),N($E813)-N($G813)),"#,##0"),IF(AND(ISNUMBER($O813),N($K813)&lt;0),"請求額より多く消し込んでいます",IF($F813="","消込先が未定","OK")))))))</f>
        <v/>
      </c>
      <c r="M813" s="19" t="n"/>
      <c r="N813" s="56" t="n"/>
      <c r="O813" s="32">
        <f>IF($F813="","",IFERROR(MATCH($F813,'請求台帳'!$A$5:$A$1004,0),"なし"))</f>
        <v/>
      </c>
      <c r="P813" s="37">
        <f>IF(NOT(OR($A813&lt;&gt;"",$E813&lt;&gt;"",$F813&lt;&gt;"",$G813&lt;&gt;"",$H813&lt;&gt;"",$I813&lt;&gt;"")),"",IF(ISNUMBER($O813),IF(INDEX('請求台帳'!$C$5:$C$1004,$O813)="","",INDEX('請求台帳'!$C$5:$C$1004,$O813)),IF($C813="","",$C813)))</f>
        <v/>
      </c>
      <c r="Q813" s="35">
        <f>IF(OR(NOT(OR($A813&lt;&gt;"",$E813&lt;&gt;"",$F813&lt;&gt;"",$G813&lt;&gt;"",$H813&lt;&gt;"",$I813&lt;&gt;"")),$P813="",$P813&lt;&gt;'売掛帳'!$B$3,NOT(ISNUMBER($A813)),N($G813)+N($H813)+N($I813)=0),"",IF(AND($A813&gt;='売掛帳'!$Q$3,$A813&lt;='売掛帳'!$Q$4),$A813+0.5+ROW()/10000000,""))</f>
        <v/>
      </c>
      <c r="R813" s="32">
        <f>IF(AND(OR($A813&lt;&gt;"",$E813&lt;&gt;"",$F813&lt;&gt;"",$G813&lt;&gt;"",$H813&lt;&gt;"",$I813&lt;&gt;""),NOT(ISNUMBER($O813))),1,"")</f>
        <v/>
      </c>
    </row>
    <row r="814" ht="18" customHeight="1">
      <c r="A814" s="26" t="n"/>
      <c r="B814" s="18" t="n"/>
      <c r="C814" s="18" t="n"/>
      <c r="D814" s="20">
        <f>IF($P814="","",IFERROR(INDEX('得意先'!$C$5:$C$104,MATCH($P814,'得意先'!$B$5:$B$104,0))&amp;"","※得意先にないコード"))</f>
        <v/>
      </c>
      <c r="E814" s="27" t="n"/>
      <c r="F814" s="18" t="n"/>
      <c r="G814" s="27" t="n"/>
      <c r="H814" s="27" t="n"/>
      <c r="I814" s="27" t="n"/>
      <c r="J814" s="28">
        <f>IF(NOT(OR($A814&lt;&gt;"",$E814&lt;&gt;"",$F814&lt;&gt;"",$G814&lt;&gt;"",$H814&lt;&gt;"",$I814&lt;&gt;"")),"",N($G814)+N($H814)+N($I814))</f>
        <v/>
      </c>
      <c r="K814" s="28">
        <f>IF(ISNUMBER($O814),INDEX('請求台帳'!$R$5:$R$1004,$O814),"")</f>
        <v/>
      </c>
      <c r="L814" s="20">
        <f>IF(NOT(OR($A814&lt;&gt;"",$E814&lt;&gt;"",$F814&lt;&gt;"",$G814&lt;&gt;"",$H814&lt;&gt;"",$I814&lt;&gt;"")),"",IF(NOT(ISNUMBER($A814)),"入金日がありません",IF(AND($F814&lt;&gt;"",$O814="なし"),"請求Noが請求台帳にありません",IF(AND(ISNUMBER($O814),$C814&lt;&gt;"",$C814&lt;&gt;$P814),"請求の得意先は "&amp;$P814&amp;" です",IF(ROUND(IF($B814&lt;&gt;"",SUMIF($B$5:$B$1004,$B814,$E$5:$E$1004)-SUMIF($B$5:$B$1004,$B814,$G$5:$G$1004),N($E814)-N($G814)),0)&lt;&gt;0,"通帳の額と当てた額の差 "&amp;TEXT(IF($B814&lt;&gt;"",SUMIF($B$5:$B$1004,$B814,$E$5:$E$1004)-SUMIF($B$5:$B$1004,$B814,$G$5:$G$1004),N($E814)-N($G814)),"#,##0"),IF(AND(ISNUMBER($O814),N($K814)&lt;0),"請求額より多く消し込んでいます",IF($F814="","消込先が未定","OK")))))))</f>
        <v/>
      </c>
      <c r="M814" s="19" t="n"/>
      <c r="N814" s="56" t="n"/>
      <c r="O814" s="32">
        <f>IF($F814="","",IFERROR(MATCH($F814,'請求台帳'!$A$5:$A$1004,0),"なし"))</f>
        <v/>
      </c>
      <c r="P814" s="37">
        <f>IF(NOT(OR($A814&lt;&gt;"",$E814&lt;&gt;"",$F814&lt;&gt;"",$G814&lt;&gt;"",$H814&lt;&gt;"",$I814&lt;&gt;"")),"",IF(ISNUMBER($O814),IF(INDEX('請求台帳'!$C$5:$C$1004,$O814)="","",INDEX('請求台帳'!$C$5:$C$1004,$O814)),IF($C814="","",$C814)))</f>
        <v/>
      </c>
      <c r="Q814" s="35">
        <f>IF(OR(NOT(OR($A814&lt;&gt;"",$E814&lt;&gt;"",$F814&lt;&gt;"",$G814&lt;&gt;"",$H814&lt;&gt;"",$I814&lt;&gt;"")),$P814="",$P814&lt;&gt;'売掛帳'!$B$3,NOT(ISNUMBER($A814)),N($G814)+N($H814)+N($I814)=0),"",IF(AND($A814&gt;='売掛帳'!$Q$3,$A814&lt;='売掛帳'!$Q$4),$A814+0.5+ROW()/10000000,""))</f>
        <v/>
      </c>
      <c r="R814" s="32">
        <f>IF(AND(OR($A814&lt;&gt;"",$E814&lt;&gt;"",$F814&lt;&gt;"",$G814&lt;&gt;"",$H814&lt;&gt;"",$I814&lt;&gt;""),NOT(ISNUMBER($O814))),1,"")</f>
        <v/>
      </c>
    </row>
    <row r="815" ht="18" customHeight="1">
      <c r="A815" s="26" t="n"/>
      <c r="B815" s="18" t="n"/>
      <c r="C815" s="18" t="n"/>
      <c r="D815" s="20">
        <f>IF($P815="","",IFERROR(INDEX('得意先'!$C$5:$C$104,MATCH($P815,'得意先'!$B$5:$B$104,0))&amp;"","※得意先にないコード"))</f>
        <v/>
      </c>
      <c r="E815" s="27" t="n"/>
      <c r="F815" s="18" t="n"/>
      <c r="G815" s="27" t="n"/>
      <c r="H815" s="27" t="n"/>
      <c r="I815" s="27" t="n"/>
      <c r="J815" s="28">
        <f>IF(NOT(OR($A815&lt;&gt;"",$E815&lt;&gt;"",$F815&lt;&gt;"",$G815&lt;&gt;"",$H815&lt;&gt;"",$I815&lt;&gt;"")),"",N($G815)+N($H815)+N($I815))</f>
        <v/>
      </c>
      <c r="K815" s="28">
        <f>IF(ISNUMBER($O815),INDEX('請求台帳'!$R$5:$R$1004,$O815),"")</f>
        <v/>
      </c>
      <c r="L815" s="20">
        <f>IF(NOT(OR($A815&lt;&gt;"",$E815&lt;&gt;"",$F815&lt;&gt;"",$G815&lt;&gt;"",$H815&lt;&gt;"",$I815&lt;&gt;"")),"",IF(NOT(ISNUMBER($A815)),"入金日がありません",IF(AND($F815&lt;&gt;"",$O815="なし"),"請求Noが請求台帳にありません",IF(AND(ISNUMBER($O815),$C815&lt;&gt;"",$C815&lt;&gt;$P815),"請求の得意先は "&amp;$P815&amp;" です",IF(ROUND(IF($B815&lt;&gt;"",SUMIF($B$5:$B$1004,$B815,$E$5:$E$1004)-SUMIF($B$5:$B$1004,$B815,$G$5:$G$1004),N($E815)-N($G815)),0)&lt;&gt;0,"通帳の額と当てた額の差 "&amp;TEXT(IF($B815&lt;&gt;"",SUMIF($B$5:$B$1004,$B815,$E$5:$E$1004)-SUMIF($B$5:$B$1004,$B815,$G$5:$G$1004),N($E815)-N($G815)),"#,##0"),IF(AND(ISNUMBER($O815),N($K815)&lt;0),"請求額より多く消し込んでいます",IF($F815="","消込先が未定","OK")))))))</f>
        <v/>
      </c>
      <c r="M815" s="19" t="n"/>
      <c r="N815" s="56" t="n"/>
      <c r="O815" s="32">
        <f>IF($F815="","",IFERROR(MATCH($F815,'請求台帳'!$A$5:$A$1004,0),"なし"))</f>
        <v/>
      </c>
      <c r="P815" s="37">
        <f>IF(NOT(OR($A815&lt;&gt;"",$E815&lt;&gt;"",$F815&lt;&gt;"",$G815&lt;&gt;"",$H815&lt;&gt;"",$I815&lt;&gt;"")),"",IF(ISNUMBER($O815),IF(INDEX('請求台帳'!$C$5:$C$1004,$O815)="","",INDEX('請求台帳'!$C$5:$C$1004,$O815)),IF($C815="","",$C815)))</f>
        <v/>
      </c>
      <c r="Q815" s="35">
        <f>IF(OR(NOT(OR($A815&lt;&gt;"",$E815&lt;&gt;"",$F815&lt;&gt;"",$G815&lt;&gt;"",$H815&lt;&gt;"",$I815&lt;&gt;"")),$P815="",$P815&lt;&gt;'売掛帳'!$B$3,NOT(ISNUMBER($A815)),N($G815)+N($H815)+N($I815)=0),"",IF(AND($A815&gt;='売掛帳'!$Q$3,$A815&lt;='売掛帳'!$Q$4),$A815+0.5+ROW()/10000000,""))</f>
        <v/>
      </c>
      <c r="R815" s="32">
        <f>IF(AND(OR($A815&lt;&gt;"",$E815&lt;&gt;"",$F815&lt;&gt;"",$G815&lt;&gt;"",$H815&lt;&gt;"",$I815&lt;&gt;""),NOT(ISNUMBER($O815))),1,"")</f>
        <v/>
      </c>
    </row>
    <row r="816" ht="18" customHeight="1">
      <c r="A816" s="26" t="n"/>
      <c r="B816" s="18" t="n"/>
      <c r="C816" s="18" t="n"/>
      <c r="D816" s="20">
        <f>IF($P816="","",IFERROR(INDEX('得意先'!$C$5:$C$104,MATCH($P816,'得意先'!$B$5:$B$104,0))&amp;"","※得意先にないコード"))</f>
        <v/>
      </c>
      <c r="E816" s="27" t="n"/>
      <c r="F816" s="18" t="n"/>
      <c r="G816" s="27" t="n"/>
      <c r="H816" s="27" t="n"/>
      <c r="I816" s="27" t="n"/>
      <c r="J816" s="28">
        <f>IF(NOT(OR($A816&lt;&gt;"",$E816&lt;&gt;"",$F816&lt;&gt;"",$G816&lt;&gt;"",$H816&lt;&gt;"",$I816&lt;&gt;"")),"",N($G816)+N($H816)+N($I816))</f>
        <v/>
      </c>
      <c r="K816" s="28">
        <f>IF(ISNUMBER($O816),INDEX('請求台帳'!$R$5:$R$1004,$O816),"")</f>
        <v/>
      </c>
      <c r="L816" s="20">
        <f>IF(NOT(OR($A816&lt;&gt;"",$E816&lt;&gt;"",$F816&lt;&gt;"",$G816&lt;&gt;"",$H816&lt;&gt;"",$I816&lt;&gt;"")),"",IF(NOT(ISNUMBER($A816)),"入金日がありません",IF(AND($F816&lt;&gt;"",$O816="なし"),"請求Noが請求台帳にありません",IF(AND(ISNUMBER($O816),$C816&lt;&gt;"",$C816&lt;&gt;$P816),"請求の得意先は "&amp;$P816&amp;" です",IF(ROUND(IF($B816&lt;&gt;"",SUMIF($B$5:$B$1004,$B816,$E$5:$E$1004)-SUMIF($B$5:$B$1004,$B816,$G$5:$G$1004),N($E816)-N($G816)),0)&lt;&gt;0,"通帳の額と当てた額の差 "&amp;TEXT(IF($B816&lt;&gt;"",SUMIF($B$5:$B$1004,$B816,$E$5:$E$1004)-SUMIF($B$5:$B$1004,$B816,$G$5:$G$1004),N($E816)-N($G816)),"#,##0"),IF(AND(ISNUMBER($O816),N($K816)&lt;0),"請求額より多く消し込んでいます",IF($F816="","消込先が未定","OK")))))))</f>
        <v/>
      </c>
      <c r="M816" s="19" t="n"/>
      <c r="N816" s="56" t="n"/>
      <c r="O816" s="32">
        <f>IF($F816="","",IFERROR(MATCH($F816,'請求台帳'!$A$5:$A$1004,0),"なし"))</f>
        <v/>
      </c>
      <c r="P816" s="37">
        <f>IF(NOT(OR($A816&lt;&gt;"",$E816&lt;&gt;"",$F816&lt;&gt;"",$G816&lt;&gt;"",$H816&lt;&gt;"",$I816&lt;&gt;"")),"",IF(ISNUMBER($O816),IF(INDEX('請求台帳'!$C$5:$C$1004,$O816)="","",INDEX('請求台帳'!$C$5:$C$1004,$O816)),IF($C816="","",$C816)))</f>
        <v/>
      </c>
      <c r="Q816" s="35">
        <f>IF(OR(NOT(OR($A816&lt;&gt;"",$E816&lt;&gt;"",$F816&lt;&gt;"",$G816&lt;&gt;"",$H816&lt;&gt;"",$I816&lt;&gt;"")),$P816="",$P816&lt;&gt;'売掛帳'!$B$3,NOT(ISNUMBER($A816)),N($G816)+N($H816)+N($I816)=0),"",IF(AND($A816&gt;='売掛帳'!$Q$3,$A816&lt;='売掛帳'!$Q$4),$A816+0.5+ROW()/10000000,""))</f>
        <v/>
      </c>
      <c r="R816" s="32">
        <f>IF(AND(OR($A816&lt;&gt;"",$E816&lt;&gt;"",$F816&lt;&gt;"",$G816&lt;&gt;"",$H816&lt;&gt;"",$I816&lt;&gt;""),NOT(ISNUMBER($O816))),1,"")</f>
        <v/>
      </c>
    </row>
    <row r="817" ht="18" customHeight="1">
      <c r="A817" s="26" t="n"/>
      <c r="B817" s="18" t="n"/>
      <c r="C817" s="18" t="n"/>
      <c r="D817" s="20">
        <f>IF($P817="","",IFERROR(INDEX('得意先'!$C$5:$C$104,MATCH($P817,'得意先'!$B$5:$B$104,0))&amp;"","※得意先にないコード"))</f>
        <v/>
      </c>
      <c r="E817" s="27" t="n"/>
      <c r="F817" s="18" t="n"/>
      <c r="G817" s="27" t="n"/>
      <c r="H817" s="27" t="n"/>
      <c r="I817" s="27" t="n"/>
      <c r="J817" s="28">
        <f>IF(NOT(OR($A817&lt;&gt;"",$E817&lt;&gt;"",$F817&lt;&gt;"",$G817&lt;&gt;"",$H817&lt;&gt;"",$I817&lt;&gt;"")),"",N($G817)+N($H817)+N($I817))</f>
        <v/>
      </c>
      <c r="K817" s="28">
        <f>IF(ISNUMBER($O817),INDEX('請求台帳'!$R$5:$R$1004,$O817),"")</f>
        <v/>
      </c>
      <c r="L817" s="20">
        <f>IF(NOT(OR($A817&lt;&gt;"",$E817&lt;&gt;"",$F817&lt;&gt;"",$G817&lt;&gt;"",$H817&lt;&gt;"",$I817&lt;&gt;"")),"",IF(NOT(ISNUMBER($A817)),"入金日がありません",IF(AND($F817&lt;&gt;"",$O817="なし"),"請求Noが請求台帳にありません",IF(AND(ISNUMBER($O817),$C817&lt;&gt;"",$C817&lt;&gt;$P817),"請求の得意先は "&amp;$P817&amp;" です",IF(ROUND(IF($B817&lt;&gt;"",SUMIF($B$5:$B$1004,$B817,$E$5:$E$1004)-SUMIF($B$5:$B$1004,$B817,$G$5:$G$1004),N($E817)-N($G817)),0)&lt;&gt;0,"通帳の額と当てた額の差 "&amp;TEXT(IF($B817&lt;&gt;"",SUMIF($B$5:$B$1004,$B817,$E$5:$E$1004)-SUMIF($B$5:$B$1004,$B817,$G$5:$G$1004),N($E817)-N($G817)),"#,##0"),IF(AND(ISNUMBER($O817),N($K817)&lt;0),"請求額より多く消し込んでいます",IF($F817="","消込先が未定","OK")))))))</f>
        <v/>
      </c>
      <c r="M817" s="19" t="n"/>
      <c r="N817" s="56" t="n"/>
      <c r="O817" s="32">
        <f>IF($F817="","",IFERROR(MATCH($F817,'請求台帳'!$A$5:$A$1004,0),"なし"))</f>
        <v/>
      </c>
      <c r="P817" s="37">
        <f>IF(NOT(OR($A817&lt;&gt;"",$E817&lt;&gt;"",$F817&lt;&gt;"",$G817&lt;&gt;"",$H817&lt;&gt;"",$I817&lt;&gt;"")),"",IF(ISNUMBER($O817),IF(INDEX('請求台帳'!$C$5:$C$1004,$O817)="","",INDEX('請求台帳'!$C$5:$C$1004,$O817)),IF($C817="","",$C817)))</f>
        <v/>
      </c>
      <c r="Q817" s="35">
        <f>IF(OR(NOT(OR($A817&lt;&gt;"",$E817&lt;&gt;"",$F817&lt;&gt;"",$G817&lt;&gt;"",$H817&lt;&gt;"",$I817&lt;&gt;"")),$P817="",$P817&lt;&gt;'売掛帳'!$B$3,NOT(ISNUMBER($A817)),N($G817)+N($H817)+N($I817)=0),"",IF(AND($A817&gt;='売掛帳'!$Q$3,$A817&lt;='売掛帳'!$Q$4),$A817+0.5+ROW()/10000000,""))</f>
        <v/>
      </c>
      <c r="R817" s="32">
        <f>IF(AND(OR($A817&lt;&gt;"",$E817&lt;&gt;"",$F817&lt;&gt;"",$G817&lt;&gt;"",$H817&lt;&gt;"",$I817&lt;&gt;""),NOT(ISNUMBER($O817))),1,"")</f>
        <v/>
      </c>
    </row>
    <row r="818" ht="18" customHeight="1">
      <c r="A818" s="26" t="n"/>
      <c r="B818" s="18" t="n"/>
      <c r="C818" s="18" t="n"/>
      <c r="D818" s="20">
        <f>IF($P818="","",IFERROR(INDEX('得意先'!$C$5:$C$104,MATCH($P818,'得意先'!$B$5:$B$104,0))&amp;"","※得意先にないコード"))</f>
        <v/>
      </c>
      <c r="E818" s="27" t="n"/>
      <c r="F818" s="18" t="n"/>
      <c r="G818" s="27" t="n"/>
      <c r="H818" s="27" t="n"/>
      <c r="I818" s="27" t="n"/>
      <c r="J818" s="28">
        <f>IF(NOT(OR($A818&lt;&gt;"",$E818&lt;&gt;"",$F818&lt;&gt;"",$G818&lt;&gt;"",$H818&lt;&gt;"",$I818&lt;&gt;"")),"",N($G818)+N($H818)+N($I818))</f>
        <v/>
      </c>
      <c r="K818" s="28">
        <f>IF(ISNUMBER($O818),INDEX('請求台帳'!$R$5:$R$1004,$O818),"")</f>
        <v/>
      </c>
      <c r="L818" s="20">
        <f>IF(NOT(OR($A818&lt;&gt;"",$E818&lt;&gt;"",$F818&lt;&gt;"",$G818&lt;&gt;"",$H818&lt;&gt;"",$I818&lt;&gt;"")),"",IF(NOT(ISNUMBER($A818)),"入金日がありません",IF(AND($F818&lt;&gt;"",$O818="なし"),"請求Noが請求台帳にありません",IF(AND(ISNUMBER($O818),$C818&lt;&gt;"",$C818&lt;&gt;$P818),"請求の得意先は "&amp;$P818&amp;" です",IF(ROUND(IF($B818&lt;&gt;"",SUMIF($B$5:$B$1004,$B818,$E$5:$E$1004)-SUMIF($B$5:$B$1004,$B818,$G$5:$G$1004),N($E818)-N($G818)),0)&lt;&gt;0,"通帳の額と当てた額の差 "&amp;TEXT(IF($B818&lt;&gt;"",SUMIF($B$5:$B$1004,$B818,$E$5:$E$1004)-SUMIF($B$5:$B$1004,$B818,$G$5:$G$1004),N($E818)-N($G818)),"#,##0"),IF(AND(ISNUMBER($O818),N($K818)&lt;0),"請求額より多く消し込んでいます",IF($F818="","消込先が未定","OK")))))))</f>
        <v/>
      </c>
      <c r="M818" s="19" t="n"/>
      <c r="N818" s="56" t="n"/>
      <c r="O818" s="32">
        <f>IF($F818="","",IFERROR(MATCH($F818,'請求台帳'!$A$5:$A$1004,0),"なし"))</f>
        <v/>
      </c>
      <c r="P818" s="37">
        <f>IF(NOT(OR($A818&lt;&gt;"",$E818&lt;&gt;"",$F818&lt;&gt;"",$G818&lt;&gt;"",$H818&lt;&gt;"",$I818&lt;&gt;"")),"",IF(ISNUMBER($O818),IF(INDEX('請求台帳'!$C$5:$C$1004,$O818)="","",INDEX('請求台帳'!$C$5:$C$1004,$O818)),IF($C818="","",$C818)))</f>
        <v/>
      </c>
      <c r="Q818" s="35">
        <f>IF(OR(NOT(OR($A818&lt;&gt;"",$E818&lt;&gt;"",$F818&lt;&gt;"",$G818&lt;&gt;"",$H818&lt;&gt;"",$I818&lt;&gt;"")),$P818="",$P818&lt;&gt;'売掛帳'!$B$3,NOT(ISNUMBER($A818)),N($G818)+N($H818)+N($I818)=0),"",IF(AND($A818&gt;='売掛帳'!$Q$3,$A818&lt;='売掛帳'!$Q$4),$A818+0.5+ROW()/10000000,""))</f>
        <v/>
      </c>
      <c r="R818" s="32">
        <f>IF(AND(OR($A818&lt;&gt;"",$E818&lt;&gt;"",$F818&lt;&gt;"",$G818&lt;&gt;"",$H818&lt;&gt;"",$I818&lt;&gt;""),NOT(ISNUMBER($O818))),1,"")</f>
        <v/>
      </c>
    </row>
    <row r="819" ht="18" customHeight="1">
      <c r="A819" s="26" t="n"/>
      <c r="B819" s="18" t="n"/>
      <c r="C819" s="18" t="n"/>
      <c r="D819" s="20">
        <f>IF($P819="","",IFERROR(INDEX('得意先'!$C$5:$C$104,MATCH($P819,'得意先'!$B$5:$B$104,0))&amp;"","※得意先にないコード"))</f>
        <v/>
      </c>
      <c r="E819" s="27" t="n"/>
      <c r="F819" s="18" t="n"/>
      <c r="G819" s="27" t="n"/>
      <c r="H819" s="27" t="n"/>
      <c r="I819" s="27" t="n"/>
      <c r="J819" s="28">
        <f>IF(NOT(OR($A819&lt;&gt;"",$E819&lt;&gt;"",$F819&lt;&gt;"",$G819&lt;&gt;"",$H819&lt;&gt;"",$I819&lt;&gt;"")),"",N($G819)+N($H819)+N($I819))</f>
        <v/>
      </c>
      <c r="K819" s="28">
        <f>IF(ISNUMBER($O819),INDEX('請求台帳'!$R$5:$R$1004,$O819),"")</f>
        <v/>
      </c>
      <c r="L819" s="20">
        <f>IF(NOT(OR($A819&lt;&gt;"",$E819&lt;&gt;"",$F819&lt;&gt;"",$G819&lt;&gt;"",$H819&lt;&gt;"",$I819&lt;&gt;"")),"",IF(NOT(ISNUMBER($A819)),"入金日がありません",IF(AND($F819&lt;&gt;"",$O819="なし"),"請求Noが請求台帳にありません",IF(AND(ISNUMBER($O819),$C819&lt;&gt;"",$C819&lt;&gt;$P819),"請求の得意先は "&amp;$P819&amp;" です",IF(ROUND(IF($B819&lt;&gt;"",SUMIF($B$5:$B$1004,$B819,$E$5:$E$1004)-SUMIF($B$5:$B$1004,$B819,$G$5:$G$1004),N($E819)-N($G819)),0)&lt;&gt;0,"通帳の額と当てた額の差 "&amp;TEXT(IF($B819&lt;&gt;"",SUMIF($B$5:$B$1004,$B819,$E$5:$E$1004)-SUMIF($B$5:$B$1004,$B819,$G$5:$G$1004),N($E819)-N($G819)),"#,##0"),IF(AND(ISNUMBER($O819),N($K819)&lt;0),"請求額より多く消し込んでいます",IF($F819="","消込先が未定","OK")))))))</f>
        <v/>
      </c>
      <c r="M819" s="19" t="n"/>
      <c r="N819" s="56" t="n"/>
      <c r="O819" s="32">
        <f>IF($F819="","",IFERROR(MATCH($F819,'請求台帳'!$A$5:$A$1004,0),"なし"))</f>
        <v/>
      </c>
      <c r="P819" s="37">
        <f>IF(NOT(OR($A819&lt;&gt;"",$E819&lt;&gt;"",$F819&lt;&gt;"",$G819&lt;&gt;"",$H819&lt;&gt;"",$I819&lt;&gt;"")),"",IF(ISNUMBER($O819),IF(INDEX('請求台帳'!$C$5:$C$1004,$O819)="","",INDEX('請求台帳'!$C$5:$C$1004,$O819)),IF($C819="","",$C819)))</f>
        <v/>
      </c>
      <c r="Q819" s="35">
        <f>IF(OR(NOT(OR($A819&lt;&gt;"",$E819&lt;&gt;"",$F819&lt;&gt;"",$G819&lt;&gt;"",$H819&lt;&gt;"",$I819&lt;&gt;"")),$P819="",$P819&lt;&gt;'売掛帳'!$B$3,NOT(ISNUMBER($A819)),N($G819)+N($H819)+N($I819)=0),"",IF(AND($A819&gt;='売掛帳'!$Q$3,$A819&lt;='売掛帳'!$Q$4),$A819+0.5+ROW()/10000000,""))</f>
        <v/>
      </c>
      <c r="R819" s="32">
        <f>IF(AND(OR($A819&lt;&gt;"",$E819&lt;&gt;"",$F819&lt;&gt;"",$G819&lt;&gt;"",$H819&lt;&gt;"",$I819&lt;&gt;""),NOT(ISNUMBER($O819))),1,"")</f>
        <v/>
      </c>
    </row>
    <row r="820" ht="18" customHeight="1">
      <c r="A820" s="26" t="n"/>
      <c r="B820" s="18" t="n"/>
      <c r="C820" s="18" t="n"/>
      <c r="D820" s="20">
        <f>IF($P820="","",IFERROR(INDEX('得意先'!$C$5:$C$104,MATCH($P820,'得意先'!$B$5:$B$104,0))&amp;"","※得意先にないコード"))</f>
        <v/>
      </c>
      <c r="E820" s="27" t="n"/>
      <c r="F820" s="18" t="n"/>
      <c r="G820" s="27" t="n"/>
      <c r="H820" s="27" t="n"/>
      <c r="I820" s="27" t="n"/>
      <c r="J820" s="28">
        <f>IF(NOT(OR($A820&lt;&gt;"",$E820&lt;&gt;"",$F820&lt;&gt;"",$G820&lt;&gt;"",$H820&lt;&gt;"",$I820&lt;&gt;"")),"",N($G820)+N($H820)+N($I820))</f>
        <v/>
      </c>
      <c r="K820" s="28">
        <f>IF(ISNUMBER($O820),INDEX('請求台帳'!$R$5:$R$1004,$O820),"")</f>
        <v/>
      </c>
      <c r="L820" s="20">
        <f>IF(NOT(OR($A820&lt;&gt;"",$E820&lt;&gt;"",$F820&lt;&gt;"",$G820&lt;&gt;"",$H820&lt;&gt;"",$I820&lt;&gt;"")),"",IF(NOT(ISNUMBER($A820)),"入金日がありません",IF(AND($F820&lt;&gt;"",$O820="なし"),"請求Noが請求台帳にありません",IF(AND(ISNUMBER($O820),$C820&lt;&gt;"",$C820&lt;&gt;$P820),"請求の得意先は "&amp;$P820&amp;" です",IF(ROUND(IF($B820&lt;&gt;"",SUMIF($B$5:$B$1004,$B820,$E$5:$E$1004)-SUMIF($B$5:$B$1004,$B820,$G$5:$G$1004),N($E820)-N($G820)),0)&lt;&gt;0,"通帳の額と当てた額の差 "&amp;TEXT(IF($B820&lt;&gt;"",SUMIF($B$5:$B$1004,$B820,$E$5:$E$1004)-SUMIF($B$5:$B$1004,$B820,$G$5:$G$1004),N($E820)-N($G820)),"#,##0"),IF(AND(ISNUMBER($O820),N($K820)&lt;0),"請求額より多く消し込んでいます",IF($F820="","消込先が未定","OK")))))))</f>
        <v/>
      </c>
      <c r="M820" s="19" t="n"/>
      <c r="N820" s="56" t="n"/>
      <c r="O820" s="32">
        <f>IF($F820="","",IFERROR(MATCH($F820,'請求台帳'!$A$5:$A$1004,0),"なし"))</f>
        <v/>
      </c>
      <c r="P820" s="37">
        <f>IF(NOT(OR($A820&lt;&gt;"",$E820&lt;&gt;"",$F820&lt;&gt;"",$G820&lt;&gt;"",$H820&lt;&gt;"",$I820&lt;&gt;"")),"",IF(ISNUMBER($O820),IF(INDEX('請求台帳'!$C$5:$C$1004,$O820)="","",INDEX('請求台帳'!$C$5:$C$1004,$O820)),IF($C820="","",$C820)))</f>
        <v/>
      </c>
      <c r="Q820" s="35">
        <f>IF(OR(NOT(OR($A820&lt;&gt;"",$E820&lt;&gt;"",$F820&lt;&gt;"",$G820&lt;&gt;"",$H820&lt;&gt;"",$I820&lt;&gt;"")),$P820="",$P820&lt;&gt;'売掛帳'!$B$3,NOT(ISNUMBER($A820)),N($G820)+N($H820)+N($I820)=0),"",IF(AND($A820&gt;='売掛帳'!$Q$3,$A820&lt;='売掛帳'!$Q$4),$A820+0.5+ROW()/10000000,""))</f>
        <v/>
      </c>
      <c r="R820" s="32">
        <f>IF(AND(OR($A820&lt;&gt;"",$E820&lt;&gt;"",$F820&lt;&gt;"",$G820&lt;&gt;"",$H820&lt;&gt;"",$I820&lt;&gt;""),NOT(ISNUMBER($O820))),1,"")</f>
        <v/>
      </c>
    </row>
    <row r="821" ht="18" customHeight="1">
      <c r="A821" s="26" t="n"/>
      <c r="B821" s="18" t="n"/>
      <c r="C821" s="18" t="n"/>
      <c r="D821" s="20">
        <f>IF($P821="","",IFERROR(INDEX('得意先'!$C$5:$C$104,MATCH($P821,'得意先'!$B$5:$B$104,0))&amp;"","※得意先にないコード"))</f>
        <v/>
      </c>
      <c r="E821" s="27" t="n"/>
      <c r="F821" s="18" t="n"/>
      <c r="G821" s="27" t="n"/>
      <c r="H821" s="27" t="n"/>
      <c r="I821" s="27" t="n"/>
      <c r="J821" s="28">
        <f>IF(NOT(OR($A821&lt;&gt;"",$E821&lt;&gt;"",$F821&lt;&gt;"",$G821&lt;&gt;"",$H821&lt;&gt;"",$I821&lt;&gt;"")),"",N($G821)+N($H821)+N($I821))</f>
        <v/>
      </c>
      <c r="K821" s="28">
        <f>IF(ISNUMBER($O821),INDEX('請求台帳'!$R$5:$R$1004,$O821),"")</f>
        <v/>
      </c>
      <c r="L821" s="20">
        <f>IF(NOT(OR($A821&lt;&gt;"",$E821&lt;&gt;"",$F821&lt;&gt;"",$G821&lt;&gt;"",$H821&lt;&gt;"",$I821&lt;&gt;"")),"",IF(NOT(ISNUMBER($A821)),"入金日がありません",IF(AND($F821&lt;&gt;"",$O821="なし"),"請求Noが請求台帳にありません",IF(AND(ISNUMBER($O821),$C821&lt;&gt;"",$C821&lt;&gt;$P821),"請求の得意先は "&amp;$P821&amp;" です",IF(ROUND(IF($B821&lt;&gt;"",SUMIF($B$5:$B$1004,$B821,$E$5:$E$1004)-SUMIF($B$5:$B$1004,$B821,$G$5:$G$1004),N($E821)-N($G821)),0)&lt;&gt;0,"通帳の額と当てた額の差 "&amp;TEXT(IF($B821&lt;&gt;"",SUMIF($B$5:$B$1004,$B821,$E$5:$E$1004)-SUMIF($B$5:$B$1004,$B821,$G$5:$G$1004),N($E821)-N($G821)),"#,##0"),IF(AND(ISNUMBER($O821),N($K821)&lt;0),"請求額より多く消し込んでいます",IF($F821="","消込先が未定","OK")))))))</f>
        <v/>
      </c>
      <c r="M821" s="19" t="n"/>
      <c r="N821" s="56" t="n"/>
      <c r="O821" s="32">
        <f>IF($F821="","",IFERROR(MATCH($F821,'請求台帳'!$A$5:$A$1004,0),"なし"))</f>
        <v/>
      </c>
      <c r="P821" s="37">
        <f>IF(NOT(OR($A821&lt;&gt;"",$E821&lt;&gt;"",$F821&lt;&gt;"",$G821&lt;&gt;"",$H821&lt;&gt;"",$I821&lt;&gt;"")),"",IF(ISNUMBER($O821),IF(INDEX('請求台帳'!$C$5:$C$1004,$O821)="","",INDEX('請求台帳'!$C$5:$C$1004,$O821)),IF($C821="","",$C821)))</f>
        <v/>
      </c>
      <c r="Q821" s="35">
        <f>IF(OR(NOT(OR($A821&lt;&gt;"",$E821&lt;&gt;"",$F821&lt;&gt;"",$G821&lt;&gt;"",$H821&lt;&gt;"",$I821&lt;&gt;"")),$P821="",$P821&lt;&gt;'売掛帳'!$B$3,NOT(ISNUMBER($A821)),N($G821)+N($H821)+N($I821)=0),"",IF(AND($A821&gt;='売掛帳'!$Q$3,$A821&lt;='売掛帳'!$Q$4),$A821+0.5+ROW()/10000000,""))</f>
        <v/>
      </c>
      <c r="R821" s="32">
        <f>IF(AND(OR($A821&lt;&gt;"",$E821&lt;&gt;"",$F821&lt;&gt;"",$G821&lt;&gt;"",$H821&lt;&gt;"",$I821&lt;&gt;""),NOT(ISNUMBER($O821))),1,"")</f>
        <v/>
      </c>
    </row>
    <row r="822" ht="18" customHeight="1">
      <c r="A822" s="26" t="n"/>
      <c r="B822" s="18" t="n"/>
      <c r="C822" s="18" t="n"/>
      <c r="D822" s="20">
        <f>IF($P822="","",IFERROR(INDEX('得意先'!$C$5:$C$104,MATCH($P822,'得意先'!$B$5:$B$104,0))&amp;"","※得意先にないコード"))</f>
        <v/>
      </c>
      <c r="E822" s="27" t="n"/>
      <c r="F822" s="18" t="n"/>
      <c r="G822" s="27" t="n"/>
      <c r="H822" s="27" t="n"/>
      <c r="I822" s="27" t="n"/>
      <c r="J822" s="28">
        <f>IF(NOT(OR($A822&lt;&gt;"",$E822&lt;&gt;"",$F822&lt;&gt;"",$G822&lt;&gt;"",$H822&lt;&gt;"",$I822&lt;&gt;"")),"",N($G822)+N($H822)+N($I822))</f>
        <v/>
      </c>
      <c r="K822" s="28">
        <f>IF(ISNUMBER($O822),INDEX('請求台帳'!$R$5:$R$1004,$O822),"")</f>
        <v/>
      </c>
      <c r="L822" s="20">
        <f>IF(NOT(OR($A822&lt;&gt;"",$E822&lt;&gt;"",$F822&lt;&gt;"",$G822&lt;&gt;"",$H822&lt;&gt;"",$I822&lt;&gt;"")),"",IF(NOT(ISNUMBER($A822)),"入金日がありません",IF(AND($F822&lt;&gt;"",$O822="なし"),"請求Noが請求台帳にありません",IF(AND(ISNUMBER($O822),$C822&lt;&gt;"",$C822&lt;&gt;$P822),"請求の得意先は "&amp;$P822&amp;" です",IF(ROUND(IF($B822&lt;&gt;"",SUMIF($B$5:$B$1004,$B822,$E$5:$E$1004)-SUMIF($B$5:$B$1004,$B822,$G$5:$G$1004),N($E822)-N($G822)),0)&lt;&gt;0,"通帳の額と当てた額の差 "&amp;TEXT(IF($B822&lt;&gt;"",SUMIF($B$5:$B$1004,$B822,$E$5:$E$1004)-SUMIF($B$5:$B$1004,$B822,$G$5:$G$1004),N($E822)-N($G822)),"#,##0"),IF(AND(ISNUMBER($O822),N($K822)&lt;0),"請求額より多く消し込んでいます",IF($F822="","消込先が未定","OK")))))))</f>
        <v/>
      </c>
      <c r="M822" s="19" t="n"/>
      <c r="N822" s="56" t="n"/>
      <c r="O822" s="32">
        <f>IF($F822="","",IFERROR(MATCH($F822,'請求台帳'!$A$5:$A$1004,0),"なし"))</f>
        <v/>
      </c>
      <c r="P822" s="37">
        <f>IF(NOT(OR($A822&lt;&gt;"",$E822&lt;&gt;"",$F822&lt;&gt;"",$G822&lt;&gt;"",$H822&lt;&gt;"",$I822&lt;&gt;"")),"",IF(ISNUMBER($O822),IF(INDEX('請求台帳'!$C$5:$C$1004,$O822)="","",INDEX('請求台帳'!$C$5:$C$1004,$O822)),IF($C822="","",$C822)))</f>
        <v/>
      </c>
      <c r="Q822" s="35">
        <f>IF(OR(NOT(OR($A822&lt;&gt;"",$E822&lt;&gt;"",$F822&lt;&gt;"",$G822&lt;&gt;"",$H822&lt;&gt;"",$I822&lt;&gt;"")),$P822="",$P822&lt;&gt;'売掛帳'!$B$3,NOT(ISNUMBER($A822)),N($G822)+N($H822)+N($I822)=0),"",IF(AND($A822&gt;='売掛帳'!$Q$3,$A822&lt;='売掛帳'!$Q$4),$A822+0.5+ROW()/10000000,""))</f>
        <v/>
      </c>
      <c r="R822" s="32">
        <f>IF(AND(OR($A822&lt;&gt;"",$E822&lt;&gt;"",$F822&lt;&gt;"",$G822&lt;&gt;"",$H822&lt;&gt;"",$I822&lt;&gt;""),NOT(ISNUMBER($O822))),1,"")</f>
        <v/>
      </c>
    </row>
    <row r="823" ht="18" customHeight="1">
      <c r="A823" s="26" t="n"/>
      <c r="B823" s="18" t="n"/>
      <c r="C823" s="18" t="n"/>
      <c r="D823" s="20">
        <f>IF($P823="","",IFERROR(INDEX('得意先'!$C$5:$C$104,MATCH($P823,'得意先'!$B$5:$B$104,0))&amp;"","※得意先にないコード"))</f>
        <v/>
      </c>
      <c r="E823" s="27" t="n"/>
      <c r="F823" s="18" t="n"/>
      <c r="G823" s="27" t="n"/>
      <c r="H823" s="27" t="n"/>
      <c r="I823" s="27" t="n"/>
      <c r="J823" s="28">
        <f>IF(NOT(OR($A823&lt;&gt;"",$E823&lt;&gt;"",$F823&lt;&gt;"",$G823&lt;&gt;"",$H823&lt;&gt;"",$I823&lt;&gt;"")),"",N($G823)+N($H823)+N($I823))</f>
        <v/>
      </c>
      <c r="K823" s="28">
        <f>IF(ISNUMBER($O823),INDEX('請求台帳'!$R$5:$R$1004,$O823),"")</f>
        <v/>
      </c>
      <c r="L823" s="20">
        <f>IF(NOT(OR($A823&lt;&gt;"",$E823&lt;&gt;"",$F823&lt;&gt;"",$G823&lt;&gt;"",$H823&lt;&gt;"",$I823&lt;&gt;"")),"",IF(NOT(ISNUMBER($A823)),"入金日がありません",IF(AND($F823&lt;&gt;"",$O823="なし"),"請求Noが請求台帳にありません",IF(AND(ISNUMBER($O823),$C823&lt;&gt;"",$C823&lt;&gt;$P823),"請求の得意先は "&amp;$P823&amp;" です",IF(ROUND(IF($B823&lt;&gt;"",SUMIF($B$5:$B$1004,$B823,$E$5:$E$1004)-SUMIF($B$5:$B$1004,$B823,$G$5:$G$1004),N($E823)-N($G823)),0)&lt;&gt;0,"通帳の額と当てた額の差 "&amp;TEXT(IF($B823&lt;&gt;"",SUMIF($B$5:$B$1004,$B823,$E$5:$E$1004)-SUMIF($B$5:$B$1004,$B823,$G$5:$G$1004),N($E823)-N($G823)),"#,##0"),IF(AND(ISNUMBER($O823),N($K823)&lt;0),"請求額より多く消し込んでいます",IF($F823="","消込先が未定","OK")))))))</f>
        <v/>
      </c>
      <c r="M823" s="19" t="n"/>
      <c r="N823" s="56" t="n"/>
      <c r="O823" s="32">
        <f>IF($F823="","",IFERROR(MATCH($F823,'請求台帳'!$A$5:$A$1004,0),"なし"))</f>
        <v/>
      </c>
      <c r="P823" s="37">
        <f>IF(NOT(OR($A823&lt;&gt;"",$E823&lt;&gt;"",$F823&lt;&gt;"",$G823&lt;&gt;"",$H823&lt;&gt;"",$I823&lt;&gt;"")),"",IF(ISNUMBER($O823),IF(INDEX('請求台帳'!$C$5:$C$1004,$O823)="","",INDEX('請求台帳'!$C$5:$C$1004,$O823)),IF($C823="","",$C823)))</f>
        <v/>
      </c>
      <c r="Q823" s="35">
        <f>IF(OR(NOT(OR($A823&lt;&gt;"",$E823&lt;&gt;"",$F823&lt;&gt;"",$G823&lt;&gt;"",$H823&lt;&gt;"",$I823&lt;&gt;"")),$P823="",$P823&lt;&gt;'売掛帳'!$B$3,NOT(ISNUMBER($A823)),N($G823)+N($H823)+N($I823)=0),"",IF(AND($A823&gt;='売掛帳'!$Q$3,$A823&lt;='売掛帳'!$Q$4),$A823+0.5+ROW()/10000000,""))</f>
        <v/>
      </c>
      <c r="R823" s="32">
        <f>IF(AND(OR($A823&lt;&gt;"",$E823&lt;&gt;"",$F823&lt;&gt;"",$G823&lt;&gt;"",$H823&lt;&gt;"",$I823&lt;&gt;""),NOT(ISNUMBER($O823))),1,"")</f>
        <v/>
      </c>
    </row>
    <row r="824" ht="18" customHeight="1">
      <c r="A824" s="26" t="n"/>
      <c r="B824" s="18" t="n"/>
      <c r="C824" s="18" t="n"/>
      <c r="D824" s="20">
        <f>IF($P824="","",IFERROR(INDEX('得意先'!$C$5:$C$104,MATCH($P824,'得意先'!$B$5:$B$104,0))&amp;"","※得意先にないコード"))</f>
        <v/>
      </c>
      <c r="E824" s="27" t="n"/>
      <c r="F824" s="18" t="n"/>
      <c r="G824" s="27" t="n"/>
      <c r="H824" s="27" t="n"/>
      <c r="I824" s="27" t="n"/>
      <c r="J824" s="28">
        <f>IF(NOT(OR($A824&lt;&gt;"",$E824&lt;&gt;"",$F824&lt;&gt;"",$G824&lt;&gt;"",$H824&lt;&gt;"",$I824&lt;&gt;"")),"",N($G824)+N($H824)+N($I824))</f>
        <v/>
      </c>
      <c r="K824" s="28">
        <f>IF(ISNUMBER($O824),INDEX('請求台帳'!$R$5:$R$1004,$O824),"")</f>
        <v/>
      </c>
      <c r="L824" s="20">
        <f>IF(NOT(OR($A824&lt;&gt;"",$E824&lt;&gt;"",$F824&lt;&gt;"",$G824&lt;&gt;"",$H824&lt;&gt;"",$I824&lt;&gt;"")),"",IF(NOT(ISNUMBER($A824)),"入金日がありません",IF(AND($F824&lt;&gt;"",$O824="なし"),"請求Noが請求台帳にありません",IF(AND(ISNUMBER($O824),$C824&lt;&gt;"",$C824&lt;&gt;$P824),"請求の得意先は "&amp;$P824&amp;" です",IF(ROUND(IF($B824&lt;&gt;"",SUMIF($B$5:$B$1004,$B824,$E$5:$E$1004)-SUMIF($B$5:$B$1004,$B824,$G$5:$G$1004),N($E824)-N($G824)),0)&lt;&gt;0,"通帳の額と当てた額の差 "&amp;TEXT(IF($B824&lt;&gt;"",SUMIF($B$5:$B$1004,$B824,$E$5:$E$1004)-SUMIF($B$5:$B$1004,$B824,$G$5:$G$1004),N($E824)-N($G824)),"#,##0"),IF(AND(ISNUMBER($O824),N($K824)&lt;0),"請求額より多く消し込んでいます",IF($F824="","消込先が未定","OK")))))))</f>
        <v/>
      </c>
      <c r="M824" s="19" t="n"/>
      <c r="N824" s="56" t="n"/>
      <c r="O824" s="32">
        <f>IF($F824="","",IFERROR(MATCH($F824,'請求台帳'!$A$5:$A$1004,0),"なし"))</f>
        <v/>
      </c>
      <c r="P824" s="37">
        <f>IF(NOT(OR($A824&lt;&gt;"",$E824&lt;&gt;"",$F824&lt;&gt;"",$G824&lt;&gt;"",$H824&lt;&gt;"",$I824&lt;&gt;"")),"",IF(ISNUMBER($O824),IF(INDEX('請求台帳'!$C$5:$C$1004,$O824)="","",INDEX('請求台帳'!$C$5:$C$1004,$O824)),IF($C824="","",$C824)))</f>
        <v/>
      </c>
      <c r="Q824" s="35">
        <f>IF(OR(NOT(OR($A824&lt;&gt;"",$E824&lt;&gt;"",$F824&lt;&gt;"",$G824&lt;&gt;"",$H824&lt;&gt;"",$I824&lt;&gt;"")),$P824="",$P824&lt;&gt;'売掛帳'!$B$3,NOT(ISNUMBER($A824)),N($G824)+N($H824)+N($I824)=0),"",IF(AND($A824&gt;='売掛帳'!$Q$3,$A824&lt;='売掛帳'!$Q$4),$A824+0.5+ROW()/10000000,""))</f>
        <v/>
      </c>
      <c r="R824" s="32">
        <f>IF(AND(OR($A824&lt;&gt;"",$E824&lt;&gt;"",$F824&lt;&gt;"",$G824&lt;&gt;"",$H824&lt;&gt;"",$I824&lt;&gt;""),NOT(ISNUMBER($O824))),1,"")</f>
        <v/>
      </c>
    </row>
    <row r="825" ht="18" customHeight="1">
      <c r="A825" s="26" t="n"/>
      <c r="B825" s="18" t="n"/>
      <c r="C825" s="18" t="n"/>
      <c r="D825" s="20">
        <f>IF($P825="","",IFERROR(INDEX('得意先'!$C$5:$C$104,MATCH($P825,'得意先'!$B$5:$B$104,0))&amp;"","※得意先にないコード"))</f>
        <v/>
      </c>
      <c r="E825" s="27" t="n"/>
      <c r="F825" s="18" t="n"/>
      <c r="G825" s="27" t="n"/>
      <c r="H825" s="27" t="n"/>
      <c r="I825" s="27" t="n"/>
      <c r="J825" s="28">
        <f>IF(NOT(OR($A825&lt;&gt;"",$E825&lt;&gt;"",$F825&lt;&gt;"",$G825&lt;&gt;"",$H825&lt;&gt;"",$I825&lt;&gt;"")),"",N($G825)+N($H825)+N($I825))</f>
        <v/>
      </c>
      <c r="K825" s="28">
        <f>IF(ISNUMBER($O825),INDEX('請求台帳'!$R$5:$R$1004,$O825),"")</f>
        <v/>
      </c>
      <c r="L825" s="20">
        <f>IF(NOT(OR($A825&lt;&gt;"",$E825&lt;&gt;"",$F825&lt;&gt;"",$G825&lt;&gt;"",$H825&lt;&gt;"",$I825&lt;&gt;"")),"",IF(NOT(ISNUMBER($A825)),"入金日がありません",IF(AND($F825&lt;&gt;"",$O825="なし"),"請求Noが請求台帳にありません",IF(AND(ISNUMBER($O825),$C825&lt;&gt;"",$C825&lt;&gt;$P825),"請求の得意先は "&amp;$P825&amp;" です",IF(ROUND(IF($B825&lt;&gt;"",SUMIF($B$5:$B$1004,$B825,$E$5:$E$1004)-SUMIF($B$5:$B$1004,$B825,$G$5:$G$1004),N($E825)-N($G825)),0)&lt;&gt;0,"通帳の額と当てた額の差 "&amp;TEXT(IF($B825&lt;&gt;"",SUMIF($B$5:$B$1004,$B825,$E$5:$E$1004)-SUMIF($B$5:$B$1004,$B825,$G$5:$G$1004),N($E825)-N($G825)),"#,##0"),IF(AND(ISNUMBER($O825),N($K825)&lt;0),"請求額より多く消し込んでいます",IF($F825="","消込先が未定","OK")))))))</f>
        <v/>
      </c>
      <c r="M825" s="19" t="n"/>
      <c r="N825" s="56" t="n"/>
      <c r="O825" s="32">
        <f>IF($F825="","",IFERROR(MATCH($F825,'請求台帳'!$A$5:$A$1004,0),"なし"))</f>
        <v/>
      </c>
      <c r="P825" s="37">
        <f>IF(NOT(OR($A825&lt;&gt;"",$E825&lt;&gt;"",$F825&lt;&gt;"",$G825&lt;&gt;"",$H825&lt;&gt;"",$I825&lt;&gt;"")),"",IF(ISNUMBER($O825),IF(INDEX('請求台帳'!$C$5:$C$1004,$O825)="","",INDEX('請求台帳'!$C$5:$C$1004,$O825)),IF($C825="","",$C825)))</f>
        <v/>
      </c>
      <c r="Q825" s="35">
        <f>IF(OR(NOT(OR($A825&lt;&gt;"",$E825&lt;&gt;"",$F825&lt;&gt;"",$G825&lt;&gt;"",$H825&lt;&gt;"",$I825&lt;&gt;"")),$P825="",$P825&lt;&gt;'売掛帳'!$B$3,NOT(ISNUMBER($A825)),N($G825)+N($H825)+N($I825)=0),"",IF(AND($A825&gt;='売掛帳'!$Q$3,$A825&lt;='売掛帳'!$Q$4),$A825+0.5+ROW()/10000000,""))</f>
        <v/>
      </c>
      <c r="R825" s="32">
        <f>IF(AND(OR($A825&lt;&gt;"",$E825&lt;&gt;"",$F825&lt;&gt;"",$G825&lt;&gt;"",$H825&lt;&gt;"",$I825&lt;&gt;""),NOT(ISNUMBER($O825))),1,"")</f>
        <v/>
      </c>
    </row>
    <row r="826" ht="18" customHeight="1">
      <c r="A826" s="26" t="n"/>
      <c r="B826" s="18" t="n"/>
      <c r="C826" s="18" t="n"/>
      <c r="D826" s="20">
        <f>IF($P826="","",IFERROR(INDEX('得意先'!$C$5:$C$104,MATCH($P826,'得意先'!$B$5:$B$104,0))&amp;"","※得意先にないコード"))</f>
        <v/>
      </c>
      <c r="E826" s="27" t="n"/>
      <c r="F826" s="18" t="n"/>
      <c r="G826" s="27" t="n"/>
      <c r="H826" s="27" t="n"/>
      <c r="I826" s="27" t="n"/>
      <c r="J826" s="28">
        <f>IF(NOT(OR($A826&lt;&gt;"",$E826&lt;&gt;"",$F826&lt;&gt;"",$G826&lt;&gt;"",$H826&lt;&gt;"",$I826&lt;&gt;"")),"",N($G826)+N($H826)+N($I826))</f>
        <v/>
      </c>
      <c r="K826" s="28">
        <f>IF(ISNUMBER($O826),INDEX('請求台帳'!$R$5:$R$1004,$O826),"")</f>
        <v/>
      </c>
      <c r="L826" s="20">
        <f>IF(NOT(OR($A826&lt;&gt;"",$E826&lt;&gt;"",$F826&lt;&gt;"",$G826&lt;&gt;"",$H826&lt;&gt;"",$I826&lt;&gt;"")),"",IF(NOT(ISNUMBER($A826)),"入金日がありません",IF(AND($F826&lt;&gt;"",$O826="なし"),"請求Noが請求台帳にありません",IF(AND(ISNUMBER($O826),$C826&lt;&gt;"",$C826&lt;&gt;$P826),"請求の得意先は "&amp;$P826&amp;" です",IF(ROUND(IF($B826&lt;&gt;"",SUMIF($B$5:$B$1004,$B826,$E$5:$E$1004)-SUMIF($B$5:$B$1004,$B826,$G$5:$G$1004),N($E826)-N($G826)),0)&lt;&gt;0,"通帳の額と当てた額の差 "&amp;TEXT(IF($B826&lt;&gt;"",SUMIF($B$5:$B$1004,$B826,$E$5:$E$1004)-SUMIF($B$5:$B$1004,$B826,$G$5:$G$1004),N($E826)-N($G826)),"#,##0"),IF(AND(ISNUMBER($O826),N($K826)&lt;0),"請求額より多く消し込んでいます",IF($F826="","消込先が未定","OK")))))))</f>
        <v/>
      </c>
      <c r="M826" s="19" t="n"/>
      <c r="N826" s="56" t="n"/>
      <c r="O826" s="32">
        <f>IF($F826="","",IFERROR(MATCH($F826,'請求台帳'!$A$5:$A$1004,0),"なし"))</f>
        <v/>
      </c>
      <c r="P826" s="37">
        <f>IF(NOT(OR($A826&lt;&gt;"",$E826&lt;&gt;"",$F826&lt;&gt;"",$G826&lt;&gt;"",$H826&lt;&gt;"",$I826&lt;&gt;"")),"",IF(ISNUMBER($O826),IF(INDEX('請求台帳'!$C$5:$C$1004,$O826)="","",INDEX('請求台帳'!$C$5:$C$1004,$O826)),IF($C826="","",$C826)))</f>
        <v/>
      </c>
      <c r="Q826" s="35">
        <f>IF(OR(NOT(OR($A826&lt;&gt;"",$E826&lt;&gt;"",$F826&lt;&gt;"",$G826&lt;&gt;"",$H826&lt;&gt;"",$I826&lt;&gt;"")),$P826="",$P826&lt;&gt;'売掛帳'!$B$3,NOT(ISNUMBER($A826)),N($G826)+N($H826)+N($I826)=0),"",IF(AND($A826&gt;='売掛帳'!$Q$3,$A826&lt;='売掛帳'!$Q$4),$A826+0.5+ROW()/10000000,""))</f>
        <v/>
      </c>
      <c r="R826" s="32">
        <f>IF(AND(OR($A826&lt;&gt;"",$E826&lt;&gt;"",$F826&lt;&gt;"",$G826&lt;&gt;"",$H826&lt;&gt;"",$I826&lt;&gt;""),NOT(ISNUMBER($O826))),1,"")</f>
        <v/>
      </c>
    </row>
    <row r="827" ht="18" customHeight="1">
      <c r="A827" s="26" t="n"/>
      <c r="B827" s="18" t="n"/>
      <c r="C827" s="18" t="n"/>
      <c r="D827" s="20">
        <f>IF($P827="","",IFERROR(INDEX('得意先'!$C$5:$C$104,MATCH($P827,'得意先'!$B$5:$B$104,0))&amp;"","※得意先にないコード"))</f>
        <v/>
      </c>
      <c r="E827" s="27" t="n"/>
      <c r="F827" s="18" t="n"/>
      <c r="G827" s="27" t="n"/>
      <c r="H827" s="27" t="n"/>
      <c r="I827" s="27" t="n"/>
      <c r="J827" s="28">
        <f>IF(NOT(OR($A827&lt;&gt;"",$E827&lt;&gt;"",$F827&lt;&gt;"",$G827&lt;&gt;"",$H827&lt;&gt;"",$I827&lt;&gt;"")),"",N($G827)+N($H827)+N($I827))</f>
        <v/>
      </c>
      <c r="K827" s="28">
        <f>IF(ISNUMBER($O827),INDEX('請求台帳'!$R$5:$R$1004,$O827),"")</f>
        <v/>
      </c>
      <c r="L827" s="20">
        <f>IF(NOT(OR($A827&lt;&gt;"",$E827&lt;&gt;"",$F827&lt;&gt;"",$G827&lt;&gt;"",$H827&lt;&gt;"",$I827&lt;&gt;"")),"",IF(NOT(ISNUMBER($A827)),"入金日がありません",IF(AND($F827&lt;&gt;"",$O827="なし"),"請求Noが請求台帳にありません",IF(AND(ISNUMBER($O827),$C827&lt;&gt;"",$C827&lt;&gt;$P827),"請求の得意先は "&amp;$P827&amp;" です",IF(ROUND(IF($B827&lt;&gt;"",SUMIF($B$5:$B$1004,$B827,$E$5:$E$1004)-SUMIF($B$5:$B$1004,$B827,$G$5:$G$1004),N($E827)-N($G827)),0)&lt;&gt;0,"通帳の額と当てた額の差 "&amp;TEXT(IF($B827&lt;&gt;"",SUMIF($B$5:$B$1004,$B827,$E$5:$E$1004)-SUMIF($B$5:$B$1004,$B827,$G$5:$G$1004),N($E827)-N($G827)),"#,##0"),IF(AND(ISNUMBER($O827),N($K827)&lt;0),"請求額より多く消し込んでいます",IF($F827="","消込先が未定","OK")))))))</f>
        <v/>
      </c>
      <c r="M827" s="19" t="n"/>
      <c r="N827" s="56" t="n"/>
      <c r="O827" s="32">
        <f>IF($F827="","",IFERROR(MATCH($F827,'請求台帳'!$A$5:$A$1004,0),"なし"))</f>
        <v/>
      </c>
      <c r="P827" s="37">
        <f>IF(NOT(OR($A827&lt;&gt;"",$E827&lt;&gt;"",$F827&lt;&gt;"",$G827&lt;&gt;"",$H827&lt;&gt;"",$I827&lt;&gt;"")),"",IF(ISNUMBER($O827),IF(INDEX('請求台帳'!$C$5:$C$1004,$O827)="","",INDEX('請求台帳'!$C$5:$C$1004,$O827)),IF($C827="","",$C827)))</f>
        <v/>
      </c>
      <c r="Q827" s="35">
        <f>IF(OR(NOT(OR($A827&lt;&gt;"",$E827&lt;&gt;"",$F827&lt;&gt;"",$G827&lt;&gt;"",$H827&lt;&gt;"",$I827&lt;&gt;"")),$P827="",$P827&lt;&gt;'売掛帳'!$B$3,NOT(ISNUMBER($A827)),N($G827)+N($H827)+N($I827)=0),"",IF(AND($A827&gt;='売掛帳'!$Q$3,$A827&lt;='売掛帳'!$Q$4),$A827+0.5+ROW()/10000000,""))</f>
        <v/>
      </c>
      <c r="R827" s="32">
        <f>IF(AND(OR($A827&lt;&gt;"",$E827&lt;&gt;"",$F827&lt;&gt;"",$G827&lt;&gt;"",$H827&lt;&gt;"",$I827&lt;&gt;""),NOT(ISNUMBER($O827))),1,"")</f>
        <v/>
      </c>
    </row>
    <row r="828" ht="18" customHeight="1">
      <c r="A828" s="26" t="n"/>
      <c r="B828" s="18" t="n"/>
      <c r="C828" s="18" t="n"/>
      <c r="D828" s="20">
        <f>IF($P828="","",IFERROR(INDEX('得意先'!$C$5:$C$104,MATCH($P828,'得意先'!$B$5:$B$104,0))&amp;"","※得意先にないコード"))</f>
        <v/>
      </c>
      <c r="E828" s="27" t="n"/>
      <c r="F828" s="18" t="n"/>
      <c r="G828" s="27" t="n"/>
      <c r="H828" s="27" t="n"/>
      <c r="I828" s="27" t="n"/>
      <c r="J828" s="28">
        <f>IF(NOT(OR($A828&lt;&gt;"",$E828&lt;&gt;"",$F828&lt;&gt;"",$G828&lt;&gt;"",$H828&lt;&gt;"",$I828&lt;&gt;"")),"",N($G828)+N($H828)+N($I828))</f>
        <v/>
      </c>
      <c r="K828" s="28">
        <f>IF(ISNUMBER($O828),INDEX('請求台帳'!$R$5:$R$1004,$O828),"")</f>
        <v/>
      </c>
      <c r="L828" s="20">
        <f>IF(NOT(OR($A828&lt;&gt;"",$E828&lt;&gt;"",$F828&lt;&gt;"",$G828&lt;&gt;"",$H828&lt;&gt;"",$I828&lt;&gt;"")),"",IF(NOT(ISNUMBER($A828)),"入金日がありません",IF(AND($F828&lt;&gt;"",$O828="なし"),"請求Noが請求台帳にありません",IF(AND(ISNUMBER($O828),$C828&lt;&gt;"",$C828&lt;&gt;$P828),"請求の得意先は "&amp;$P828&amp;" です",IF(ROUND(IF($B828&lt;&gt;"",SUMIF($B$5:$B$1004,$B828,$E$5:$E$1004)-SUMIF($B$5:$B$1004,$B828,$G$5:$G$1004),N($E828)-N($G828)),0)&lt;&gt;0,"通帳の額と当てた額の差 "&amp;TEXT(IF($B828&lt;&gt;"",SUMIF($B$5:$B$1004,$B828,$E$5:$E$1004)-SUMIF($B$5:$B$1004,$B828,$G$5:$G$1004),N($E828)-N($G828)),"#,##0"),IF(AND(ISNUMBER($O828),N($K828)&lt;0),"請求額より多く消し込んでいます",IF($F828="","消込先が未定","OK")))))))</f>
        <v/>
      </c>
      <c r="M828" s="19" t="n"/>
      <c r="N828" s="56" t="n"/>
      <c r="O828" s="32">
        <f>IF($F828="","",IFERROR(MATCH($F828,'請求台帳'!$A$5:$A$1004,0),"なし"))</f>
        <v/>
      </c>
      <c r="P828" s="37">
        <f>IF(NOT(OR($A828&lt;&gt;"",$E828&lt;&gt;"",$F828&lt;&gt;"",$G828&lt;&gt;"",$H828&lt;&gt;"",$I828&lt;&gt;"")),"",IF(ISNUMBER($O828),IF(INDEX('請求台帳'!$C$5:$C$1004,$O828)="","",INDEX('請求台帳'!$C$5:$C$1004,$O828)),IF($C828="","",$C828)))</f>
        <v/>
      </c>
      <c r="Q828" s="35">
        <f>IF(OR(NOT(OR($A828&lt;&gt;"",$E828&lt;&gt;"",$F828&lt;&gt;"",$G828&lt;&gt;"",$H828&lt;&gt;"",$I828&lt;&gt;"")),$P828="",$P828&lt;&gt;'売掛帳'!$B$3,NOT(ISNUMBER($A828)),N($G828)+N($H828)+N($I828)=0),"",IF(AND($A828&gt;='売掛帳'!$Q$3,$A828&lt;='売掛帳'!$Q$4),$A828+0.5+ROW()/10000000,""))</f>
        <v/>
      </c>
      <c r="R828" s="32">
        <f>IF(AND(OR($A828&lt;&gt;"",$E828&lt;&gt;"",$F828&lt;&gt;"",$G828&lt;&gt;"",$H828&lt;&gt;"",$I828&lt;&gt;""),NOT(ISNUMBER($O828))),1,"")</f>
        <v/>
      </c>
    </row>
    <row r="829" ht="18" customHeight="1">
      <c r="A829" s="26" t="n"/>
      <c r="B829" s="18" t="n"/>
      <c r="C829" s="18" t="n"/>
      <c r="D829" s="20">
        <f>IF($P829="","",IFERROR(INDEX('得意先'!$C$5:$C$104,MATCH($P829,'得意先'!$B$5:$B$104,0))&amp;"","※得意先にないコード"))</f>
        <v/>
      </c>
      <c r="E829" s="27" t="n"/>
      <c r="F829" s="18" t="n"/>
      <c r="G829" s="27" t="n"/>
      <c r="H829" s="27" t="n"/>
      <c r="I829" s="27" t="n"/>
      <c r="J829" s="28">
        <f>IF(NOT(OR($A829&lt;&gt;"",$E829&lt;&gt;"",$F829&lt;&gt;"",$G829&lt;&gt;"",$H829&lt;&gt;"",$I829&lt;&gt;"")),"",N($G829)+N($H829)+N($I829))</f>
        <v/>
      </c>
      <c r="K829" s="28">
        <f>IF(ISNUMBER($O829),INDEX('請求台帳'!$R$5:$R$1004,$O829),"")</f>
        <v/>
      </c>
      <c r="L829" s="20">
        <f>IF(NOT(OR($A829&lt;&gt;"",$E829&lt;&gt;"",$F829&lt;&gt;"",$G829&lt;&gt;"",$H829&lt;&gt;"",$I829&lt;&gt;"")),"",IF(NOT(ISNUMBER($A829)),"入金日がありません",IF(AND($F829&lt;&gt;"",$O829="なし"),"請求Noが請求台帳にありません",IF(AND(ISNUMBER($O829),$C829&lt;&gt;"",$C829&lt;&gt;$P829),"請求の得意先は "&amp;$P829&amp;" です",IF(ROUND(IF($B829&lt;&gt;"",SUMIF($B$5:$B$1004,$B829,$E$5:$E$1004)-SUMIF($B$5:$B$1004,$B829,$G$5:$G$1004),N($E829)-N($G829)),0)&lt;&gt;0,"通帳の額と当てた額の差 "&amp;TEXT(IF($B829&lt;&gt;"",SUMIF($B$5:$B$1004,$B829,$E$5:$E$1004)-SUMIF($B$5:$B$1004,$B829,$G$5:$G$1004),N($E829)-N($G829)),"#,##0"),IF(AND(ISNUMBER($O829),N($K829)&lt;0),"請求額より多く消し込んでいます",IF($F829="","消込先が未定","OK")))))))</f>
        <v/>
      </c>
      <c r="M829" s="19" t="n"/>
      <c r="N829" s="56" t="n"/>
      <c r="O829" s="32">
        <f>IF($F829="","",IFERROR(MATCH($F829,'請求台帳'!$A$5:$A$1004,0),"なし"))</f>
        <v/>
      </c>
      <c r="P829" s="37">
        <f>IF(NOT(OR($A829&lt;&gt;"",$E829&lt;&gt;"",$F829&lt;&gt;"",$G829&lt;&gt;"",$H829&lt;&gt;"",$I829&lt;&gt;"")),"",IF(ISNUMBER($O829),IF(INDEX('請求台帳'!$C$5:$C$1004,$O829)="","",INDEX('請求台帳'!$C$5:$C$1004,$O829)),IF($C829="","",$C829)))</f>
        <v/>
      </c>
      <c r="Q829" s="35">
        <f>IF(OR(NOT(OR($A829&lt;&gt;"",$E829&lt;&gt;"",$F829&lt;&gt;"",$G829&lt;&gt;"",$H829&lt;&gt;"",$I829&lt;&gt;"")),$P829="",$P829&lt;&gt;'売掛帳'!$B$3,NOT(ISNUMBER($A829)),N($G829)+N($H829)+N($I829)=0),"",IF(AND($A829&gt;='売掛帳'!$Q$3,$A829&lt;='売掛帳'!$Q$4),$A829+0.5+ROW()/10000000,""))</f>
        <v/>
      </c>
      <c r="R829" s="32">
        <f>IF(AND(OR($A829&lt;&gt;"",$E829&lt;&gt;"",$F829&lt;&gt;"",$G829&lt;&gt;"",$H829&lt;&gt;"",$I829&lt;&gt;""),NOT(ISNUMBER($O829))),1,"")</f>
        <v/>
      </c>
    </row>
    <row r="830" ht="18" customHeight="1">
      <c r="A830" s="26" t="n"/>
      <c r="B830" s="18" t="n"/>
      <c r="C830" s="18" t="n"/>
      <c r="D830" s="20">
        <f>IF($P830="","",IFERROR(INDEX('得意先'!$C$5:$C$104,MATCH($P830,'得意先'!$B$5:$B$104,0))&amp;"","※得意先にないコード"))</f>
        <v/>
      </c>
      <c r="E830" s="27" t="n"/>
      <c r="F830" s="18" t="n"/>
      <c r="G830" s="27" t="n"/>
      <c r="H830" s="27" t="n"/>
      <c r="I830" s="27" t="n"/>
      <c r="J830" s="28">
        <f>IF(NOT(OR($A830&lt;&gt;"",$E830&lt;&gt;"",$F830&lt;&gt;"",$G830&lt;&gt;"",$H830&lt;&gt;"",$I830&lt;&gt;"")),"",N($G830)+N($H830)+N($I830))</f>
        <v/>
      </c>
      <c r="K830" s="28">
        <f>IF(ISNUMBER($O830),INDEX('請求台帳'!$R$5:$R$1004,$O830),"")</f>
        <v/>
      </c>
      <c r="L830" s="20">
        <f>IF(NOT(OR($A830&lt;&gt;"",$E830&lt;&gt;"",$F830&lt;&gt;"",$G830&lt;&gt;"",$H830&lt;&gt;"",$I830&lt;&gt;"")),"",IF(NOT(ISNUMBER($A830)),"入金日がありません",IF(AND($F830&lt;&gt;"",$O830="なし"),"請求Noが請求台帳にありません",IF(AND(ISNUMBER($O830),$C830&lt;&gt;"",$C830&lt;&gt;$P830),"請求の得意先は "&amp;$P830&amp;" です",IF(ROUND(IF($B830&lt;&gt;"",SUMIF($B$5:$B$1004,$B830,$E$5:$E$1004)-SUMIF($B$5:$B$1004,$B830,$G$5:$G$1004),N($E830)-N($G830)),0)&lt;&gt;0,"通帳の額と当てた額の差 "&amp;TEXT(IF($B830&lt;&gt;"",SUMIF($B$5:$B$1004,$B830,$E$5:$E$1004)-SUMIF($B$5:$B$1004,$B830,$G$5:$G$1004),N($E830)-N($G830)),"#,##0"),IF(AND(ISNUMBER($O830),N($K830)&lt;0),"請求額より多く消し込んでいます",IF($F830="","消込先が未定","OK")))))))</f>
        <v/>
      </c>
      <c r="M830" s="19" t="n"/>
      <c r="N830" s="56" t="n"/>
      <c r="O830" s="32">
        <f>IF($F830="","",IFERROR(MATCH($F830,'請求台帳'!$A$5:$A$1004,0),"なし"))</f>
        <v/>
      </c>
      <c r="P830" s="37">
        <f>IF(NOT(OR($A830&lt;&gt;"",$E830&lt;&gt;"",$F830&lt;&gt;"",$G830&lt;&gt;"",$H830&lt;&gt;"",$I830&lt;&gt;"")),"",IF(ISNUMBER($O830),IF(INDEX('請求台帳'!$C$5:$C$1004,$O830)="","",INDEX('請求台帳'!$C$5:$C$1004,$O830)),IF($C830="","",$C830)))</f>
        <v/>
      </c>
      <c r="Q830" s="35">
        <f>IF(OR(NOT(OR($A830&lt;&gt;"",$E830&lt;&gt;"",$F830&lt;&gt;"",$G830&lt;&gt;"",$H830&lt;&gt;"",$I830&lt;&gt;"")),$P830="",$P830&lt;&gt;'売掛帳'!$B$3,NOT(ISNUMBER($A830)),N($G830)+N($H830)+N($I830)=0),"",IF(AND($A830&gt;='売掛帳'!$Q$3,$A830&lt;='売掛帳'!$Q$4),$A830+0.5+ROW()/10000000,""))</f>
        <v/>
      </c>
      <c r="R830" s="32">
        <f>IF(AND(OR($A830&lt;&gt;"",$E830&lt;&gt;"",$F830&lt;&gt;"",$G830&lt;&gt;"",$H830&lt;&gt;"",$I830&lt;&gt;""),NOT(ISNUMBER($O830))),1,"")</f>
        <v/>
      </c>
    </row>
    <row r="831" ht="18" customHeight="1">
      <c r="A831" s="26" t="n"/>
      <c r="B831" s="18" t="n"/>
      <c r="C831" s="18" t="n"/>
      <c r="D831" s="20">
        <f>IF($P831="","",IFERROR(INDEX('得意先'!$C$5:$C$104,MATCH($P831,'得意先'!$B$5:$B$104,0))&amp;"","※得意先にないコード"))</f>
        <v/>
      </c>
      <c r="E831" s="27" t="n"/>
      <c r="F831" s="18" t="n"/>
      <c r="G831" s="27" t="n"/>
      <c r="H831" s="27" t="n"/>
      <c r="I831" s="27" t="n"/>
      <c r="J831" s="28">
        <f>IF(NOT(OR($A831&lt;&gt;"",$E831&lt;&gt;"",$F831&lt;&gt;"",$G831&lt;&gt;"",$H831&lt;&gt;"",$I831&lt;&gt;"")),"",N($G831)+N($H831)+N($I831))</f>
        <v/>
      </c>
      <c r="K831" s="28">
        <f>IF(ISNUMBER($O831),INDEX('請求台帳'!$R$5:$R$1004,$O831),"")</f>
        <v/>
      </c>
      <c r="L831" s="20">
        <f>IF(NOT(OR($A831&lt;&gt;"",$E831&lt;&gt;"",$F831&lt;&gt;"",$G831&lt;&gt;"",$H831&lt;&gt;"",$I831&lt;&gt;"")),"",IF(NOT(ISNUMBER($A831)),"入金日がありません",IF(AND($F831&lt;&gt;"",$O831="なし"),"請求Noが請求台帳にありません",IF(AND(ISNUMBER($O831),$C831&lt;&gt;"",$C831&lt;&gt;$P831),"請求の得意先は "&amp;$P831&amp;" です",IF(ROUND(IF($B831&lt;&gt;"",SUMIF($B$5:$B$1004,$B831,$E$5:$E$1004)-SUMIF($B$5:$B$1004,$B831,$G$5:$G$1004),N($E831)-N($G831)),0)&lt;&gt;0,"通帳の額と当てた額の差 "&amp;TEXT(IF($B831&lt;&gt;"",SUMIF($B$5:$B$1004,$B831,$E$5:$E$1004)-SUMIF($B$5:$B$1004,$B831,$G$5:$G$1004),N($E831)-N($G831)),"#,##0"),IF(AND(ISNUMBER($O831),N($K831)&lt;0),"請求額より多く消し込んでいます",IF($F831="","消込先が未定","OK")))))))</f>
        <v/>
      </c>
      <c r="M831" s="19" t="n"/>
      <c r="N831" s="56" t="n"/>
      <c r="O831" s="32">
        <f>IF($F831="","",IFERROR(MATCH($F831,'請求台帳'!$A$5:$A$1004,0),"なし"))</f>
        <v/>
      </c>
      <c r="P831" s="37">
        <f>IF(NOT(OR($A831&lt;&gt;"",$E831&lt;&gt;"",$F831&lt;&gt;"",$G831&lt;&gt;"",$H831&lt;&gt;"",$I831&lt;&gt;"")),"",IF(ISNUMBER($O831),IF(INDEX('請求台帳'!$C$5:$C$1004,$O831)="","",INDEX('請求台帳'!$C$5:$C$1004,$O831)),IF($C831="","",$C831)))</f>
        <v/>
      </c>
      <c r="Q831" s="35">
        <f>IF(OR(NOT(OR($A831&lt;&gt;"",$E831&lt;&gt;"",$F831&lt;&gt;"",$G831&lt;&gt;"",$H831&lt;&gt;"",$I831&lt;&gt;"")),$P831="",$P831&lt;&gt;'売掛帳'!$B$3,NOT(ISNUMBER($A831)),N($G831)+N($H831)+N($I831)=0),"",IF(AND($A831&gt;='売掛帳'!$Q$3,$A831&lt;='売掛帳'!$Q$4),$A831+0.5+ROW()/10000000,""))</f>
        <v/>
      </c>
      <c r="R831" s="32">
        <f>IF(AND(OR($A831&lt;&gt;"",$E831&lt;&gt;"",$F831&lt;&gt;"",$G831&lt;&gt;"",$H831&lt;&gt;"",$I831&lt;&gt;""),NOT(ISNUMBER($O831))),1,"")</f>
        <v/>
      </c>
    </row>
    <row r="832" ht="18" customHeight="1">
      <c r="A832" s="26" t="n"/>
      <c r="B832" s="18" t="n"/>
      <c r="C832" s="18" t="n"/>
      <c r="D832" s="20">
        <f>IF($P832="","",IFERROR(INDEX('得意先'!$C$5:$C$104,MATCH($P832,'得意先'!$B$5:$B$104,0))&amp;"","※得意先にないコード"))</f>
        <v/>
      </c>
      <c r="E832" s="27" t="n"/>
      <c r="F832" s="18" t="n"/>
      <c r="G832" s="27" t="n"/>
      <c r="H832" s="27" t="n"/>
      <c r="I832" s="27" t="n"/>
      <c r="J832" s="28">
        <f>IF(NOT(OR($A832&lt;&gt;"",$E832&lt;&gt;"",$F832&lt;&gt;"",$G832&lt;&gt;"",$H832&lt;&gt;"",$I832&lt;&gt;"")),"",N($G832)+N($H832)+N($I832))</f>
        <v/>
      </c>
      <c r="K832" s="28">
        <f>IF(ISNUMBER($O832),INDEX('請求台帳'!$R$5:$R$1004,$O832),"")</f>
        <v/>
      </c>
      <c r="L832" s="20">
        <f>IF(NOT(OR($A832&lt;&gt;"",$E832&lt;&gt;"",$F832&lt;&gt;"",$G832&lt;&gt;"",$H832&lt;&gt;"",$I832&lt;&gt;"")),"",IF(NOT(ISNUMBER($A832)),"入金日がありません",IF(AND($F832&lt;&gt;"",$O832="なし"),"請求Noが請求台帳にありません",IF(AND(ISNUMBER($O832),$C832&lt;&gt;"",$C832&lt;&gt;$P832),"請求の得意先は "&amp;$P832&amp;" です",IF(ROUND(IF($B832&lt;&gt;"",SUMIF($B$5:$B$1004,$B832,$E$5:$E$1004)-SUMIF($B$5:$B$1004,$B832,$G$5:$G$1004),N($E832)-N($G832)),0)&lt;&gt;0,"通帳の額と当てた額の差 "&amp;TEXT(IF($B832&lt;&gt;"",SUMIF($B$5:$B$1004,$B832,$E$5:$E$1004)-SUMIF($B$5:$B$1004,$B832,$G$5:$G$1004),N($E832)-N($G832)),"#,##0"),IF(AND(ISNUMBER($O832),N($K832)&lt;0),"請求額より多く消し込んでいます",IF($F832="","消込先が未定","OK")))))))</f>
        <v/>
      </c>
      <c r="M832" s="19" t="n"/>
      <c r="N832" s="56" t="n"/>
      <c r="O832" s="32">
        <f>IF($F832="","",IFERROR(MATCH($F832,'請求台帳'!$A$5:$A$1004,0),"なし"))</f>
        <v/>
      </c>
      <c r="P832" s="37">
        <f>IF(NOT(OR($A832&lt;&gt;"",$E832&lt;&gt;"",$F832&lt;&gt;"",$G832&lt;&gt;"",$H832&lt;&gt;"",$I832&lt;&gt;"")),"",IF(ISNUMBER($O832),IF(INDEX('請求台帳'!$C$5:$C$1004,$O832)="","",INDEX('請求台帳'!$C$5:$C$1004,$O832)),IF($C832="","",$C832)))</f>
        <v/>
      </c>
      <c r="Q832" s="35">
        <f>IF(OR(NOT(OR($A832&lt;&gt;"",$E832&lt;&gt;"",$F832&lt;&gt;"",$G832&lt;&gt;"",$H832&lt;&gt;"",$I832&lt;&gt;"")),$P832="",$P832&lt;&gt;'売掛帳'!$B$3,NOT(ISNUMBER($A832)),N($G832)+N($H832)+N($I832)=0),"",IF(AND($A832&gt;='売掛帳'!$Q$3,$A832&lt;='売掛帳'!$Q$4),$A832+0.5+ROW()/10000000,""))</f>
        <v/>
      </c>
      <c r="R832" s="32">
        <f>IF(AND(OR($A832&lt;&gt;"",$E832&lt;&gt;"",$F832&lt;&gt;"",$G832&lt;&gt;"",$H832&lt;&gt;"",$I832&lt;&gt;""),NOT(ISNUMBER($O832))),1,"")</f>
        <v/>
      </c>
    </row>
    <row r="833" ht="18" customHeight="1">
      <c r="A833" s="26" t="n"/>
      <c r="B833" s="18" t="n"/>
      <c r="C833" s="18" t="n"/>
      <c r="D833" s="20">
        <f>IF($P833="","",IFERROR(INDEX('得意先'!$C$5:$C$104,MATCH($P833,'得意先'!$B$5:$B$104,0))&amp;"","※得意先にないコード"))</f>
        <v/>
      </c>
      <c r="E833" s="27" t="n"/>
      <c r="F833" s="18" t="n"/>
      <c r="G833" s="27" t="n"/>
      <c r="H833" s="27" t="n"/>
      <c r="I833" s="27" t="n"/>
      <c r="J833" s="28">
        <f>IF(NOT(OR($A833&lt;&gt;"",$E833&lt;&gt;"",$F833&lt;&gt;"",$G833&lt;&gt;"",$H833&lt;&gt;"",$I833&lt;&gt;"")),"",N($G833)+N($H833)+N($I833))</f>
        <v/>
      </c>
      <c r="K833" s="28">
        <f>IF(ISNUMBER($O833),INDEX('請求台帳'!$R$5:$R$1004,$O833),"")</f>
        <v/>
      </c>
      <c r="L833" s="20">
        <f>IF(NOT(OR($A833&lt;&gt;"",$E833&lt;&gt;"",$F833&lt;&gt;"",$G833&lt;&gt;"",$H833&lt;&gt;"",$I833&lt;&gt;"")),"",IF(NOT(ISNUMBER($A833)),"入金日がありません",IF(AND($F833&lt;&gt;"",$O833="なし"),"請求Noが請求台帳にありません",IF(AND(ISNUMBER($O833),$C833&lt;&gt;"",$C833&lt;&gt;$P833),"請求の得意先は "&amp;$P833&amp;" です",IF(ROUND(IF($B833&lt;&gt;"",SUMIF($B$5:$B$1004,$B833,$E$5:$E$1004)-SUMIF($B$5:$B$1004,$B833,$G$5:$G$1004),N($E833)-N($G833)),0)&lt;&gt;0,"通帳の額と当てた額の差 "&amp;TEXT(IF($B833&lt;&gt;"",SUMIF($B$5:$B$1004,$B833,$E$5:$E$1004)-SUMIF($B$5:$B$1004,$B833,$G$5:$G$1004),N($E833)-N($G833)),"#,##0"),IF(AND(ISNUMBER($O833),N($K833)&lt;0),"請求額より多く消し込んでいます",IF($F833="","消込先が未定","OK")))))))</f>
        <v/>
      </c>
      <c r="M833" s="19" t="n"/>
      <c r="N833" s="56" t="n"/>
      <c r="O833" s="32">
        <f>IF($F833="","",IFERROR(MATCH($F833,'請求台帳'!$A$5:$A$1004,0),"なし"))</f>
        <v/>
      </c>
      <c r="P833" s="37">
        <f>IF(NOT(OR($A833&lt;&gt;"",$E833&lt;&gt;"",$F833&lt;&gt;"",$G833&lt;&gt;"",$H833&lt;&gt;"",$I833&lt;&gt;"")),"",IF(ISNUMBER($O833),IF(INDEX('請求台帳'!$C$5:$C$1004,$O833)="","",INDEX('請求台帳'!$C$5:$C$1004,$O833)),IF($C833="","",$C833)))</f>
        <v/>
      </c>
      <c r="Q833" s="35">
        <f>IF(OR(NOT(OR($A833&lt;&gt;"",$E833&lt;&gt;"",$F833&lt;&gt;"",$G833&lt;&gt;"",$H833&lt;&gt;"",$I833&lt;&gt;"")),$P833="",$P833&lt;&gt;'売掛帳'!$B$3,NOT(ISNUMBER($A833)),N($G833)+N($H833)+N($I833)=0),"",IF(AND($A833&gt;='売掛帳'!$Q$3,$A833&lt;='売掛帳'!$Q$4),$A833+0.5+ROW()/10000000,""))</f>
        <v/>
      </c>
      <c r="R833" s="32">
        <f>IF(AND(OR($A833&lt;&gt;"",$E833&lt;&gt;"",$F833&lt;&gt;"",$G833&lt;&gt;"",$H833&lt;&gt;"",$I833&lt;&gt;""),NOT(ISNUMBER($O833))),1,"")</f>
        <v/>
      </c>
    </row>
    <row r="834" ht="18" customHeight="1">
      <c r="A834" s="26" t="n"/>
      <c r="B834" s="18" t="n"/>
      <c r="C834" s="18" t="n"/>
      <c r="D834" s="20">
        <f>IF($P834="","",IFERROR(INDEX('得意先'!$C$5:$C$104,MATCH($P834,'得意先'!$B$5:$B$104,0))&amp;"","※得意先にないコード"))</f>
        <v/>
      </c>
      <c r="E834" s="27" t="n"/>
      <c r="F834" s="18" t="n"/>
      <c r="G834" s="27" t="n"/>
      <c r="H834" s="27" t="n"/>
      <c r="I834" s="27" t="n"/>
      <c r="J834" s="28">
        <f>IF(NOT(OR($A834&lt;&gt;"",$E834&lt;&gt;"",$F834&lt;&gt;"",$G834&lt;&gt;"",$H834&lt;&gt;"",$I834&lt;&gt;"")),"",N($G834)+N($H834)+N($I834))</f>
        <v/>
      </c>
      <c r="K834" s="28">
        <f>IF(ISNUMBER($O834),INDEX('請求台帳'!$R$5:$R$1004,$O834),"")</f>
        <v/>
      </c>
      <c r="L834" s="20">
        <f>IF(NOT(OR($A834&lt;&gt;"",$E834&lt;&gt;"",$F834&lt;&gt;"",$G834&lt;&gt;"",$H834&lt;&gt;"",$I834&lt;&gt;"")),"",IF(NOT(ISNUMBER($A834)),"入金日がありません",IF(AND($F834&lt;&gt;"",$O834="なし"),"請求Noが請求台帳にありません",IF(AND(ISNUMBER($O834),$C834&lt;&gt;"",$C834&lt;&gt;$P834),"請求の得意先は "&amp;$P834&amp;" です",IF(ROUND(IF($B834&lt;&gt;"",SUMIF($B$5:$B$1004,$B834,$E$5:$E$1004)-SUMIF($B$5:$B$1004,$B834,$G$5:$G$1004),N($E834)-N($G834)),0)&lt;&gt;0,"通帳の額と当てた額の差 "&amp;TEXT(IF($B834&lt;&gt;"",SUMIF($B$5:$B$1004,$B834,$E$5:$E$1004)-SUMIF($B$5:$B$1004,$B834,$G$5:$G$1004),N($E834)-N($G834)),"#,##0"),IF(AND(ISNUMBER($O834),N($K834)&lt;0),"請求額より多く消し込んでいます",IF($F834="","消込先が未定","OK")))))))</f>
        <v/>
      </c>
      <c r="M834" s="19" t="n"/>
      <c r="N834" s="56" t="n"/>
      <c r="O834" s="32">
        <f>IF($F834="","",IFERROR(MATCH($F834,'請求台帳'!$A$5:$A$1004,0),"なし"))</f>
        <v/>
      </c>
      <c r="P834" s="37">
        <f>IF(NOT(OR($A834&lt;&gt;"",$E834&lt;&gt;"",$F834&lt;&gt;"",$G834&lt;&gt;"",$H834&lt;&gt;"",$I834&lt;&gt;"")),"",IF(ISNUMBER($O834),IF(INDEX('請求台帳'!$C$5:$C$1004,$O834)="","",INDEX('請求台帳'!$C$5:$C$1004,$O834)),IF($C834="","",$C834)))</f>
        <v/>
      </c>
      <c r="Q834" s="35">
        <f>IF(OR(NOT(OR($A834&lt;&gt;"",$E834&lt;&gt;"",$F834&lt;&gt;"",$G834&lt;&gt;"",$H834&lt;&gt;"",$I834&lt;&gt;"")),$P834="",$P834&lt;&gt;'売掛帳'!$B$3,NOT(ISNUMBER($A834)),N($G834)+N($H834)+N($I834)=0),"",IF(AND($A834&gt;='売掛帳'!$Q$3,$A834&lt;='売掛帳'!$Q$4),$A834+0.5+ROW()/10000000,""))</f>
        <v/>
      </c>
      <c r="R834" s="32">
        <f>IF(AND(OR($A834&lt;&gt;"",$E834&lt;&gt;"",$F834&lt;&gt;"",$G834&lt;&gt;"",$H834&lt;&gt;"",$I834&lt;&gt;""),NOT(ISNUMBER($O834))),1,"")</f>
        <v/>
      </c>
    </row>
    <row r="835" ht="18" customHeight="1">
      <c r="A835" s="26" t="n"/>
      <c r="B835" s="18" t="n"/>
      <c r="C835" s="18" t="n"/>
      <c r="D835" s="20">
        <f>IF($P835="","",IFERROR(INDEX('得意先'!$C$5:$C$104,MATCH($P835,'得意先'!$B$5:$B$104,0))&amp;"","※得意先にないコード"))</f>
        <v/>
      </c>
      <c r="E835" s="27" t="n"/>
      <c r="F835" s="18" t="n"/>
      <c r="G835" s="27" t="n"/>
      <c r="H835" s="27" t="n"/>
      <c r="I835" s="27" t="n"/>
      <c r="J835" s="28">
        <f>IF(NOT(OR($A835&lt;&gt;"",$E835&lt;&gt;"",$F835&lt;&gt;"",$G835&lt;&gt;"",$H835&lt;&gt;"",$I835&lt;&gt;"")),"",N($G835)+N($H835)+N($I835))</f>
        <v/>
      </c>
      <c r="K835" s="28">
        <f>IF(ISNUMBER($O835),INDEX('請求台帳'!$R$5:$R$1004,$O835),"")</f>
        <v/>
      </c>
      <c r="L835" s="20">
        <f>IF(NOT(OR($A835&lt;&gt;"",$E835&lt;&gt;"",$F835&lt;&gt;"",$G835&lt;&gt;"",$H835&lt;&gt;"",$I835&lt;&gt;"")),"",IF(NOT(ISNUMBER($A835)),"入金日がありません",IF(AND($F835&lt;&gt;"",$O835="なし"),"請求Noが請求台帳にありません",IF(AND(ISNUMBER($O835),$C835&lt;&gt;"",$C835&lt;&gt;$P835),"請求の得意先は "&amp;$P835&amp;" です",IF(ROUND(IF($B835&lt;&gt;"",SUMIF($B$5:$B$1004,$B835,$E$5:$E$1004)-SUMIF($B$5:$B$1004,$B835,$G$5:$G$1004),N($E835)-N($G835)),0)&lt;&gt;0,"通帳の額と当てた額の差 "&amp;TEXT(IF($B835&lt;&gt;"",SUMIF($B$5:$B$1004,$B835,$E$5:$E$1004)-SUMIF($B$5:$B$1004,$B835,$G$5:$G$1004),N($E835)-N($G835)),"#,##0"),IF(AND(ISNUMBER($O835),N($K835)&lt;0),"請求額より多く消し込んでいます",IF($F835="","消込先が未定","OK")))))))</f>
        <v/>
      </c>
      <c r="M835" s="19" t="n"/>
      <c r="N835" s="56" t="n"/>
      <c r="O835" s="32">
        <f>IF($F835="","",IFERROR(MATCH($F835,'請求台帳'!$A$5:$A$1004,0),"なし"))</f>
        <v/>
      </c>
      <c r="P835" s="37">
        <f>IF(NOT(OR($A835&lt;&gt;"",$E835&lt;&gt;"",$F835&lt;&gt;"",$G835&lt;&gt;"",$H835&lt;&gt;"",$I835&lt;&gt;"")),"",IF(ISNUMBER($O835),IF(INDEX('請求台帳'!$C$5:$C$1004,$O835)="","",INDEX('請求台帳'!$C$5:$C$1004,$O835)),IF($C835="","",$C835)))</f>
        <v/>
      </c>
      <c r="Q835" s="35">
        <f>IF(OR(NOT(OR($A835&lt;&gt;"",$E835&lt;&gt;"",$F835&lt;&gt;"",$G835&lt;&gt;"",$H835&lt;&gt;"",$I835&lt;&gt;"")),$P835="",$P835&lt;&gt;'売掛帳'!$B$3,NOT(ISNUMBER($A835)),N($G835)+N($H835)+N($I835)=0),"",IF(AND($A835&gt;='売掛帳'!$Q$3,$A835&lt;='売掛帳'!$Q$4),$A835+0.5+ROW()/10000000,""))</f>
        <v/>
      </c>
      <c r="R835" s="32">
        <f>IF(AND(OR($A835&lt;&gt;"",$E835&lt;&gt;"",$F835&lt;&gt;"",$G835&lt;&gt;"",$H835&lt;&gt;"",$I835&lt;&gt;""),NOT(ISNUMBER($O835))),1,"")</f>
        <v/>
      </c>
    </row>
    <row r="836" ht="18" customHeight="1">
      <c r="A836" s="26" t="n"/>
      <c r="B836" s="18" t="n"/>
      <c r="C836" s="18" t="n"/>
      <c r="D836" s="20">
        <f>IF($P836="","",IFERROR(INDEX('得意先'!$C$5:$C$104,MATCH($P836,'得意先'!$B$5:$B$104,0))&amp;"","※得意先にないコード"))</f>
        <v/>
      </c>
      <c r="E836" s="27" t="n"/>
      <c r="F836" s="18" t="n"/>
      <c r="G836" s="27" t="n"/>
      <c r="H836" s="27" t="n"/>
      <c r="I836" s="27" t="n"/>
      <c r="J836" s="28">
        <f>IF(NOT(OR($A836&lt;&gt;"",$E836&lt;&gt;"",$F836&lt;&gt;"",$G836&lt;&gt;"",$H836&lt;&gt;"",$I836&lt;&gt;"")),"",N($G836)+N($H836)+N($I836))</f>
        <v/>
      </c>
      <c r="K836" s="28">
        <f>IF(ISNUMBER($O836),INDEX('請求台帳'!$R$5:$R$1004,$O836),"")</f>
        <v/>
      </c>
      <c r="L836" s="20">
        <f>IF(NOT(OR($A836&lt;&gt;"",$E836&lt;&gt;"",$F836&lt;&gt;"",$G836&lt;&gt;"",$H836&lt;&gt;"",$I836&lt;&gt;"")),"",IF(NOT(ISNUMBER($A836)),"入金日がありません",IF(AND($F836&lt;&gt;"",$O836="なし"),"請求Noが請求台帳にありません",IF(AND(ISNUMBER($O836),$C836&lt;&gt;"",$C836&lt;&gt;$P836),"請求の得意先は "&amp;$P836&amp;" です",IF(ROUND(IF($B836&lt;&gt;"",SUMIF($B$5:$B$1004,$B836,$E$5:$E$1004)-SUMIF($B$5:$B$1004,$B836,$G$5:$G$1004),N($E836)-N($G836)),0)&lt;&gt;0,"通帳の額と当てた額の差 "&amp;TEXT(IF($B836&lt;&gt;"",SUMIF($B$5:$B$1004,$B836,$E$5:$E$1004)-SUMIF($B$5:$B$1004,$B836,$G$5:$G$1004),N($E836)-N($G836)),"#,##0"),IF(AND(ISNUMBER($O836),N($K836)&lt;0),"請求額より多く消し込んでいます",IF($F836="","消込先が未定","OK")))))))</f>
        <v/>
      </c>
      <c r="M836" s="19" t="n"/>
      <c r="N836" s="56" t="n"/>
      <c r="O836" s="32">
        <f>IF($F836="","",IFERROR(MATCH($F836,'請求台帳'!$A$5:$A$1004,0),"なし"))</f>
        <v/>
      </c>
      <c r="P836" s="37">
        <f>IF(NOT(OR($A836&lt;&gt;"",$E836&lt;&gt;"",$F836&lt;&gt;"",$G836&lt;&gt;"",$H836&lt;&gt;"",$I836&lt;&gt;"")),"",IF(ISNUMBER($O836),IF(INDEX('請求台帳'!$C$5:$C$1004,$O836)="","",INDEX('請求台帳'!$C$5:$C$1004,$O836)),IF($C836="","",$C836)))</f>
        <v/>
      </c>
      <c r="Q836" s="35">
        <f>IF(OR(NOT(OR($A836&lt;&gt;"",$E836&lt;&gt;"",$F836&lt;&gt;"",$G836&lt;&gt;"",$H836&lt;&gt;"",$I836&lt;&gt;"")),$P836="",$P836&lt;&gt;'売掛帳'!$B$3,NOT(ISNUMBER($A836)),N($G836)+N($H836)+N($I836)=0),"",IF(AND($A836&gt;='売掛帳'!$Q$3,$A836&lt;='売掛帳'!$Q$4),$A836+0.5+ROW()/10000000,""))</f>
        <v/>
      </c>
      <c r="R836" s="32">
        <f>IF(AND(OR($A836&lt;&gt;"",$E836&lt;&gt;"",$F836&lt;&gt;"",$G836&lt;&gt;"",$H836&lt;&gt;"",$I836&lt;&gt;""),NOT(ISNUMBER($O836))),1,"")</f>
        <v/>
      </c>
    </row>
    <row r="837" ht="18" customHeight="1">
      <c r="A837" s="26" t="n"/>
      <c r="B837" s="18" t="n"/>
      <c r="C837" s="18" t="n"/>
      <c r="D837" s="20">
        <f>IF($P837="","",IFERROR(INDEX('得意先'!$C$5:$C$104,MATCH($P837,'得意先'!$B$5:$B$104,0))&amp;"","※得意先にないコード"))</f>
        <v/>
      </c>
      <c r="E837" s="27" t="n"/>
      <c r="F837" s="18" t="n"/>
      <c r="G837" s="27" t="n"/>
      <c r="H837" s="27" t="n"/>
      <c r="I837" s="27" t="n"/>
      <c r="J837" s="28">
        <f>IF(NOT(OR($A837&lt;&gt;"",$E837&lt;&gt;"",$F837&lt;&gt;"",$G837&lt;&gt;"",$H837&lt;&gt;"",$I837&lt;&gt;"")),"",N($G837)+N($H837)+N($I837))</f>
        <v/>
      </c>
      <c r="K837" s="28">
        <f>IF(ISNUMBER($O837),INDEX('請求台帳'!$R$5:$R$1004,$O837),"")</f>
        <v/>
      </c>
      <c r="L837" s="20">
        <f>IF(NOT(OR($A837&lt;&gt;"",$E837&lt;&gt;"",$F837&lt;&gt;"",$G837&lt;&gt;"",$H837&lt;&gt;"",$I837&lt;&gt;"")),"",IF(NOT(ISNUMBER($A837)),"入金日がありません",IF(AND($F837&lt;&gt;"",$O837="なし"),"請求Noが請求台帳にありません",IF(AND(ISNUMBER($O837),$C837&lt;&gt;"",$C837&lt;&gt;$P837),"請求の得意先は "&amp;$P837&amp;" です",IF(ROUND(IF($B837&lt;&gt;"",SUMIF($B$5:$B$1004,$B837,$E$5:$E$1004)-SUMIF($B$5:$B$1004,$B837,$G$5:$G$1004),N($E837)-N($G837)),0)&lt;&gt;0,"通帳の額と当てた額の差 "&amp;TEXT(IF($B837&lt;&gt;"",SUMIF($B$5:$B$1004,$B837,$E$5:$E$1004)-SUMIF($B$5:$B$1004,$B837,$G$5:$G$1004),N($E837)-N($G837)),"#,##0"),IF(AND(ISNUMBER($O837),N($K837)&lt;0),"請求額より多く消し込んでいます",IF($F837="","消込先が未定","OK")))))))</f>
        <v/>
      </c>
      <c r="M837" s="19" t="n"/>
      <c r="N837" s="56" t="n"/>
      <c r="O837" s="32">
        <f>IF($F837="","",IFERROR(MATCH($F837,'請求台帳'!$A$5:$A$1004,0),"なし"))</f>
        <v/>
      </c>
      <c r="P837" s="37">
        <f>IF(NOT(OR($A837&lt;&gt;"",$E837&lt;&gt;"",$F837&lt;&gt;"",$G837&lt;&gt;"",$H837&lt;&gt;"",$I837&lt;&gt;"")),"",IF(ISNUMBER($O837),IF(INDEX('請求台帳'!$C$5:$C$1004,$O837)="","",INDEX('請求台帳'!$C$5:$C$1004,$O837)),IF($C837="","",$C837)))</f>
        <v/>
      </c>
      <c r="Q837" s="35">
        <f>IF(OR(NOT(OR($A837&lt;&gt;"",$E837&lt;&gt;"",$F837&lt;&gt;"",$G837&lt;&gt;"",$H837&lt;&gt;"",$I837&lt;&gt;"")),$P837="",$P837&lt;&gt;'売掛帳'!$B$3,NOT(ISNUMBER($A837)),N($G837)+N($H837)+N($I837)=0),"",IF(AND($A837&gt;='売掛帳'!$Q$3,$A837&lt;='売掛帳'!$Q$4),$A837+0.5+ROW()/10000000,""))</f>
        <v/>
      </c>
      <c r="R837" s="32">
        <f>IF(AND(OR($A837&lt;&gt;"",$E837&lt;&gt;"",$F837&lt;&gt;"",$G837&lt;&gt;"",$H837&lt;&gt;"",$I837&lt;&gt;""),NOT(ISNUMBER($O837))),1,"")</f>
        <v/>
      </c>
    </row>
    <row r="838" ht="18" customHeight="1">
      <c r="A838" s="26" t="n"/>
      <c r="B838" s="18" t="n"/>
      <c r="C838" s="18" t="n"/>
      <c r="D838" s="20">
        <f>IF($P838="","",IFERROR(INDEX('得意先'!$C$5:$C$104,MATCH($P838,'得意先'!$B$5:$B$104,0))&amp;"","※得意先にないコード"))</f>
        <v/>
      </c>
      <c r="E838" s="27" t="n"/>
      <c r="F838" s="18" t="n"/>
      <c r="G838" s="27" t="n"/>
      <c r="H838" s="27" t="n"/>
      <c r="I838" s="27" t="n"/>
      <c r="J838" s="28">
        <f>IF(NOT(OR($A838&lt;&gt;"",$E838&lt;&gt;"",$F838&lt;&gt;"",$G838&lt;&gt;"",$H838&lt;&gt;"",$I838&lt;&gt;"")),"",N($G838)+N($H838)+N($I838))</f>
        <v/>
      </c>
      <c r="K838" s="28">
        <f>IF(ISNUMBER($O838),INDEX('請求台帳'!$R$5:$R$1004,$O838),"")</f>
        <v/>
      </c>
      <c r="L838" s="20">
        <f>IF(NOT(OR($A838&lt;&gt;"",$E838&lt;&gt;"",$F838&lt;&gt;"",$G838&lt;&gt;"",$H838&lt;&gt;"",$I838&lt;&gt;"")),"",IF(NOT(ISNUMBER($A838)),"入金日がありません",IF(AND($F838&lt;&gt;"",$O838="なし"),"請求Noが請求台帳にありません",IF(AND(ISNUMBER($O838),$C838&lt;&gt;"",$C838&lt;&gt;$P838),"請求の得意先は "&amp;$P838&amp;" です",IF(ROUND(IF($B838&lt;&gt;"",SUMIF($B$5:$B$1004,$B838,$E$5:$E$1004)-SUMIF($B$5:$B$1004,$B838,$G$5:$G$1004),N($E838)-N($G838)),0)&lt;&gt;0,"通帳の額と当てた額の差 "&amp;TEXT(IF($B838&lt;&gt;"",SUMIF($B$5:$B$1004,$B838,$E$5:$E$1004)-SUMIF($B$5:$B$1004,$B838,$G$5:$G$1004),N($E838)-N($G838)),"#,##0"),IF(AND(ISNUMBER($O838),N($K838)&lt;0),"請求額より多く消し込んでいます",IF($F838="","消込先が未定","OK")))))))</f>
        <v/>
      </c>
      <c r="M838" s="19" t="n"/>
      <c r="N838" s="56" t="n"/>
      <c r="O838" s="32">
        <f>IF($F838="","",IFERROR(MATCH($F838,'請求台帳'!$A$5:$A$1004,0),"なし"))</f>
        <v/>
      </c>
      <c r="P838" s="37">
        <f>IF(NOT(OR($A838&lt;&gt;"",$E838&lt;&gt;"",$F838&lt;&gt;"",$G838&lt;&gt;"",$H838&lt;&gt;"",$I838&lt;&gt;"")),"",IF(ISNUMBER($O838),IF(INDEX('請求台帳'!$C$5:$C$1004,$O838)="","",INDEX('請求台帳'!$C$5:$C$1004,$O838)),IF($C838="","",$C838)))</f>
        <v/>
      </c>
      <c r="Q838" s="35">
        <f>IF(OR(NOT(OR($A838&lt;&gt;"",$E838&lt;&gt;"",$F838&lt;&gt;"",$G838&lt;&gt;"",$H838&lt;&gt;"",$I838&lt;&gt;"")),$P838="",$P838&lt;&gt;'売掛帳'!$B$3,NOT(ISNUMBER($A838)),N($G838)+N($H838)+N($I838)=0),"",IF(AND($A838&gt;='売掛帳'!$Q$3,$A838&lt;='売掛帳'!$Q$4),$A838+0.5+ROW()/10000000,""))</f>
        <v/>
      </c>
      <c r="R838" s="32">
        <f>IF(AND(OR($A838&lt;&gt;"",$E838&lt;&gt;"",$F838&lt;&gt;"",$G838&lt;&gt;"",$H838&lt;&gt;"",$I838&lt;&gt;""),NOT(ISNUMBER($O838))),1,"")</f>
        <v/>
      </c>
    </row>
    <row r="839" ht="18" customHeight="1">
      <c r="A839" s="26" t="n"/>
      <c r="B839" s="18" t="n"/>
      <c r="C839" s="18" t="n"/>
      <c r="D839" s="20">
        <f>IF($P839="","",IFERROR(INDEX('得意先'!$C$5:$C$104,MATCH($P839,'得意先'!$B$5:$B$104,0))&amp;"","※得意先にないコード"))</f>
        <v/>
      </c>
      <c r="E839" s="27" t="n"/>
      <c r="F839" s="18" t="n"/>
      <c r="G839" s="27" t="n"/>
      <c r="H839" s="27" t="n"/>
      <c r="I839" s="27" t="n"/>
      <c r="J839" s="28">
        <f>IF(NOT(OR($A839&lt;&gt;"",$E839&lt;&gt;"",$F839&lt;&gt;"",$G839&lt;&gt;"",$H839&lt;&gt;"",$I839&lt;&gt;"")),"",N($G839)+N($H839)+N($I839))</f>
        <v/>
      </c>
      <c r="K839" s="28">
        <f>IF(ISNUMBER($O839),INDEX('請求台帳'!$R$5:$R$1004,$O839),"")</f>
        <v/>
      </c>
      <c r="L839" s="20">
        <f>IF(NOT(OR($A839&lt;&gt;"",$E839&lt;&gt;"",$F839&lt;&gt;"",$G839&lt;&gt;"",$H839&lt;&gt;"",$I839&lt;&gt;"")),"",IF(NOT(ISNUMBER($A839)),"入金日がありません",IF(AND($F839&lt;&gt;"",$O839="なし"),"請求Noが請求台帳にありません",IF(AND(ISNUMBER($O839),$C839&lt;&gt;"",$C839&lt;&gt;$P839),"請求の得意先は "&amp;$P839&amp;" です",IF(ROUND(IF($B839&lt;&gt;"",SUMIF($B$5:$B$1004,$B839,$E$5:$E$1004)-SUMIF($B$5:$B$1004,$B839,$G$5:$G$1004),N($E839)-N($G839)),0)&lt;&gt;0,"通帳の額と当てた額の差 "&amp;TEXT(IF($B839&lt;&gt;"",SUMIF($B$5:$B$1004,$B839,$E$5:$E$1004)-SUMIF($B$5:$B$1004,$B839,$G$5:$G$1004),N($E839)-N($G839)),"#,##0"),IF(AND(ISNUMBER($O839),N($K839)&lt;0),"請求額より多く消し込んでいます",IF($F839="","消込先が未定","OK")))))))</f>
        <v/>
      </c>
      <c r="M839" s="19" t="n"/>
      <c r="N839" s="56" t="n"/>
      <c r="O839" s="32">
        <f>IF($F839="","",IFERROR(MATCH($F839,'請求台帳'!$A$5:$A$1004,0),"なし"))</f>
        <v/>
      </c>
      <c r="P839" s="37">
        <f>IF(NOT(OR($A839&lt;&gt;"",$E839&lt;&gt;"",$F839&lt;&gt;"",$G839&lt;&gt;"",$H839&lt;&gt;"",$I839&lt;&gt;"")),"",IF(ISNUMBER($O839),IF(INDEX('請求台帳'!$C$5:$C$1004,$O839)="","",INDEX('請求台帳'!$C$5:$C$1004,$O839)),IF($C839="","",$C839)))</f>
        <v/>
      </c>
      <c r="Q839" s="35">
        <f>IF(OR(NOT(OR($A839&lt;&gt;"",$E839&lt;&gt;"",$F839&lt;&gt;"",$G839&lt;&gt;"",$H839&lt;&gt;"",$I839&lt;&gt;"")),$P839="",$P839&lt;&gt;'売掛帳'!$B$3,NOT(ISNUMBER($A839)),N($G839)+N($H839)+N($I839)=0),"",IF(AND($A839&gt;='売掛帳'!$Q$3,$A839&lt;='売掛帳'!$Q$4),$A839+0.5+ROW()/10000000,""))</f>
        <v/>
      </c>
      <c r="R839" s="32">
        <f>IF(AND(OR($A839&lt;&gt;"",$E839&lt;&gt;"",$F839&lt;&gt;"",$G839&lt;&gt;"",$H839&lt;&gt;"",$I839&lt;&gt;""),NOT(ISNUMBER($O839))),1,"")</f>
        <v/>
      </c>
    </row>
    <row r="840" ht="18" customHeight="1">
      <c r="A840" s="26" t="n"/>
      <c r="B840" s="18" t="n"/>
      <c r="C840" s="18" t="n"/>
      <c r="D840" s="20">
        <f>IF($P840="","",IFERROR(INDEX('得意先'!$C$5:$C$104,MATCH($P840,'得意先'!$B$5:$B$104,0))&amp;"","※得意先にないコード"))</f>
        <v/>
      </c>
      <c r="E840" s="27" t="n"/>
      <c r="F840" s="18" t="n"/>
      <c r="G840" s="27" t="n"/>
      <c r="H840" s="27" t="n"/>
      <c r="I840" s="27" t="n"/>
      <c r="J840" s="28">
        <f>IF(NOT(OR($A840&lt;&gt;"",$E840&lt;&gt;"",$F840&lt;&gt;"",$G840&lt;&gt;"",$H840&lt;&gt;"",$I840&lt;&gt;"")),"",N($G840)+N($H840)+N($I840))</f>
        <v/>
      </c>
      <c r="K840" s="28">
        <f>IF(ISNUMBER($O840),INDEX('請求台帳'!$R$5:$R$1004,$O840),"")</f>
        <v/>
      </c>
      <c r="L840" s="20">
        <f>IF(NOT(OR($A840&lt;&gt;"",$E840&lt;&gt;"",$F840&lt;&gt;"",$G840&lt;&gt;"",$H840&lt;&gt;"",$I840&lt;&gt;"")),"",IF(NOT(ISNUMBER($A840)),"入金日がありません",IF(AND($F840&lt;&gt;"",$O840="なし"),"請求Noが請求台帳にありません",IF(AND(ISNUMBER($O840),$C840&lt;&gt;"",$C840&lt;&gt;$P840),"請求の得意先は "&amp;$P840&amp;" です",IF(ROUND(IF($B840&lt;&gt;"",SUMIF($B$5:$B$1004,$B840,$E$5:$E$1004)-SUMIF($B$5:$B$1004,$B840,$G$5:$G$1004),N($E840)-N($G840)),0)&lt;&gt;0,"通帳の額と当てた額の差 "&amp;TEXT(IF($B840&lt;&gt;"",SUMIF($B$5:$B$1004,$B840,$E$5:$E$1004)-SUMIF($B$5:$B$1004,$B840,$G$5:$G$1004),N($E840)-N($G840)),"#,##0"),IF(AND(ISNUMBER($O840),N($K840)&lt;0),"請求額より多く消し込んでいます",IF($F840="","消込先が未定","OK")))))))</f>
        <v/>
      </c>
      <c r="M840" s="19" t="n"/>
      <c r="N840" s="56" t="n"/>
      <c r="O840" s="32">
        <f>IF($F840="","",IFERROR(MATCH($F840,'請求台帳'!$A$5:$A$1004,0),"なし"))</f>
        <v/>
      </c>
      <c r="P840" s="37">
        <f>IF(NOT(OR($A840&lt;&gt;"",$E840&lt;&gt;"",$F840&lt;&gt;"",$G840&lt;&gt;"",$H840&lt;&gt;"",$I840&lt;&gt;"")),"",IF(ISNUMBER($O840),IF(INDEX('請求台帳'!$C$5:$C$1004,$O840)="","",INDEX('請求台帳'!$C$5:$C$1004,$O840)),IF($C840="","",$C840)))</f>
        <v/>
      </c>
      <c r="Q840" s="35">
        <f>IF(OR(NOT(OR($A840&lt;&gt;"",$E840&lt;&gt;"",$F840&lt;&gt;"",$G840&lt;&gt;"",$H840&lt;&gt;"",$I840&lt;&gt;"")),$P840="",$P840&lt;&gt;'売掛帳'!$B$3,NOT(ISNUMBER($A840)),N($G840)+N($H840)+N($I840)=0),"",IF(AND($A840&gt;='売掛帳'!$Q$3,$A840&lt;='売掛帳'!$Q$4),$A840+0.5+ROW()/10000000,""))</f>
        <v/>
      </c>
      <c r="R840" s="32">
        <f>IF(AND(OR($A840&lt;&gt;"",$E840&lt;&gt;"",$F840&lt;&gt;"",$G840&lt;&gt;"",$H840&lt;&gt;"",$I840&lt;&gt;""),NOT(ISNUMBER($O840))),1,"")</f>
        <v/>
      </c>
    </row>
    <row r="841" ht="18" customHeight="1">
      <c r="A841" s="26" t="n"/>
      <c r="B841" s="18" t="n"/>
      <c r="C841" s="18" t="n"/>
      <c r="D841" s="20">
        <f>IF($P841="","",IFERROR(INDEX('得意先'!$C$5:$C$104,MATCH($P841,'得意先'!$B$5:$B$104,0))&amp;"","※得意先にないコード"))</f>
        <v/>
      </c>
      <c r="E841" s="27" t="n"/>
      <c r="F841" s="18" t="n"/>
      <c r="G841" s="27" t="n"/>
      <c r="H841" s="27" t="n"/>
      <c r="I841" s="27" t="n"/>
      <c r="J841" s="28">
        <f>IF(NOT(OR($A841&lt;&gt;"",$E841&lt;&gt;"",$F841&lt;&gt;"",$G841&lt;&gt;"",$H841&lt;&gt;"",$I841&lt;&gt;"")),"",N($G841)+N($H841)+N($I841))</f>
        <v/>
      </c>
      <c r="K841" s="28">
        <f>IF(ISNUMBER($O841),INDEX('請求台帳'!$R$5:$R$1004,$O841),"")</f>
        <v/>
      </c>
      <c r="L841" s="20">
        <f>IF(NOT(OR($A841&lt;&gt;"",$E841&lt;&gt;"",$F841&lt;&gt;"",$G841&lt;&gt;"",$H841&lt;&gt;"",$I841&lt;&gt;"")),"",IF(NOT(ISNUMBER($A841)),"入金日がありません",IF(AND($F841&lt;&gt;"",$O841="なし"),"請求Noが請求台帳にありません",IF(AND(ISNUMBER($O841),$C841&lt;&gt;"",$C841&lt;&gt;$P841),"請求の得意先は "&amp;$P841&amp;" です",IF(ROUND(IF($B841&lt;&gt;"",SUMIF($B$5:$B$1004,$B841,$E$5:$E$1004)-SUMIF($B$5:$B$1004,$B841,$G$5:$G$1004),N($E841)-N($G841)),0)&lt;&gt;0,"通帳の額と当てた額の差 "&amp;TEXT(IF($B841&lt;&gt;"",SUMIF($B$5:$B$1004,$B841,$E$5:$E$1004)-SUMIF($B$5:$B$1004,$B841,$G$5:$G$1004),N($E841)-N($G841)),"#,##0"),IF(AND(ISNUMBER($O841),N($K841)&lt;0),"請求額より多く消し込んでいます",IF($F841="","消込先が未定","OK")))))))</f>
        <v/>
      </c>
      <c r="M841" s="19" t="n"/>
      <c r="N841" s="56" t="n"/>
      <c r="O841" s="32">
        <f>IF($F841="","",IFERROR(MATCH($F841,'請求台帳'!$A$5:$A$1004,0),"なし"))</f>
        <v/>
      </c>
      <c r="P841" s="37">
        <f>IF(NOT(OR($A841&lt;&gt;"",$E841&lt;&gt;"",$F841&lt;&gt;"",$G841&lt;&gt;"",$H841&lt;&gt;"",$I841&lt;&gt;"")),"",IF(ISNUMBER($O841),IF(INDEX('請求台帳'!$C$5:$C$1004,$O841)="","",INDEX('請求台帳'!$C$5:$C$1004,$O841)),IF($C841="","",$C841)))</f>
        <v/>
      </c>
      <c r="Q841" s="35">
        <f>IF(OR(NOT(OR($A841&lt;&gt;"",$E841&lt;&gt;"",$F841&lt;&gt;"",$G841&lt;&gt;"",$H841&lt;&gt;"",$I841&lt;&gt;"")),$P841="",$P841&lt;&gt;'売掛帳'!$B$3,NOT(ISNUMBER($A841)),N($G841)+N($H841)+N($I841)=0),"",IF(AND($A841&gt;='売掛帳'!$Q$3,$A841&lt;='売掛帳'!$Q$4),$A841+0.5+ROW()/10000000,""))</f>
        <v/>
      </c>
      <c r="R841" s="32">
        <f>IF(AND(OR($A841&lt;&gt;"",$E841&lt;&gt;"",$F841&lt;&gt;"",$G841&lt;&gt;"",$H841&lt;&gt;"",$I841&lt;&gt;""),NOT(ISNUMBER($O841))),1,"")</f>
        <v/>
      </c>
    </row>
    <row r="842" ht="18" customHeight="1">
      <c r="A842" s="26" t="n"/>
      <c r="B842" s="18" t="n"/>
      <c r="C842" s="18" t="n"/>
      <c r="D842" s="20">
        <f>IF($P842="","",IFERROR(INDEX('得意先'!$C$5:$C$104,MATCH($P842,'得意先'!$B$5:$B$104,0))&amp;"","※得意先にないコード"))</f>
        <v/>
      </c>
      <c r="E842" s="27" t="n"/>
      <c r="F842" s="18" t="n"/>
      <c r="G842" s="27" t="n"/>
      <c r="H842" s="27" t="n"/>
      <c r="I842" s="27" t="n"/>
      <c r="J842" s="28">
        <f>IF(NOT(OR($A842&lt;&gt;"",$E842&lt;&gt;"",$F842&lt;&gt;"",$G842&lt;&gt;"",$H842&lt;&gt;"",$I842&lt;&gt;"")),"",N($G842)+N($H842)+N($I842))</f>
        <v/>
      </c>
      <c r="K842" s="28">
        <f>IF(ISNUMBER($O842),INDEX('請求台帳'!$R$5:$R$1004,$O842),"")</f>
        <v/>
      </c>
      <c r="L842" s="20">
        <f>IF(NOT(OR($A842&lt;&gt;"",$E842&lt;&gt;"",$F842&lt;&gt;"",$G842&lt;&gt;"",$H842&lt;&gt;"",$I842&lt;&gt;"")),"",IF(NOT(ISNUMBER($A842)),"入金日がありません",IF(AND($F842&lt;&gt;"",$O842="なし"),"請求Noが請求台帳にありません",IF(AND(ISNUMBER($O842),$C842&lt;&gt;"",$C842&lt;&gt;$P842),"請求の得意先は "&amp;$P842&amp;" です",IF(ROUND(IF($B842&lt;&gt;"",SUMIF($B$5:$B$1004,$B842,$E$5:$E$1004)-SUMIF($B$5:$B$1004,$B842,$G$5:$G$1004),N($E842)-N($G842)),0)&lt;&gt;0,"通帳の額と当てた額の差 "&amp;TEXT(IF($B842&lt;&gt;"",SUMIF($B$5:$B$1004,$B842,$E$5:$E$1004)-SUMIF($B$5:$B$1004,$B842,$G$5:$G$1004),N($E842)-N($G842)),"#,##0"),IF(AND(ISNUMBER($O842),N($K842)&lt;0),"請求額より多く消し込んでいます",IF($F842="","消込先が未定","OK")))))))</f>
        <v/>
      </c>
      <c r="M842" s="19" t="n"/>
      <c r="N842" s="56" t="n"/>
      <c r="O842" s="32">
        <f>IF($F842="","",IFERROR(MATCH($F842,'請求台帳'!$A$5:$A$1004,0),"なし"))</f>
        <v/>
      </c>
      <c r="P842" s="37">
        <f>IF(NOT(OR($A842&lt;&gt;"",$E842&lt;&gt;"",$F842&lt;&gt;"",$G842&lt;&gt;"",$H842&lt;&gt;"",$I842&lt;&gt;"")),"",IF(ISNUMBER($O842),IF(INDEX('請求台帳'!$C$5:$C$1004,$O842)="","",INDEX('請求台帳'!$C$5:$C$1004,$O842)),IF($C842="","",$C842)))</f>
        <v/>
      </c>
      <c r="Q842" s="35">
        <f>IF(OR(NOT(OR($A842&lt;&gt;"",$E842&lt;&gt;"",$F842&lt;&gt;"",$G842&lt;&gt;"",$H842&lt;&gt;"",$I842&lt;&gt;"")),$P842="",$P842&lt;&gt;'売掛帳'!$B$3,NOT(ISNUMBER($A842)),N($G842)+N($H842)+N($I842)=0),"",IF(AND($A842&gt;='売掛帳'!$Q$3,$A842&lt;='売掛帳'!$Q$4),$A842+0.5+ROW()/10000000,""))</f>
        <v/>
      </c>
      <c r="R842" s="32">
        <f>IF(AND(OR($A842&lt;&gt;"",$E842&lt;&gt;"",$F842&lt;&gt;"",$G842&lt;&gt;"",$H842&lt;&gt;"",$I842&lt;&gt;""),NOT(ISNUMBER($O842))),1,"")</f>
        <v/>
      </c>
    </row>
    <row r="843" ht="18" customHeight="1">
      <c r="A843" s="26" t="n"/>
      <c r="B843" s="18" t="n"/>
      <c r="C843" s="18" t="n"/>
      <c r="D843" s="20">
        <f>IF($P843="","",IFERROR(INDEX('得意先'!$C$5:$C$104,MATCH($P843,'得意先'!$B$5:$B$104,0))&amp;"","※得意先にないコード"))</f>
        <v/>
      </c>
      <c r="E843" s="27" t="n"/>
      <c r="F843" s="18" t="n"/>
      <c r="G843" s="27" t="n"/>
      <c r="H843" s="27" t="n"/>
      <c r="I843" s="27" t="n"/>
      <c r="J843" s="28">
        <f>IF(NOT(OR($A843&lt;&gt;"",$E843&lt;&gt;"",$F843&lt;&gt;"",$G843&lt;&gt;"",$H843&lt;&gt;"",$I843&lt;&gt;"")),"",N($G843)+N($H843)+N($I843))</f>
        <v/>
      </c>
      <c r="K843" s="28">
        <f>IF(ISNUMBER($O843),INDEX('請求台帳'!$R$5:$R$1004,$O843),"")</f>
        <v/>
      </c>
      <c r="L843" s="20">
        <f>IF(NOT(OR($A843&lt;&gt;"",$E843&lt;&gt;"",$F843&lt;&gt;"",$G843&lt;&gt;"",$H843&lt;&gt;"",$I843&lt;&gt;"")),"",IF(NOT(ISNUMBER($A843)),"入金日がありません",IF(AND($F843&lt;&gt;"",$O843="なし"),"請求Noが請求台帳にありません",IF(AND(ISNUMBER($O843),$C843&lt;&gt;"",$C843&lt;&gt;$P843),"請求の得意先は "&amp;$P843&amp;" です",IF(ROUND(IF($B843&lt;&gt;"",SUMIF($B$5:$B$1004,$B843,$E$5:$E$1004)-SUMIF($B$5:$B$1004,$B843,$G$5:$G$1004),N($E843)-N($G843)),0)&lt;&gt;0,"通帳の額と当てた額の差 "&amp;TEXT(IF($B843&lt;&gt;"",SUMIF($B$5:$B$1004,$B843,$E$5:$E$1004)-SUMIF($B$5:$B$1004,$B843,$G$5:$G$1004),N($E843)-N($G843)),"#,##0"),IF(AND(ISNUMBER($O843),N($K843)&lt;0),"請求額より多く消し込んでいます",IF($F843="","消込先が未定","OK")))))))</f>
        <v/>
      </c>
      <c r="M843" s="19" t="n"/>
      <c r="N843" s="56" t="n"/>
      <c r="O843" s="32">
        <f>IF($F843="","",IFERROR(MATCH($F843,'請求台帳'!$A$5:$A$1004,0),"なし"))</f>
        <v/>
      </c>
      <c r="P843" s="37">
        <f>IF(NOT(OR($A843&lt;&gt;"",$E843&lt;&gt;"",$F843&lt;&gt;"",$G843&lt;&gt;"",$H843&lt;&gt;"",$I843&lt;&gt;"")),"",IF(ISNUMBER($O843),IF(INDEX('請求台帳'!$C$5:$C$1004,$O843)="","",INDEX('請求台帳'!$C$5:$C$1004,$O843)),IF($C843="","",$C843)))</f>
        <v/>
      </c>
      <c r="Q843" s="35">
        <f>IF(OR(NOT(OR($A843&lt;&gt;"",$E843&lt;&gt;"",$F843&lt;&gt;"",$G843&lt;&gt;"",$H843&lt;&gt;"",$I843&lt;&gt;"")),$P843="",$P843&lt;&gt;'売掛帳'!$B$3,NOT(ISNUMBER($A843)),N($G843)+N($H843)+N($I843)=0),"",IF(AND($A843&gt;='売掛帳'!$Q$3,$A843&lt;='売掛帳'!$Q$4),$A843+0.5+ROW()/10000000,""))</f>
        <v/>
      </c>
      <c r="R843" s="32">
        <f>IF(AND(OR($A843&lt;&gt;"",$E843&lt;&gt;"",$F843&lt;&gt;"",$G843&lt;&gt;"",$H843&lt;&gt;"",$I843&lt;&gt;""),NOT(ISNUMBER($O843))),1,"")</f>
        <v/>
      </c>
    </row>
    <row r="844" ht="18" customHeight="1">
      <c r="A844" s="26" t="n"/>
      <c r="B844" s="18" t="n"/>
      <c r="C844" s="18" t="n"/>
      <c r="D844" s="20">
        <f>IF($P844="","",IFERROR(INDEX('得意先'!$C$5:$C$104,MATCH($P844,'得意先'!$B$5:$B$104,0))&amp;"","※得意先にないコード"))</f>
        <v/>
      </c>
      <c r="E844" s="27" t="n"/>
      <c r="F844" s="18" t="n"/>
      <c r="G844" s="27" t="n"/>
      <c r="H844" s="27" t="n"/>
      <c r="I844" s="27" t="n"/>
      <c r="J844" s="28">
        <f>IF(NOT(OR($A844&lt;&gt;"",$E844&lt;&gt;"",$F844&lt;&gt;"",$G844&lt;&gt;"",$H844&lt;&gt;"",$I844&lt;&gt;"")),"",N($G844)+N($H844)+N($I844))</f>
        <v/>
      </c>
      <c r="K844" s="28">
        <f>IF(ISNUMBER($O844),INDEX('請求台帳'!$R$5:$R$1004,$O844),"")</f>
        <v/>
      </c>
      <c r="L844" s="20">
        <f>IF(NOT(OR($A844&lt;&gt;"",$E844&lt;&gt;"",$F844&lt;&gt;"",$G844&lt;&gt;"",$H844&lt;&gt;"",$I844&lt;&gt;"")),"",IF(NOT(ISNUMBER($A844)),"入金日がありません",IF(AND($F844&lt;&gt;"",$O844="なし"),"請求Noが請求台帳にありません",IF(AND(ISNUMBER($O844),$C844&lt;&gt;"",$C844&lt;&gt;$P844),"請求の得意先は "&amp;$P844&amp;" です",IF(ROUND(IF($B844&lt;&gt;"",SUMIF($B$5:$B$1004,$B844,$E$5:$E$1004)-SUMIF($B$5:$B$1004,$B844,$G$5:$G$1004),N($E844)-N($G844)),0)&lt;&gt;0,"通帳の額と当てた額の差 "&amp;TEXT(IF($B844&lt;&gt;"",SUMIF($B$5:$B$1004,$B844,$E$5:$E$1004)-SUMIF($B$5:$B$1004,$B844,$G$5:$G$1004),N($E844)-N($G844)),"#,##0"),IF(AND(ISNUMBER($O844),N($K844)&lt;0),"請求額より多く消し込んでいます",IF($F844="","消込先が未定","OK")))))))</f>
        <v/>
      </c>
      <c r="M844" s="19" t="n"/>
      <c r="N844" s="56" t="n"/>
      <c r="O844" s="32">
        <f>IF($F844="","",IFERROR(MATCH($F844,'請求台帳'!$A$5:$A$1004,0),"なし"))</f>
        <v/>
      </c>
      <c r="P844" s="37">
        <f>IF(NOT(OR($A844&lt;&gt;"",$E844&lt;&gt;"",$F844&lt;&gt;"",$G844&lt;&gt;"",$H844&lt;&gt;"",$I844&lt;&gt;"")),"",IF(ISNUMBER($O844),IF(INDEX('請求台帳'!$C$5:$C$1004,$O844)="","",INDEX('請求台帳'!$C$5:$C$1004,$O844)),IF($C844="","",$C844)))</f>
        <v/>
      </c>
      <c r="Q844" s="35">
        <f>IF(OR(NOT(OR($A844&lt;&gt;"",$E844&lt;&gt;"",$F844&lt;&gt;"",$G844&lt;&gt;"",$H844&lt;&gt;"",$I844&lt;&gt;"")),$P844="",$P844&lt;&gt;'売掛帳'!$B$3,NOT(ISNUMBER($A844)),N($G844)+N($H844)+N($I844)=0),"",IF(AND($A844&gt;='売掛帳'!$Q$3,$A844&lt;='売掛帳'!$Q$4),$A844+0.5+ROW()/10000000,""))</f>
        <v/>
      </c>
      <c r="R844" s="32">
        <f>IF(AND(OR($A844&lt;&gt;"",$E844&lt;&gt;"",$F844&lt;&gt;"",$G844&lt;&gt;"",$H844&lt;&gt;"",$I844&lt;&gt;""),NOT(ISNUMBER($O844))),1,"")</f>
        <v/>
      </c>
    </row>
    <row r="845" ht="18" customHeight="1">
      <c r="A845" s="26" t="n"/>
      <c r="B845" s="18" t="n"/>
      <c r="C845" s="18" t="n"/>
      <c r="D845" s="20">
        <f>IF($P845="","",IFERROR(INDEX('得意先'!$C$5:$C$104,MATCH($P845,'得意先'!$B$5:$B$104,0))&amp;"","※得意先にないコード"))</f>
        <v/>
      </c>
      <c r="E845" s="27" t="n"/>
      <c r="F845" s="18" t="n"/>
      <c r="G845" s="27" t="n"/>
      <c r="H845" s="27" t="n"/>
      <c r="I845" s="27" t="n"/>
      <c r="J845" s="28">
        <f>IF(NOT(OR($A845&lt;&gt;"",$E845&lt;&gt;"",$F845&lt;&gt;"",$G845&lt;&gt;"",$H845&lt;&gt;"",$I845&lt;&gt;"")),"",N($G845)+N($H845)+N($I845))</f>
        <v/>
      </c>
      <c r="K845" s="28">
        <f>IF(ISNUMBER($O845),INDEX('請求台帳'!$R$5:$R$1004,$O845),"")</f>
        <v/>
      </c>
      <c r="L845" s="20">
        <f>IF(NOT(OR($A845&lt;&gt;"",$E845&lt;&gt;"",$F845&lt;&gt;"",$G845&lt;&gt;"",$H845&lt;&gt;"",$I845&lt;&gt;"")),"",IF(NOT(ISNUMBER($A845)),"入金日がありません",IF(AND($F845&lt;&gt;"",$O845="なし"),"請求Noが請求台帳にありません",IF(AND(ISNUMBER($O845),$C845&lt;&gt;"",$C845&lt;&gt;$P845),"請求の得意先は "&amp;$P845&amp;" です",IF(ROUND(IF($B845&lt;&gt;"",SUMIF($B$5:$B$1004,$B845,$E$5:$E$1004)-SUMIF($B$5:$B$1004,$B845,$G$5:$G$1004),N($E845)-N($G845)),0)&lt;&gt;0,"通帳の額と当てた額の差 "&amp;TEXT(IF($B845&lt;&gt;"",SUMIF($B$5:$B$1004,$B845,$E$5:$E$1004)-SUMIF($B$5:$B$1004,$B845,$G$5:$G$1004),N($E845)-N($G845)),"#,##0"),IF(AND(ISNUMBER($O845),N($K845)&lt;0),"請求額より多く消し込んでいます",IF($F845="","消込先が未定","OK")))))))</f>
        <v/>
      </c>
      <c r="M845" s="19" t="n"/>
      <c r="N845" s="56" t="n"/>
      <c r="O845" s="32">
        <f>IF($F845="","",IFERROR(MATCH($F845,'請求台帳'!$A$5:$A$1004,0),"なし"))</f>
        <v/>
      </c>
      <c r="P845" s="37">
        <f>IF(NOT(OR($A845&lt;&gt;"",$E845&lt;&gt;"",$F845&lt;&gt;"",$G845&lt;&gt;"",$H845&lt;&gt;"",$I845&lt;&gt;"")),"",IF(ISNUMBER($O845),IF(INDEX('請求台帳'!$C$5:$C$1004,$O845)="","",INDEX('請求台帳'!$C$5:$C$1004,$O845)),IF($C845="","",$C845)))</f>
        <v/>
      </c>
      <c r="Q845" s="35">
        <f>IF(OR(NOT(OR($A845&lt;&gt;"",$E845&lt;&gt;"",$F845&lt;&gt;"",$G845&lt;&gt;"",$H845&lt;&gt;"",$I845&lt;&gt;"")),$P845="",$P845&lt;&gt;'売掛帳'!$B$3,NOT(ISNUMBER($A845)),N($G845)+N($H845)+N($I845)=0),"",IF(AND($A845&gt;='売掛帳'!$Q$3,$A845&lt;='売掛帳'!$Q$4),$A845+0.5+ROW()/10000000,""))</f>
        <v/>
      </c>
      <c r="R845" s="32">
        <f>IF(AND(OR($A845&lt;&gt;"",$E845&lt;&gt;"",$F845&lt;&gt;"",$G845&lt;&gt;"",$H845&lt;&gt;"",$I845&lt;&gt;""),NOT(ISNUMBER($O845))),1,"")</f>
        <v/>
      </c>
    </row>
    <row r="846" ht="18" customHeight="1">
      <c r="A846" s="26" t="n"/>
      <c r="B846" s="18" t="n"/>
      <c r="C846" s="18" t="n"/>
      <c r="D846" s="20">
        <f>IF($P846="","",IFERROR(INDEX('得意先'!$C$5:$C$104,MATCH($P846,'得意先'!$B$5:$B$104,0))&amp;"","※得意先にないコード"))</f>
        <v/>
      </c>
      <c r="E846" s="27" t="n"/>
      <c r="F846" s="18" t="n"/>
      <c r="G846" s="27" t="n"/>
      <c r="H846" s="27" t="n"/>
      <c r="I846" s="27" t="n"/>
      <c r="J846" s="28">
        <f>IF(NOT(OR($A846&lt;&gt;"",$E846&lt;&gt;"",$F846&lt;&gt;"",$G846&lt;&gt;"",$H846&lt;&gt;"",$I846&lt;&gt;"")),"",N($G846)+N($H846)+N($I846))</f>
        <v/>
      </c>
      <c r="K846" s="28">
        <f>IF(ISNUMBER($O846),INDEX('請求台帳'!$R$5:$R$1004,$O846),"")</f>
        <v/>
      </c>
      <c r="L846" s="20">
        <f>IF(NOT(OR($A846&lt;&gt;"",$E846&lt;&gt;"",$F846&lt;&gt;"",$G846&lt;&gt;"",$H846&lt;&gt;"",$I846&lt;&gt;"")),"",IF(NOT(ISNUMBER($A846)),"入金日がありません",IF(AND($F846&lt;&gt;"",$O846="なし"),"請求Noが請求台帳にありません",IF(AND(ISNUMBER($O846),$C846&lt;&gt;"",$C846&lt;&gt;$P846),"請求の得意先は "&amp;$P846&amp;" です",IF(ROUND(IF($B846&lt;&gt;"",SUMIF($B$5:$B$1004,$B846,$E$5:$E$1004)-SUMIF($B$5:$B$1004,$B846,$G$5:$G$1004),N($E846)-N($G846)),0)&lt;&gt;0,"通帳の額と当てた額の差 "&amp;TEXT(IF($B846&lt;&gt;"",SUMIF($B$5:$B$1004,$B846,$E$5:$E$1004)-SUMIF($B$5:$B$1004,$B846,$G$5:$G$1004),N($E846)-N($G846)),"#,##0"),IF(AND(ISNUMBER($O846),N($K846)&lt;0),"請求額より多く消し込んでいます",IF($F846="","消込先が未定","OK")))))))</f>
        <v/>
      </c>
      <c r="M846" s="19" t="n"/>
      <c r="N846" s="56" t="n"/>
      <c r="O846" s="32">
        <f>IF($F846="","",IFERROR(MATCH($F846,'請求台帳'!$A$5:$A$1004,0),"なし"))</f>
        <v/>
      </c>
      <c r="P846" s="37">
        <f>IF(NOT(OR($A846&lt;&gt;"",$E846&lt;&gt;"",$F846&lt;&gt;"",$G846&lt;&gt;"",$H846&lt;&gt;"",$I846&lt;&gt;"")),"",IF(ISNUMBER($O846),IF(INDEX('請求台帳'!$C$5:$C$1004,$O846)="","",INDEX('請求台帳'!$C$5:$C$1004,$O846)),IF($C846="","",$C846)))</f>
        <v/>
      </c>
      <c r="Q846" s="35">
        <f>IF(OR(NOT(OR($A846&lt;&gt;"",$E846&lt;&gt;"",$F846&lt;&gt;"",$G846&lt;&gt;"",$H846&lt;&gt;"",$I846&lt;&gt;"")),$P846="",$P846&lt;&gt;'売掛帳'!$B$3,NOT(ISNUMBER($A846)),N($G846)+N($H846)+N($I846)=0),"",IF(AND($A846&gt;='売掛帳'!$Q$3,$A846&lt;='売掛帳'!$Q$4),$A846+0.5+ROW()/10000000,""))</f>
        <v/>
      </c>
      <c r="R846" s="32">
        <f>IF(AND(OR($A846&lt;&gt;"",$E846&lt;&gt;"",$F846&lt;&gt;"",$G846&lt;&gt;"",$H846&lt;&gt;"",$I846&lt;&gt;""),NOT(ISNUMBER($O846))),1,"")</f>
        <v/>
      </c>
    </row>
    <row r="847" ht="18" customHeight="1">
      <c r="A847" s="26" t="n"/>
      <c r="B847" s="18" t="n"/>
      <c r="C847" s="18" t="n"/>
      <c r="D847" s="20">
        <f>IF($P847="","",IFERROR(INDEX('得意先'!$C$5:$C$104,MATCH($P847,'得意先'!$B$5:$B$104,0))&amp;"","※得意先にないコード"))</f>
        <v/>
      </c>
      <c r="E847" s="27" t="n"/>
      <c r="F847" s="18" t="n"/>
      <c r="G847" s="27" t="n"/>
      <c r="H847" s="27" t="n"/>
      <c r="I847" s="27" t="n"/>
      <c r="J847" s="28">
        <f>IF(NOT(OR($A847&lt;&gt;"",$E847&lt;&gt;"",$F847&lt;&gt;"",$G847&lt;&gt;"",$H847&lt;&gt;"",$I847&lt;&gt;"")),"",N($G847)+N($H847)+N($I847))</f>
        <v/>
      </c>
      <c r="K847" s="28">
        <f>IF(ISNUMBER($O847),INDEX('請求台帳'!$R$5:$R$1004,$O847),"")</f>
        <v/>
      </c>
      <c r="L847" s="20">
        <f>IF(NOT(OR($A847&lt;&gt;"",$E847&lt;&gt;"",$F847&lt;&gt;"",$G847&lt;&gt;"",$H847&lt;&gt;"",$I847&lt;&gt;"")),"",IF(NOT(ISNUMBER($A847)),"入金日がありません",IF(AND($F847&lt;&gt;"",$O847="なし"),"請求Noが請求台帳にありません",IF(AND(ISNUMBER($O847),$C847&lt;&gt;"",$C847&lt;&gt;$P847),"請求の得意先は "&amp;$P847&amp;" です",IF(ROUND(IF($B847&lt;&gt;"",SUMIF($B$5:$B$1004,$B847,$E$5:$E$1004)-SUMIF($B$5:$B$1004,$B847,$G$5:$G$1004),N($E847)-N($G847)),0)&lt;&gt;0,"通帳の額と当てた額の差 "&amp;TEXT(IF($B847&lt;&gt;"",SUMIF($B$5:$B$1004,$B847,$E$5:$E$1004)-SUMIF($B$5:$B$1004,$B847,$G$5:$G$1004),N($E847)-N($G847)),"#,##0"),IF(AND(ISNUMBER($O847),N($K847)&lt;0),"請求額より多く消し込んでいます",IF($F847="","消込先が未定","OK")))))))</f>
        <v/>
      </c>
      <c r="M847" s="19" t="n"/>
      <c r="N847" s="56" t="n"/>
      <c r="O847" s="32">
        <f>IF($F847="","",IFERROR(MATCH($F847,'請求台帳'!$A$5:$A$1004,0),"なし"))</f>
        <v/>
      </c>
      <c r="P847" s="37">
        <f>IF(NOT(OR($A847&lt;&gt;"",$E847&lt;&gt;"",$F847&lt;&gt;"",$G847&lt;&gt;"",$H847&lt;&gt;"",$I847&lt;&gt;"")),"",IF(ISNUMBER($O847),IF(INDEX('請求台帳'!$C$5:$C$1004,$O847)="","",INDEX('請求台帳'!$C$5:$C$1004,$O847)),IF($C847="","",$C847)))</f>
        <v/>
      </c>
      <c r="Q847" s="35">
        <f>IF(OR(NOT(OR($A847&lt;&gt;"",$E847&lt;&gt;"",$F847&lt;&gt;"",$G847&lt;&gt;"",$H847&lt;&gt;"",$I847&lt;&gt;"")),$P847="",$P847&lt;&gt;'売掛帳'!$B$3,NOT(ISNUMBER($A847)),N($G847)+N($H847)+N($I847)=0),"",IF(AND($A847&gt;='売掛帳'!$Q$3,$A847&lt;='売掛帳'!$Q$4),$A847+0.5+ROW()/10000000,""))</f>
        <v/>
      </c>
      <c r="R847" s="32">
        <f>IF(AND(OR($A847&lt;&gt;"",$E847&lt;&gt;"",$F847&lt;&gt;"",$G847&lt;&gt;"",$H847&lt;&gt;"",$I847&lt;&gt;""),NOT(ISNUMBER($O847))),1,"")</f>
        <v/>
      </c>
    </row>
    <row r="848" ht="18" customHeight="1">
      <c r="A848" s="26" t="n"/>
      <c r="B848" s="18" t="n"/>
      <c r="C848" s="18" t="n"/>
      <c r="D848" s="20">
        <f>IF($P848="","",IFERROR(INDEX('得意先'!$C$5:$C$104,MATCH($P848,'得意先'!$B$5:$B$104,0))&amp;"","※得意先にないコード"))</f>
        <v/>
      </c>
      <c r="E848" s="27" t="n"/>
      <c r="F848" s="18" t="n"/>
      <c r="G848" s="27" t="n"/>
      <c r="H848" s="27" t="n"/>
      <c r="I848" s="27" t="n"/>
      <c r="J848" s="28">
        <f>IF(NOT(OR($A848&lt;&gt;"",$E848&lt;&gt;"",$F848&lt;&gt;"",$G848&lt;&gt;"",$H848&lt;&gt;"",$I848&lt;&gt;"")),"",N($G848)+N($H848)+N($I848))</f>
        <v/>
      </c>
      <c r="K848" s="28">
        <f>IF(ISNUMBER($O848),INDEX('請求台帳'!$R$5:$R$1004,$O848),"")</f>
        <v/>
      </c>
      <c r="L848" s="20">
        <f>IF(NOT(OR($A848&lt;&gt;"",$E848&lt;&gt;"",$F848&lt;&gt;"",$G848&lt;&gt;"",$H848&lt;&gt;"",$I848&lt;&gt;"")),"",IF(NOT(ISNUMBER($A848)),"入金日がありません",IF(AND($F848&lt;&gt;"",$O848="なし"),"請求Noが請求台帳にありません",IF(AND(ISNUMBER($O848),$C848&lt;&gt;"",$C848&lt;&gt;$P848),"請求の得意先は "&amp;$P848&amp;" です",IF(ROUND(IF($B848&lt;&gt;"",SUMIF($B$5:$B$1004,$B848,$E$5:$E$1004)-SUMIF($B$5:$B$1004,$B848,$G$5:$G$1004),N($E848)-N($G848)),0)&lt;&gt;0,"通帳の額と当てた額の差 "&amp;TEXT(IF($B848&lt;&gt;"",SUMIF($B$5:$B$1004,$B848,$E$5:$E$1004)-SUMIF($B$5:$B$1004,$B848,$G$5:$G$1004),N($E848)-N($G848)),"#,##0"),IF(AND(ISNUMBER($O848),N($K848)&lt;0),"請求額より多く消し込んでいます",IF($F848="","消込先が未定","OK")))))))</f>
        <v/>
      </c>
      <c r="M848" s="19" t="n"/>
      <c r="N848" s="56" t="n"/>
      <c r="O848" s="32">
        <f>IF($F848="","",IFERROR(MATCH($F848,'請求台帳'!$A$5:$A$1004,0),"なし"))</f>
        <v/>
      </c>
      <c r="P848" s="37">
        <f>IF(NOT(OR($A848&lt;&gt;"",$E848&lt;&gt;"",$F848&lt;&gt;"",$G848&lt;&gt;"",$H848&lt;&gt;"",$I848&lt;&gt;"")),"",IF(ISNUMBER($O848),IF(INDEX('請求台帳'!$C$5:$C$1004,$O848)="","",INDEX('請求台帳'!$C$5:$C$1004,$O848)),IF($C848="","",$C848)))</f>
        <v/>
      </c>
      <c r="Q848" s="35">
        <f>IF(OR(NOT(OR($A848&lt;&gt;"",$E848&lt;&gt;"",$F848&lt;&gt;"",$G848&lt;&gt;"",$H848&lt;&gt;"",$I848&lt;&gt;"")),$P848="",$P848&lt;&gt;'売掛帳'!$B$3,NOT(ISNUMBER($A848)),N($G848)+N($H848)+N($I848)=0),"",IF(AND($A848&gt;='売掛帳'!$Q$3,$A848&lt;='売掛帳'!$Q$4),$A848+0.5+ROW()/10000000,""))</f>
        <v/>
      </c>
      <c r="R848" s="32">
        <f>IF(AND(OR($A848&lt;&gt;"",$E848&lt;&gt;"",$F848&lt;&gt;"",$G848&lt;&gt;"",$H848&lt;&gt;"",$I848&lt;&gt;""),NOT(ISNUMBER($O848))),1,"")</f>
        <v/>
      </c>
    </row>
    <row r="849" ht="18" customHeight="1">
      <c r="A849" s="26" t="n"/>
      <c r="B849" s="18" t="n"/>
      <c r="C849" s="18" t="n"/>
      <c r="D849" s="20">
        <f>IF($P849="","",IFERROR(INDEX('得意先'!$C$5:$C$104,MATCH($P849,'得意先'!$B$5:$B$104,0))&amp;"","※得意先にないコード"))</f>
        <v/>
      </c>
      <c r="E849" s="27" t="n"/>
      <c r="F849" s="18" t="n"/>
      <c r="G849" s="27" t="n"/>
      <c r="H849" s="27" t="n"/>
      <c r="I849" s="27" t="n"/>
      <c r="J849" s="28">
        <f>IF(NOT(OR($A849&lt;&gt;"",$E849&lt;&gt;"",$F849&lt;&gt;"",$G849&lt;&gt;"",$H849&lt;&gt;"",$I849&lt;&gt;"")),"",N($G849)+N($H849)+N($I849))</f>
        <v/>
      </c>
      <c r="K849" s="28">
        <f>IF(ISNUMBER($O849),INDEX('請求台帳'!$R$5:$R$1004,$O849),"")</f>
        <v/>
      </c>
      <c r="L849" s="20">
        <f>IF(NOT(OR($A849&lt;&gt;"",$E849&lt;&gt;"",$F849&lt;&gt;"",$G849&lt;&gt;"",$H849&lt;&gt;"",$I849&lt;&gt;"")),"",IF(NOT(ISNUMBER($A849)),"入金日がありません",IF(AND($F849&lt;&gt;"",$O849="なし"),"請求Noが請求台帳にありません",IF(AND(ISNUMBER($O849),$C849&lt;&gt;"",$C849&lt;&gt;$P849),"請求の得意先は "&amp;$P849&amp;" です",IF(ROUND(IF($B849&lt;&gt;"",SUMIF($B$5:$B$1004,$B849,$E$5:$E$1004)-SUMIF($B$5:$B$1004,$B849,$G$5:$G$1004),N($E849)-N($G849)),0)&lt;&gt;0,"通帳の額と当てた額の差 "&amp;TEXT(IF($B849&lt;&gt;"",SUMIF($B$5:$B$1004,$B849,$E$5:$E$1004)-SUMIF($B$5:$B$1004,$B849,$G$5:$G$1004),N($E849)-N($G849)),"#,##0"),IF(AND(ISNUMBER($O849),N($K849)&lt;0),"請求額より多く消し込んでいます",IF($F849="","消込先が未定","OK")))))))</f>
        <v/>
      </c>
      <c r="M849" s="19" t="n"/>
      <c r="N849" s="56" t="n"/>
      <c r="O849" s="32">
        <f>IF($F849="","",IFERROR(MATCH($F849,'請求台帳'!$A$5:$A$1004,0),"なし"))</f>
        <v/>
      </c>
      <c r="P849" s="37">
        <f>IF(NOT(OR($A849&lt;&gt;"",$E849&lt;&gt;"",$F849&lt;&gt;"",$G849&lt;&gt;"",$H849&lt;&gt;"",$I849&lt;&gt;"")),"",IF(ISNUMBER($O849),IF(INDEX('請求台帳'!$C$5:$C$1004,$O849)="","",INDEX('請求台帳'!$C$5:$C$1004,$O849)),IF($C849="","",$C849)))</f>
        <v/>
      </c>
      <c r="Q849" s="35">
        <f>IF(OR(NOT(OR($A849&lt;&gt;"",$E849&lt;&gt;"",$F849&lt;&gt;"",$G849&lt;&gt;"",$H849&lt;&gt;"",$I849&lt;&gt;"")),$P849="",$P849&lt;&gt;'売掛帳'!$B$3,NOT(ISNUMBER($A849)),N($G849)+N($H849)+N($I849)=0),"",IF(AND($A849&gt;='売掛帳'!$Q$3,$A849&lt;='売掛帳'!$Q$4),$A849+0.5+ROW()/10000000,""))</f>
        <v/>
      </c>
      <c r="R849" s="32">
        <f>IF(AND(OR($A849&lt;&gt;"",$E849&lt;&gt;"",$F849&lt;&gt;"",$G849&lt;&gt;"",$H849&lt;&gt;"",$I849&lt;&gt;""),NOT(ISNUMBER($O849))),1,"")</f>
        <v/>
      </c>
    </row>
    <row r="850" ht="18" customHeight="1">
      <c r="A850" s="26" t="n"/>
      <c r="B850" s="18" t="n"/>
      <c r="C850" s="18" t="n"/>
      <c r="D850" s="20">
        <f>IF($P850="","",IFERROR(INDEX('得意先'!$C$5:$C$104,MATCH($P850,'得意先'!$B$5:$B$104,0))&amp;"","※得意先にないコード"))</f>
        <v/>
      </c>
      <c r="E850" s="27" t="n"/>
      <c r="F850" s="18" t="n"/>
      <c r="G850" s="27" t="n"/>
      <c r="H850" s="27" t="n"/>
      <c r="I850" s="27" t="n"/>
      <c r="J850" s="28">
        <f>IF(NOT(OR($A850&lt;&gt;"",$E850&lt;&gt;"",$F850&lt;&gt;"",$G850&lt;&gt;"",$H850&lt;&gt;"",$I850&lt;&gt;"")),"",N($G850)+N($H850)+N($I850))</f>
        <v/>
      </c>
      <c r="K850" s="28">
        <f>IF(ISNUMBER($O850),INDEX('請求台帳'!$R$5:$R$1004,$O850),"")</f>
        <v/>
      </c>
      <c r="L850" s="20">
        <f>IF(NOT(OR($A850&lt;&gt;"",$E850&lt;&gt;"",$F850&lt;&gt;"",$G850&lt;&gt;"",$H850&lt;&gt;"",$I850&lt;&gt;"")),"",IF(NOT(ISNUMBER($A850)),"入金日がありません",IF(AND($F850&lt;&gt;"",$O850="なし"),"請求Noが請求台帳にありません",IF(AND(ISNUMBER($O850),$C850&lt;&gt;"",$C850&lt;&gt;$P850),"請求の得意先は "&amp;$P850&amp;" です",IF(ROUND(IF($B850&lt;&gt;"",SUMIF($B$5:$B$1004,$B850,$E$5:$E$1004)-SUMIF($B$5:$B$1004,$B850,$G$5:$G$1004),N($E850)-N($G850)),0)&lt;&gt;0,"通帳の額と当てた額の差 "&amp;TEXT(IF($B850&lt;&gt;"",SUMIF($B$5:$B$1004,$B850,$E$5:$E$1004)-SUMIF($B$5:$B$1004,$B850,$G$5:$G$1004),N($E850)-N($G850)),"#,##0"),IF(AND(ISNUMBER($O850),N($K850)&lt;0),"請求額より多く消し込んでいます",IF($F850="","消込先が未定","OK")))))))</f>
        <v/>
      </c>
      <c r="M850" s="19" t="n"/>
      <c r="N850" s="56" t="n"/>
      <c r="O850" s="32">
        <f>IF($F850="","",IFERROR(MATCH($F850,'請求台帳'!$A$5:$A$1004,0),"なし"))</f>
        <v/>
      </c>
      <c r="P850" s="37">
        <f>IF(NOT(OR($A850&lt;&gt;"",$E850&lt;&gt;"",$F850&lt;&gt;"",$G850&lt;&gt;"",$H850&lt;&gt;"",$I850&lt;&gt;"")),"",IF(ISNUMBER($O850),IF(INDEX('請求台帳'!$C$5:$C$1004,$O850)="","",INDEX('請求台帳'!$C$5:$C$1004,$O850)),IF($C850="","",$C850)))</f>
        <v/>
      </c>
      <c r="Q850" s="35">
        <f>IF(OR(NOT(OR($A850&lt;&gt;"",$E850&lt;&gt;"",$F850&lt;&gt;"",$G850&lt;&gt;"",$H850&lt;&gt;"",$I850&lt;&gt;"")),$P850="",$P850&lt;&gt;'売掛帳'!$B$3,NOT(ISNUMBER($A850)),N($G850)+N($H850)+N($I850)=0),"",IF(AND($A850&gt;='売掛帳'!$Q$3,$A850&lt;='売掛帳'!$Q$4),$A850+0.5+ROW()/10000000,""))</f>
        <v/>
      </c>
      <c r="R850" s="32">
        <f>IF(AND(OR($A850&lt;&gt;"",$E850&lt;&gt;"",$F850&lt;&gt;"",$G850&lt;&gt;"",$H850&lt;&gt;"",$I850&lt;&gt;""),NOT(ISNUMBER($O850))),1,"")</f>
        <v/>
      </c>
    </row>
    <row r="851" ht="18" customHeight="1">
      <c r="A851" s="26" t="n"/>
      <c r="B851" s="18" t="n"/>
      <c r="C851" s="18" t="n"/>
      <c r="D851" s="20">
        <f>IF($P851="","",IFERROR(INDEX('得意先'!$C$5:$C$104,MATCH($P851,'得意先'!$B$5:$B$104,0))&amp;"","※得意先にないコード"))</f>
        <v/>
      </c>
      <c r="E851" s="27" t="n"/>
      <c r="F851" s="18" t="n"/>
      <c r="G851" s="27" t="n"/>
      <c r="H851" s="27" t="n"/>
      <c r="I851" s="27" t="n"/>
      <c r="J851" s="28">
        <f>IF(NOT(OR($A851&lt;&gt;"",$E851&lt;&gt;"",$F851&lt;&gt;"",$G851&lt;&gt;"",$H851&lt;&gt;"",$I851&lt;&gt;"")),"",N($G851)+N($H851)+N($I851))</f>
        <v/>
      </c>
      <c r="K851" s="28">
        <f>IF(ISNUMBER($O851),INDEX('請求台帳'!$R$5:$R$1004,$O851),"")</f>
        <v/>
      </c>
      <c r="L851" s="20">
        <f>IF(NOT(OR($A851&lt;&gt;"",$E851&lt;&gt;"",$F851&lt;&gt;"",$G851&lt;&gt;"",$H851&lt;&gt;"",$I851&lt;&gt;"")),"",IF(NOT(ISNUMBER($A851)),"入金日がありません",IF(AND($F851&lt;&gt;"",$O851="なし"),"請求Noが請求台帳にありません",IF(AND(ISNUMBER($O851),$C851&lt;&gt;"",$C851&lt;&gt;$P851),"請求の得意先は "&amp;$P851&amp;" です",IF(ROUND(IF($B851&lt;&gt;"",SUMIF($B$5:$B$1004,$B851,$E$5:$E$1004)-SUMIF($B$5:$B$1004,$B851,$G$5:$G$1004),N($E851)-N($G851)),0)&lt;&gt;0,"通帳の額と当てた額の差 "&amp;TEXT(IF($B851&lt;&gt;"",SUMIF($B$5:$B$1004,$B851,$E$5:$E$1004)-SUMIF($B$5:$B$1004,$B851,$G$5:$G$1004),N($E851)-N($G851)),"#,##0"),IF(AND(ISNUMBER($O851),N($K851)&lt;0),"請求額より多く消し込んでいます",IF($F851="","消込先が未定","OK")))))))</f>
        <v/>
      </c>
      <c r="M851" s="19" t="n"/>
      <c r="N851" s="56" t="n"/>
      <c r="O851" s="32">
        <f>IF($F851="","",IFERROR(MATCH($F851,'請求台帳'!$A$5:$A$1004,0),"なし"))</f>
        <v/>
      </c>
      <c r="P851" s="37">
        <f>IF(NOT(OR($A851&lt;&gt;"",$E851&lt;&gt;"",$F851&lt;&gt;"",$G851&lt;&gt;"",$H851&lt;&gt;"",$I851&lt;&gt;"")),"",IF(ISNUMBER($O851),IF(INDEX('請求台帳'!$C$5:$C$1004,$O851)="","",INDEX('請求台帳'!$C$5:$C$1004,$O851)),IF($C851="","",$C851)))</f>
        <v/>
      </c>
      <c r="Q851" s="35">
        <f>IF(OR(NOT(OR($A851&lt;&gt;"",$E851&lt;&gt;"",$F851&lt;&gt;"",$G851&lt;&gt;"",$H851&lt;&gt;"",$I851&lt;&gt;"")),$P851="",$P851&lt;&gt;'売掛帳'!$B$3,NOT(ISNUMBER($A851)),N($G851)+N($H851)+N($I851)=0),"",IF(AND($A851&gt;='売掛帳'!$Q$3,$A851&lt;='売掛帳'!$Q$4),$A851+0.5+ROW()/10000000,""))</f>
        <v/>
      </c>
      <c r="R851" s="32">
        <f>IF(AND(OR($A851&lt;&gt;"",$E851&lt;&gt;"",$F851&lt;&gt;"",$G851&lt;&gt;"",$H851&lt;&gt;"",$I851&lt;&gt;""),NOT(ISNUMBER($O851))),1,"")</f>
        <v/>
      </c>
    </row>
    <row r="852" ht="18" customHeight="1">
      <c r="A852" s="26" t="n"/>
      <c r="B852" s="18" t="n"/>
      <c r="C852" s="18" t="n"/>
      <c r="D852" s="20">
        <f>IF($P852="","",IFERROR(INDEX('得意先'!$C$5:$C$104,MATCH($P852,'得意先'!$B$5:$B$104,0))&amp;"","※得意先にないコード"))</f>
        <v/>
      </c>
      <c r="E852" s="27" t="n"/>
      <c r="F852" s="18" t="n"/>
      <c r="G852" s="27" t="n"/>
      <c r="H852" s="27" t="n"/>
      <c r="I852" s="27" t="n"/>
      <c r="J852" s="28">
        <f>IF(NOT(OR($A852&lt;&gt;"",$E852&lt;&gt;"",$F852&lt;&gt;"",$G852&lt;&gt;"",$H852&lt;&gt;"",$I852&lt;&gt;"")),"",N($G852)+N($H852)+N($I852))</f>
        <v/>
      </c>
      <c r="K852" s="28">
        <f>IF(ISNUMBER($O852),INDEX('請求台帳'!$R$5:$R$1004,$O852),"")</f>
        <v/>
      </c>
      <c r="L852" s="20">
        <f>IF(NOT(OR($A852&lt;&gt;"",$E852&lt;&gt;"",$F852&lt;&gt;"",$G852&lt;&gt;"",$H852&lt;&gt;"",$I852&lt;&gt;"")),"",IF(NOT(ISNUMBER($A852)),"入金日がありません",IF(AND($F852&lt;&gt;"",$O852="なし"),"請求Noが請求台帳にありません",IF(AND(ISNUMBER($O852),$C852&lt;&gt;"",$C852&lt;&gt;$P852),"請求の得意先は "&amp;$P852&amp;" です",IF(ROUND(IF($B852&lt;&gt;"",SUMIF($B$5:$B$1004,$B852,$E$5:$E$1004)-SUMIF($B$5:$B$1004,$B852,$G$5:$G$1004),N($E852)-N($G852)),0)&lt;&gt;0,"通帳の額と当てた額の差 "&amp;TEXT(IF($B852&lt;&gt;"",SUMIF($B$5:$B$1004,$B852,$E$5:$E$1004)-SUMIF($B$5:$B$1004,$B852,$G$5:$G$1004),N($E852)-N($G852)),"#,##0"),IF(AND(ISNUMBER($O852),N($K852)&lt;0),"請求額より多く消し込んでいます",IF($F852="","消込先が未定","OK")))))))</f>
        <v/>
      </c>
      <c r="M852" s="19" t="n"/>
      <c r="N852" s="56" t="n"/>
      <c r="O852" s="32">
        <f>IF($F852="","",IFERROR(MATCH($F852,'請求台帳'!$A$5:$A$1004,0),"なし"))</f>
        <v/>
      </c>
      <c r="P852" s="37">
        <f>IF(NOT(OR($A852&lt;&gt;"",$E852&lt;&gt;"",$F852&lt;&gt;"",$G852&lt;&gt;"",$H852&lt;&gt;"",$I852&lt;&gt;"")),"",IF(ISNUMBER($O852),IF(INDEX('請求台帳'!$C$5:$C$1004,$O852)="","",INDEX('請求台帳'!$C$5:$C$1004,$O852)),IF($C852="","",$C852)))</f>
        <v/>
      </c>
      <c r="Q852" s="35">
        <f>IF(OR(NOT(OR($A852&lt;&gt;"",$E852&lt;&gt;"",$F852&lt;&gt;"",$G852&lt;&gt;"",$H852&lt;&gt;"",$I852&lt;&gt;"")),$P852="",$P852&lt;&gt;'売掛帳'!$B$3,NOT(ISNUMBER($A852)),N($G852)+N($H852)+N($I852)=0),"",IF(AND($A852&gt;='売掛帳'!$Q$3,$A852&lt;='売掛帳'!$Q$4),$A852+0.5+ROW()/10000000,""))</f>
        <v/>
      </c>
      <c r="R852" s="32">
        <f>IF(AND(OR($A852&lt;&gt;"",$E852&lt;&gt;"",$F852&lt;&gt;"",$G852&lt;&gt;"",$H852&lt;&gt;"",$I852&lt;&gt;""),NOT(ISNUMBER($O852))),1,"")</f>
        <v/>
      </c>
    </row>
    <row r="853" ht="18" customHeight="1">
      <c r="A853" s="26" t="n"/>
      <c r="B853" s="18" t="n"/>
      <c r="C853" s="18" t="n"/>
      <c r="D853" s="20">
        <f>IF($P853="","",IFERROR(INDEX('得意先'!$C$5:$C$104,MATCH($P853,'得意先'!$B$5:$B$104,0))&amp;"","※得意先にないコード"))</f>
        <v/>
      </c>
      <c r="E853" s="27" t="n"/>
      <c r="F853" s="18" t="n"/>
      <c r="G853" s="27" t="n"/>
      <c r="H853" s="27" t="n"/>
      <c r="I853" s="27" t="n"/>
      <c r="J853" s="28">
        <f>IF(NOT(OR($A853&lt;&gt;"",$E853&lt;&gt;"",$F853&lt;&gt;"",$G853&lt;&gt;"",$H853&lt;&gt;"",$I853&lt;&gt;"")),"",N($G853)+N($H853)+N($I853))</f>
        <v/>
      </c>
      <c r="K853" s="28">
        <f>IF(ISNUMBER($O853),INDEX('請求台帳'!$R$5:$R$1004,$O853),"")</f>
        <v/>
      </c>
      <c r="L853" s="20">
        <f>IF(NOT(OR($A853&lt;&gt;"",$E853&lt;&gt;"",$F853&lt;&gt;"",$G853&lt;&gt;"",$H853&lt;&gt;"",$I853&lt;&gt;"")),"",IF(NOT(ISNUMBER($A853)),"入金日がありません",IF(AND($F853&lt;&gt;"",$O853="なし"),"請求Noが請求台帳にありません",IF(AND(ISNUMBER($O853),$C853&lt;&gt;"",$C853&lt;&gt;$P853),"請求の得意先は "&amp;$P853&amp;" です",IF(ROUND(IF($B853&lt;&gt;"",SUMIF($B$5:$B$1004,$B853,$E$5:$E$1004)-SUMIF($B$5:$B$1004,$B853,$G$5:$G$1004),N($E853)-N($G853)),0)&lt;&gt;0,"通帳の額と当てた額の差 "&amp;TEXT(IF($B853&lt;&gt;"",SUMIF($B$5:$B$1004,$B853,$E$5:$E$1004)-SUMIF($B$5:$B$1004,$B853,$G$5:$G$1004),N($E853)-N($G853)),"#,##0"),IF(AND(ISNUMBER($O853),N($K853)&lt;0),"請求額より多く消し込んでいます",IF($F853="","消込先が未定","OK")))))))</f>
        <v/>
      </c>
      <c r="M853" s="19" t="n"/>
      <c r="N853" s="56" t="n"/>
      <c r="O853" s="32">
        <f>IF($F853="","",IFERROR(MATCH($F853,'請求台帳'!$A$5:$A$1004,0),"なし"))</f>
        <v/>
      </c>
      <c r="P853" s="37">
        <f>IF(NOT(OR($A853&lt;&gt;"",$E853&lt;&gt;"",$F853&lt;&gt;"",$G853&lt;&gt;"",$H853&lt;&gt;"",$I853&lt;&gt;"")),"",IF(ISNUMBER($O853),IF(INDEX('請求台帳'!$C$5:$C$1004,$O853)="","",INDEX('請求台帳'!$C$5:$C$1004,$O853)),IF($C853="","",$C853)))</f>
        <v/>
      </c>
      <c r="Q853" s="35">
        <f>IF(OR(NOT(OR($A853&lt;&gt;"",$E853&lt;&gt;"",$F853&lt;&gt;"",$G853&lt;&gt;"",$H853&lt;&gt;"",$I853&lt;&gt;"")),$P853="",$P853&lt;&gt;'売掛帳'!$B$3,NOT(ISNUMBER($A853)),N($G853)+N($H853)+N($I853)=0),"",IF(AND($A853&gt;='売掛帳'!$Q$3,$A853&lt;='売掛帳'!$Q$4),$A853+0.5+ROW()/10000000,""))</f>
        <v/>
      </c>
      <c r="R853" s="32">
        <f>IF(AND(OR($A853&lt;&gt;"",$E853&lt;&gt;"",$F853&lt;&gt;"",$G853&lt;&gt;"",$H853&lt;&gt;"",$I853&lt;&gt;""),NOT(ISNUMBER($O853))),1,"")</f>
        <v/>
      </c>
    </row>
    <row r="854" ht="18" customHeight="1">
      <c r="A854" s="26" t="n"/>
      <c r="B854" s="18" t="n"/>
      <c r="C854" s="18" t="n"/>
      <c r="D854" s="20">
        <f>IF($P854="","",IFERROR(INDEX('得意先'!$C$5:$C$104,MATCH($P854,'得意先'!$B$5:$B$104,0))&amp;"","※得意先にないコード"))</f>
        <v/>
      </c>
      <c r="E854" s="27" t="n"/>
      <c r="F854" s="18" t="n"/>
      <c r="G854" s="27" t="n"/>
      <c r="H854" s="27" t="n"/>
      <c r="I854" s="27" t="n"/>
      <c r="J854" s="28">
        <f>IF(NOT(OR($A854&lt;&gt;"",$E854&lt;&gt;"",$F854&lt;&gt;"",$G854&lt;&gt;"",$H854&lt;&gt;"",$I854&lt;&gt;"")),"",N($G854)+N($H854)+N($I854))</f>
        <v/>
      </c>
      <c r="K854" s="28">
        <f>IF(ISNUMBER($O854),INDEX('請求台帳'!$R$5:$R$1004,$O854),"")</f>
        <v/>
      </c>
      <c r="L854" s="20">
        <f>IF(NOT(OR($A854&lt;&gt;"",$E854&lt;&gt;"",$F854&lt;&gt;"",$G854&lt;&gt;"",$H854&lt;&gt;"",$I854&lt;&gt;"")),"",IF(NOT(ISNUMBER($A854)),"入金日がありません",IF(AND($F854&lt;&gt;"",$O854="なし"),"請求Noが請求台帳にありません",IF(AND(ISNUMBER($O854),$C854&lt;&gt;"",$C854&lt;&gt;$P854),"請求の得意先は "&amp;$P854&amp;" です",IF(ROUND(IF($B854&lt;&gt;"",SUMIF($B$5:$B$1004,$B854,$E$5:$E$1004)-SUMIF($B$5:$B$1004,$B854,$G$5:$G$1004),N($E854)-N($G854)),0)&lt;&gt;0,"通帳の額と当てた額の差 "&amp;TEXT(IF($B854&lt;&gt;"",SUMIF($B$5:$B$1004,$B854,$E$5:$E$1004)-SUMIF($B$5:$B$1004,$B854,$G$5:$G$1004),N($E854)-N($G854)),"#,##0"),IF(AND(ISNUMBER($O854),N($K854)&lt;0),"請求額より多く消し込んでいます",IF($F854="","消込先が未定","OK")))))))</f>
        <v/>
      </c>
      <c r="M854" s="19" t="n"/>
      <c r="N854" s="56" t="n"/>
      <c r="O854" s="32">
        <f>IF($F854="","",IFERROR(MATCH($F854,'請求台帳'!$A$5:$A$1004,0),"なし"))</f>
        <v/>
      </c>
      <c r="P854" s="37">
        <f>IF(NOT(OR($A854&lt;&gt;"",$E854&lt;&gt;"",$F854&lt;&gt;"",$G854&lt;&gt;"",$H854&lt;&gt;"",$I854&lt;&gt;"")),"",IF(ISNUMBER($O854),IF(INDEX('請求台帳'!$C$5:$C$1004,$O854)="","",INDEX('請求台帳'!$C$5:$C$1004,$O854)),IF($C854="","",$C854)))</f>
        <v/>
      </c>
      <c r="Q854" s="35">
        <f>IF(OR(NOT(OR($A854&lt;&gt;"",$E854&lt;&gt;"",$F854&lt;&gt;"",$G854&lt;&gt;"",$H854&lt;&gt;"",$I854&lt;&gt;"")),$P854="",$P854&lt;&gt;'売掛帳'!$B$3,NOT(ISNUMBER($A854)),N($G854)+N($H854)+N($I854)=0),"",IF(AND($A854&gt;='売掛帳'!$Q$3,$A854&lt;='売掛帳'!$Q$4),$A854+0.5+ROW()/10000000,""))</f>
        <v/>
      </c>
      <c r="R854" s="32">
        <f>IF(AND(OR($A854&lt;&gt;"",$E854&lt;&gt;"",$F854&lt;&gt;"",$G854&lt;&gt;"",$H854&lt;&gt;"",$I854&lt;&gt;""),NOT(ISNUMBER($O854))),1,"")</f>
        <v/>
      </c>
    </row>
    <row r="855" ht="18" customHeight="1">
      <c r="A855" s="26" t="n"/>
      <c r="B855" s="18" t="n"/>
      <c r="C855" s="18" t="n"/>
      <c r="D855" s="20">
        <f>IF($P855="","",IFERROR(INDEX('得意先'!$C$5:$C$104,MATCH($P855,'得意先'!$B$5:$B$104,0))&amp;"","※得意先にないコード"))</f>
        <v/>
      </c>
      <c r="E855" s="27" t="n"/>
      <c r="F855" s="18" t="n"/>
      <c r="G855" s="27" t="n"/>
      <c r="H855" s="27" t="n"/>
      <c r="I855" s="27" t="n"/>
      <c r="J855" s="28">
        <f>IF(NOT(OR($A855&lt;&gt;"",$E855&lt;&gt;"",$F855&lt;&gt;"",$G855&lt;&gt;"",$H855&lt;&gt;"",$I855&lt;&gt;"")),"",N($G855)+N($H855)+N($I855))</f>
        <v/>
      </c>
      <c r="K855" s="28">
        <f>IF(ISNUMBER($O855),INDEX('請求台帳'!$R$5:$R$1004,$O855),"")</f>
        <v/>
      </c>
      <c r="L855" s="20">
        <f>IF(NOT(OR($A855&lt;&gt;"",$E855&lt;&gt;"",$F855&lt;&gt;"",$G855&lt;&gt;"",$H855&lt;&gt;"",$I855&lt;&gt;"")),"",IF(NOT(ISNUMBER($A855)),"入金日がありません",IF(AND($F855&lt;&gt;"",$O855="なし"),"請求Noが請求台帳にありません",IF(AND(ISNUMBER($O855),$C855&lt;&gt;"",$C855&lt;&gt;$P855),"請求の得意先は "&amp;$P855&amp;" です",IF(ROUND(IF($B855&lt;&gt;"",SUMIF($B$5:$B$1004,$B855,$E$5:$E$1004)-SUMIF($B$5:$B$1004,$B855,$G$5:$G$1004),N($E855)-N($G855)),0)&lt;&gt;0,"通帳の額と当てた額の差 "&amp;TEXT(IF($B855&lt;&gt;"",SUMIF($B$5:$B$1004,$B855,$E$5:$E$1004)-SUMIF($B$5:$B$1004,$B855,$G$5:$G$1004),N($E855)-N($G855)),"#,##0"),IF(AND(ISNUMBER($O855),N($K855)&lt;0),"請求額より多く消し込んでいます",IF($F855="","消込先が未定","OK")))))))</f>
        <v/>
      </c>
      <c r="M855" s="19" t="n"/>
      <c r="N855" s="56" t="n"/>
      <c r="O855" s="32">
        <f>IF($F855="","",IFERROR(MATCH($F855,'請求台帳'!$A$5:$A$1004,0),"なし"))</f>
        <v/>
      </c>
      <c r="P855" s="37">
        <f>IF(NOT(OR($A855&lt;&gt;"",$E855&lt;&gt;"",$F855&lt;&gt;"",$G855&lt;&gt;"",$H855&lt;&gt;"",$I855&lt;&gt;"")),"",IF(ISNUMBER($O855),IF(INDEX('請求台帳'!$C$5:$C$1004,$O855)="","",INDEX('請求台帳'!$C$5:$C$1004,$O855)),IF($C855="","",$C855)))</f>
        <v/>
      </c>
      <c r="Q855" s="35">
        <f>IF(OR(NOT(OR($A855&lt;&gt;"",$E855&lt;&gt;"",$F855&lt;&gt;"",$G855&lt;&gt;"",$H855&lt;&gt;"",$I855&lt;&gt;"")),$P855="",$P855&lt;&gt;'売掛帳'!$B$3,NOT(ISNUMBER($A855)),N($G855)+N($H855)+N($I855)=0),"",IF(AND($A855&gt;='売掛帳'!$Q$3,$A855&lt;='売掛帳'!$Q$4),$A855+0.5+ROW()/10000000,""))</f>
        <v/>
      </c>
      <c r="R855" s="32">
        <f>IF(AND(OR($A855&lt;&gt;"",$E855&lt;&gt;"",$F855&lt;&gt;"",$G855&lt;&gt;"",$H855&lt;&gt;"",$I855&lt;&gt;""),NOT(ISNUMBER($O855))),1,"")</f>
        <v/>
      </c>
    </row>
    <row r="856" ht="18" customHeight="1">
      <c r="A856" s="26" t="n"/>
      <c r="B856" s="18" t="n"/>
      <c r="C856" s="18" t="n"/>
      <c r="D856" s="20">
        <f>IF($P856="","",IFERROR(INDEX('得意先'!$C$5:$C$104,MATCH($P856,'得意先'!$B$5:$B$104,0))&amp;"","※得意先にないコード"))</f>
        <v/>
      </c>
      <c r="E856" s="27" t="n"/>
      <c r="F856" s="18" t="n"/>
      <c r="G856" s="27" t="n"/>
      <c r="H856" s="27" t="n"/>
      <c r="I856" s="27" t="n"/>
      <c r="J856" s="28">
        <f>IF(NOT(OR($A856&lt;&gt;"",$E856&lt;&gt;"",$F856&lt;&gt;"",$G856&lt;&gt;"",$H856&lt;&gt;"",$I856&lt;&gt;"")),"",N($G856)+N($H856)+N($I856))</f>
        <v/>
      </c>
      <c r="K856" s="28">
        <f>IF(ISNUMBER($O856),INDEX('請求台帳'!$R$5:$R$1004,$O856),"")</f>
        <v/>
      </c>
      <c r="L856" s="20">
        <f>IF(NOT(OR($A856&lt;&gt;"",$E856&lt;&gt;"",$F856&lt;&gt;"",$G856&lt;&gt;"",$H856&lt;&gt;"",$I856&lt;&gt;"")),"",IF(NOT(ISNUMBER($A856)),"入金日がありません",IF(AND($F856&lt;&gt;"",$O856="なし"),"請求Noが請求台帳にありません",IF(AND(ISNUMBER($O856),$C856&lt;&gt;"",$C856&lt;&gt;$P856),"請求の得意先は "&amp;$P856&amp;" です",IF(ROUND(IF($B856&lt;&gt;"",SUMIF($B$5:$B$1004,$B856,$E$5:$E$1004)-SUMIF($B$5:$B$1004,$B856,$G$5:$G$1004),N($E856)-N($G856)),0)&lt;&gt;0,"通帳の額と当てた額の差 "&amp;TEXT(IF($B856&lt;&gt;"",SUMIF($B$5:$B$1004,$B856,$E$5:$E$1004)-SUMIF($B$5:$B$1004,$B856,$G$5:$G$1004),N($E856)-N($G856)),"#,##0"),IF(AND(ISNUMBER($O856),N($K856)&lt;0),"請求額より多く消し込んでいます",IF($F856="","消込先が未定","OK")))))))</f>
        <v/>
      </c>
      <c r="M856" s="19" t="n"/>
      <c r="N856" s="56" t="n"/>
      <c r="O856" s="32">
        <f>IF($F856="","",IFERROR(MATCH($F856,'請求台帳'!$A$5:$A$1004,0),"なし"))</f>
        <v/>
      </c>
      <c r="P856" s="37">
        <f>IF(NOT(OR($A856&lt;&gt;"",$E856&lt;&gt;"",$F856&lt;&gt;"",$G856&lt;&gt;"",$H856&lt;&gt;"",$I856&lt;&gt;"")),"",IF(ISNUMBER($O856),IF(INDEX('請求台帳'!$C$5:$C$1004,$O856)="","",INDEX('請求台帳'!$C$5:$C$1004,$O856)),IF($C856="","",$C856)))</f>
        <v/>
      </c>
      <c r="Q856" s="35">
        <f>IF(OR(NOT(OR($A856&lt;&gt;"",$E856&lt;&gt;"",$F856&lt;&gt;"",$G856&lt;&gt;"",$H856&lt;&gt;"",$I856&lt;&gt;"")),$P856="",$P856&lt;&gt;'売掛帳'!$B$3,NOT(ISNUMBER($A856)),N($G856)+N($H856)+N($I856)=0),"",IF(AND($A856&gt;='売掛帳'!$Q$3,$A856&lt;='売掛帳'!$Q$4),$A856+0.5+ROW()/10000000,""))</f>
        <v/>
      </c>
      <c r="R856" s="32">
        <f>IF(AND(OR($A856&lt;&gt;"",$E856&lt;&gt;"",$F856&lt;&gt;"",$G856&lt;&gt;"",$H856&lt;&gt;"",$I856&lt;&gt;""),NOT(ISNUMBER($O856))),1,"")</f>
        <v/>
      </c>
    </row>
    <row r="857" ht="18" customHeight="1">
      <c r="A857" s="26" t="n"/>
      <c r="B857" s="18" t="n"/>
      <c r="C857" s="18" t="n"/>
      <c r="D857" s="20">
        <f>IF($P857="","",IFERROR(INDEX('得意先'!$C$5:$C$104,MATCH($P857,'得意先'!$B$5:$B$104,0))&amp;"","※得意先にないコード"))</f>
        <v/>
      </c>
      <c r="E857" s="27" t="n"/>
      <c r="F857" s="18" t="n"/>
      <c r="G857" s="27" t="n"/>
      <c r="H857" s="27" t="n"/>
      <c r="I857" s="27" t="n"/>
      <c r="J857" s="28">
        <f>IF(NOT(OR($A857&lt;&gt;"",$E857&lt;&gt;"",$F857&lt;&gt;"",$G857&lt;&gt;"",$H857&lt;&gt;"",$I857&lt;&gt;"")),"",N($G857)+N($H857)+N($I857))</f>
        <v/>
      </c>
      <c r="K857" s="28">
        <f>IF(ISNUMBER($O857),INDEX('請求台帳'!$R$5:$R$1004,$O857),"")</f>
        <v/>
      </c>
      <c r="L857" s="20">
        <f>IF(NOT(OR($A857&lt;&gt;"",$E857&lt;&gt;"",$F857&lt;&gt;"",$G857&lt;&gt;"",$H857&lt;&gt;"",$I857&lt;&gt;"")),"",IF(NOT(ISNUMBER($A857)),"入金日がありません",IF(AND($F857&lt;&gt;"",$O857="なし"),"請求Noが請求台帳にありません",IF(AND(ISNUMBER($O857),$C857&lt;&gt;"",$C857&lt;&gt;$P857),"請求の得意先は "&amp;$P857&amp;" です",IF(ROUND(IF($B857&lt;&gt;"",SUMIF($B$5:$B$1004,$B857,$E$5:$E$1004)-SUMIF($B$5:$B$1004,$B857,$G$5:$G$1004),N($E857)-N($G857)),0)&lt;&gt;0,"通帳の額と当てた額の差 "&amp;TEXT(IF($B857&lt;&gt;"",SUMIF($B$5:$B$1004,$B857,$E$5:$E$1004)-SUMIF($B$5:$B$1004,$B857,$G$5:$G$1004),N($E857)-N($G857)),"#,##0"),IF(AND(ISNUMBER($O857),N($K857)&lt;0),"請求額より多く消し込んでいます",IF($F857="","消込先が未定","OK")))))))</f>
        <v/>
      </c>
      <c r="M857" s="19" t="n"/>
      <c r="N857" s="56" t="n"/>
      <c r="O857" s="32">
        <f>IF($F857="","",IFERROR(MATCH($F857,'請求台帳'!$A$5:$A$1004,0),"なし"))</f>
        <v/>
      </c>
      <c r="P857" s="37">
        <f>IF(NOT(OR($A857&lt;&gt;"",$E857&lt;&gt;"",$F857&lt;&gt;"",$G857&lt;&gt;"",$H857&lt;&gt;"",$I857&lt;&gt;"")),"",IF(ISNUMBER($O857),IF(INDEX('請求台帳'!$C$5:$C$1004,$O857)="","",INDEX('請求台帳'!$C$5:$C$1004,$O857)),IF($C857="","",$C857)))</f>
        <v/>
      </c>
      <c r="Q857" s="35">
        <f>IF(OR(NOT(OR($A857&lt;&gt;"",$E857&lt;&gt;"",$F857&lt;&gt;"",$G857&lt;&gt;"",$H857&lt;&gt;"",$I857&lt;&gt;"")),$P857="",$P857&lt;&gt;'売掛帳'!$B$3,NOT(ISNUMBER($A857)),N($G857)+N($H857)+N($I857)=0),"",IF(AND($A857&gt;='売掛帳'!$Q$3,$A857&lt;='売掛帳'!$Q$4),$A857+0.5+ROW()/10000000,""))</f>
        <v/>
      </c>
      <c r="R857" s="32">
        <f>IF(AND(OR($A857&lt;&gt;"",$E857&lt;&gt;"",$F857&lt;&gt;"",$G857&lt;&gt;"",$H857&lt;&gt;"",$I857&lt;&gt;""),NOT(ISNUMBER($O857))),1,"")</f>
        <v/>
      </c>
    </row>
    <row r="858" ht="18" customHeight="1">
      <c r="A858" s="26" t="n"/>
      <c r="B858" s="18" t="n"/>
      <c r="C858" s="18" t="n"/>
      <c r="D858" s="20">
        <f>IF($P858="","",IFERROR(INDEX('得意先'!$C$5:$C$104,MATCH($P858,'得意先'!$B$5:$B$104,0))&amp;"","※得意先にないコード"))</f>
        <v/>
      </c>
      <c r="E858" s="27" t="n"/>
      <c r="F858" s="18" t="n"/>
      <c r="G858" s="27" t="n"/>
      <c r="H858" s="27" t="n"/>
      <c r="I858" s="27" t="n"/>
      <c r="J858" s="28">
        <f>IF(NOT(OR($A858&lt;&gt;"",$E858&lt;&gt;"",$F858&lt;&gt;"",$G858&lt;&gt;"",$H858&lt;&gt;"",$I858&lt;&gt;"")),"",N($G858)+N($H858)+N($I858))</f>
        <v/>
      </c>
      <c r="K858" s="28">
        <f>IF(ISNUMBER($O858),INDEX('請求台帳'!$R$5:$R$1004,$O858),"")</f>
        <v/>
      </c>
      <c r="L858" s="20">
        <f>IF(NOT(OR($A858&lt;&gt;"",$E858&lt;&gt;"",$F858&lt;&gt;"",$G858&lt;&gt;"",$H858&lt;&gt;"",$I858&lt;&gt;"")),"",IF(NOT(ISNUMBER($A858)),"入金日がありません",IF(AND($F858&lt;&gt;"",$O858="なし"),"請求Noが請求台帳にありません",IF(AND(ISNUMBER($O858),$C858&lt;&gt;"",$C858&lt;&gt;$P858),"請求の得意先は "&amp;$P858&amp;" です",IF(ROUND(IF($B858&lt;&gt;"",SUMIF($B$5:$B$1004,$B858,$E$5:$E$1004)-SUMIF($B$5:$B$1004,$B858,$G$5:$G$1004),N($E858)-N($G858)),0)&lt;&gt;0,"通帳の額と当てた額の差 "&amp;TEXT(IF($B858&lt;&gt;"",SUMIF($B$5:$B$1004,$B858,$E$5:$E$1004)-SUMIF($B$5:$B$1004,$B858,$G$5:$G$1004),N($E858)-N($G858)),"#,##0"),IF(AND(ISNUMBER($O858),N($K858)&lt;0),"請求額より多く消し込んでいます",IF($F858="","消込先が未定","OK")))))))</f>
        <v/>
      </c>
      <c r="M858" s="19" t="n"/>
      <c r="N858" s="56" t="n"/>
      <c r="O858" s="32">
        <f>IF($F858="","",IFERROR(MATCH($F858,'請求台帳'!$A$5:$A$1004,0),"なし"))</f>
        <v/>
      </c>
      <c r="P858" s="37">
        <f>IF(NOT(OR($A858&lt;&gt;"",$E858&lt;&gt;"",$F858&lt;&gt;"",$G858&lt;&gt;"",$H858&lt;&gt;"",$I858&lt;&gt;"")),"",IF(ISNUMBER($O858),IF(INDEX('請求台帳'!$C$5:$C$1004,$O858)="","",INDEX('請求台帳'!$C$5:$C$1004,$O858)),IF($C858="","",$C858)))</f>
        <v/>
      </c>
      <c r="Q858" s="35">
        <f>IF(OR(NOT(OR($A858&lt;&gt;"",$E858&lt;&gt;"",$F858&lt;&gt;"",$G858&lt;&gt;"",$H858&lt;&gt;"",$I858&lt;&gt;"")),$P858="",$P858&lt;&gt;'売掛帳'!$B$3,NOT(ISNUMBER($A858)),N($G858)+N($H858)+N($I858)=0),"",IF(AND($A858&gt;='売掛帳'!$Q$3,$A858&lt;='売掛帳'!$Q$4),$A858+0.5+ROW()/10000000,""))</f>
        <v/>
      </c>
      <c r="R858" s="32">
        <f>IF(AND(OR($A858&lt;&gt;"",$E858&lt;&gt;"",$F858&lt;&gt;"",$G858&lt;&gt;"",$H858&lt;&gt;"",$I858&lt;&gt;""),NOT(ISNUMBER($O858))),1,"")</f>
        <v/>
      </c>
    </row>
    <row r="859" ht="18" customHeight="1">
      <c r="A859" s="26" t="n"/>
      <c r="B859" s="18" t="n"/>
      <c r="C859" s="18" t="n"/>
      <c r="D859" s="20">
        <f>IF($P859="","",IFERROR(INDEX('得意先'!$C$5:$C$104,MATCH($P859,'得意先'!$B$5:$B$104,0))&amp;"","※得意先にないコード"))</f>
        <v/>
      </c>
      <c r="E859" s="27" t="n"/>
      <c r="F859" s="18" t="n"/>
      <c r="G859" s="27" t="n"/>
      <c r="H859" s="27" t="n"/>
      <c r="I859" s="27" t="n"/>
      <c r="J859" s="28">
        <f>IF(NOT(OR($A859&lt;&gt;"",$E859&lt;&gt;"",$F859&lt;&gt;"",$G859&lt;&gt;"",$H859&lt;&gt;"",$I859&lt;&gt;"")),"",N($G859)+N($H859)+N($I859))</f>
        <v/>
      </c>
      <c r="K859" s="28">
        <f>IF(ISNUMBER($O859),INDEX('請求台帳'!$R$5:$R$1004,$O859),"")</f>
        <v/>
      </c>
      <c r="L859" s="20">
        <f>IF(NOT(OR($A859&lt;&gt;"",$E859&lt;&gt;"",$F859&lt;&gt;"",$G859&lt;&gt;"",$H859&lt;&gt;"",$I859&lt;&gt;"")),"",IF(NOT(ISNUMBER($A859)),"入金日がありません",IF(AND($F859&lt;&gt;"",$O859="なし"),"請求Noが請求台帳にありません",IF(AND(ISNUMBER($O859),$C859&lt;&gt;"",$C859&lt;&gt;$P859),"請求の得意先は "&amp;$P859&amp;" です",IF(ROUND(IF($B859&lt;&gt;"",SUMIF($B$5:$B$1004,$B859,$E$5:$E$1004)-SUMIF($B$5:$B$1004,$B859,$G$5:$G$1004),N($E859)-N($G859)),0)&lt;&gt;0,"通帳の額と当てた額の差 "&amp;TEXT(IF($B859&lt;&gt;"",SUMIF($B$5:$B$1004,$B859,$E$5:$E$1004)-SUMIF($B$5:$B$1004,$B859,$G$5:$G$1004),N($E859)-N($G859)),"#,##0"),IF(AND(ISNUMBER($O859),N($K859)&lt;0),"請求額より多く消し込んでいます",IF($F859="","消込先が未定","OK")))))))</f>
        <v/>
      </c>
      <c r="M859" s="19" t="n"/>
      <c r="N859" s="56" t="n"/>
      <c r="O859" s="32">
        <f>IF($F859="","",IFERROR(MATCH($F859,'請求台帳'!$A$5:$A$1004,0),"なし"))</f>
        <v/>
      </c>
      <c r="P859" s="37">
        <f>IF(NOT(OR($A859&lt;&gt;"",$E859&lt;&gt;"",$F859&lt;&gt;"",$G859&lt;&gt;"",$H859&lt;&gt;"",$I859&lt;&gt;"")),"",IF(ISNUMBER($O859),IF(INDEX('請求台帳'!$C$5:$C$1004,$O859)="","",INDEX('請求台帳'!$C$5:$C$1004,$O859)),IF($C859="","",$C859)))</f>
        <v/>
      </c>
      <c r="Q859" s="35">
        <f>IF(OR(NOT(OR($A859&lt;&gt;"",$E859&lt;&gt;"",$F859&lt;&gt;"",$G859&lt;&gt;"",$H859&lt;&gt;"",$I859&lt;&gt;"")),$P859="",$P859&lt;&gt;'売掛帳'!$B$3,NOT(ISNUMBER($A859)),N($G859)+N($H859)+N($I859)=0),"",IF(AND($A859&gt;='売掛帳'!$Q$3,$A859&lt;='売掛帳'!$Q$4),$A859+0.5+ROW()/10000000,""))</f>
        <v/>
      </c>
      <c r="R859" s="32">
        <f>IF(AND(OR($A859&lt;&gt;"",$E859&lt;&gt;"",$F859&lt;&gt;"",$G859&lt;&gt;"",$H859&lt;&gt;"",$I859&lt;&gt;""),NOT(ISNUMBER($O859))),1,"")</f>
        <v/>
      </c>
    </row>
    <row r="860" ht="18" customHeight="1">
      <c r="A860" s="26" t="n"/>
      <c r="B860" s="18" t="n"/>
      <c r="C860" s="18" t="n"/>
      <c r="D860" s="20">
        <f>IF($P860="","",IFERROR(INDEX('得意先'!$C$5:$C$104,MATCH($P860,'得意先'!$B$5:$B$104,0))&amp;"","※得意先にないコード"))</f>
        <v/>
      </c>
      <c r="E860" s="27" t="n"/>
      <c r="F860" s="18" t="n"/>
      <c r="G860" s="27" t="n"/>
      <c r="H860" s="27" t="n"/>
      <c r="I860" s="27" t="n"/>
      <c r="J860" s="28">
        <f>IF(NOT(OR($A860&lt;&gt;"",$E860&lt;&gt;"",$F860&lt;&gt;"",$G860&lt;&gt;"",$H860&lt;&gt;"",$I860&lt;&gt;"")),"",N($G860)+N($H860)+N($I860))</f>
        <v/>
      </c>
      <c r="K860" s="28">
        <f>IF(ISNUMBER($O860),INDEX('請求台帳'!$R$5:$R$1004,$O860),"")</f>
        <v/>
      </c>
      <c r="L860" s="20">
        <f>IF(NOT(OR($A860&lt;&gt;"",$E860&lt;&gt;"",$F860&lt;&gt;"",$G860&lt;&gt;"",$H860&lt;&gt;"",$I860&lt;&gt;"")),"",IF(NOT(ISNUMBER($A860)),"入金日がありません",IF(AND($F860&lt;&gt;"",$O860="なし"),"請求Noが請求台帳にありません",IF(AND(ISNUMBER($O860),$C860&lt;&gt;"",$C860&lt;&gt;$P860),"請求の得意先は "&amp;$P860&amp;" です",IF(ROUND(IF($B860&lt;&gt;"",SUMIF($B$5:$B$1004,$B860,$E$5:$E$1004)-SUMIF($B$5:$B$1004,$B860,$G$5:$G$1004),N($E860)-N($G860)),0)&lt;&gt;0,"通帳の額と当てた額の差 "&amp;TEXT(IF($B860&lt;&gt;"",SUMIF($B$5:$B$1004,$B860,$E$5:$E$1004)-SUMIF($B$5:$B$1004,$B860,$G$5:$G$1004),N($E860)-N($G860)),"#,##0"),IF(AND(ISNUMBER($O860),N($K860)&lt;0),"請求額より多く消し込んでいます",IF($F860="","消込先が未定","OK")))))))</f>
        <v/>
      </c>
      <c r="M860" s="19" t="n"/>
      <c r="N860" s="56" t="n"/>
      <c r="O860" s="32">
        <f>IF($F860="","",IFERROR(MATCH($F860,'請求台帳'!$A$5:$A$1004,0),"なし"))</f>
        <v/>
      </c>
      <c r="P860" s="37">
        <f>IF(NOT(OR($A860&lt;&gt;"",$E860&lt;&gt;"",$F860&lt;&gt;"",$G860&lt;&gt;"",$H860&lt;&gt;"",$I860&lt;&gt;"")),"",IF(ISNUMBER($O860),IF(INDEX('請求台帳'!$C$5:$C$1004,$O860)="","",INDEX('請求台帳'!$C$5:$C$1004,$O860)),IF($C860="","",$C860)))</f>
        <v/>
      </c>
      <c r="Q860" s="35">
        <f>IF(OR(NOT(OR($A860&lt;&gt;"",$E860&lt;&gt;"",$F860&lt;&gt;"",$G860&lt;&gt;"",$H860&lt;&gt;"",$I860&lt;&gt;"")),$P860="",$P860&lt;&gt;'売掛帳'!$B$3,NOT(ISNUMBER($A860)),N($G860)+N($H860)+N($I860)=0),"",IF(AND($A860&gt;='売掛帳'!$Q$3,$A860&lt;='売掛帳'!$Q$4),$A860+0.5+ROW()/10000000,""))</f>
        <v/>
      </c>
      <c r="R860" s="32">
        <f>IF(AND(OR($A860&lt;&gt;"",$E860&lt;&gt;"",$F860&lt;&gt;"",$G860&lt;&gt;"",$H860&lt;&gt;"",$I860&lt;&gt;""),NOT(ISNUMBER($O860))),1,"")</f>
        <v/>
      </c>
    </row>
    <row r="861" ht="18" customHeight="1">
      <c r="A861" s="26" t="n"/>
      <c r="B861" s="18" t="n"/>
      <c r="C861" s="18" t="n"/>
      <c r="D861" s="20">
        <f>IF($P861="","",IFERROR(INDEX('得意先'!$C$5:$C$104,MATCH($P861,'得意先'!$B$5:$B$104,0))&amp;"","※得意先にないコード"))</f>
        <v/>
      </c>
      <c r="E861" s="27" t="n"/>
      <c r="F861" s="18" t="n"/>
      <c r="G861" s="27" t="n"/>
      <c r="H861" s="27" t="n"/>
      <c r="I861" s="27" t="n"/>
      <c r="J861" s="28">
        <f>IF(NOT(OR($A861&lt;&gt;"",$E861&lt;&gt;"",$F861&lt;&gt;"",$G861&lt;&gt;"",$H861&lt;&gt;"",$I861&lt;&gt;"")),"",N($G861)+N($H861)+N($I861))</f>
        <v/>
      </c>
      <c r="K861" s="28">
        <f>IF(ISNUMBER($O861),INDEX('請求台帳'!$R$5:$R$1004,$O861),"")</f>
        <v/>
      </c>
      <c r="L861" s="20">
        <f>IF(NOT(OR($A861&lt;&gt;"",$E861&lt;&gt;"",$F861&lt;&gt;"",$G861&lt;&gt;"",$H861&lt;&gt;"",$I861&lt;&gt;"")),"",IF(NOT(ISNUMBER($A861)),"入金日がありません",IF(AND($F861&lt;&gt;"",$O861="なし"),"請求Noが請求台帳にありません",IF(AND(ISNUMBER($O861),$C861&lt;&gt;"",$C861&lt;&gt;$P861),"請求の得意先は "&amp;$P861&amp;" です",IF(ROUND(IF($B861&lt;&gt;"",SUMIF($B$5:$B$1004,$B861,$E$5:$E$1004)-SUMIF($B$5:$B$1004,$B861,$G$5:$G$1004),N($E861)-N($G861)),0)&lt;&gt;0,"通帳の額と当てた額の差 "&amp;TEXT(IF($B861&lt;&gt;"",SUMIF($B$5:$B$1004,$B861,$E$5:$E$1004)-SUMIF($B$5:$B$1004,$B861,$G$5:$G$1004),N($E861)-N($G861)),"#,##0"),IF(AND(ISNUMBER($O861),N($K861)&lt;0),"請求額より多く消し込んでいます",IF($F861="","消込先が未定","OK")))))))</f>
        <v/>
      </c>
      <c r="M861" s="19" t="n"/>
      <c r="N861" s="56" t="n"/>
      <c r="O861" s="32">
        <f>IF($F861="","",IFERROR(MATCH($F861,'請求台帳'!$A$5:$A$1004,0),"なし"))</f>
        <v/>
      </c>
      <c r="P861" s="37">
        <f>IF(NOT(OR($A861&lt;&gt;"",$E861&lt;&gt;"",$F861&lt;&gt;"",$G861&lt;&gt;"",$H861&lt;&gt;"",$I861&lt;&gt;"")),"",IF(ISNUMBER($O861),IF(INDEX('請求台帳'!$C$5:$C$1004,$O861)="","",INDEX('請求台帳'!$C$5:$C$1004,$O861)),IF($C861="","",$C861)))</f>
        <v/>
      </c>
      <c r="Q861" s="35">
        <f>IF(OR(NOT(OR($A861&lt;&gt;"",$E861&lt;&gt;"",$F861&lt;&gt;"",$G861&lt;&gt;"",$H861&lt;&gt;"",$I861&lt;&gt;"")),$P861="",$P861&lt;&gt;'売掛帳'!$B$3,NOT(ISNUMBER($A861)),N($G861)+N($H861)+N($I861)=0),"",IF(AND($A861&gt;='売掛帳'!$Q$3,$A861&lt;='売掛帳'!$Q$4),$A861+0.5+ROW()/10000000,""))</f>
        <v/>
      </c>
      <c r="R861" s="32">
        <f>IF(AND(OR($A861&lt;&gt;"",$E861&lt;&gt;"",$F861&lt;&gt;"",$G861&lt;&gt;"",$H861&lt;&gt;"",$I861&lt;&gt;""),NOT(ISNUMBER($O861))),1,"")</f>
        <v/>
      </c>
    </row>
    <row r="862" ht="18" customHeight="1">
      <c r="A862" s="26" t="n"/>
      <c r="B862" s="18" t="n"/>
      <c r="C862" s="18" t="n"/>
      <c r="D862" s="20">
        <f>IF($P862="","",IFERROR(INDEX('得意先'!$C$5:$C$104,MATCH($P862,'得意先'!$B$5:$B$104,0))&amp;"","※得意先にないコード"))</f>
        <v/>
      </c>
      <c r="E862" s="27" t="n"/>
      <c r="F862" s="18" t="n"/>
      <c r="G862" s="27" t="n"/>
      <c r="H862" s="27" t="n"/>
      <c r="I862" s="27" t="n"/>
      <c r="J862" s="28">
        <f>IF(NOT(OR($A862&lt;&gt;"",$E862&lt;&gt;"",$F862&lt;&gt;"",$G862&lt;&gt;"",$H862&lt;&gt;"",$I862&lt;&gt;"")),"",N($G862)+N($H862)+N($I862))</f>
        <v/>
      </c>
      <c r="K862" s="28">
        <f>IF(ISNUMBER($O862),INDEX('請求台帳'!$R$5:$R$1004,$O862),"")</f>
        <v/>
      </c>
      <c r="L862" s="20">
        <f>IF(NOT(OR($A862&lt;&gt;"",$E862&lt;&gt;"",$F862&lt;&gt;"",$G862&lt;&gt;"",$H862&lt;&gt;"",$I862&lt;&gt;"")),"",IF(NOT(ISNUMBER($A862)),"入金日がありません",IF(AND($F862&lt;&gt;"",$O862="なし"),"請求Noが請求台帳にありません",IF(AND(ISNUMBER($O862),$C862&lt;&gt;"",$C862&lt;&gt;$P862),"請求の得意先は "&amp;$P862&amp;" です",IF(ROUND(IF($B862&lt;&gt;"",SUMIF($B$5:$B$1004,$B862,$E$5:$E$1004)-SUMIF($B$5:$B$1004,$B862,$G$5:$G$1004),N($E862)-N($G862)),0)&lt;&gt;0,"通帳の額と当てた額の差 "&amp;TEXT(IF($B862&lt;&gt;"",SUMIF($B$5:$B$1004,$B862,$E$5:$E$1004)-SUMIF($B$5:$B$1004,$B862,$G$5:$G$1004),N($E862)-N($G862)),"#,##0"),IF(AND(ISNUMBER($O862),N($K862)&lt;0),"請求額より多く消し込んでいます",IF($F862="","消込先が未定","OK")))))))</f>
        <v/>
      </c>
      <c r="M862" s="19" t="n"/>
      <c r="N862" s="56" t="n"/>
      <c r="O862" s="32">
        <f>IF($F862="","",IFERROR(MATCH($F862,'請求台帳'!$A$5:$A$1004,0),"なし"))</f>
        <v/>
      </c>
      <c r="P862" s="37">
        <f>IF(NOT(OR($A862&lt;&gt;"",$E862&lt;&gt;"",$F862&lt;&gt;"",$G862&lt;&gt;"",$H862&lt;&gt;"",$I862&lt;&gt;"")),"",IF(ISNUMBER($O862),IF(INDEX('請求台帳'!$C$5:$C$1004,$O862)="","",INDEX('請求台帳'!$C$5:$C$1004,$O862)),IF($C862="","",$C862)))</f>
        <v/>
      </c>
      <c r="Q862" s="35">
        <f>IF(OR(NOT(OR($A862&lt;&gt;"",$E862&lt;&gt;"",$F862&lt;&gt;"",$G862&lt;&gt;"",$H862&lt;&gt;"",$I862&lt;&gt;"")),$P862="",$P862&lt;&gt;'売掛帳'!$B$3,NOT(ISNUMBER($A862)),N($G862)+N($H862)+N($I862)=0),"",IF(AND($A862&gt;='売掛帳'!$Q$3,$A862&lt;='売掛帳'!$Q$4),$A862+0.5+ROW()/10000000,""))</f>
        <v/>
      </c>
      <c r="R862" s="32">
        <f>IF(AND(OR($A862&lt;&gt;"",$E862&lt;&gt;"",$F862&lt;&gt;"",$G862&lt;&gt;"",$H862&lt;&gt;"",$I862&lt;&gt;""),NOT(ISNUMBER($O862))),1,"")</f>
        <v/>
      </c>
    </row>
    <row r="863" ht="18" customHeight="1">
      <c r="A863" s="26" t="n"/>
      <c r="B863" s="18" t="n"/>
      <c r="C863" s="18" t="n"/>
      <c r="D863" s="20">
        <f>IF($P863="","",IFERROR(INDEX('得意先'!$C$5:$C$104,MATCH($P863,'得意先'!$B$5:$B$104,0))&amp;"","※得意先にないコード"))</f>
        <v/>
      </c>
      <c r="E863" s="27" t="n"/>
      <c r="F863" s="18" t="n"/>
      <c r="G863" s="27" t="n"/>
      <c r="H863" s="27" t="n"/>
      <c r="I863" s="27" t="n"/>
      <c r="J863" s="28">
        <f>IF(NOT(OR($A863&lt;&gt;"",$E863&lt;&gt;"",$F863&lt;&gt;"",$G863&lt;&gt;"",$H863&lt;&gt;"",$I863&lt;&gt;"")),"",N($G863)+N($H863)+N($I863))</f>
        <v/>
      </c>
      <c r="K863" s="28">
        <f>IF(ISNUMBER($O863),INDEX('請求台帳'!$R$5:$R$1004,$O863),"")</f>
        <v/>
      </c>
      <c r="L863" s="20">
        <f>IF(NOT(OR($A863&lt;&gt;"",$E863&lt;&gt;"",$F863&lt;&gt;"",$G863&lt;&gt;"",$H863&lt;&gt;"",$I863&lt;&gt;"")),"",IF(NOT(ISNUMBER($A863)),"入金日がありません",IF(AND($F863&lt;&gt;"",$O863="なし"),"請求Noが請求台帳にありません",IF(AND(ISNUMBER($O863),$C863&lt;&gt;"",$C863&lt;&gt;$P863),"請求の得意先は "&amp;$P863&amp;" です",IF(ROUND(IF($B863&lt;&gt;"",SUMIF($B$5:$B$1004,$B863,$E$5:$E$1004)-SUMIF($B$5:$B$1004,$B863,$G$5:$G$1004),N($E863)-N($G863)),0)&lt;&gt;0,"通帳の額と当てた額の差 "&amp;TEXT(IF($B863&lt;&gt;"",SUMIF($B$5:$B$1004,$B863,$E$5:$E$1004)-SUMIF($B$5:$B$1004,$B863,$G$5:$G$1004),N($E863)-N($G863)),"#,##0"),IF(AND(ISNUMBER($O863),N($K863)&lt;0),"請求額より多く消し込んでいます",IF($F863="","消込先が未定","OK")))))))</f>
        <v/>
      </c>
      <c r="M863" s="19" t="n"/>
      <c r="N863" s="56" t="n"/>
      <c r="O863" s="32">
        <f>IF($F863="","",IFERROR(MATCH($F863,'請求台帳'!$A$5:$A$1004,0),"なし"))</f>
        <v/>
      </c>
      <c r="P863" s="37">
        <f>IF(NOT(OR($A863&lt;&gt;"",$E863&lt;&gt;"",$F863&lt;&gt;"",$G863&lt;&gt;"",$H863&lt;&gt;"",$I863&lt;&gt;"")),"",IF(ISNUMBER($O863),IF(INDEX('請求台帳'!$C$5:$C$1004,$O863)="","",INDEX('請求台帳'!$C$5:$C$1004,$O863)),IF($C863="","",$C863)))</f>
        <v/>
      </c>
      <c r="Q863" s="35">
        <f>IF(OR(NOT(OR($A863&lt;&gt;"",$E863&lt;&gt;"",$F863&lt;&gt;"",$G863&lt;&gt;"",$H863&lt;&gt;"",$I863&lt;&gt;"")),$P863="",$P863&lt;&gt;'売掛帳'!$B$3,NOT(ISNUMBER($A863)),N($G863)+N($H863)+N($I863)=0),"",IF(AND($A863&gt;='売掛帳'!$Q$3,$A863&lt;='売掛帳'!$Q$4),$A863+0.5+ROW()/10000000,""))</f>
        <v/>
      </c>
      <c r="R863" s="32">
        <f>IF(AND(OR($A863&lt;&gt;"",$E863&lt;&gt;"",$F863&lt;&gt;"",$G863&lt;&gt;"",$H863&lt;&gt;"",$I863&lt;&gt;""),NOT(ISNUMBER($O863))),1,"")</f>
        <v/>
      </c>
    </row>
    <row r="864" ht="18" customHeight="1">
      <c r="A864" s="26" t="n"/>
      <c r="B864" s="18" t="n"/>
      <c r="C864" s="18" t="n"/>
      <c r="D864" s="20">
        <f>IF($P864="","",IFERROR(INDEX('得意先'!$C$5:$C$104,MATCH($P864,'得意先'!$B$5:$B$104,0))&amp;"","※得意先にないコード"))</f>
        <v/>
      </c>
      <c r="E864" s="27" t="n"/>
      <c r="F864" s="18" t="n"/>
      <c r="G864" s="27" t="n"/>
      <c r="H864" s="27" t="n"/>
      <c r="I864" s="27" t="n"/>
      <c r="J864" s="28">
        <f>IF(NOT(OR($A864&lt;&gt;"",$E864&lt;&gt;"",$F864&lt;&gt;"",$G864&lt;&gt;"",$H864&lt;&gt;"",$I864&lt;&gt;"")),"",N($G864)+N($H864)+N($I864))</f>
        <v/>
      </c>
      <c r="K864" s="28">
        <f>IF(ISNUMBER($O864),INDEX('請求台帳'!$R$5:$R$1004,$O864),"")</f>
        <v/>
      </c>
      <c r="L864" s="20">
        <f>IF(NOT(OR($A864&lt;&gt;"",$E864&lt;&gt;"",$F864&lt;&gt;"",$G864&lt;&gt;"",$H864&lt;&gt;"",$I864&lt;&gt;"")),"",IF(NOT(ISNUMBER($A864)),"入金日がありません",IF(AND($F864&lt;&gt;"",$O864="なし"),"請求Noが請求台帳にありません",IF(AND(ISNUMBER($O864),$C864&lt;&gt;"",$C864&lt;&gt;$P864),"請求の得意先は "&amp;$P864&amp;" です",IF(ROUND(IF($B864&lt;&gt;"",SUMIF($B$5:$B$1004,$B864,$E$5:$E$1004)-SUMIF($B$5:$B$1004,$B864,$G$5:$G$1004),N($E864)-N($G864)),0)&lt;&gt;0,"通帳の額と当てた額の差 "&amp;TEXT(IF($B864&lt;&gt;"",SUMIF($B$5:$B$1004,$B864,$E$5:$E$1004)-SUMIF($B$5:$B$1004,$B864,$G$5:$G$1004),N($E864)-N($G864)),"#,##0"),IF(AND(ISNUMBER($O864),N($K864)&lt;0),"請求額より多く消し込んでいます",IF($F864="","消込先が未定","OK")))))))</f>
        <v/>
      </c>
      <c r="M864" s="19" t="n"/>
      <c r="N864" s="56" t="n"/>
      <c r="O864" s="32">
        <f>IF($F864="","",IFERROR(MATCH($F864,'請求台帳'!$A$5:$A$1004,0),"なし"))</f>
        <v/>
      </c>
      <c r="P864" s="37">
        <f>IF(NOT(OR($A864&lt;&gt;"",$E864&lt;&gt;"",$F864&lt;&gt;"",$G864&lt;&gt;"",$H864&lt;&gt;"",$I864&lt;&gt;"")),"",IF(ISNUMBER($O864),IF(INDEX('請求台帳'!$C$5:$C$1004,$O864)="","",INDEX('請求台帳'!$C$5:$C$1004,$O864)),IF($C864="","",$C864)))</f>
        <v/>
      </c>
      <c r="Q864" s="35">
        <f>IF(OR(NOT(OR($A864&lt;&gt;"",$E864&lt;&gt;"",$F864&lt;&gt;"",$G864&lt;&gt;"",$H864&lt;&gt;"",$I864&lt;&gt;"")),$P864="",$P864&lt;&gt;'売掛帳'!$B$3,NOT(ISNUMBER($A864)),N($G864)+N($H864)+N($I864)=0),"",IF(AND($A864&gt;='売掛帳'!$Q$3,$A864&lt;='売掛帳'!$Q$4),$A864+0.5+ROW()/10000000,""))</f>
        <v/>
      </c>
      <c r="R864" s="32">
        <f>IF(AND(OR($A864&lt;&gt;"",$E864&lt;&gt;"",$F864&lt;&gt;"",$G864&lt;&gt;"",$H864&lt;&gt;"",$I864&lt;&gt;""),NOT(ISNUMBER($O864))),1,"")</f>
        <v/>
      </c>
    </row>
    <row r="865" ht="18" customHeight="1">
      <c r="A865" s="26" t="n"/>
      <c r="B865" s="18" t="n"/>
      <c r="C865" s="18" t="n"/>
      <c r="D865" s="20">
        <f>IF($P865="","",IFERROR(INDEX('得意先'!$C$5:$C$104,MATCH($P865,'得意先'!$B$5:$B$104,0))&amp;"","※得意先にないコード"))</f>
        <v/>
      </c>
      <c r="E865" s="27" t="n"/>
      <c r="F865" s="18" t="n"/>
      <c r="G865" s="27" t="n"/>
      <c r="H865" s="27" t="n"/>
      <c r="I865" s="27" t="n"/>
      <c r="J865" s="28">
        <f>IF(NOT(OR($A865&lt;&gt;"",$E865&lt;&gt;"",$F865&lt;&gt;"",$G865&lt;&gt;"",$H865&lt;&gt;"",$I865&lt;&gt;"")),"",N($G865)+N($H865)+N($I865))</f>
        <v/>
      </c>
      <c r="K865" s="28">
        <f>IF(ISNUMBER($O865),INDEX('請求台帳'!$R$5:$R$1004,$O865),"")</f>
        <v/>
      </c>
      <c r="L865" s="20">
        <f>IF(NOT(OR($A865&lt;&gt;"",$E865&lt;&gt;"",$F865&lt;&gt;"",$G865&lt;&gt;"",$H865&lt;&gt;"",$I865&lt;&gt;"")),"",IF(NOT(ISNUMBER($A865)),"入金日がありません",IF(AND($F865&lt;&gt;"",$O865="なし"),"請求Noが請求台帳にありません",IF(AND(ISNUMBER($O865),$C865&lt;&gt;"",$C865&lt;&gt;$P865),"請求の得意先は "&amp;$P865&amp;" です",IF(ROUND(IF($B865&lt;&gt;"",SUMIF($B$5:$B$1004,$B865,$E$5:$E$1004)-SUMIF($B$5:$B$1004,$B865,$G$5:$G$1004),N($E865)-N($G865)),0)&lt;&gt;0,"通帳の額と当てた額の差 "&amp;TEXT(IF($B865&lt;&gt;"",SUMIF($B$5:$B$1004,$B865,$E$5:$E$1004)-SUMIF($B$5:$B$1004,$B865,$G$5:$G$1004),N($E865)-N($G865)),"#,##0"),IF(AND(ISNUMBER($O865),N($K865)&lt;0),"請求額より多く消し込んでいます",IF($F865="","消込先が未定","OK")))))))</f>
        <v/>
      </c>
      <c r="M865" s="19" t="n"/>
      <c r="N865" s="56" t="n"/>
      <c r="O865" s="32">
        <f>IF($F865="","",IFERROR(MATCH($F865,'請求台帳'!$A$5:$A$1004,0),"なし"))</f>
        <v/>
      </c>
      <c r="P865" s="37">
        <f>IF(NOT(OR($A865&lt;&gt;"",$E865&lt;&gt;"",$F865&lt;&gt;"",$G865&lt;&gt;"",$H865&lt;&gt;"",$I865&lt;&gt;"")),"",IF(ISNUMBER($O865),IF(INDEX('請求台帳'!$C$5:$C$1004,$O865)="","",INDEX('請求台帳'!$C$5:$C$1004,$O865)),IF($C865="","",$C865)))</f>
        <v/>
      </c>
      <c r="Q865" s="35">
        <f>IF(OR(NOT(OR($A865&lt;&gt;"",$E865&lt;&gt;"",$F865&lt;&gt;"",$G865&lt;&gt;"",$H865&lt;&gt;"",$I865&lt;&gt;"")),$P865="",$P865&lt;&gt;'売掛帳'!$B$3,NOT(ISNUMBER($A865)),N($G865)+N($H865)+N($I865)=0),"",IF(AND($A865&gt;='売掛帳'!$Q$3,$A865&lt;='売掛帳'!$Q$4),$A865+0.5+ROW()/10000000,""))</f>
        <v/>
      </c>
      <c r="R865" s="32">
        <f>IF(AND(OR($A865&lt;&gt;"",$E865&lt;&gt;"",$F865&lt;&gt;"",$G865&lt;&gt;"",$H865&lt;&gt;"",$I865&lt;&gt;""),NOT(ISNUMBER($O865))),1,"")</f>
        <v/>
      </c>
    </row>
    <row r="866" ht="18" customHeight="1">
      <c r="A866" s="26" t="n"/>
      <c r="B866" s="18" t="n"/>
      <c r="C866" s="18" t="n"/>
      <c r="D866" s="20">
        <f>IF($P866="","",IFERROR(INDEX('得意先'!$C$5:$C$104,MATCH($P866,'得意先'!$B$5:$B$104,0))&amp;"","※得意先にないコード"))</f>
        <v/>
      </c>
      <c r="E866" s="27" t="n"/>
      <c r="F866" s="18" t="n"/>
      <c r="G866" s="27" t="n"/>
      <c r="H866" s="27" t="n"/>
      <c r="I866" s="27" t="n"/>
      <c r="J866" s="28">
        <f>IF(NOT(OR($A866&lt;&gt;"",$E866&lt;&gt;"",$F866&lt;&gt;"",$G866&lt;&gt;"",$H866&lt;&gt;"",$I866&lt;&gt;"")),"",N($G866)+N($H866)+N($I866))</f>
        <v/>
      </c>
      <c r="K866" s="28">
        <f>IF(ISNUMBER($O866),INDEX('請求台帳'!$R$5:$R$1004,$O866),"")</f>
        <v/>
      </c>
      <c r="L866" s="20">
        <f>IF(NOT(OR($A866&lt;&gt;"",$E866&lt;&gt;"",$F866&lt;&gt;"",$G866&lt;&gt;"",$H866&lt;&gt;"",$I866&lt;&gt;"")),"",IF(NOT(ISNUMBER($A866)),"入金日がありません",IF(AND($F866&lt;&gt;"",$O866="なし"),"請求Noが請求台帳にありません",IF(AND(ISNUMBER($O866),$C866&lt;&gt;"",$C866&lt;&gt;$P866),"請求の得意先は "&amp;$P866&amp;" です",IF(ROUND(IF($B866&lt;&gt;"",SUMIF($B$5:$B$1004,$B866,$E$5:$E$1004)-SUMIF($B$5:$B$1004,$B866,$G$5:$G$1004),N($E866)-N($G866)),0)&lt;&gt;0,"通帳の額と当てた額の差 "&amp;TEXT(IF($B866&lt;&gt;"",SUMIF($B$5:$B$1004,$B866,$E$5:$E$1004)-SUMIF($B$5:$B$1004,$B866,$G$5:$G$1004),N($E866)-N($G866)),"#,##0"),IF(AND(ISNUMBER($O866),N($K866)&lt;0),"請求額より多く消し込んでいます",IF($F866="","消込先が未定","OK")))))))</f>
        <v/>
      </c>
      <c r="M866" s="19" t="n"/>
      <c r="N866" s="56" t="n"/>
      <c r="O866" s="32">
        <f>IF($F866="","",IFERROR(MATCH($F866,'請求台帳'!$A$5:$A$1004,0),"なし"))</f>
        <v/>
      </c>
      <c r="P866" s="37">
        <f>IF(NOT(OR($A866&lt;&gt;"",$E866&lt;&gt;"",$F866&lt;&gt;"",$G866&lt;&gt;"",$H866&lt;&gt;"",$I866&lt;&gt;"")),"",IF(ISNUMBER($O866),IF(INDEX('請求台帳'!$C$5:$C$1004,$O866)="","",INDEX('請求台帳'!$C$5:$C$1004,$O866)),IF($C866="","",$C866)))</f>
        <v/>
      </c>
      <c r="Q866" s="35">
        <f>IF(OR(NOT(OR($A866&lt;&gt;"",$E866&lt;&gt;"",$F866&lt;&gt;"",$G866&lt;&gt;"",$H866&lt;&gt;"",$I866&lt;&gt;"")),$P866="",$P866&lt;&gt;'売掛帳'!$B$3,NOT(ISNUMBER($A866)),N($G866)+N($H866)+N($I866)=0),"",IF(AND($A866&gt;='売掛帳'!$Q$3,$A866&lt;='売掛帳'!$Q$4),$A866+0.5+ROW()/10000000,""))</f>
        <v/>
      </c>
      <c r="R866" s="32">
        <f>IF(AND(OR($A866&lt;&gt;"",$E866&lt;&gt;"",$F866&lt;&gt;"",$G866&lt;&gt;"",$H866&lt;&gt;"",$I866&lt;&gt;""),NOT(ISNUMBER($O866))),1,"")</f>
        <v/>
      </c>
    </row>
    <row r="867" ht="18" customHeight="1">
      <c r="A867" s="26" t="n"/>
      <c r="B867" s="18" t="n"/>
      <c r="C867" s="18" t="n"/>
      <c r="D867" s="20">
        <f>IF($P867="","",IFERROR(INDEX('得意先'!$C$5:$C$104,MATCH($P867,'得意先'!$B$5:$B$104,0))&amp;"","※得意先にないコード"))</f>
        <v/>
      </c>
      <c r="E867" s="27" t="n"/>
      <c r="F867" s="18" t="n"/>
      <c r="G867" s="27" t="n"/>
      <c r="H867" s="27" t="n"/>
      <c r="I867" s="27" t="n"/>
      <c r="J867" s="28">
        <f>IF(NOT(OR($A867&lt;&gt;"",$E867&lt;&gt;"",$F867&lt;&gt;"",$G867&lt;&gt;"",$H867&lt;&gt;"",$I867&lt;&gt;"")),"",N($G867)+N($H867)+N($I867))</f>
        <v/>
      </c>
      <c r="K867" s="28">
        <f>IF(ISNUMBER($O867),INDEX('請求台帳'!$R$5:$R$1004,$O867),"")</f>
        <v/>
      </c>
      <c r="L867" s="20">
        <f>IF(NOT(OR($A867&lt;&gt;"",$E867&lt;&gt;"",$F867&lt;&gt;"",$G867&lt;&gt;"",$H867&lt;&gt;"",$I867&lt;&gt;"")),"",IF(NOT(ISNUMBER($A867)),"入金日がありません",IF(AND($F867&lt;&gt;"",$O867="なし"),"請求Noが請求台帳にありません",IF(AND(ISNUMBER($O867),$C867&lt;&gt;"",$C867&lt;&gt;$P867),"請求の得意先は "&amp;$P867&amp;" です",IF(ROUND(IF($B867&lt;&gt;"",SUMIF($B$5:$B$1004,$B867,$E$5:$E$1004)-SUMIF($B$5:$B$1004,$B867,$G$5:$G$1004),N($E867)-N($G867)),0)&lt;&gt;0,"通帳の額と当てた額の差 "&amp;TEXT(IF($B867&lt;&gt;"",SUMIF($B$5:$B$1004,$B867,$E$5:$E$1004)-SUMIF($B$5:$B$1004,$B867,$G$5:$G$1004),N($E867)-N($G867)),"#,##0"),IF(AND(ISNUMBER($O867),N($K867)&lt;0),"請求額より多く消し込んでいます",IF($F867="","消込先が未定","OK")))))))</f>
        <v/>
      </c>
      <c r="M867" s="19" t="n"/>
      <c r="N867" s="56" t="n"/>
      <c r="O867" s="32">
        <f>IF($F867="","",IFERROR(MATCH($F867,'請求台帳'!$A$5:$A$1004,0),"なし"))</f>
        <v/>
      </c>
      <c r="P867" s="37">
        <f>IF(NOT(OR($A867&lt;&gt;"",$E867&lt;&gt;"",$F867&lt;&gt;"",$G867&lt;&gt;"",$H867&lt;&gt;"",$I867&lt;&gt;"")),"",IF(ISNUMBER($O867),IF(INDEX('請求台帳'!$C$5:$C$1004,$O867)="","",INDEX('請求台帳'!$C$5:$C$1004,$O867)),IF($C867="","",$C867)))</f>
        <v/>
      </c>
      <c r="Q867" s="35">
        <f>IF(OR(NOT(OR($A867&lt;&gt;"",$E867&lt;&gt;"",$F867&lt;&gt;"",$G867&lt;&gt;"",$H867&lt;&gt;"",$I867&lt;&gt;"")),$P867="",$P867&lt;&gt;'売掛帳'!$B$3,NOT(ISNUMBER($A867)),N($G867)+N($H867)+N($I867)=0),"",IF(AND($A867&gt;='売掛帳'!$Q$3,$A867&lt;='売掛帳'!$Q$4),$A867+0.5+ROW()/10000000,""))</f>
        <v/>
      </c>
      <c r="R867" s="32">
        <f>IF(AND(OR($A867&lt;&gt;"",$E867&lt;&gt;"",$F867&lt;&gt;"",$G867&lt;&gt;"",$H867&lt;&gt;"",$I867&lt;&gt;""),NOT(ISNUMBER($O867))),1,"")</f>
        <v/>
      </c>
    </row>
    <row r="868" ht="18" customHeight="1">
      <c r="A868" s="26" t="n"/>
      <c r="B868" s="18" t="n"/>
      <c r="C868" s="18" t="n"/>
      <c r="D868" s="20">
        <f>IF($P868="","",IFERROR(INDEX('得意先'!$C$5:$C$104,MATCH($P868,'得意先'!$B$5:$B$104,0))&amp;"","※得意先にないコード"))</f>
        <v/>
      </c>
      <c r="E868" s="27" t="n"/>
      <c r="F868" s="18" t="n"/>
      <c r="G868" s="27" t="n"/>
      <c r="H868" s="27" t="n"/>
      <c r="I868" s="27" t="n"/>
      <c r="J868" s="28">
        <f>IF(NOT(OR($A868&lt;&gt;"",$E868&lt;&gt;"",$F868&lt;&gt;"",$G868&lt;&gt;"",$H868&lt;&gt;"",$I868&lt;&gt;"")),"",N($G868)+N($H868)+N($I868))</f>
        <v/>
      </c>
      <c r="K868" s="28">
        <f>IF(ISNUMBER($O868),INDEX('請求台帳'!$R$5:$R$1004,$O868),"")</f>
        <v/>
      </c>
      <c r="L868" s="20">
        <f>IF(NOT(OR($A868&lt;&gt;"",$E868&lt;&gt;"",$F868&lt;&gt;"",$G868&lt;&gt;"",$H868&lt;&gt;"",$I868&lt;&gt;"")),"",IF(NOT(ISNUMBER($A868)),"入金日がありません",IF(AND($F868&lt;&gt;"",$O868="なし"),"請求Noが請求台帳にありません",IF(AND(ISNUMBER($O868),$C868&lt;&gt;"",$C868&lt;&gt;$P868),"請求の得意先は "&amp;$P868&amp;" です",IF(ROUND(IF($B868&lt;&gt;"",SUMIF($B$5:$B$1004,$B868,$E$5:$E$1004)-SUMIF($B$5:$B$1004,$B868,$G$5:$G$1004),N($E868)-N($G868)),0)&lt;&gt;0,"通帳の額と当てた額の差 "&amp;TEXT(IF($B868&lt;&gt;"",SUMIF($B$5:$B$1004,$B868,$E$5:$E$1004)-SUMIF($B$5:$B$1004,$B868,$G$5:$G$1004),N($E868)-N($G868)),"#,##0"),IF(AND(ISNUMBER($O868),N($K868)&lt;0),"請求額より多く消し込んでいます",IF($F868="","消込先が未定","OK")))))))</f>
        <v/>
      </c>
      <c r="M868" s="19" t="n"/>
      <c r="N868" s="56" t="n"/>
      <c r="O868" s="32">
        <f>IF($F868="","",IFERROR(MATCH($F868,'請求台帳'!$A$5:$A$1004,0),"なし"))</f>
        <v/>
      </c>
      <c r="P868" s="37">
        <f>IF(NOT(OR($A868&lt;&gt;"",$E868&lt;&gt;"",$F868&lt;&gt;"",$G868&lt;&gt;"",$H868&lt;&gt;"",$I868&lt;&gt;"")),"",IF(ISNUMBER($O868),IF(INDEX('請求台帳'!$C$5:$C$1004,$O868)="","",INDEX('請求台帳'!$C$5:$C$1004,$O868)),IF($C868="","",$C868)))</f>
        <v/>
      </c>
      <c r="Q868" s="35">
        <f>IF(OR(NOT(OR($A868&lt;&gt;"",$E868&lt;&gt;"",$F868&lt;&gt;"",$G868&lt;&gt;"",$H868&lt;&gt;"",$I868&lt;&gt;"")),$P868="",$P868&lt;&gt;'売掛帳'!$B$3,NOT(ISNUMBER($A868)),N($G868)+N($H868)+N($I868)=0),"",IF(AND($A868&gt;='売掛帳'!$Q$3,$A868&lt;='売掛帳'!$Q$4),$A868+0.5+ROW()/10000000,""))</f>
        <v/>
      </c>
      <c r="R868" s="32">
        <f>IF(AND(OR($A868&lt;&gt;"",$E868&lt;&gt;"",$F868&lt;&gt;"",$G868&lt;&gt;"",$H868&lt;&gt;"",$I868&lt;&gt;""),NOT(ISNUMBER($O868))),1,"")</f>
        <v/>
      </c>
    </row>
    <row r="869" ht="18" customHeight="1">
      <c r="A869" s="26" t="n"/>
      <c r="B869" s="18" t="n"/>
      <c r="C869" s="18" t="n"/>
      <c r="D869" s="20">
        <f>IF($P869="","",IFERROR(INDEX('得意先'!$C$5:$C$104,MATCH($P869,'得意先'!$B$5:$B$104,0))&amp;"","※得意先にないコード"))</f>
        <v/>
      </c>
      <c r="E869" s="27" t="n"/>
      <c r="F869" s="18" t="n"/>
      <c r="G869" s="27" t="n"/>
      <c r="H869" s="27" t="n"/>
      <c r="I869" s="27" t="n"/>
      <c r="J869" s="28">
        <f>IF(NOT(OR($A869&lt;&gt;"",$E869&lt;&gt;"",$F869&lt;&gt;"",$G869&lt;&gt;"",$H869&lt;&gt;"",$I869&lt;&gt;"")),"",N($G869)+N($H869)+N($I869))</f>
        <v/>
      </c>
      <c r="K869" s="28">
        <f>IF(ISNUMBER($O869),INDEX('請求台帳'!$R$5:$R$1004,$O869),"")</f>
        <v/>
      </c>
      <c r="L869" s="20">
        <f>IF(NOT(OR($A869&lt;&gt;"",$E869&lt;&gt;"",$F869&lt;&gt;"",$G869&lt;&gt;"",$H869&lt;&gt;"",$I869&lt;&gt;"")),"",IF(NOT(ISNUMBER($A869)),"入金日がありません",IF(AND($F869&lt;&gt;"",$O869="なし"),"請求Noが請求台帳にありません",IF(AND(ISNUMBER($O869),$C869&lt;&gt;"",$C869&lt;&gt;$P869),"請求の得意先は "&amp;$P869&amp;" です",IF(ROUND(IF($B869&lt;&gt;"",SUMIF($B$5:$B$1004,$B869,$E$5:$E$1004)-SUMIF($B$5:$B$1004,$B869,$G$5:$G$1004),N($E869)-N($G869)),0)&lt;&gt;0,"通帳の額と当てた額の差 "&amp;TEXT(IF($B869&lt;&gt;"",SUMIF($B$5:$B$1004,$B869,$E$5:$E$1004)-SUMIF($B$5:$B$1004,$B869,$G$5:$G$1004),N($E869)-N($G869)),"#,##0"),IF(AND(ISNUMBER($O869),N($K869)&lt;0),"請求額より多く消し込んでいます",IF($F869="","消込先が未定","OK")))))))</f>
        <v/>
      </c>
      <c r="M869" s="19" t="n"/>
      <c r="N869" s="56" t="n"/>
      <c r="O869" s="32">
        <f>IF($F869="","",IFERROR(MATCH($F869,'請求台帳'!$A$5:$A$1004,0),"なし"))</f>
        <v/>
      </c>
      <c r="P869" s="37">
        <f>IF(NOT(OR($A869&lt;&gt;"",$E869&lt;&gt;"",$F869&lt;&gt;"",$G869&lt;&gt;"",$H869&lt;&gt;"",$I869&lt;&gt;"")),"",IF(ISNUMBER($O869),IF(INDEX('請求台帳'!$C$5:$C$1004,$O869)="","",INDEX('請求台帳'!$C$5:$C$1004,$O869)),IF($C869="","",$C869)))</f>
        <v/>
      </c>
      <c r="Q869" s="35">
        <f>IF(OR(NOT(OR($A869&lt;&gt;"",$E869&lt;&gt;"",$F869&lt;&gt;"",$G869&lt;&gt;"",$H869&lt;&gt;"",$I869&lt;&gt;"")),$P869="",$P869&lt;&gt;'売掛帳'!$B$3,NOT(ISNUMBER($A869)),N($G869)+N($H869)+N($I869)=0),"",IF(AND($A869&gt;='売掛帳'!$Q$3,$A869&lt;='売掛帳'!$Q$4),$A869+0.5+ROW()/10000000,""))</f>
        <v/>
      </c>
      <c r="R869" s="32">
        <f>IF(AND(OR($A869&lt;&gt;"",$E869&lt;&gt;"",$F869&lt;&gt;"",$G869&lt;&gt;"",$H869&lt;&gt;"",$I869&lt;&gt;""),NOT(ISNUMBER($O869))),1,"")</f>
        <v/>
      </c>
    </row>
    <row r="870" ht="18" customHeight="1">
      <c r="A870" s="26" t="n"/>
      <c r="B870" s="18" t="n"/>
      <c r="C870" s="18" t="n"/>
      <c r="D870" s="20">
        <f>IF($P870="","",IFERROR(INDEX('得意先'!$C$5:$C$104,MATCH($P870,'得意先'!$B$5:$B$104,0))&amp;"","※得意先にないコード"))</f>
        <v/>
      </c>
      <c r="E870" s="27" t="n"/>
      <c r="F870" s="18" t="n"/>
      <c r="G870" s="27" t="n"/>
      <c r="H870" s="27" t="n"/>
      <c r="I870" s="27" t="n"/>
      <c r="J870" s="28">
        <f>IF(NOT(OR($A870&lt;&gt;"",$E870&lt;&gt;"",$F870&lt;&gt;"",$G870&lt;&gt;"",$H870&lt;&gt;"",$I870&lt;&gt;"")),"",N($G870)+N($H870)+N($I870))</f>
        <v/>
      </c>
      <c r="K870" s="28">
        <f>IF(ISNUMBER($O870),INDEX('請求台帳'!$R$5:$R$1004,$O870),"")</f>
        <v/>
      </c>
      <c r="L870" s="20">
        <f>IF(NOT(OR($A870&lt;&gt;"",$E870&lt;&gt;"",$F870&lt;&gt;"",$G870&lt;&gt;"",$H870&lt;&gt;"",$I870&lt;&gt;"")),"",IF(NOT(ISNUMBER($A870)),"入金日がありません",IF(AND($F870&lt;&gt;"",$O870="なし"),"請求Noが請求台帳にありません",IF(AND(ISNUMBER($O870),$C870&lt;&gt;"",$C870&lt;&gt;$P870),"請求の得意先は "&amp;$P870&amp;" です",IF(ROUND(IF($B870&lt;&gt;"",SUMIF($B$5:$B$1004,$B870,$E$5:$E$1004)-SUMIF($B$5:$B$1004,$B870,$G$5:$G$1004),N($E870)-N($G870)),0)&lt;&gt;0,"通帳の額と当てた額の差 "&amp;TEXT(IF($B870&lt;&gt;"",SUMIF($B$5:$B$1004,$B870,$E$5:$E$1004)-SUMIF($B$5:$B$1004,$B870,$G$5:$G$1004),N($E870)-N($G870)),"#,##0"),IF(AND(ISNUMBER($O870),N($K870)&lt;0),"請求額より多く消し込んでいます",IF($F870="","消込先が未定","OK")))))))</f>
        <v/>
      </c>
      <c r="M870" s="19" t="n"/>
      <c r="N870" s="56" t="n"/>
      <c r="O870" s="32">
        <f>IF($F870="","",IFERROR(MATCH($F870,'請求台帳'!$A$5:$A$1004,0),"なし"))</f>
        <v/>
      </c>
      <c r="P870" s="37">
        <f>IF(NOT(OR($A870&lt;&gt;"",$E870&lt;&gt;"",$F870&lt;&gt;"",$G870&lt;&gt;"",$H870&lt;&gt;"",$I870&lt;&gt;"")),"",IF(ISNUMBER($O870),IF(INDEX('請求台帳'!$C$5:$C$1004,$O870)="","",INDEX('請求台帳'!$C$5:$C$1004,$O870)),IF($C870="","",$C870)))</f>
        <v/>
      </c>
      <c r="Q870" s="35">
        <f>IF(OR(NOT(OR($A870&lt;&gt;"",$E870&lt;&gt;"",$F870&lt;&gt;"",$G870&lt;&gt;"",$H870&lt;&gt;"",$I870&lt;&gt;"")),$P870="",$P870&lt;&gt;'売掛帳'!$B$3,NOT(ISNUMBER($A870)),N($G870)+N($H870)+N($I870)=0),"",IF(AND($A870&gt;='売掛帳'!$Q$3,$A870&lt;='売掛帳'!$Q$4),$A870+0.5+ROW()/10000000,""))</f>
        <v/>
      </c>
      <c r="R870" s="32">
        <f>IF(AND(OR($A870&lt;&gt;"",$E870&lt;&gt;"",$F870&lt;&gt;"",$G870&lt;&gt;"",$H870&lt;&gt;"",$I870&lt;&gt;""),NOT(ISNUMBER($O870))),1,"")</f>
        <v/>
      </c>
    </row>
    <row r="871" ht="18" customHeight="1">
      <c r="A871" s="26" t="n"/>
      <c r="B871" s="18" t="n"/>
      <c r="C871" s="18" t="n"/>
      <c r="D871" s="20">
        <f>IF($P871="","",IFERROR(INDEX('得意先'!$C$5:$C$104,MATCH($P871,'得意先'!$B$5:$B$104,0))&amp;"","※得意先にないコード"))</f>
        <v/>
      </c>
      <c r="E871" s="27" t="n"/>
      <c r="F871" s="18" t="n"/>
      <c r="G871" s="27" t="n"/>
      <c r="H871" s="27" t="n"/>
      <c r="I871" s="27" t="n"/>
      <c r="J871" s="28">
        <f>IF(NOT(OR($A871&lt;&gt;"",$E871&lt;&gt;"",$F871&lt;&gt;"",$G871&lt;&gt;"",$H871&lt;&gt;"",$I871&lt;&gt;"")),"",N($G871)+N($H871)+N($I871))</f>
        <v/>
      </c>
      <c r="K871" s="28">
        <f>IF(ISNUMBER($O871),INDEX('請求台帳'!$R$5:$R$1004,$O871),"")</f>
        <v/>
      </c>
      <c r="L871" s="20">
        <f>IF(NOT(OR($A871&lt;&gt;"",$E871&lt;&gt;"",$F871&lt;&gt;"",$G871&lt;&gt;"",$H871&lt;&gt;"",$I871&lt;&gt;"")),"",IF(NOT(ISNUMBER($A871)),"入金日がありません",IF(AND($F871&lt;&gt;"",$O871="なし"),"請求Noが請求台帳にありません",IF(AND(ISNUMBER($O871),$C871&lt;&gt;"",$C871&lt;&gt;$P871),"請求の得意先は "&amp;$P871&amp;" です",IF(ROUND(IF($B871&lt;&gt;"",SUMIF($B$5:$B$1004,$B871,$E$5:$E$1004)-SUMIF($B$5:$B$1004,$B871,$G$5:$G$1004),N($E871)-N($G871)),0)&lt;&gt;0,"通帳の額と当てた額の差 "&amp;TEXT(IF($B871&lt;&gt;"",SUMIF($B$5:$B$1004,$B871,$E$5:$E$1004)-SUMIF($B$5:$B$1004,$B871,$G$5:$G$1004),N($E871)-N($G871)),"#,##0"),IF(AND(ISNUMBER($O871),N($K871)&lt;0),"請求額より多く消し込んでいます",IF($F871="","消込先が未定","OK")))))))</f>
        <v/>
      </c>
      <c r="M871" s="19" t="n"/>
      <c r="N871" s="56" t="n"/>
      <c r="O871" s="32">
        <f>IF($F871="","",IFERROR(MATCH($F871,'請求台帳'!$A$5:$A$1004,0),"なし"))</f>
        <v/>
      </c>
      <c r="P871" s="37">
        <f>IF(NOT(OR($A871&lt;&gt;"",$E871&lt;&gt;"",$F871&lt;&gt;"",$G871&lt;&gt;"",$H871&lt;&gt;"",$I871&lt;&gt;"")),"",IF(ISNUMBER($O871),IF(INDEX('請求台帳'!$C$5:$C$1004,$O871)="","",INDEX('請求台帳'!$C$5:$C$1004,$O871)),IF($C871="","",$C871)))</f>
        <v/>
      </c>
      <c r="Q871" s="35">
        <f>IF(OR(NOT(OR($A871&lt;&gt;"",$E871&lt;&gt;"",$F871&lt;&gt;"",$G871&lt;&gt;"",$H871&lt;&gt;"",$I871&lt;&gt;"")),$P871="",$P871&lt;&gt;'売掛帳'!$B$3,NOT(ISNUMBER($A871)),N($G871)+N($H871)+N($I871)=0),"",IF(AND($A871&gt;='売掛帳'!$Q$3,$A871&lt;='売掛帳'!$Q$4),$A871+0.5+ROW()/10000000,""))</f>
        <v/>
      </c>
      <c r="R871" s="32">
        <f>IF(AND(OR($A871&lt;&gt;"",$E871&lt;&gt;"",$F871&lt;&gt;"",$G871&lt;&gt;"",$H871&lt;&gt;"",$I871&lt;&gt;""),NOT(ISNUMBER($O871))),1,"")</f>
        <v/>
      </c>
    </row>
    <row r="872" ht="18" customHeight="1">
      <c r="A872" s="26" t="n"/>
      <c r="B872" s="18" t="n"/>
      <c r="C872" s="18" t="n"/>
      <c r="D872" s="20">
        <f>IF($P872="","",IFERROR(INDEX('得意先'!$C$5:$C$104,MATCH($P872,'得意先'!$B$5:$B$104,0))&amp;"","※得意先にないコード"))</f>
        <v/>
      </c>
      <c r="E872" s="27" t="n"/>
      <c r="F872" s="18" t="n"/>
      <c r="G872" s="27" t="n"/>
      <c r="H872" s="27" t="n"/>
      <c r="I872" s="27" t="n"/>
      <c r="J872" s="28">
        <f>IF(NOT(OR($A872&lt;&gt;"",$E872&lt;&gt;"",$F872&lt;&gt;"",$G872&lt;&gt;"",$H872&lt;&gt;"",$I872&lt;&gt;"")),"",N($G872)+N($H872)+N($I872))</f>
        <v/>
      </c>
      <c r="K872" s="28">
        <f>IF(ISNUMBER($O872),INDEX('請求台帳'!$R$5:$R$1004,$O872),"")</f>
        <v/>
      </c>
      <c r="L872" s="20">
        <f>IF(NOT(OR($A872&lt;&gt;"",$E872&lt;&gt;"",$F872&lt;&gt;"",$G872&lt;&gt;"",$H872&lt;&gt;"",$I872&lt;&gt;"")),"",IF(NOT(ISNUMBER($A872)),"入金日がありません",IF(AND($F872&lt;&gt;"",$O872="なし"),"請求Noが請求台帳にありません",IF(AND(ISNUMBER($O872),$C872&lt;&gt;"",$C872&lt;&gt;$P872),"請求の得意先は "&amp;$P872&amp;" です",IF(ROUND(IF($B872&lt;&gt;"",SUMIF($B$5:$B$1004,$B872,$E$5:$E$1004)-SUMIF($B$5:$B$1004,$B872,$G$5:$G$1004),N($E872)-N($G872)),0)&lt;&gt;0,"通帳の額と当てた額の差 "&amp;TEXT(IF($B872&lt;&gt;"",SUMIF($B$5:$B$1004,$B872,$E$5:$E$1004)-SUMIF($B$5:$B$1004,$B872,$G$5:$G$1004),N($E872)-N($G872)),"#,##0"),IF(AND(ISNUMBER($O872),N($K872)&lt;0),"請求額より多く消し込んでいます",IF($F872="","消込先が未定","OK")))))))</f>
        <v/>
      </c>
      <c r="M872" s="19" t="n"/>
      <c r="N872" s="56" t="n"/>
      <c r="O872" s="32">
        <f>IF($F872="","",IFERROR(MATCH($F872,'請求台帳'!$A$5:$A$1004,0),"なし"))</f>
        <v/>
      </c>
      <c r="P872" s="37">
        <f>IF(NOT(OR($A872&lt;&gt;"",$E872&lt;&gt;"",$F872&lt;&gt;"",$G872&lt;&gt;"",$H872&lt;&gt;"",$I872&lt;&gt;"")),"",IF(ISNUMBER($O872),IF(INDEX('請求台帳'!$C$5:$C$1004,$O872)="","",INDEX('請求台帳'!$C$5:$C$1004,$O872)),IF($C872="","",$C872)))</f>
        <v/>
      </c>
      <c r="Q872" s="35">
        <f>IF(OR(NOT(OR($A872&lt;&gt;"",$E872&lt;&gt;"",$F872&lt;&gt;"",$G872&lt;&gt;"",$H872&lt;&gt;"",$I872&lt;&gt;"")),$P872="",$P872&lt;&gt;'売掛帳'!$B$3,NOT(ISNUMBER($A872)),N($G872)+N($H872)+N($I872)=0),"",IF(AND($A872&gt;='売掛帳'!$Q$3,$A872&lt;='売掛帳'!$Q$4),$A872+0.5+ROW()/10000000,""))</f>
        <v/>
      </c>
      <c r="R872" s="32">
        <f>IF(AND(OR($A872&lt;&gt;"",$E872&lt;&gt;"",$F872&lt;&gt;"",$G872&lt;&gt;"",$H872&lt;&gt;"",$I872&lt;&gt;""),NOT(ISNUMBER($O872))),1,"")</f>
        <v/>
      </c>
    </row>
    <row r="873" ht="18" customHeight="1">
      <c r="A873" s="26" t="n"/>
      <c r="B873" s="18" t="n"/>
      <c r="C873" s="18" t="n"/>
      <c r="D873" s="20">
        <f>IF($P873="","",IFERROR(INDEX('得意先'!$C$5:$C$104,MATCH($P873,'得意先'!$B$5:$B$104,0))&amp;"","※得意先にないコード"))</f>
        <v/>
      </c>
      <c r="E873" s="27" t="n"/>
      <c r="F873" s="18" t="n"/>
      <c r="G873" s="27" t="n"/>
      <c r="H873" s="27" t="n"/>
      <c r="I873" s="27" t="n"/>
      <c r="J873" s="28">
        <f>IF(NOT(OR($A873&lt;&gt;"",$E873&lt;&gt;"",$F873&lt;&gt;"",$G873&lt;&gt;"",$H873&lt;&gt;"",$I873&lt;&gt;"")),"",N($G873)+N($H873)+N($I873))</f>
        <v/>
      </c>
      <c r="K873" s="28">
        <f>IF(ISNUMBER($O873),INDEX('請求台帳'!$R$5:$R$1004,$O873),"")</f>
        <v/>
      </c>
      <c r="L873" s="20">
        <f>IF(NOT(OR($A873&lt;&gt;"",$E873&lt;&gt;"",$F873&lt;&gt;"",$G873&lt;&gt;"",$H873&lt;&gt;"",$I873&lt;&gt;"")),"",IF(NOT(ISNUMBER($A873)),"入金日がありません",IF(AND($F873&lt;&gt;"",$O873="なし"),"請求Noが請求台帳にありません",IF(AND(ISNUMBER($O873),$C873&lt;&gt;"",$C873&lt;&gt;$P873),"請求の得意先は "&amp;$P873&amp;" です",IF(ROUND(IF($B873&lt;&gt;"",SUMIF($B$5:$B$1004,$B873,$E$5:$E$1004)-SUMIF($B$5:$B$1004,$B873,$G$5:$G$1004),N($E873)-N($G873)),0)&lt;&gt;0,"通帳の額と当てた額の差 "&amp;TEXT(IF($B873&lt;&gt;"",SUMIF($B$5:$B$1004,$B873,$E$5:$E$1004)-SUMIF($B$5:$B$1004,$B873,$G$5:$G$1004),N($E873)-N($G873)),"#,##0"),IF(AND(ISNUMBER($O873),N($K873)&lt;0),"請求額より多く消し込んでいます",IF($F873="","消込先が未定","OK")))))))</f>
        <v/>
      </c>
      <c r="M873" s="19" t="n"/>
      <c r="N873" s="56" t="n"/>
      <c r="O873" s="32">
        <f>IF($F873="","",IFERROR(MATCH($F873,'請求台帳'!$A$5:$A$1004,0),"なし"))</f>
        <v/>
      </c>
      <c r="P873" s="37">
        <f>IF(NOT(OR($A873&lt;&gt;"",$E873&lt;&gt;"",$F873&lt;&gt;"",$G873&lt;&gt;"",$H873&lt;&gt;"",$I873&lt;&gt;"")),"",IF(ISNUMBER($O873),IF(INDEX('請求台帳'!$C$5:$C$1004,$O873)="","",INDEX('請求台帳'!$C$5:$C$1004,$O873)),IF($C873="","",$C873)))</f>
        <v/>
      </c>
      <c r="Q873" s="35">
        <f>IF(OR(NOT(OR($A873&lt;&gt;"",$E873&lt;&gt;"",$F873&lt;&gt;"",$G873&lt;&gt;"",$H873&lt;&gt;"",$I873&lt;&gt;"")),$P873="",$P873&lt;&gt;'売掛帳'!$B$3,NOT(ISNUMBER($A873)),N($G873)+N($H873)+N($I873)=0),"",IF(AND($A873&gt;='売掛帳'!$Q$3,$A873&lt;='売掛帳'!$Q$4),$A873+0.5+ROW()/10000000,""))</f>
        <v/>
      </c>
      <c r="R873" s="32">
        <f>IF(AND(OR($A873&lt;&gt;"",$E873&lt;&gt;"",$F873&lt;&gt;"",$G873&lt;&gt;"",$H873&lt;&gt;"",$I873&lt;&gt;""),NOT(ISNUMBER($O873))),1,"")</f>
        <v/>
      </c>
    </row>
    <row r="874" ht="18" customHeight="1">
      <c r="A874" s="26" t="n"/>
      <c r="B874" s="18" t="n"/>
      <c r="C874" s="18" t="n"/>
      <c r="D874" s="20">
        <f>IF($P874="","",IFERROR(INDEX('得意先'!$C$5:$C$104,MATCH($P874,'得意先'!$B$5:$B$104,0))&amp;"","※得意先にないコード"))</f>
        <v/>
      </c>
      <c r="E874" s="27" t="n"/>
      <c r="F874" s="18" t="n"/>
      <c r="G874" s="27" t="n"/>
      <c r="H874" s="27" t="n"/>
      <c r="I874" s="27" t="n"/>
      <c r="J874" s="28">
        <f>IF(NOT(OR($A874&lt;&gt;"",$E874&lt;&gt;"",$F874&lt;&gt;"",$G874&lt;&gt;"",$H874&lt;&gt;"",$I874&lt;&gt;"")),"",N($G874)+N($H874)+N($I874))</f>
        <v/>
      </c>
      <c r="K874" s="28">
        <f>IF(ISNUMBER($O874),INDEX('請求台帳'!$R$5:$R$1004,$O874),"")</f>
        <v/>
      </c>
      <c r="L874" s="20">
        <f>IF(NOT(OR($A874&lt;&gt;"",$E874&lt;&gt;"",$F874&lt;&gt;"",$G874&lt;&gt;"",$H874&lt;&gt;"",$I874&lt;&gt;"")),"",IF(NOT(ISNUMBER($A874)),"入金日がありません",IF(AND($F874&lt;&gt;"",$O874="なし"),"請求Noが請求台帳にありません",IF(AND(ISNUMBER($O874),$C874&lt;&gt;"",$C874&lt;&gt;$P874),"請求の得意先は "&amp;$P874&amp;" です",IF(ROUND(IF($B874&lt;&gt;"",SUMIF($B$5:$B$1004,$B874,$E$5:$E$1004)-SUMIF($B$5:$B$1004,$B874,$G$5:$G$1004),N($E874)-N($G874)),0)&lt;&gt;0,"通帳の額と当てた額の差 "&amp;TEXT(IF($B874&lt;&gt;"",SUMIF($B$5:$B$1004,$B874,$E$5:$E$1004)-SUMIF($B$5:$B$1004,$B874,$G$5:$G$1004),N($E874)-N($G874)),"#,##0"),IF(AND(ISNUMBER($O874),N($K874)&lt;0),"請求額より多く消し込んでいます",IF($F874="","消込先が未定","OK")))))))</f>
        <v/>
      </c>
      <c r="M874" s="19" t="n"/>
      <c r="N874" s="56" t="n"/>
      <c r="O874" s="32">
        <f>IF($F874="","",IFERROR(MATCH($F874,'請求台帳'!$A$5:$A$1004,0),"なし"))</f>
        <v/>
      </c>
      <c r="P874" s="37">
        <f>IF(NOT(OR($A874&lt;&gt;"",$E874&lt;&gt;"",$F874&lt;&gt;"",$G874&lt;&gt;"",$H874&lt;&gt;"",$I874&lt;&gt;"")),"",IF(ISNUMBER($O874),IF(INDEX('請求台帳'!$C$5:$C$1004,$O874)="","",INDEX('請求台帳'!$C$5:$C$1004,$O874)),IF($C874="","",$C874)))</f>
        <v/>
      </c>
      <c r="Q874" s="35">
        <f>IF(OR(NOT(OR($A874&lt;&gt;"",$E874&lt;&gt;"",$F874&lt;&gt;"",$G874&lt;&gt;"",$H874&lt;&gt;"",$I874&lt;&gt;"")),$P874="",$P874&lt;&gt;'売掛帳'!$B$3,NOT(ISNUMBER($A874)),N($G874)+N($H874)+N($I874)=0),"",IF(AND($A874&gt;='売掛帳'!$Q$3,$A874&lt;='売掛帳'!$Q$4),$A874+0.5+ROW()/10000000,""))</f>
        <v/>
      </c>
      <c r="R874" s="32">
        <f>IF(AND(OR($A874&lt;&gt;"",$E874&lt;&gt;"",$F874&lt;&gt;"",$G874&lt;&gt;"",$H874&lt;&gt;"",$I874&lt;&gt;""),NOT(ISNUMBER($O874))),1,"")</f>
        <v/>
      </c>
    </row>
    <row r="875" ht="18" customHeight="1">
      <c r="A875" s="26" t="n"/>
      <c r="B875" s="18" t="n"/>
      <c r="C875" s="18" t="n"/>
      <c r="D875" s="20">
        <f>IF($P875="","",IFERROR(INDEX('得意先'!$C$5:$C$104,MATCH($P875,'得意先'!$B$5:$B$104,0))&amp;"","※得意先にないコード"))</f>
        <v/>
      </c>
      <c r="E875" s="27" t="n"/>
      <c r="F875" s="18" t="n"/>
      <c r="G875" s="27" t="n"/>
      <c r="H875" s="27" t="n"/>
      <c r="I875" s="27" t="n"/>
      <c r="J875" s="28">
        <f>IF(NOT(OR($A875&lt;&gt;"",$E875&lt;&gt;"",$F875&lt;&gt;"",$G875&lt;&gt;"",$H875&lt;&gt;"",$I875&lt;&gt;"")),"",N($G875)+N($H875)+N($I875))</f>
        <v/>
      </c>
      <c r="K875" s="28">
        <f>IF(ISNUMBER($O875),INDEX('請求台帳'!$R$5:$R$1004,$O875),"")</f>
        <v/>
      </c>
      <c r="L875" s="20">
        <f>IF(NOT(OR($A875&lt;&gt;"",$E875&lt;&gt;"",$F875&lt;&gt;"",$G875&lt;&gt;"",$H875&lt;&gt;"",$I875&lt;&gt;"")),"",IF(NOT(ISNUMBER($A875)),"入金日がありません",IF(AND($F875&lt;&gt;"",$O875="なし"),"請求Noが請求台帳にありません",IF(AND(ISNUMBER($O875),$C875&lt;&gt;"",$C875&lt;&gt;$P875),"請求の得意先は "&amp;$P875&amp;" です",IF(ROUND(IF($B875&lt;&gt;"",SUMIF($B$5:$B$1004,$B875,$E$5:$E$1004)-SUMIF($B$5:$B$1004,$B875,$G$5:$G$1004),N($E875)-N($G875)),0)&lt;&gt;0,"通帳の額と当てた額の差 "&amp;TEXT(IF($B875&lt;&gt;"",SUMIF($B$5:$B$1004,$B875,$E$5:$E$1004)-SUMIF($B$5:$B$1004,$B875,$G$5:$G$1004),N($E875)-N($G875)),"#,##0"),IF(AND(ISNUMBER($O875),N($K875)&lt;0),"請求額より多く消し込んでいます",IF($F875="","消込先が未定","OK")))))))</f>
        <v/>
      </c>
      <c r="M875" s="19" t="n"/>
      <c r="N875" s="56" t="n"/>
      <c r="O875" s="32">
        <f>IF($F875="","",IFERROR(MATCH($F875,'請求台帳'!$A$5:$A$1004,0),"なし"))</f>
        <v/>
      </c>
      <c r="P875" s="37">
        <f>IF(NOT(OR($A875&lt;&gt;"",$E875&lt;&gt;"",$F875&lt;&gt;"",$G875&lt;&gt;"",$H875&lt;&gt;"",$I875&lt;&gt;"")),"",IF(ISNUMBER($O875),IF(INDEX('請求台帳'!$C$5:$C$1004,$O875)="","",INDEX('請求台帳'!$C$5:$C$1004,$O875)),IF($C875="","",$C875)))</f>
        <v/>
      </c>
      <c r="Q875" s="35">
        <f>IF(OR(NOT(OR($A875&lt;&gt;"",$E875&lt;&gt;"",$F875&lt;&gt;"",$G875&lt;&gt;"",$H875&lt;&gt;"",$I875&lt;&gt;"")),$P875="",$P875&lt;&gt;'売掛帳'!$B$3,NOT(ISNUMBER($A875)),N($G875)+N($H875)+N($I875)=0),"",IF(AND($A875&gt;='売掛帳'!$Q$3,$A875&lt;='売掛帳'!$Q$4),$A875+0.5+ROW()/10000000,""))</f>
        <v/>
      </c>
      <c r="R875" s="32">
        <f>IF(AND(OR($A875&lt;&gt;"",$E875&lt;&gt;"",$F875&lt;&gt;"",$G875&lt;&gt;"",$H875&lt;&gt;"",$I875&lt;&gt;""),NOT(ISNUMBER($O875))),1,"")</f>
        <v/>
      </c>
    </row>
    <row r="876" ht="18" customHeight="1">
      <c r="A876" s="26" t="n"/>
      <c r="B876" s="18" t="n"/>
      <c r="C876" s="18" t="n"/>
      <c r="D876" s="20">
        <f>IF($P876="","",IFERROR(INDEX('得意先'!$C$5:$C$104,MATCH($P876,'得意先'!$B$5:$B$104,0))&amp;"","※得意先にないコード"))</f>
        <v/>
      </c>
      <c r="E876" s="27" t="n"/>
      <c r="F876" s="18" t="n"/>
      <c r="G876" s="27" t="n"/>
      <c r="H876" s="27" t="n"/>
      <c r="I876" s="27" t="n"/>
      <c r="J876" s="28">
        <f>IF(NOT(OR($A876&lt;&gt;"",$E876&lt;&gt;"",$F876&lt;&gt;"",$G876&lt;&gt;"",$H876&lt;&gt;"",$I876&lt;&gt;"")),"",N($G876)+N($H876)+N($I876))</f>
        <v/>
      </c>
      <c r="K876" s="28">
        <f>IF(ISNUMBER($O876),INDEX('請求台帳'!$R$5:$R$1004,$O876),"")</f>
        <v/>
      </c>
      <c r="L876" s="20">
        <f>IF(NOT(OR($A876&lt;&gt;"",$E876&lt;&gt;"",$F876&lt;&gt;"",$G876&lt;&gt;"",$H876&lt;&gt;"",$I876&lt;&gt;"")),"",IF(NOT(ISNUMBER($A876)),"入金日がありません",IF(AND($F876&lt;&gt;"",$O876="なし"),"請求Noが請求台帳にありません",IF(AND(ISNUMBER($O876),$C876&lt;&gt;"",$C876&lt;&gt;$P876),"請求の得意先は "&amp;$P876&amp;" です",IF(ROUND(IF($B876&lt;&gt;"",SUMIF($B$5:$B$1004,$B876,$E$5:$E$1004)-SUMIF($B$5:$B$1004,$B876,$G$5:$G$1004),N($E876)-N($G876)),0)&lt;&gt;0,"通帳の額と当てた額の差 "&amp;TEXT(IF($B876&lt;&gt;"",SUMIF($B$5:$B$1004,$B876,$E$5:$E$1004)-SUMIF($B$5:$B$1004,$B876,$G$5:$G$1004),N($E876)-N($G876)),"#,##0"),IF(AND(ISNUMBER($O876),N($K876)&lt;0),"請求額より多く消し込んでいます",IF($F876="","消込先が未定","OK")))))))</f>
        <v/>
      </c>
      <c r="M876" s="19" t="n"/>
      <c r="N876" s="56" t="n"/>
      <c r="O876" s="32">
        <f>IF($F876="","",IFERROR(MATCH($F876,'請求台帳'!$A$5:$A$1004,0),"なし"))</f>
        <v/>
      </c>
      <c r="P876" s="37">
        <f>IF(NOT(OR($A876&lt;&gt;"",$E876&lt;&gt;"",$F876&lt;&gt;"",$G876&lt;&gt;"",$H876&lt;&gt;"",$I876&lt;&gt;"")),"",IF(ISNUMBER($O876),IF(INDEX('請求台帳'!$C$5:$C$1004,$O876)="","",INDEX('請求台帳'!$C$5:$C$1004,$O876)),IF($C876="","",$C876)))</f>
        <v/>
      </c>
      <c r="Q876" s="35">
        <f>IF(OR(NOT(OR($A876&lt;&gt;"",$E876&lt;&gt;"",$F876&lt;&gt;"",$G876&lt;&gt;"",$H876&lt;&gt;"",$I876&lt;&gt;"")),$P876="",$P876&lt;&gt;'売掛帳'!$B$3,NOT(ISNUMBER($A876)),N($G876)+N($H876)+N($I876)=0),"",IF(AND($A876&gt;='売掛帳'!$Q$3,$A876&lt;='売掛帳'!$Q$4),$A876+0.5+ROW()/10000000,""))</f>
        <v/>
      </c>
      <c r="R876" s="32">
        <f>IF(AND(OR($A876&lt;&gt;"",$E876&lt;&gt;"",$F876&lt;&gt;"",$G876&lt;&gt;"",$H876&lt;&gt;"",$I876&lt;&gt;""),NOT(ISNUMBER($O876))),1,"")</f>
        <v/>
      </c>
    </row>
    <row r="877" ht="18" customHeight="1">
      <c r="A877" s="26" t="n"/>
      <c r="B877" s="18" t="n"/>
      <c r="C877" s="18" t="n"/>
      <c r="D877" s="20">
        <f>IF($P877="","",IFERROR(INDEX('得意先'!$C$5:$C$104,MATCH($P877,'得意先'!$B$5:$B$104,0))&amp;"","※得意先にないコード"))</f>
        <v/>
      </c>
      <c r="E877" s="27" t="n"/>
      <c r="F877" s="18" t="n"/>
      <c r="G877" s="27" t="n"/>
      <c r="H877" s="27" t="n"/>
      <c r="I877" s="27" t="n"/>
      <c r="J877" s="28">
        <f>IF(NOT(OR($A877&lt;&gt;"",$E877&lt;&gt;"",$F877&lt;&gt;"",$G877&lt;&gt;"",$H877&lt;&gt;"",$I877&lt;&gt;"")),"",N($G877)+N($H877)+N($I877))</f>
        <v/>
      </c>
      <c r="K877" s="28">
        <f>IF(ISNUMBER($O877),INDEX('請求台帳'!$R$5:$R$1004,$O877),"")</f>
        <v/>
      </c>
      <c r="L877" s="20">
        <f>IF(NOT(OR($A877&lt;&gt;"",$E877&lt;&gt;"",$F877&lt;&gt;"",$G877&lt;&gt;"",$H877&lt;&gt;"",$I877&lt;&gt;"")),"",IF(NOT(ISNUMBER($A877)),"入金日がありません",IF(AND($F877&lt;&gt;"",$O877="なし"),"請求Noが請求台帳にありません",IF(AND(ISNUMBER($O877),$C877&lt;&gt;"",$C877&lt;&gt;$P877),"請求の得意先は "&amp;$P877&amp;" です",IF(ROUND(IF($B877&lt;&gt;"",SUMIF($B$5:$B$1004,$B877,$E$5:$E$1004)-SUMIF($B$5:$B$1004,$B877,$G$5:$G$1004),N($E877)-N($G877)),0)&lt;&gt;0,"通帳の額と当てた額の差 "&amp;TEXT(IF($B877&lt;&gt;"",SUMIF($B$5:$B$1004,$B877,$E$5:$E$1004)-SUMIF($B$5:$B$1004,$B877,$G$5:$G$1004),N($E877)-N($G877)),"#,##0"),IF(AND(ISNUMBER($O877),N($K877)&lt;0),"請求額より多く消し込んでいます",IF($F877="","消込先が未定","OK")))))))</f>
        <v/>
      </c>
      <c r="M877" s="19" t="n"/>
      <c r="N877" s="56" t="n"/>
      <c r="O877" s="32">
        <f>IF($F877="","",IFERROR(MATCH($F877,'請求台帳'!$A$5:$A$1004,0),"なし"))</f>
        <v/>
      </c>
      <c r="P877" s="37">
        <f>IF(NOT(OR($A877&lt;&gt;"",$E877&lt;&gt;"",$F877&lt;&gt;"",$G877&lt;&gt;"",$H877&lt;&gt;"",$I877&lt;&gt;"")),"",IF(ISNUMBER($O877),IF(INDEX('請求台帳'!$C$5:$C$1004,$O877)="","",INDEX('請求台帳'!$C$5:$C$1004,$O877)),IF($C877="","",$C877)))</f>
        <v/>
      </c>
      <c r="Q877" s="35">
        <f>IF(OR(NOT(OR($A877&lt;&gt;"",$E877&lt;&gt;"",$F877&lt;&gt;"",$G877&lt;&gt;"",$H877&lt;&gt;"",$I877&lt;&gt;"")),$P877="",$P877&lt;&gt;'売掛帳'!$B$3,NOT(ISNUMBER($A877)),N($G877)+N($H877)+N($I877)=0),"",IF(AND($A877&gt;='売掛帳'!$Q$3,$A877&lt;='売掛帳'!$Q$4),$A877+0.5+ROW()/10000000,""))</f>
        <v/>
      </c>
      <c r="R877" s="32">
        <f>IF(AND(OR($A877&lt;&gt;"",$E877&lt;&gt;"",$F877&lt;&gt;"",$G877&lt;&gt;"",$H877&lt;&gt;"",$I877&lt;&gt;""),NOT(ISNUMBER($O877))),1,"")</f>
        <v/>
      </c>
    </row>
    <row r="878" ht="18" customHeight="1">
      <c r="A878" s="26" t="n"/>
      <c r="B878" s="18" t="n"/>
      <c r="C878" s="18" t="n"/>
      <c r="D878" s="20">
        <f>IF($P878="","",IFERROR(INDEX('得意先'!$C$5:$C$104,MATCH($P878,'得意先'!$B$5:$B$104,0))&amp;"","※得意先にないコード"))</f>
        <v/>
      </c>
      <c r="E878" s="27" t="n"/>
      <c r="F878" s="18" t="n"/>
      <c r="G878" s="27" t="n"/>
      <c r="H878" s="27" t="n"/>
      <c r="I878" s="27" t="n"/>
      <c r="J878" s="28">
        <f>IF(NOT(OR($A878&lt;&gt;"",$E878&lt;&gt;"",$F878&lt;&gt;"",$G878&lt;&gt;"",$H878&lt;&gt;"",$I878&lt;&gt;"")),"",N($G878)+N($H878)+N($I878))</f>
        <v/>
      </c>
      <c r="K878" s="28">
        <f>IF(ISNUMBER($O878),INDEX('請求台帳'!$R$5:$R$1004,$O878),"")</f>
        <v/>
      </c>
      <c r="L878" s="20">
        <f>IF(NOT(OR($A878&lt;&gt;"",$E878&lt;&gt;"",$F878&lt;&gt;"",$G878&lt;&gt;"",$H878&lt;&gt;"",$I878&lt;&gt;"")),"",IF(NOT(ISNUMBER($A878)),"入金日がありません",IF(AND($F878&lt;&gt;"",$O878="なし"),"請求Noが請求台帳にありません",IF(AND(ISNUMBER($O878),$C878&lt;&gt;"",$C878&lt;&gt;$P878),"請求の得意先は "&amp;$P878&amp;" です",IF(ROUND(IF($B878&lt;&gt;"",SUMIF($B$5:$B$1004,$B878,$E$5:$E$1004)-SUMIF($B$5:$B$1004,$B878,$G$5:$G$1004),N($E878)-N($G878)),0)&lt;&gt;0,"通帳の額と当てた額の差 "&amp;TEXT(IF($B878&lt;&gt;"",SUMIF($B$5:$B$1004,$B878,$E$5:$E$1004)-SUMIF($B$5:$B$1004,$B878,$G$5:$G$1004),N($E878)-N($G878)),"#,##0"),IF(AND(ISNUMBER($O878),N($K878)&lt;0),"請求額より多く消し込んでいます",IF($F878="","消込先が未定","OK")))))))</f>
        <v/>
      </c>
      <c r="M878" s="19" t="n"/>
      <c r="N878" s="56" t="n"/>
      <c r="O878" s="32">
        <f>IF($F878="","",IFERROR(MATCH($F878,'請求台帳'!$A$5:$A$1004,0),"なし"))</f>
        <v/>
      </c>
      <c r="P878" s="37">
        <f>IF(NOT(OR($A878&lt;&gt;"",$E878&lt;&gt;"",$F878&lt;&gt;"",$G878&lt;&gt;"",$H878&lt;&gt;"",$I878&lt;&gt;"")),"",IF(ISNUMBER($O878),IF(INDEX('請求台帳'!$C$5:$C$1004,$O878)="","",INDEX('請求台帳'!$C$5:$C$1004,$O878)),IF($C878="","",$C878)))</f>
        <v/>
      </c>
      <c r="Q878" s="35">
        <f>IF(OR(NOT(OR($A878&lt;&gt;"",$E878&lt;&gt;"",$F878&lt;&gt;"",$G878&lt;&gt;"",$H878&lt;&gt;"",$I878&lt;&gt;"")),$P878="",$P878&lt;&gt;'売掛帳'!$B$3,NOT(ISNUMBER($A878)),N($G878)+N($H878)+N($I878)=0),"",IF(AND($A878&gt;='売掛帳'!$Q$3,$A878&lt;='売掛帳'!$Q$4),$A878+0.5+ROW()/10000000,""))</f>
        <v/>
      </c>
      <c r="R878" s="32">
        <f>IF(AND(OR($A878&lt;&gt;"",$E878&lt;&gt;"",$F878&lt;&gt;"",$G878&lt;&gt;"",$H878&lt;&gt;"",$I878&lt;&gt;""),NOT(ISNUMBER($O878))),1,"")</f>
        <v/>
      </c>
    </row>
    <row r="879" ht="18" customHeight="1">
      <c r="A879" s="26" t="n"/>
      <c r="B879" s="18" t="n"/>
      <c r="C879" s="18" t="n"/>
      <c r="D879" s="20">
        <f>IF($P879="","",IFERROR(INDEX('得意先'!$C$5:$C$104,MATCH($P879,'得意先'!$B$5:$B$104,0))&amp;"","※得意先にないコード"))</f>
        <v/>
      </c>
      <c r="E879" s="27" t="n"/>
      <c r="F879" s="18" t="n"/>
      <c r="G879" s="27" t="n"/>
      <c r="H879" s="27" t="n"/>
      <c r="I879" s="27" t="n"/>
      <c r="J879" s="28">
        <f>IF(NOT(OR($A879&lt;&gt;"",$E879&lt;&gt;"",$F879&lt;&gt;"",$G879&lt;&gt;"",$H879&lt;&gt;"",$I879&lt;&gt;"")),"",N($G879)+N($H879)+N($I879))</f>
        <v/>
      </c>
      <c r="K879" s="28">
        <f>IF(ISNUMBER($O879),INDEX('請求台帳'!$R$5:$R$1004,$O879),"")</f>
        <v/>
      </c>
      <c r="L879" s="20">
        <f>IF(NOT(OR($A879&lt;&gt;"",$E879&lt;&gt;"",$F879&lt;&gt;"",$G879&lt;&gt;"",$H879&lt;&gt;"",$I879&lt;&gt;"")),"",IF(NOT(ISNUMBER($A879)),"入金日がありません",IF(AND($F879&lt;&gt;"",$O879="なし"),"請求Noが請求台帳にありません",IF(AND(ISNUMBER($O879),$C879&lt;&gt;"",$C879&lt;&gt;$P879),"請求の得意先は "&amp;$P879&amp;" です",IF(ROUND(IF($B879&lt;&gt;"",SUMIF($B$5:$B$1004,$B879,$E$5:$E$1004)-SUMIF($B$5:$B$1004,$B879,$G$5:$G$1004),N($E879)-N($G879)),0)&lt;&gt;0,"通帳の額と当てた額の差 "&amp;TEXT(IF($B879&lt;&gt;"",SUMIF($B$5:$B$1004,$B879,$E$5:$E$1004)-SUMIF($B$5:$B$1004,$B879,$G$5:$G$1004),N($E879)-N($G879)),"#,##0"),IF(AND(ISNUMBER($O879),N($K879)&lt;0),"請求額より多く消し込んでいます",IF($F879="","消込先が未定","OK")))))))</f>
        <v/>
      </c>
      <c r="M879" s="19" t="n"/>
      <c r="N879" s="56" t="n"/>
      <c r="O879" s="32">
        <f>IF($F879="","",IFERROR(MATCH($F879,'請求台帳'!$A$5:$A$1004,0),"なし"))</f>
        <v/>
      </c>
      <c r="P879" s="37">
        <f>IF(NOT(OR($A879&lt;&gt;"",$E879&lt;&gt;"",$F879&lt;&gt;"",$G879&lt;&gt;"",$H879&lt;&gt;"",$I879&lt;&gt;"")),"",IF(ISNUMBER($O879),IF(INDEX('請求台帳'!$C$5:$C$1004,$O879)="","",INDEX('請求台帳'!$C$5:$C$1004,$O879)),IF($C879="","",$C879)))</f>
        <v/>
      </c>
      <c r="Q879" s="35">
        <f>IF(OR(NOT(OR($A879&lt;&gt;"",$E879&lt;&gt;"",$F879&lt;&gt;"",$G879&lt;&gt;"",$H879&lt;&gt;"",$I879&lt;&gt;"")),$P879="",$P879&lt;&gt;'売掛帳'!$B$3,NOT(ISNUMBER($A879)),N($G879)+N($H879)+N($I879)=0),"",IF(AND($A879&gt;='売掛帳'!$Q$3,$A879&lt;='売掛帳'!$Q$4),$A879+0.5+ROW()/10000000,""))</f>
        <v/>
      </c>
      <c r="R879" s="32">
        <f>IF(AND(OR($A879&lt;&gt;"",$E879&lt;&gt;"",$F879&lt;&gt;"",$G879&lt;&gt;"",$H879&lt;&gt;"",$I879&lt;&gt;""),NOT(ISNUMBER($O879))),1,"")</f>
        <v/>
      </c>
    </row>
    <row r="880" ht="18" customHeight="1">
      <c r="A880" s="26" t="n"/>
      <c r="B880" s="18" t="n"/>
      <c r="C880" s="18" t="n"/>
      <c r="D880" s="20">
        <f>IF($P880="","",IFERROR(INDEX('得意先'!$C$5:$C$104,MATCH($P880,'得意先'!$B$5:$B$104,0))&amp;"","※得意先にないコード"))</f>
        <v/>
      </c>
      <c r="E880" s="27" t="n"/>
      <c r="F880" s="18" t="n"/>
      <c r="G880" s="27" t="n"/>
      <c r="H880" s="27" t="n"/>
      <c r="I880" s="27" t="n"/>
      <c r="J880" s="28">
        <f>IF(NOT(OR($A880&lt;&gt;"",$E880&lt;&gt;"",$F880&lt;&gt;"",$G880&lt;&gt;"",$H880&lt;&gt;"",$I880&lt;&gt;"")),"",N($G880)+N($H880)+N($I880))</f>
        <v/>
      </c>
      <c r="K880" s="28">
        <f>IF(ISNUMBER($O880),INDEX('請求台帳'!$R$5:$R$1004,$O880),"")</f>
        <v/>
      </c>
      <c r="L880" s="20">
        <f>IF(NOT(OR($A880&lt;&gt;"",$E880&lt;&gt;"",$F880&lt;&gt;"",$G880&lt;&gt;"",$H880&lt;&gt;"",$I880&lt;&gt;"")),"",IF(NOT(ISNUMBER($A880)),"入金日がありません",IF(AND($F880&lt;&gt;"",$O880="なし"),"請求Noが請求台帳にありません",IF(AND(ISNUMBER($O880),$C880&lt;&gt;"",$C880&lt;&gt;$P880),"請求の得意先は "&amp;$P880&amp;" です",IF(ROUND(IF($B880&lt;&gt;"",SUMIF($B$5:$B$1004,$B880,$E$5:$E$1004)-SUMIF($B$5:$B$1004,$B880,$G$5:$G$1004),N($E880)-N($G880)),0)&lt;&gt;0,"通帳の額と当てた額の差 "&amp;TEXT(IF($B880&lt;&gt;"",SUMIF($B$5:$B$1004,$B880,$E$5:$E$1004)-SUMIF($B$5:$B$1004,$B880,$G$5:$G$1004),N($E880)-N($G880)),"#,##0"),IF(AND(ISNUMBER($O880),N($K880)&lt;0),"請求額より多く消し込んでいます",IF($F880="","消込先が未定","OK")))))))</f>
        <v/>
      </c>
      <c r="M880" s="19" t="n"/>
      <c r="N880" s="56" t="n"/>
      <c r="O880" s="32">
        <f>IF($F880="","",IFERROR(MATCH($F880,'請求台帳'!$A$5:$A$1004,0),"なし"))</f>
        <v/>
      </c>
      <c r="P880" s="37">
        <f>IF(NOT(OR($A880&lt;&gt;"",$E880&lt;&gt;"",$F880&lt;&gt;"",$G880&lt;&gt;"",$H880&lt;&gt;"",$I880&lt;&gt;"")),"",IF(ISNUMBER($O880),IF(INDEX('請求台帳'!$C$5:$C$1004,$O880)="","",INDEX('請求台帳'!$C$5:$C$1004,$O880)),IF($C880="","",$C880)))</f>
        <v/>
      </c>
      <c r="Q880" s="35">
        <f>IF(OR(NOT(OR($A880&lt;&gt;"",$E880&lt;&gt;"",$F880&lt;&gt;"",$G880&lt;&gt;"",$H880&lt;&gt;"",$I880&lt;&gt;"")),$P880="",$P880&lt;&gt;'売掛帳'!$B$3,NOT(ISNUMBER($A880)),N($G880)+N($H880)+N($I880)=0),"",IF(AND($A880&gt;='売掛帳'!$Q$3,$A880&lt;='売掛帳'!$Q$4),$A880+0.5+ROW()/10000000,""))</f>
        <v/>
      </c>
      <c r="R880" s="32">
        <f>IF(AND(OR($A880&lt;&gt;"",$E880&lt;&gt;"",$F880&lt;&gt;"",$G880&lt;&gt;"",$H880&lt;&gt;"",$I880&lt;&gt;""),NOT(ISNUMBER($O880))),1,"")</f>
        <v/>
      </c>
    </row>
    <row r="881" ht="18" customHeight="1">
      <c r="A881" s="26" t="n"/>
      <c r="B881" s="18" t="n"/>
      <c r="C881" s="18" t="n"/>
      <c r="D881" s="20">
        <f>IF($P881="","",IFERROR(INDEX('得意先'!$C$5:$C$104,MATCH($P881,'得意先'!$B$5:$B$104,0))&amp;"","※得意先にないコード"))</f>
        <v/>
      </c>
      <c r="E881" s="27" t="n"/>
      <c r="F881" s="18" t="n"/>
      <c r="G881" s="27" t="n"/>
      <c r="H881" s="27" t="n"/>
      <c r="I881" s="27" t="n"/>
      <c r="J881" s="28">
        <f>IF(NOT(OR($A881&lt;&gt;"",$E881&lt;&gt;"",$F881&lt;&gt;"",$G881&lt;&gt;"",$H881&lt;&gt;"",$I881&lt;&gt;"")),"",N($G881)+N($H881)+N($I881))</f>
        <v/>
      </c>
      <c r="K881" s="28">
        <f>IF(ISNUMBER($O881),INDEX('請求台帳'!$R$5:$R$1004,$O881),"")</f>
        <v/>
      </c>
      <c r="L881" s="20">
        <f>IF(NOT(OR($A881&lt;&gt;"",$E881&lt;&gt;"",$F881&lt;&gt;"",$G881&lt;&gt;"",$H881&lt;&gt;"",$I881&lt;&gt;"")),"",IF(NOT(ISNUMBER($A881)),"入金日がありません",IF(AND($F881&lt;&gt;"",$O881="なし"),"請求Noが請求台帳にありません",IF(AND(ISNUMBER($O881),$C881&lt;&gt;"",$C881&lt;&gt;$P881),"請求の得意先は "&amp;$P881&amp;" です",IF(ROUND(IF($B881&lt;&gt;"",SUMIF($B$5:$B$1004,$B881,$E$5:$E$1004)-SUMIF($B$5:$B$1004,$B881,$G$5:$G$1004),N($E881)-N($G881)),0)&lt;&gt;0,"通帳の額と当てた額の差 "&amp;TEXT(IF($B881&lt;&gt;"",SUMIF($B$5:$B$1004,$B881,$E$5:$E$1004)-SUMIF($B$5:$B$1004,$B881,$G$5:$G$1004),N($E881)-N($G881)),"#,##0"),IF(AND(ISNUMBER($O881),N($K881)&lt;0),"請求額より多く消し込んでいます",IF($F881="","消込先が未定","OK")))))))</f>
        <v/>
      </c>
      <c r="M881" s="19" t="n"/>
      <c r="N881" s="56" t="n"/>
      <c r="O881" s="32">
        <f>IF($F881="","",IFERROR(MATCH($F881,'請求台帳'!$A$5:$A$1004,0),"なし"))</f>
        <v/>
      </c>
      <c r="P881" s="37">
        <f>IF(NOT(OR($A881&lt;&gt;"",$E881&lt;&gt;"",$F881&lt;&gt;"",$G881&lt;&gt;"",$H881&lt;&gt;"",$I881&lt;&gt;"")),"",IF(ISNUMBER($O881),IF(INDEX('請求台帳'!$C$5:$C$1004,$O881)="","",INDEX('請求台帳'!$C$5:$C$1004,$O881)),IF($C881="","",$C881)))</f>
        <v/>
      </c>
      <c r="Q881" s="35">
        <f>IF(OR(NOT(OR($A881&lt;&gt;"",$E881&lt;&gt;"",$F881&lt;&gt;"",$G881&lt;&gt;"",$H881&lt;&gt;"",$I881&lt;&gt;"")),$P881="",$P881&lt;&gt;'売掛帳'!$B$3,NOT(ISNUMBER($A881)),N($G881)+N($H881)+N($I881)=0),"",IF(AND($A881&gt;='売掛帳'!$Q$3,$A881&lt;='売掛帳'!$Q$4),$A881+0.5+ROW()/10000000,""))</f>
        <v/>
      </c>
      <c r="R881" s="32">
        <f>IF(AND(OR($A881&lt;&gt;"",$E881&lt;&gt;"",$F881&lt;&gt;"",$G881&lt;&gt;"",$H881&lt;&gt;"",$I881&lt;&gt;""),NOT(ISNUMBER($O881))),1,"")</f>
        <v/>
      </c>
    </row>
    <row r="882" ht="18" customHeight="1">
      <c r="A882" s="26" t="n"/>
      <c r="B882" s="18" t="n"/>
      <c r="C882" s="18" t="n"/>
      <c r="D882" s="20">
        <f>IF($P882="","",IFERROR(INDEX('得意先'!$C$5:$C$104,MATCH($P882,'得意先'!$B$5:$B$104,0))&amp;"","※得意先にないコード"))</f>
        <v/>
      </c>
      <c r="E882" s="27" t="n"/>
      <c r="F882" s="18" t="n"/>
      <c r="G882" s="27" t="n"/>
      <c r="H882" s="27" t="n"/>
      <c r="I882" s="27" t="n"/>
      <c r="J882" s="28">
        <f>IF(NOT(OR($A882&lt;&gt;"",$E882&lt;&gt;"",$F882&lt;&gt;"",$G882&lt;&gt;"",$H882&lt;&gt;"",$I882&lt;&gt;"")),"",N($G882)+N($H882)+N($I882))</f>
        <v/>
      </c>
      <c r="K882" s="28">
        <f>IF(ISNUMBER($O882),INDEX('請求台帳'!$R$5:$R$1004,$O882),"")</f>
        <v/>
      </c>
      <c r="L882" s="20">
        <f>IF(NOT(OR($A882&lt;&gt;"",$E882&lt;&gt;"",$F882&lt;&gt;"",$G882&lt;&gt;"",$H882&lt;&gt;"",$I882&lt;&gt;"")),"",IF(NOT(ISNUMBER($A882)),"入金日がありません",IF(AND($F882&lt;&gt;"",$O882="なし"),"請求Noが請求台帳にありません",IF(AND(ISNUMBER($O882),$C882&lt;&gt;"",$C882&lt;&gt;$P882),"請求の得意先は "&amp;$P882&amp;" です",IF(ROUND(IF($B882&lt;&gt;"",SUMIF($B$5:$B$1004,$B882,$E$5:$E$1004)-SUMIF($B$5:$B$1004,$B882,$G$5:$G$1004),N($E882)-N($G882)),0)&lt;&gt;0,"通帳の額と当てた額の差 "&amp;TEXT(IF($B882&lt;&gt;"",SUMIF($B$5:$B$1004,$B882,$E$5:$E$1004)-SUMIF($B$5:$B$1004,$B882,$G$5:$G$1004),N($E882)-N($G882)),"#,##0"),IF(AND(ISNUMBER($O882),N($K882)&lt;0),"請求額より多く消し込んでいます",IF($F882="","消込先が未定","OK")))))))</f>
        <v/>
      </c>
      <c r="M882" s="19" t="n"/>
      <c r="N882" s="56" t="n"/>
      <c r="O882" s="32">
        <f>IF($F882="","",IFERROR(MATCH($F882,'請求台帳'!$A$5:$A$1004,0),"なし"))</f>
        <v/>
      </c>
      <c r="P882" s="37">
        <f>IF(NOT(OR($A882&lt;&gt;"",$E882&lt;&gt;"",$F882&lt;&gt;"",$G882&lt;&gt;"",$H882&lt;&gt;"",$I882&lt;&gt;"")),"",IF(ISNUMBER($O882),IF(INDEX('請求台帳'!$C$5:$C$1004,$O882)="","",INDEX('請求台帳'!$C$5:$C$1004,$O882)),IF($C882="","",$C882)))</f>
        <v/>
      </c>
      <c r="Q882" s="35">
        <f>IF(OR(NOT(OR($A882&lt;&gt;"",$E882&lt;&gt;"",$F882&lt;&gt;"",$G882&lt;&gt;"",$H882&lt;&gt;"",$I882&lt;&gt;"")),$P882="",$P882&lt;&gt;'売掛帳'!$B$3,NOT(ISNUMBER($A882)),N($G882)+N($H882)+N($I882)=0),"",IF(AND($A882&gt;='売掛帳'!$Q$3,$A882&lt;='売掛帳'!$Q$4),$A882+0.5+ROW()/10000000,""))</f>
        <v/>
      </c>
      <c r="R882" s="32">
        <f>IF(AND(OR($A882&lt;&gt;"",$E882&lt;&gt;"",$F882&lt;&gt;"",$G882&lt;&gt;"",$H882&lt;&gt;"",$I882&lt;&gt;""),NOT(ISNUMBER($O882))),1,"")</f>
        <v/>
      </c>
    </row>
    <row r="883" ht="18" customHeight="1">
      <c r="A883" s="26" t="n"/>
      <c r="B883" s="18" t="n"/>
      <c r="C883" s="18" t="n"/>
      <c r="D883" s="20">
        <f>IF($P883="","",IFERROR(INDEX('得意先'!$C$5:$C$104,MATCH($P883,'得意先'!$B$5:$B$104,0))&amp;"","※得意先にないコード"))</f>
        <v/>
      </c>
      <c r="E883" s="27" t="n"/>
      <c r="F883" s="18" t="n"/>
      <c r="G883" s="27" t="n"/>
      <c r="H883" s="27" t="n"/>
      <c r="I883" s="27" t="n"/>
      <c r="J883" s="28">
        <f>IF(NOT(OR($A883&lt;&gt;"",$E883&lt;&gt;"",$F883&lt;&gt;"",$G883&lt;&gt;"",$H883&lt;&gt;"",$I883&lt;&gt;"")),"",N($G883)+N($H883)+N($I883))</f>
        <v/>
      </c>
      <c r="K883" s="28">
        <f>IF(ISNUMBER($O883),INDEX('請求台帳'!$R$5:$R$1004,$O883),"")</f>
        <v/>
      </c>
      <c r="L883" s="20">
        <f>IF(NOT(OR($A883&lt;&gt;"",$E883&lt;&gt;"",$F883&lt;&gt;"",$G883&lt;&gt;"",$H883&lt;&gt;"",$I883&lt;&gt;"")),"",IF(NOT(ISNUMBER($A883)),"入金日がありません",IF(AND($F883&lt;&gt;"",$O883="なし"),"請求Noが請求台帳にありません",IF(AND(ISNUMBER($O883),$C883&lt;&gt;"",$C883&lt;&gt;$P883),"請求の得意先は "&amp;$P883&amp;" です",IF(ROUND(IF($B883&lt;&gt;"",SUMIF($B$5:$B$1004,$B883,$E$5:$E$1004)-SUMIF($B$5:$B$1004,$B883,$G$5:$G$1004),N($E883)-N($G883)),0)&lt;&gt;0,"通帳の額と当てた額の差 "&amp;TEXT(IF($B883&lt;&gt;"",SUMIF($B$5:$B$1004,$B883,$E$5:$E$1004)-SUMIF($B$5:$B$1004,$B883,$G$5:$G$1004),N($E883)-N($G883)),"#,##0"),IF(AND(ISNUMBER($O883),N($K883)&lt;0),"請求額より多く消し込んでいます",IF($F883="","消込先が未定","OK")))))))</f>
        <v/>
      </c>
      <c r="M883" s="19" t="n"/>
      <c r="N883" s="56" t="n"/>
      <c r="O883" s="32">
        <f>IF($F883="","",IFERROR(MATCH($F883,'請求台帳'!$A$5:$A$1004,0),"なし"))</f>
        <v/>
      </c>
      <c r="P883" s="37">
        <f>IF(NOT(OR($A883&lt;&gt;"",$E883&lt;&gt;"",$F883&lt;&gt;"",$G883&lt;&gt;"",$H883&lt;&gt;"",$I883&lt;&gt;"")),"",IF(ISNUMBER($O883),IF(INDEX('請求台帳'!$C$5:$C$1004,$O883)="","",INDEX('請求台帳'!$C$5:$C$1004,$O883)),IF($C883="","",$C883)))</f>
        <v/>
      </c>
      <c r="Q883" s="35">
        <f>IF(OR(NOT(OR($A883&lt;&gt;"",$E883&lt;&gt;"",$F883&lt;&gt;"",$G883&lt;&gt;"",$H883&lt;&gt;"",$I883&lt;&gt;"")),$P883="",$P883&lt;&gt;'売掛帳'!$B$3,NOT(ISNUMBER($A883)),N($G883)+N($H883)+N($I883)=0),"",IF(AND($A883&gt;='売掛帳'!$Q$3,$A883&lt;='売掛帳'!$Q$4),$A883+0.5+ROW()/10000000,""))</f>
        <v/>
      </c>
      <c r="R883" s="32">
        <f>IF(AND(OR($A883&lt;&gt;"",$E883&lt;&gt;"",$F883&lt;&gt;"",$G883&lt;&gt;"",$H883&lt;&gt;"",$I883&lt;&gt;""),NOT(ISNUMBER($O883))),1,"")</f>
        <v/>
      </c>
    </row>
    <row r="884" ht="18" customHeight="1">
      <c r="A884" s="26" t="n"/>
      <c r="B884" s="18" t="n"/>
      <c r="C884" s="18" t="n"/>
      <c r="D884" s="20">
        <f>IF($P884="","",IFERROR(INDEX('得意先'!$C$5:$C$104,MATCH($P884,'得意先'!$B$5:$B$104,0))&amp;"","※得意先にないコード"))</f>
        <v/>
      </c>
      <c r="E884" s="27" t="n"/>
      <c r="F884" s="18" t="n"/>
      <c r="G884" s="27" t="n"/>
      <c r="H884" s="27" t="n"/>
      <c r="I884" s="27" t="n"/>
      <c r="J884" s="28">
        <f>IF(NOT(OR($A884&lt;&gt;"",$E884&lt;&gt;"",$F884&lt;&gt;"",$G884&lt;&gt;"",$H884&lt;&gt;"",$I884&lt;&gt;"")),"",N($G884)+N($H884)+N($I884))</f>
        <v/>
      </c>
      <c r="K884" s="28">
        <f>IF(ISNUMBER($O884),INDEX('請求台帳'!$R$5:$R$1004,$O884),"")</f>
        <v/>
      </c>
      <c r="L884" s="20">
        <f>IF(NOT(OR($A884&lt;&gt;"",$E884&lt;&gt;"",$F884&lt;&gt;"",$G884&lt;&gt;"",$H884&lt;&gt;"",$I884&lt;&gt;"")),"",IF(NOT(ISNUMBER($A884)),"入金日がありません",IF(AND($F884&lt;&gt;"",$O884="なし"),"請求Noが請求台帳にありません",IF(AND(ISNUMBER($O884),$C884&lt;&gt;"",$C884&lt;&gt;$P884),"請求の得意先は "&amp;$P884&amp;" です",IF(ROUND(IF($B884&lt;&gt;"",SUMIF($B$5:$B$1004,$B884,$E$5:$E$1004)-SUMIF($B$5:$B$1004,$B884,$G$5:$G$1004),N($E884)-N($G884)),0)&lt;&gt;0,"通帳の額と当てた額の差 "&amp;TEXT(IF($B884&lt;&gt;"",SUMIF($B$5:$B$1004,$B884,$E$5:$E$1004)-SUMIF($B$5:$B$1004,$B884,$G$5:$G$1004),N($E884)-N($G884)),"#,##0"),IF(AND(ISNUMBER($O884),N($K884)&lt;0),"請求額より多く消し込んでいます",IF($F884="","消込先が未定","OK")))))))</f>
        <v/>
      </c>
      <c r="M884" s="19" t="n"/>
      <c r="N884" s="56" t="n"/>
      <c r="O884" s="32">
        <f>IF($F884="","",IFERROR(MATCH($F884,'請求台帳'!$A$5:$A$1004,0),"なし"))</f>
        <v/>
      </c>
      <c r="P884" s="37">
        <f>IF(NOT(OR($A884&lt;&gt;"",$E884&lt;&gt;"",$F884&lt;&gt;"",$G884&lt;&gt;"",$H884&lt;&gt;"",$I884&lt;&gt;"")),"",IF(ISNUMBER($O884),IF(INDEX('請求台帳'!$C$5:$C$1004,$O884)="","",INDEX('請求台帳'!$C$5:$C$1004,$O884)),IF($C884="","",$C884)))</f>
        <v/>
      </c>
      <c r="Q884" s="35">
        <f>IF(OR(NOT(OR($A884&lt;&gt;"",$E884&lt;&gt;"",$F884&lt;&gt;"",$G884&lt;&gt;"",$H884&lt;&gt;"",$I884&lt;&gt;"")),$P884="",$P884&lt;&gt;'売掛帳'!$B$3,NOT(ISNUMBER($A884)),N($G884)+N($H884)+N($I884)=0),"",IF(AND($A884&gt;='売掛帳'!$Q$3,$A884&lt;='売掛帳'!$Q$4),$A884+0.5+ROW()/10000000,""))</f>
        <v/>
      </c>
      <c r="R884" s="32">
        <f>IF(AND(OR($A884&lt;&gt;"",$E884&lt;&gt;"",$F884&lt;&gt;"",$G884&lt;&gt;"",$H884&lt;&gt;"",$I884&lt;&gt;""),NOT(ISNUMBER($O884))),1,"")</f>
        <v/>
      </c>
    </row>
    <row r="885" ht="18" customHeight="1">
      <c r="A885" s="26" t="n"/>
      <c r="B885" s="18" t="n"/>
      <c r="C885" s="18" t="n"/>
      <c r="D885" s="20">
        <f>IF($P885="","",IFERROR(INDEX('得意先'!$C$5:$C$104,MATCH($P885,'得意先'!$B$5:$B$104,0))&amp;"","※得意先にないコード"))</f>
        <v/>
      </c>
      <c r="E885" s="27" t="n"/>
      <c r="F885" s="18" t="n"/>
      <c r="G885" s="27" t="n"/>
      <c r="H885" s="27" t="n"/>
      <c r="I885" s="27" t="n"/>
      <c r="J885" s="28">
        <f>IF(NOT(OR($A885&lt;&gt;"",$E885&lt;&gt;"",$F885&lt;&gt;"",$G885&lt;&gt;"",$H885&lt;&gt;"",$I885&lt;&gt;"")),"",N($G885)+N($H885)+N($I885))</f>
        <v/>
      </c>
      <c r="K885" s="28">
        <f>IF(ISNUMBER($O885),INDEX('請求台帳'!$R$5:$R$1004,$O885),"")</f>
        <v/>
      </c>
      <c r="L885" s="20">
        <f>IF(NOT(OR($A885&lt;&gt;"",$E885&lt;&gt;"",$F885&lt;&gt;"",$G885&lt;&gt;"",$H885&lt;&gt;"",$I885&lt;&gt;"")),"",IF(NOT(ISNUMBER($A885)),"入金日がありません",IF(AND($F885&lt;&gt;"",$O885="なし"),"請求Noが請求台帳にありません",IF(AND(ISNUMBER($O885),$C885&lt;&gt;"",$C885&lt;&gt;$P885),"請求の得意先は "&amp;$P885&amp;" です",IF(ROUND(IF($B885&lt;&gt;"",SUMIF($B$5:$B$1004,$B885,$E$5:$E$1004)-SUMIF($B$5:$B$1004,$B885,$G$5:$G$1004),N($E885)-N($G885)),0)&lt;&gt;0,"通帳の額と当てた額の差 "&amp;TEXT(IF($B885&lt;&gt;"",SUMIF($B$5:$B$1004,$B885,$E$5:$E$1004)-SUMIF($B$5:$B$1004,$B885,$G$5:$G$1004),N($E885)-N($G885)),"#,##0"),IF(AND(ISNUMBER($O885),N($K885)&lt;0),"請求額より多く消し込んでいます",IF($F885="","消込先が未定","OK")))))))</f>
        <v/>
      </c>
      <c r="M885" s="19" t="n"/>
      <c r="N885" s="56" t="n"/>
      <c r="O885" s="32">
        <f>IF($F885="","",IFERROR(MATCH($F885,'請求台帳'!$A$5:$A$1004,0),"なし"))</f>
        <v/>
      </c>
      <c r="P885" s="37">
        <f>IF(NOT(OR($A885&lt;&gt;"",$E885&lt;&gt;"",$F885&lt;&gt;"",$G885&lt;&gt;"",$H885&lt;&gt;"",$I885&lt;&gt;"")),"",IF(ISNUMBER($O885),IF(INDEX('請求台帳'!$C$5:$C$1004,$O885)="","",INDEX('請求台帳'!$C$5:$C$1004,$O885)),IF($C885="","",$C885)))</f>
        <v/>
      </c>
      <c r="Q885" s="35">
        <f>IF(OR(NOT(OR($A885&lt;&gt;"",$E885&lt;&gt;"",$F885&lt;&gt;"",$G885&lt;&gt;"",$H885&lt;&gt;"",$I885&lt;&gt;"")),$P885="",$P885&lt;&gt;'売掛帳'!$B$3,NOT(ISNUMBER($A885)),N($G885)+N($H885)+N($I885)=0),"",IF(AND($A885&gt;='売掛帳'!$Q$3,$A885&lt;='売掛帳'!$Q$4),$A885+0.5+ROW()/10000000,""))</f>
        <v/>
      </c>
      <c r="R885" s="32">
        <f>IF(AND(OR($A885&lt;&gt;"",$E885&lt;&gt;"",$F885&lt;&gt;"",$G885&lt;&gt;"",$H885&lt;&gt;"",$I885&lt;&gt;""),NOT(ISNUMBER($O885))),1,"")</f>
        <v/>
      </c>
    </row>
    <row r="886" ht="18" customHeight="1">
      <c r="A886" s="26" t="n"/>
      <c r="B886" s="18" t="n"/>
      <c r="C886" s="18" t="n"/>
      <c r="D886" s="20">
        <f>IF($P886="","",IFERROR(INDEX('得意先'!$C$5:$C$104,MATCH($P886,'得意先'!$B$5:$B$104,0))&amp;"","※得意先にないコード"))</f>
        <v/>
      </c>
      <c r="E886" s="27" t="n"/>
      <c r="F886" s="18" t="n"/>
      <c r="G886" s="27" t="n"/>
      <c r="H886" s="27" t="n"/>
      <c r="I886" s="27" t="n"/>
      <c r="J886" s="28">
        <f>IF(NOT(OR($A886&lt;&gt;"",$E886&lt;&gt;"",$F886&lt;&gt;"",$G886&lt;&gt;"",$H886&lt;&gt;"",$I886&lt;&gt;"")),"",N($G886)+N($H886)+N($I886))</f>
        <v/>
      </c>
      <c r="K886" s="28">
        <f>IF(ISNUMBER($O886),INDEX('請求台帳'!$R$5:$R$1004,$O886),"")</f>
        <v/>
      </c>
      <c r="L886" s="20">
        <f>IF(NOT(OR($A886&lt;&gt;"",$E886&lt;&gt;"",$F886&lt;&gt;"",$G886&lt;&gt;"",$H886&lt;&gt;"",$I886&lt;&gt;"")),"",IF(NOT(ISNUMBER($A886)),"入金日がありません",IF(AND($F886&lt;&gt;"",$O886="なし"),"請求Noが請求台帳にありません",IF(AND(ISNUMBER($O886),$C886&lt;&gt;"",$C886&lt;&gt;$P886),"請求の得意先は "&amp;$P886&amp;" です",IF(ROUND(IF($B886&lt;&gt;"",SUMIF($B$5:$B$1004,$B886,$E$5:$E$1004)-SUMIF($B$5:$B$1004,$B886,$G$5:$G$1004),N($E886)-N($G886)),0)&lt;&gt;0,"通帳の額と当てた額の差 "&amp;TEXT(IF($B886&lt;&gt;"",SUMIF($B$5:$B$1004,$B886,$E$5:$E$1004)-SUMIF($B$5:$B$1004,$B886,$G$5:$G$1004),N($E886)-N($G886)),"#,##0"),IF(AND(ISNUMBER($O886),N($K886)&lt;0),"請求額より多く消し込んでいます",IF($F886="","消込先が未定","OK")))))))</f>
        <v/>
      </c>
      <c r="M886" s="19" t="n"/>
      <c r="N886" s="56" t="n"/>
      <c r="O886" s="32">
        <f>IF($F886="","",IFERROR(MATCH($F886,'請求台帳'!$A$5:$A$1004,0),"なし"))</f>
        <v/>
      </c>
      <c r="P886" s="37">
        <f>IF(NOT(OR($A886&lt;&gt;"",$E886&lt;&gt;"",$F886&lt;&gt;"",$G886&lt;&gt;"",$H886&lt;&gt;"",$I886&lt;&gt;"")),"",IF(ISNUMBER($O886),IF(INDEX('請求台帳'!$C$5:$C$1004,$O886)="","",INDEX('請求台帳'!$C$5:$C$1004,$O886)),IF($C886="","",$C886)))</f>
        <v/>
      </c>
      <c r="Q886" s="35">
        <f>IF(OR(NOT(OR($A886&lt;&gt;"",$E886&lt;&gt;"",$F886&lt;&gt;"",$G886&lt;&gt;"",$H886&lt;&gt;"",$I886&lt;&gt;"")),$P886="",$P886&lt;&gt;'売掛帳'!$B$3,NOT(ISNUMBER($A886)),N($G886)+N($H886)+N($I886)=0),"",IF(AND($A886&gt;='売掛帳'!$Q$3,$A886&lt;='売掛帳'!$Q$4),$A886+0.5+ROW()/10000000,""))</f>
        <v/>
      </c>
      <c r="R886" s="32">
        <f>IF(AND(OR($A886&lt;&gt;"",$E886&lt;&gt;"",$F886&lt;&gt;"",$G886&lt;&gt;"",$H886&lt;&gt;"",$I886&lt;&gt;""),NOT(ISNUMBER($O886))),1,"")</f>
        <v/>
      </c>
    </row>
    <row r="887" ht="18" customHeight="1">
      <c r="A887" s="26" t="n"/>
      <c r="B887" s="18" t="n"/>
      <c r="C887" s="18" t="n"/>
      <c r="D887" s="20">
        <f>IF($P887="","",IFERROR(INDEX('得意先'!$C$5:$C$104,MATCH($P887,'得意先'!$B$5:$B$104,0))&amp;"","※得意先にないコード"))</f>
        <v/>
      </c>
      <c r="E887" s="27" t="n"/>
      <c r="F887" s="18" t="n"/>
      <c r="G887" s="27" t="n"/>
      <c r="H887" s="27" t="n"/>
      <c r="I887" s="27" t="n"/>
      <c r="J887" s="28">
        <f>IF(NOT(OR($A887&lt;&gt;"",$E887&lt;&gt;"",$F887&lt;&gt;"",$G887&lt;&gt;"",$H887&lt;&gt;"",$I887&lt;&gt;"")),"",N($G887)+N($H887)+N($I887))</f>
        <v/>
      </c>
      <c r="K887" s="28">
        <f>IF(ISNUMBER($O887),INDEX('請求台帳'!$R$5:$R$1004,$O887),"")</f>
        <v/>
      </c>
      <c r="L887" s="20">
        <f>IF(NOT(OR($A887&lt;&gt;"",$E887&lt;&gt;"",$F887&lt;&gt;"",$G887&lt;&gt;"",$H887&lt;&gt;"",$I887&lt;&gt;"")),"",IF(NOT(ISNUMBER($A887)),"入金日がありません",IF(AND($F887&lt;&gt;"",$O887="なし"),"請求Noが請求台帳にありません",IF(AND(ISNUMBER($O887),$C887&lt;&gt;"",$C887&lt;&gt;$P887),"請求の得意先は "&amp;$P887&amp;" です",IF(ROUND(IF($B887&lt;&gt;"",SUMIF($B$5:$B$1004,$B887,$E$5:$E$1004)-SUMIF($B$5:$B$1004,$B887,$G$5:$G$1004),N($E887)-N($G887)),0)&lt;&gt;0,"通帳の額と当てた額の差 "&amp;TEXT(IF($B887&lt;&gt;"",SUMIF($B$5:$B$1004,$B887,$E$5:$E$1004)-SUMIF($B$5:$B$1004,$B887,$G$5:$G$1004),N($E887)-N($G887)),"#,##0"),IF(AND(ISNUMBER($O887),N($K887)&lt;0),"請求額より多く消し込んでいます",IF($F887="","消込先が未定","OK")))))))</f>
        <v/>
      </c>
      <c r="M887" s="19" t="n"/>
      <c r="N887" s="56" t="n"/>
      <c r="O887" s="32">
        <f>IF($F887="","",IFERROR(MATCH($F887,'請求台帳'!$A$5:$A$1004,0),"なし"))</f>
        <v/>
      </c>
      <c r="P887" s="37">
        <f>IF(NOT(OR($A887&lt;&gt;"",$E887&lt;&gt;"",$F887&lt;&gt;"",$G887&lt;&gt;"",$H887&lt;&gt;"",$I887&lt;&gt;"")),"",IF(ISNUMBER($O887),IF(INDEX('請求台帳'!$C$5:$C$1004,$O887)="","",INDEX('請求台帳'!$C$5:$C$1004,$O887)),IF($C887="","",$C887)))</f>
        <v/>
      </c>
      <c r="Q887" s="35">
        <f>IF(OR(NOT(OR($A887&lt;&gt;"",$E887&lt;&gt;"",$F887&lt;&gt;"",$G887&lt;&gt;"",$H887&lt;&gt;"",$I887&lt;&gt;"")),$P887="",$P887&lt;&gt;'売掛帳'!$B$3,NOT(ISNUMBER($A887)),N($G887)+N($H887)+N($I887)=0),"",IF(AND($A887&gt;='売掛帳'!$Q$3,$A887&lt;='売掛帳'!$Q$4),$A887+0.5+ROW()/10000000,""))</f>
        <v/>
      </c>
      <c r="R887" s="32">
        <f>IF(AND(OR($A887&lt;&gt;"",$E887&lt;&gt;"",$F887&lt;&gt;"",$G887&lt;&gt;"",$H887&lt;&gt;"",$I887&lt;&gt;""),NOT(ISNUMBER($O887))),1,"")</f>
        <v/>
      </c>
    </row>
    <row r="888" ht="18" customHeight="1">
      <c r="A888" s="26" t="n"/>
      <c r="B888" s="18" t="n"/>
      <c r="C888" s="18" t="n"/>
      <c r="D888" s="20">
        <f>IF($P888="","",IFERROR(INDEX('得意先'!$C$5:$C$104,MATCH($P888,'得意先'!$B$5:$B$104,0))&amp;"","※得意先にないコード"))</f>
        <v/>
      </c>
      <c r="E888" s="27" t="n"/>
      <c r="F888" s="18" t="n"/>
      <c r="G888" s="27" t="n"/>
      <c r="H888" s="27" t="n"/>
      <c r="I888" s="27" t="n"/>
      <c r="J888" s="28">
        <f>IF(NOT(OR($A888&lt;&gt;"",$E888&lt;&gt;"",$F888&lt;&gt;"",$G888&lt;&gt;"",$H888&lt;&gt;"",$I888&lt;&gt;"")),"",N($G888)+N($H888)+N($I888))</f>
        <v/>
      </c>
      <c r="K888" s="28">
        <f>IF(ISNUMBER($O888),INDEX('請求台帳'!$R$5:$R$1004,$O888),"")</f>
        <v/>
      </c>
      <c r="L888" s="20">
        <f>IF(NOT(OR($A888&lt;&gt;"",$E888&lt;&gt;"",$F888&lt;&gt;"",$G888&lt;&gt;"",$H888&lt;&gt;"",$I888&lt;&gt;"")),"",IF(NOT(ISNUMBER($A888)),"入金日がありません",IF(AND($F888&lt;&gt;"",$O888="なし"),"請求Noが請求台帳にありません",IF(AND(ISNUMBER($O888),$C888&lt;&gt;"",$C888&lt;&gt;$P888),"請求の得意先は "&amp;$P888&amp;" です",IF(ROUND(IF($B888&lt;&gt;"",SUMIF($B$5:$B$1004,$B888,$E$5:$E$1004)-SUMIF($B$5:$B$1004,$B888,$G$5:$G$1004),N($E888)-N($G888)),0)&lt;&gt;0,"通帳の額と当てた額の差 "&amp;TEXT(IF($B888&lt;&gt;"",SUMIF($B$5:$B$1004,$B888,$E$5:$E$1004)-SUMIF($B$5:$B$1004,$B888,$G$5:$G$1004),N($E888)-N($G888)),"#,##0"),IF(AND(ISNUMBER($O888),N($K888)&lt;0),"請求額より多く消し込んでいます",IF($F888="","消込先が未定","OK")))))))</f>
        <v/>
      </c>
      <c r="M888" s="19" t="n"/>
      <c r="N888" s="56" t="n"/>
      <c r="O888" s="32">
        <f>IF($F888="","",IFERROR(MATCH($F888,'請求台帳'!$A$5:$A$1004,0),"なし"))</f>
        <v/>
      </c>
      <c r="P888" s="37">
        <f>IF(NOT(OR($A888&lt;&gt;"",$E888&lt;&gt;"",$F888&lt;&gt;"",$G888&lt;&gt;"",$H888&lt;&gt;"",$I888&lt;&gt;"")),"",IF(ISNUMBER($O888),IF(INDEX('請求台帳'!$C$5:$C$1004,$O888)="","",INDEX('請求台帳'!$C$5:$C$1004,$O888)),IF($C888="","",$C888)))</f>
        <v/>
      </c>
      <c r="Q888" s="35">
        <f>IF(OR(NOT(OR($A888&lt;&gt;"",$E888&lt;&gt;"",$F888&lt;&gt;"",$G888&lt;&gt;"",$H888&lt;&gt;"",$I888&lt;&gt;"")),$P888="",$P888&lt;&gt;'売掛帳'!$B$3,NOT(ISNUMBER($A888)),N($G888)+N($H888)+N($I888)=0),"",IF(AND($A888&gt;='売掛帳'!$Q$3,$A888&lt;='売掛帳'!$Q$4),$A888+0.5+ROW()/10000000,""))</f>
        <v/>
      </c>
      <c r="R888" s="32">
        <f>IF(AND(OR($A888&lt;&gt;"",$E888&lt;&gt;"",$F888&lt;&gt;"",$G888&lt;&gt;"",$H888&lt;&gt;"",$I888&lt;&gt;""),NOT(ISNUMBER($O888))),1,"")</f>
        <v/>
      </c>
    </row>
    <row r="889" ht="18" customHeight="1">
      <c r="A889" s="26" t="n"/>
      <c r="B889" s="18" t="n"/>
      <c r="C889" s="18" t="n"/>
      <c r="D889" s="20">
        <f>IF($P889="","",IFERROR(INDEX('得意先'!$C$5:$C$104,MATCH($P889,'得意先'!$B$5:$B$104,0))&amp;"","※得意先にないコード"))</f>
        <v/>
      </c>
      <c r="E889" s="27" t="n"/>
      <c r="F889" s="18" t="n"/>
      <c r="G889" s="27" t="n"/>
      <c r="H889" s="27" t="n"/>
      <c r="I889" s="27" t="n"/>
      <c r="J889" s="28">
        <f>IF(NOT(OR($A889&lt;&gt;"",$E889&lt;&gt;"",$F889&lt;&gt;"",$G889&lt;&gt;"",$H889&lt;&gt;"",$I889&lt;&gt;"")),"",N($G889)+N($H889)+N($I889))</f>
        <v/>
      </c>
      <c r="K889" s="28">
        <f>IF(ISNUMBER($O889),INDEX('請求台帳'!$R$5:$R$1004,$O889),"")</f>
        <v/>
      </c>
      <c r="L889" s="20">
        <f>IF(NOT(OR($A889&lt;&gt;"",$E889&lt;&gt;"",$F889&lt;&gt;"",$G889&lt;&gt;"",$H889&lt;&gt;"",$I889&lt;&gt;"")),"",IF(NOT(ISNUMBER($A889)),"入金日がありません",IF(AND($F889&lt;&gt;"",$O889="なし"),"請求Noが請求台帳にありません",IF(AND(ISNUMBER($O889),$C889&lt;&gt;"",$C889&lt;&gt;$P889),"請求の得意先は "&amp;$P889&amp;" です",IF(ROUND(IF($B889&lt;&gt;"",SUMIF($B$5:$B$1004,$B889,$E$5:$E$1004)-SUMIF($B$5:$B$1004,$B889,$G$5:$G$1004),N($E889)-N($G889)),0)&lt;&gt;0,"通帳の額と当てた額の差 "&amp;TEXT(IF($B889&lt;&gt;"",SUMIF($B$5:$B$1004,$B889,$E$5:$E$1004)-SUMIF($B$5:$B$1004,$B889,$G$5:$G$1004),N($E889)-N($G889)),"#,##0"),IF(AND(ISNUMBER($O889),N($K889)&lt;0),"請求額より多く消し込んでいます",IF($F889="","消込先が未定","OK")))))))</f>
        <v/>
      </c>
      <c r="M889" s="19" t="n"/>
      <c r="N889" s="56" t="n"/>
      <c r="O889" s="32">
        <f>IF($F889="","",IFERROR(MATCH($F889,'請求台帳'!$A$5:$A$1004,0),"なし"))</f>
        <v/>
      </c>
      <c r="P889" s="37">
        <f>IF(NOT(OR($A889&lt;&gt;"",$E889&lt;&gt;"",$F889&lt;&gt;"",$G889&lt;&gt;"",$H889&lt;&gt;"",$I889&lt;&gt;"")),"",IF(ISNUMBER($O889),IF(INDEX('請求台帳'!$C$5:$C$1004,$O889)="","",INDEX('請求台帳'!$C$5:$C$1004,$O889)),IF($C889="","",$C889)))</f>
        <v/>
      </c>
      <c r="Q889" s="35">
        <f>IF(OR(NOT(OR($A889&lt;&gt;"",$E889&lt;&gt;"",$F889&lt;&gt;"",$G889&lt;&gt;"",$H889&lt;&gt;"",$I889&lt;&gt;"")),$P889="",$P889&lt;&gt;'売掛帳'!$B$3,NOT(ISNUMBER($A889)),N($G889)+N($H889)+N($I889)=0),"",IF(AND($A889&gt;='売掛帳'!$Q$3,$A889&lt;='売掛帳'!$Q$4),$A889+0.5+ROW()/10000000,""))</f>
        <v/>
      </c>
      <c r="R889" s="32">
        <f>IF(AND(OR($A889&lt;&gt;"",$E889&lt;&gt;"",$F889&lt;&gt;"",$G889&lt;&gt;"",$H889&lt;&gt;"",$I889&lt;&gt;""),NOT(ISNUMBER($O889))),1,"")</f>
        <v/>
      </c>
    </row>
    <row r="890" ht="18" customHeight="1">
      <c r="A890" s="26" t="n"/>
      <c r="B890" s="18" t="n"/>
      <c r="C890" s="18" t="n"/>
      <c r="D890" s="20">
        <f>IF($P890="","",IFERROR(INDEX('得意先'!$C$5:$C$104,MATCH($P890,'得意先'!$B$5:$B$104,0))&amp;"","※得意先にないコード"))</f>
        <v/>
      </c>
      <c r="E890" s="27" t="n"/>
      <c r="F890" s="18" t="n"/>
      <c r="G890" s="27" t="n"/>
      <c r="H890" s="27" t="n"/>
      <c r="I890" s="27" t="n"/>
      <c r="J890" s="28">
        <f>IF(NOT(OR($A890&lt;&gt;"",$E890&lt;&gt;"",$F890&lt;&gt;"",$G890&lt;&gt;"",$H890&lt;&gt;"",$I890&lt;&gt;"")),"",N($G890)+N($H890)+N($I890))</f>
        <v/>
      </c>
      <c r="K890" s="28">
        <f>IF(ISNUMBER($O890),INDEX('請求台帳'!$R$5:$R$1004,$O890),"")</f>
        <v/>
      </c>
      <c r="L890" s="20">
        <f>IF(NOT(OR($A890&lt;&gt;"",$E890&lt;&gt;"",$F890&lt;&gt;"",$G890&lt;&gt;"",$H890&lt;&gt;"",$I890&lt;&gt;"")),"",IF(NOT(ISNUMBER($A890)),"入金日がありません",IF(AND($F890&lt;&gt;"",$O890="なし"),"請求Noが請求台帳にありません",IF(AND(ISNUMBER($O890),$C890&lt;&gt;"",$C890&lt;&gt;$P890),"請求の得意先は "&amp;$P890&amp;" です",IF(ROUND(IF($B890&lt;&gt;"",SUMIF($B$5:$B$1004,$B890,$E$5:$E$1004)-SUMIF($B$5:$B$1004,$B890,$G$5:$G$1004),N($E890)-N($G890)),0)&lt;&gt;0,"通帳の額と当てた額の差 "&amp;TEXT(IF($B890&lt;&gt;"",SUMIF($B$5:$B$1004,$B890,$E$5:$E$1004)-SUMIF($B$5:$B$1004,$B890,$G$5:$G$1004),N($E890)-N($G890)),"#,##0"),IF(AND(ISNUMBER($O890),N($K890)&lt;0),"請求額より多く消し込んでいます",IF($F890="","消込先が未定","OK")))))))</f>
        <v/>
      </c>
      <c r="M890" s="19" t="n"/>
      <c r="N890" s="56" t="n"/>
      <c r="O890" s="32">
        <f>IF($F890="","",IFERROR(MATCH($F890,'請求台帳'!$A$5:$A$1004,0),"なし"))</f>
        <v/>
      </c>
      <c r="P890" s="37">
        <f>IF(NOT(OR($A890&lt;&gt;"",$E890&lt;&gt;"",$F890&lt;&gt;"",$G890&lt;&gt;"",$H890&lt;&gt;"",$I890&lt;&gt;"")),"",IF(ISNUMBER($O890),IF(INDEX('請求台帳'!$C$5:$C$1004,$O890)="","",INDEX('請求台帳'!$C$5:$C$1004,$O890)),IF($C890="","",$C890)))</f>
        <v/>
      </c>
      <c r="Q890" s="35">
        <f>IF(OR(NOT(OR($A890&lt;&gt;"",$E890&lt;&gt;"",$F890&lt;&gt;"",$G890&lt;&gt;"",$H890&lt;&gt;"",$I890&lt;&gt;"")),$P890="",$P890&lt;&gt;'売掛帳'!$B$3,NOT(ISNUMBER($A890)),N($G890)+N($H890)+N($I890)=0),"",IF(AND($A890&gt;='売掛帳'!$Q$3,$A890&lt;='売掛帳'!$Q$4),$A890+0.5+ROW()/10000000,""))</f>
        <v/>
      </c>
      <c r="R890" s="32">
        <f>IF(AND(OR($A890&lt;&gt;"",$E890&lt;&gt;"",$F890&lt;&gt;"",$G890&lt;&gt;"",$H890&lt;&gt;"",$I890&lt;&gt;""),NOT(ISNUMBER($O890))),1,"")</f>
        <v/>
      </c>
    </row>
    <row r="891" ht="18" customHeight="1">
      <c r="A891" s="26" t="n"/>
      <c r="B891" s="18" t="n"/>
      <c r="C891" s="18" t="n"/>
      <c r="D891" s="20">
        <f>IF($P891="","",IFERROR(INDEX('得意先'!$C$5:$C$104,MATCH($P891,'得意先'!$B$5:$B$104,0))&amp;"","※得意先にないコード"))</f>
        <v/>
      </c>
      <c r="E891" s="27" t="n"/>
      <c r="F891" s="18" t="n"/>
      <c r="G891" s="27" t="n"/>
      <c r="H891" s="27" t="n"/>
      <c r="I891" s="27" t="n"/>
      <c r="J891" s="28">
        <f>IF(NOT(OR($A891&lt;&gt;"",$E891&lt;&gt;"",$F891&lt;&gt;"",$G891&lt;&gt;"",$H891&lt;&gt;"",$I891&lt;&gt;"")),"",N($G891)+N($H891)+N($I891))</f>
        <v/>
      </c>
      <c r="K891" s="28">
        <f>IF(ISNUMBER($O891),INDEX('請求台帳'!$R$5:$R$1004,$O891),"")</f>
        <v/>
      </c>
      <c r="L891" s="20">
        <f>IF(NOT(OR($A891&lt;&gt;"",$E891&lt;&gt;"",$F891&lt;&gt;"",$G891&lt;&gt;"",$H891&lt;&gt;"",$I891&lt;&gt;"")),"",IF(NOT(ISNUMBER($A891)),"入金日がありません",IF(AND($F891&lt;&gt;"",$O891="なし"),"請求Noが請求台帳にありません",IF(AND(ISNUMBER($O891),$C891&lt;&gt;"",$C891&lt;&gt;$P891),"請求の得意先は "&amp;$P891&amp;" です",IF(ROUND(IF($B891&lt;&gt;"",SUMIF($B$5:$B$1004,$B891,$E$5:$E$1004)-SUMIF($B$5:$B$1004,$B891,$G$5:$G$1004),N($E891)-N($G891)),0)&lt;&gt;0,"通帳の額と当てた額の差 "&amp;TEXT(IF($B891&lt;&gt;"",SUMIF($B$5:$B$1004,$B891,$E$5:$E$1004)-SUMIF($B$5:$B$1004,$B891,$G$5:$G$1004),N($E891)-N($G891)),"#,##0"),IF(AND(ISNUMBER($O891),N($K891)&lt;0),"請求額より多く消し込んでいます",IF($F891="","消込先が未定","OK")))))))</f>
        <v/>
      </c>
      <c r="M891" s="19" t="n"/>
      <c r="N891" s="56" t="n"/>
      <c r="O891" s="32">
        <f>IF($F891="","",IFERROR(MATCH($F891,'請求台帳'!$A$5:$A$1004,0),"なし"))</f>
        <v/>
      </c>
      <c r="P891" s="37">
        <f>IF(NOT(OR($A891&lt;&gt;"",$E891&lt;&gt;"",$F891&lt;&gt;"",$G891&lt;&gt;"",$H891&lt;&gt;"",$I891&lt;&gt;"")),"",IF(ISNUMBER($O891),IF(INDEX('請求台帳'!$C$5:$C$1004,$O891)="","",INDEX('請求台帳'!$C$5:$C$1004,$O891)),IF($C891="","",$C891)))</f>
        <v/>
      </c>
      <c r="Q891" s="35">
        <f>IF(OR(NOT(OR($A891&lt;&gt;"",$E891&lt;&gt;"",$F891&lt;&gt;"",$G891&lt;&gt;"",$H891&lt;&gt;"",$I891&lt;&gt;"")),$P891="",$P891&lt;&gt;'売掛帳'!$B$3,NOT(ISNUMBER($A891)),N($G891)+N($H891)+N($I891)=0),"",IF(AND($A891&gt;='売掛帳'!$Q$3,$A891&lt;='売掛帳'!$Q$4),$A891+0.5+ROW()/10000000,""))</f>
        <v/>
      </c>
      <c r="R891" s="32">
        <f>IF(AND(OR($A891&lt;&gt;"",$E891&lt;&gt;"",$F891&lt;&gt;"",$G891&lt;&gt;"",$H891&lt;&gt;"",$I891&lt;&gt;""),NOT(ISNUMBER($O891))),1,"")</f>
        <v/>
      </c>
    </row>
    <row r="892" ht="18" customHeight="1">
      <c r="A892" s="26" t="n"/>
      <c r="B892" s="18" t="n"/>
      <c r="C892" s="18" t="n"/>
      <c r="D892" s="20">
        <f>IF($P892="","",IFERROR(INDEX('得意先'!$C$5:$C$104,MATCH($P892,'得意先'!$B$5:$B$104,0))&amp;"","※得意先にないコード"))</f>
        <v/>
      </c>
      <c r="E892" s="27" t="n"/>
      <c r="F892" s="18" t="n"/>
      <c r="G892" s="27" t="n"/>
      <c r="H892" s="27" t="n"/>
      <c r="I892" s="27" t="n"/>
      <c r="J892" s="28">
        <f>IF(NOT(OR($A892&lt;&gt;"",$E892&lt;&gt;"",$F892&lt;&gt;"",$G892&lt;&gt;"",$H892&lt;&gt;"",$I892&lt;&gt;"")),"",N($G892)+N($H892)+N($I892))</f>
        <v/>
      </c>
      <c r="K892" s="28">
        <f>IF(ISNUMBER($O892),INDEX('請求台帳'!$R$5:$R$1004,$O892),"")</f>
        <v/>
      </c>
      <c r="L892" s="20">
        <f>IF(NOT(OR($A892&lt;&gt;"",$E892&lt;&gt;"",$F892&lt;&gt;"",$G892&lt;&gt;"",$H892&lt;&gt;"",$I892&lt;&gt;"")),"",IF(NOT(ISNUMBER($A892)),"入金日がありません",IF(AND($F892&lt;&gt;"",$O892="なし"),"請求Noが請求台帳にありません",IF(AND(ISNUMBER($O892),$C892&lt;&gt;"",$C892&lt;&gt;$P892),"請求の得意先は "&amp;$P892&amp;" です",IF(ROUND(IF($B892&lt;&gt;"",SUMIF($B$5:$B$1004,$B892,$E$5:$E$1004)-SUMIF($B$5:$B$1004,$B892,$G$5:$G$1004),N($E892)-N($G892)),0)&lt;&gt;0,"通帳の額と当てた額の差 "&amp;TEXT(IF($B892&lt;&gt;"",SUMIF($B$5:$B$1004,$B892,$E$5:$E$1004)-SUMIF($B$5:$B$1004,$B892,$G$5:$G$1004),N($E892)-N($G892)),"#,##0"),IF(AND(ISNUMBER($O892),N($K892)&lt;0),"請求額より多く消し込んでいます",IF($F892="","消込先が未定","OK")))))))</f>
        <v/>
      </c>
      <c r="M892" s="19" t="n"/>
      <c r="N892" s="56" t="n"/>
      <c r="O892" s="32">
        <f>IF($F892="","",IFERROR(MATCH($F892,'請求台帳'!$A$5:$A$1004,0),"なし"))</f>
        <v/>
      </c>
      <c r="P892" s="37">
        <f>IF(NOT(OR($A892&lt;&gt;"",$E892&lt;&gt;"",$F892&lt;&gt;"",$G892&lt;&gt;"",$H892&lt;&gt;"",$I892&lt;&gt;"")),"",IF(ISNUMBER($O892),IF(INDEX('請求台帳'!$C$5:$C$1004,$O892)="","",INDEX('請求台帳'!$C$5:$C$1004,$O892)),IF($C892="","",$C892)))</f>
        <v/>
      </c>
      <c r="Q892" s="35">
        <f>IF(OR(NOT(OR($A892&lt;&gt;"",$E892&lt;&gt;"",$F892&lt;&gt;"",$G892&lt;&gt;"",$H892&lt;&gt;"",$I892&lt;&gt;"")),$P892="",$P892&lt;&gt;'売掛帳'!$B$3,NOT(ISNUMBER($A892)),N($G892)+N($H892)+N($I892)=0),"",IF(AND($A892&gt;='売掛帳'!$Q$3,$A892&lt;='売掛帳'!$Q$4),$A892+0.5+ROW()/10000000,""))</f>
        <v/>
      </c>
      <c r="R892" s="32">
        <f>IF(AND(OR($A892&lt;&gt;"",$E892&lt;&gt;"",$F892&lt;&gt;"",$G892&lt;&gt;"",$H892&lt;&gt;"",$I892&lt;&gt;""),NOT(ISNUMBER($O892))),1,"")</f>
        <v/>
      </c>
    </row>
    <row r="893" ht="18" customHeight="1">
      <c r="A893" s="26" t="n"/>
      <c r="B893" s="18" t="n"/>
      <c r="C893" s="18" t="n"/>
      <c r="D893" s="20">
        <f>IF($P893="","",IFERROR(INDEX('得意先'!$C$5:$C$104,MATCH($P893,'得意先'!$B$5:$B$104,0))&amp;"","※得意先にないコード"))</f>
        <v/>
      </c>
      <c r="E893" s="27" t="n"/>
      <c r="F893" s="18" t="n"/>
      <c r="G893" s="27" t="n"/>
      <c r="H893" s="27" t="n"/>
      <c r="I893" s="27" t="n"/>
      <c r="J893" s="28">
        <f>IF(NOT(OR($A893&lt;&gt;"",$E893&lt;&gt;"",$F893&lt;&gt;"",$G893&lt;&gt;"",$H893&lt;&gt;"",$I893&lt;&gt;"")),"",N($G893)+N($H893)+N($I893))</f>
        <v/>
      </c>
      <c r="K893" s="28">
        <f>IF(ISNUMBER($O893),INDEX('請求台帳'!$R$5:$R$1004,$O893),"")</f>
        <v/>
      </c>
      <c r="L893" s="20">
        <f>IF(NOT(OR($A893&lt;&gt;"",$E893&lt;&gt;"",$F893&lt;&gt;"",$G893&lt;&gt;"",$H893&lt;&gt;"",$I893&lt;&gt;"")),"",IF(NOT(ISNUMBER($A893)),"入金日がありません",IF(AND($F893&lt;&gt;"",$O893="なし"),"請求Noが請求台帳にありません",IF(AND(ISNUMBER($O893),$C893&lt;&gt;"",$C893&lt;&gt;$P893),"請求の得意先は "&amp;$P893&amp;" です",IF(ROUND(IF($B893&lt;&gt;"",SUMIF($B$5:$B$1004,$B893,$E$5:$E$1004)-SUMIF($B$5:$B$1004,$B893,$G$5:$G$1004),N($E893)-N($G893)),0)&lt;&gt;0,"通帳の額と当てた額の差 "&amp;TEXT(IF($B893&lt;&gt;"",SUMIF($B$5:$B$1004,$B893,$E$5:$E$1004)-SUMIF($B$5:$B$1004,$B893,$G$5:$G$1004),N($E893)-N($G893)),"#,##0"),IF(AND(ISNUMBER($O893),N($K893)&lt;0),"請求額より多く消し込んでいます",IF($F893="","消込先が未定","OK")))))))</f>
        <v/>
      </c>
      <c r="M893" s="19" t="n"/>
      <c r="N893" s="56" t="n"/>
      <c r="O893" s="32">
        <f>IF($F893="","",IFERROR(MATCH($F893,'請求台帳'!$A$5:$A$1004,0),"なし"))</f>
        <v/>
      </c>
      <c r="P893" s="37">
        <f>IF(NOT(OR($A893&lt;&gt;"",$E893&lt;&gt;"",$F893&lt;&gt;"",$G893&lt;&gt;"",$H893&lt;&gt;"",$I893&lt;&gt;"")),"",IF(ISNUMBER($O893),IF(INDEX('請求台帳'!$C$5:$C$1004,$O893)="","",INDEX('請求台帳'!$C$5:$C$1004,$O893)),IF($C893="","",$C893)))</f>
        <v/>
      </c>
      <c r="Q893" s="35">
        <f>IF(OR(NOT(OR($A893&lt;&gt;"",$E893&lt;&gt;"",$F893&lt;&gt;"",$G893&lt;&gt;"",$H893&lt;&gt;"",$I893&lt;&gt;"")),$P893="",$P893&lt;&gt;'売掛帳'!$B$3,NOT(ISNUMBER($A893)),N($G893)+N($H893)+N($I893)=0),"",IF(AND($A893&gt;='売掛帳'!$Q$3,$A893&lt;='売掛帳'!$Q$4),$A893+0.5+ROW()/10000000,""))</f>
        <v/>
      </c>
      <c r="R893" s="32">
        <f>IF(AND(OR($A893&lt;&gt;"",$E893&lt;&gt;"",$F893&lt;&gt;"",$G893&lt;&gt;"",$H893&lt;&gt;"",$I893&lt;&gt;""),NOT(ISNUMBER($O893))),1,"")</f>
        <v/>
      </c>
    </row>
    <row r="894" ht="18" customHeight="1">
      <c r="A894" s="26" t="n"/>
      <c r="B894" s="18" t="n"/>
      <c r="C894" s="18" t="n"/>
      <c r="D894" s="20">
        <f>IF($P894="","",IFERROR(INDEX('得意先'!$C$5:$C$104,MATCH($P894,'得意先'!$B$5:$B$104,0))&amp;"","※得意先にないコード"))</f>
        <v/>
      </c>
      <c r="E894" s="27" t="n"/>
      <c r="F894" s="18" t="n"/>
      <c r="G894" s="27" t="n"/>
      <c r="H894" s="27" t="n"/>
      <c r="I894" s="27" t="n"/>
      <c r="J894" s="28">
        <f>IF(NOT(OR($A894&lt;&gt;"",$E894&lt;&gt;"",$F894&lt;&gt;"",$G894&lt;&gt;"",$H894&lt;&gt;"",$I894&lt;&gt;"")),"",N($G894)+N($H894)+N($I894))</f>
        <v/>
      </c>
      <c r="K894" s="28">
        <f>IF(ISNUMBER($O894),INDEX('請求台帳'!$R$5:$R$1004,$O894),"")</f>
        <v/>
      </c>
      <c r="L894" s="20">
        <f>IF(NOT(OR($A894&lt;&gt;"",$E894&lt;&gt;"",$F894&lt;&gt;"",$G894&lt;&gt;"",$H894&lt;&gt;"",$I894&lt;&gt;"")),"",IF(NOT(ISNUMBER($A894)),"入金日がありません",IF(AND($F894&lt;&gt;"",$O894="なし"),"請求Noが請求台帳にありません",IF(AND(ISNUMBER($O894),$C894&lt;&gt;"",$C894&lt;&gt;$P894),"請求の得意先は "&amp;$P894&amp;" です",IF(ROUND(IF($B894&lt;&gt;"",SUMIF($B$5:$B$1004,$B894,$E$5:$E$1004)-SUMIF($B$5:$B$1004,$B894,$G$5:$G$1004),N($E894)-N($G894)),0)&lt;&gt;0,"通帳の額と当てた額の差 "&amp;TEXT(IF($B894&lt;&gt;"",SUMIF($B$5:$B$1004,$B894,$E$5:$E$1004)-SUMIF($B$5:$B$1004,$B894,$G$5:$G$1004),N($E894)-N($G894)),"#,##0"),IF(AND(ISNUMBER($O894),N($K894)&lt;0),"請求額より多く消し込んでいます",IF($F894="","消込先が未定","OK")))))))</f>
        <v/>
      </c>
      <c r="M894" s="19" t="n"/>
      <c r="N894" s="56" t="n"/>
      <c r="O894" s="32">
        <f>IF($F894="","",IFERROR(MATCH($F894,'請求台帳'!$A$5:$A$1004,0),"なし"))</f>
        <v/>
      </c>
      <c r="P894" s="37">
        <f>IF(NOT(OR($A894&lt;&gt;"",$E894&lt;&gt;"",$F894&lt;&gt;"",$G894&lt;&gt;"",$H894&lt;&gt;"",$I894&lt;&gt;"")),"",IF(ISNUMBER($O894),IF(INDEX('請求台帳'!$C$5:$C$1004,$O894)="","",INDEX('請求台帳'!$C$5:$C$1004,$O894)),IF($C894="","",$C894)))</f>
        <v/>
      </c>
      <c r="Q894" s="35">
        <f>IF(OR(NOT(OR($A894&lt;&gt;"",$E894&lt;&gt;"",$F894&lt;&gt;"",$G894&lt;&gt;"",$H894&lt;&gt;"",$I894&lt;&gt;"")),$P894="",$P894&lt;&gt;'売掛帳'!$B$3,NOT(ISNUMBER($A894)),N($G894)+N($H894)+N($I894)=0),"",IF(AND($A894&gt;='売掛帳'!$Q$3,$A894&lt;='売掛帳'!$Q$4),$A894+0.5+ROW()/10000000,""))</f>
        <v/>
      </c>
      <c r="R894" s="32">
        <f>IF(AND(OR($A894&lt;&gt;"",$E894&lt;&gt;"",$F894&lt;&gt;"",$G894&lt;&gt;"",$H894&lt;&gt;"",$I894&lt;&gt;""),NOT(ISNUMBER($O894))),1,"")</f>
        <v/>
      </c>
    </row>
    <row r="895" ht="18" customHeight="1">
      <c r="A895" s="26" t="n"/>
      <c r="B895" s="18" t="n"/>
      <c r="C895" s="18" t="n"/>
      <c r="D895" s="20">
        <f>IF($P895="","",IFERROR(INDEX('得意先'!$C$5:$C$104,MATCH($P895,'得意先'!$B$5:$B$104,0))&amp;"","※得意先にないコード"))</f>
        <v/>
      </c>
      <c r="E895" s="27" t="n"/>
      <c r="F895" s="18" t="n"/>
      <c r="G895" s="27" t="n"/>
      <c r="H895" s="27" t="n"/>
      <c r="I895" s="27" t="n"/>
      <c r="J895" s="28">
        <f>IF(NOT(OR($A895&lt;&gt;"",$E895&lt;&gt;"",$F895&lt;&gt;"",$G895&lt;&gt;"",$H895&lt;&gt;"",$I895&lt;&gt;"")),"",N($G895)+N($H895)+N($I895))</f>
        <v/>
      </c>
      <c r="K895" s="28">
        <f>IF(ISNUMBER($O895),INDEX('請求台帳'!$R$5:$R$1004,$O895),"")</f>
        <v/>
      </c>
      <c r="L895" s="20">
        <f>IF(NOT(OR($A895&lt;&gt;"",$E895&lt;&gt;"",$F895&lt;&gt;"",$G895&lt;&gt;"",$H895&lt;&gt;"",$I895&lt;&gt;"")),"",IF(NOT(ISNUMBER($A895)),"入金日がありません",IF(AND($F895&lt;&gt;"",$O895="なし"),"請求Noが請求台帳にありません",IF(AND(ISNUMBER($O895),$C895&lt;&gt;"",$C895&lt;&gt;$P895),"請求の得意先は "&amp;$P895&amp;" です",IF(ROUND(IF($B895&lt;&gt;"",SUMIF($B$5:$B$1004,$B895,$E$5:$E$1004)-SUMIF($B$5:$B$1004,$B895,$G$5:$G$1004),N($E895)-N($G895)),0)&lt;&gt;0,"通帳の額と当てた額の差 "&amp;TEXT(IF($B895&lt;&gt;"",SUMIF($B$5:$B$1004,$B895,$E$5:$E$1004)-SUMIF($B$5:$B$1004,$B895,$G$5:$G$1004),N($E895)-N($G895)),"#,##0"),IF(AND(ISNUMBER($O895),N($K895)&lt;0),"請求額より多く消し込んでいます",IF($F895="","消込先が未定","OK")))))))</f>
        <v/>
      </c>
      <c r="M895" s="19" t="n"/>
      <c r="N895" s="56" t="n"/>
      <c r="O895" s="32">
        <f>IF($F895="","",IFERROR(MATCH($F895,'請求台帳'!$A$5:$A$1004,0),"なし"))</f>
        <v/>
      </c>
      <c r="P895" s="37">
        <f>IF(NOT(OR($A895&lt;&gt;"",$E895&lt;&gt;"",$F895&lt;&gt;"",$G895&lt;&gt;"",$H895&lt;&gt;"",$I895&lt;&gt;"")),"",IF(ISNUMBER($O895),IF(INDEX('請求台帳'!$C$5:$C$1004,$O895)="","",INDEX('請求台帳'!$C$5:$C$1004,$O895)),IF($C895="","",$C895)))</f>
        <v/>
      </c>
      <c r="Q895" s="35">
        <f>IF(OR(NOT(OR($A895&lt;&gt;"",$E895&lt;&gt;"",$F895&lt;&gt;"",$G895&lt;&gt;"",$H895&lt;&gt;"",$I895&lt;&gt;"")),$P895="",$P895&lt;&gt;'売掛帳'!$B$3,NOT(ISNUMBER($A895)),N($G895)+N($H895)+N($I895)=0),"",IF(AND($A895&gt;='売掛帳'!$Q$3,$A895&lt;='売掛帳'!$Q$4),$A895+0.5+ROW()/10000000,""))</f>
        <v/>
      </c>
      <c r="R895" s="32">
        <f>IF(AND(OR($A895&lt;&gt;"",$E895&lt;&gt;"",$F895&lt;&gt;"",$G895&lt;&gt;"",$H895&lt;&gt;"",$I895&lt;&gt;""),NOT(ISNUMBER($O895))),1,"")</f>
        <v/>
      </c>
    </row>
    <row r="896" ht="18" customHeight="1">
      <c r="A896" s="26" t="n"/>
      <c r="B896" s="18" t="n"/>
      <c r="C896" s="18" t="n"/>
      <c r="D896" s="20">
        <f>IF($P896="","",IFERROR(INDEX('得意先'!$C$5:$C$104,MATCH($P896,'得意先'!$B$5:$B$104,0))&amp;"","※得意先にないコード"))</f>
        <v/>
      </c>
      <c r="E896" s="27" t="n"/>
      <c r="F896" s="18" t="n"/>
      <c r="G896" s="27" t="n"/>
      <c r="H896" s="27" t="n"/>
      <c r="I896" s="27" t="n"/>
      <c r="J896" s="28">
        <f>IF(NOT(OR($A896&lt;&gt;"",$E896&lt;&gt;"",$F896&lt;&gt;"",$G896&lt;&gt;"",$H896&lt;&gt;"",$I896&lt;&gt;"")),"",N($G896)+N($H896)+N($I896))</f>
        <v/>
      </c>
      <c r="K896" s="28">
        <f>IF(ISNUMBER($O896),INDEX('請求台帳'!$R$5:$R$1004,$O896),"")</f>
        <v/>
      </c>
      <c r="L896" s="20">
        <f>IF(NOT(OR($A896&lt;&gt;"",$E896&lt;&gt;"",$F896&lt;&gt;"",$G896&lt;&gt;"",$H896&lt;&gt;"",$I896&lt;&gt;"")),"",IF(NOT(ISNUMBER($A896)),"入金日がありません",IF(AND($F896&lt;&gt;"",$O896="なし"),"請求Noが請求台帳にありません",IF(AND(ISNUMBER($O896),$C896&lt;&gt;"",$C896&lt;&gt;$P896),"請求の得意先は "&amp;$P896&amp;" です",IF(ROUND(IF($B896&lt;&gt;"",SUMIF($B$5:$B$1004,$B896,$E$5:$E$1004)-SUMIF($B$5:$B$1004,$B896,$G$5:$G$1004),N($E896)-N($G896)),0)&lt;&gt;0,"通帳の額と当てた額の差 "&amp;TEXT(IF($B896&lt;&gt;"",SUMIF($B$5:$B$1004,$B896,$E$5:$E$1004)-SUMIF($B$5:$B$1004,$B896,$G$5:$G$1004),N($E896)-N($G896)),"#,##0"),IF(AND(ISNUMBER($O896),N($K896)&lt;0),"請求額より多く消し込んでいます",IF($F896="","消込先が未定","OK")))))))</f>
        <v/>
      </c>
      <c r="M896" s="19" t="n"/>
      <c r="N896" s="56" t="n"/>
      <c r="O896" s="32">
        <f>IF($F896="","",IFERROR(MATCH($F896,'請求台帳'!$A$5:$A$1004,0),"なし"))</f>
        <v/>
      </c>
      <c r="P896" s="37">
        <f>IF(NOT(OR($A896&lt;&gt;"",$E896&lt;&gt;"",$F896&lt;&gt;"",$G896&lt;&gt;"",$H896&lt;&gt;"",$I896&lt;&gt;"")),"",IF(ISNUMBER($O896),IF(INDEX('請求台帳'!$C$5:$C$1004,$O896)="","",INDEX('請求台帳'!$C$5:$C$1004,$O896)),IF($C896="","",$C896)))</f>
        <v/>
      </c>
      <c r="Q896" s="35">
        <f>IF(OR(NOT(OR($A896&lt;&gt;"",$E896&lt;&gt;"",$F896&lt;&gt;"",$G896&lt;&gt;"",$H896&lt;&gt;"",$I896&lt;&gt;"")),$P896="",$P896&lt;&gt;'売掛帳'!$B$3,NOT(ISNUMBER($A896)),N($G896)+N($H896)+N($I896)=0),"",IF(AND($A896&gt;='売掛帳'!$Q$3,$A896&lt;='売掛帳'!$Q$4),$A896+0.5+ROW()/10000000,""))</f>
        <v/>
      </c>
      <c r="R896" s="32">
        <f>IF(AND(OR($A896&lt;&gt;"",$E896&lt;&gt;"",$F896&lt;&gt;"",$G896&lt;&gt;"",$H896&lt;&gt;"",$I896&lt;&gt;""),NOT(ISNUMBER($O896))),1,"")</f>
        <v/>
      </c>
    </row>
    <row r="897" ht="18" customHeight="1">
      <c r="A897" s="26" t="n"/>
      <c r="B897" s="18" t="n"/>
      <c r="C897" s="18" t="n"/>
      <c r="D897" s="20">
        <f>IF($P897="","",IFERROR(INDEX('得意先'!$C$5:$C$104,MATCH($P897,'得意先'!$B$5:$B$104,0))&amp;"","※得意先にないコード"))</f>
        <v/>
      </c>
      <c r="E897" s="27" t="n"/>
      <c r="F897" s="18" t="n"/>
      <c r="G897" s="27" t="n"/>
      <c r="H897" s="27" t="n"/>
      <c r="I897" s="27" t="n"/>
      <c r="J897" s="28">
        <f>IF(NOT(OR($A897&lt;&gt;"",$E897&lt;&gt;"",$F897&lt;&gt;"",$G897&lt;&gt;"",$H897&lt;&gt;"",$I897&lt;&gt;"")),"",N($G897)+N($H897)+N($I897))</f>
        <v/>
      </c>
      <c r="K897" s="28">
        <f>IF(ISNUMBER($O897),INDEX('請求台帳'!$R$5:$R$1004,$O897),"")</f>
        <v/>
      </c>
      <c r="L897" s="20">
        <f>IF(NOT(OR($A897&lt;&gt;"",$E897&lt;&gt;"",$F897&lt;&gt;"",$G897&lt;&gt;"",$H897&lt;&gt;"",$I897&lt;&gt;"")),"",IF(NOT(ISNUMBER($A897)),"入金日がありません",IF(AND($F897&lt;&gt;"",$O897="なし"),"請求Noが請求台帳にありません",IF(AND(ISNUMBER($O897),$C897&lt;&gt;"",$C897&lt;&gt;$P897),"請求の得意先は "&amp;$P897&amp;" です",IF(ROUND(IF($B897&lt;&gt;"",SUMIF($B$5:$B$1004,$B897,$E$5:$E$1004)-SUMIF($B$5:$B$1004,$B897,$G$5:$G$1004),N($E897)-N($G897)),0)&lt;&gt;0,"通帳の額と当てた額の差 "&amp;TEXT(IF($B897&lt;&gt;"",SUMIF($B$5:$B$1004,$B897,$E$5:$E$1004)-SUMIF($B$5:$B$1004,$B897,$G$5:$G$1004),N($E897)-N($G897)),"#,##0"),IF(AND(ISNUMBER($O897),N($K897)&lt;0),"請求額より多く消し込んでいます",IF($F897="","消込先が未定","OK")))))))</f>
        <v/>
      </c>
      <c r="M897" s="19" t="n"/>
      <c r="N897" s="56" t="n"/>
      <c r="O897" s="32">
        <f>IF($F897="","",IFERROR(MATCH($F897,'請求台帳'!$A$5:$A$1004,0),"なし"))</f>
        <v/>
      </c>
      <c r="P897" s="37">
        <f>IF(NOT(OR($A897&lt;&gt;"",$E897&lt;&gt;"",$F897&lt;&gt;"",$G897&lt;&gt;"",$H897&lt;&gt;"",$I897&lt;&gt;"")),"",IF(ISNUMBER($O897),IF(INDEX('請求台帳'!$C$5:$C$1004,$O897)="","",INDEX('請求台帳'!$C$5:$C$1004,$O897)),IF($C897="","",$C897)))</f>
        <v/>
      </c>
      <c r="Q897" s="35">
        <f>IF(OR(NOT(OR($A897&lt;&gt;"",$E897&lt;&gt;"",$F897&lt;&gt;"",$G897&lt;&gt;"",$H897&lt;&gt;"",$I897&lt;&gt;"")),$P897="",$P897&lt;&gt;'売掛帳'!$B$3,NOT(ISNUMBER($A897)),N($G897)+N($H897)+N($I897)=0),"",IF(AND($A897&gt;='売掛帳'!$Q$3,$A897&lt;='売掛帳'!$Q$4),$A897+0.5+ROW()/10000000,""))</f>
        <v/>
      </c>
      <c r="R897" s="32">
        <f>IF(AND(OR($A897&lt;&gt;"",$E897&lt;&gt;"",$F897&lt;&gt;"",$G897&lt;&gt;"",$H897&lt;&gt;"",$I897&lt;&gt;""),NOT(ISNUMBER($O897))),1,"")</f>
        <v/>
      </c>
    </row>
    <row r="898" ht="18" customHeight="1">
      <c r="A898" s="26" t="n"/>
      <c r="B898" s="18" t="n"/>
      <c r="C898" s="18" t="n"/>
      <c r="D898" s="20">
        <f>IF($P898="","",IFERROR(INDEX('得意先'!$C$5:$C$104,MATCH($P898,'得意先'!$B$5:$B$104,0))&amp;"","※得意先にないコード"))</f>
        <v/>
      </c>
      <c r="E898" s="27" t="n"/>
      <c r="F898" s="18" t="n"/>
      <c r="G898" s="27" t="n"/>
      <c r="H898" s="27" t="n"/>
      <c r="I898" s="27" t="n"/>
      <c r="J898" s="28">
        <f>IF(NOT(OR($A898&lt;&gt;"",$E898&lt;&gt;"",$F898&lt;&gt;"",$G898&lt;&gt;"",$H898&lt;&gt;"",$I898&lt;&gt;"")),"",N($G898)+N($H898)+N($I898))</f>
        <v/>
      </c>
      <c r="K898" s="28">
        <f>IF(ISNUMBER($O898),INDEX('請求台帳'!$R$5:$R$1004,$O898),"")</f>
        <v/>
      </c>
      <c r="L898" s="20">
        <f>IF(NOT(OR($A898&lt;&gt;"",$E898&lt;&gt;"",$F898&lt;&gt;"",$G898&lt;&gt;"",$H898&lt;&gt;"",$I898&lt;&gt;"")),"",IF(NOT(ISNUMBER($A898)),"入金日がありません",IF(AND($F898&lt;&gt;"",$O898="なし"),"請求Noが請求台帳にありません",IF(AND(ISNUMBER($O898),$C898&lt;&gt;"",$C898&lt;&gt;$P898),"請求の得意先は "&amp;$P898&amp;" です",IF(ROUND(IF($B898&lt;&gt;"",SUMIF($B$5:$B$1004,$B898,$E$5:$E$1004)-SUMIF($B$5:$B$1004,$B898,$G$5:$G$1004),N($E898)-N($G898)),0)&lt;&gt;0,"通帳の額と当てた額の差 "&amp;TEXT(IF($B898&lt;&gt;"",SUMIF($B$5:$B$1004,$B898,$E$5:$E$1004)-SUMIF($B$5:$B$1004,$B898,$G$5:$G$1004),N($E898)-N($G898)),"#,##0"),IF(AND(ISNUMBER($O898),N($K898)&lt;0),"請求額より多く消し込んでいます",IF($F898="","消込先が未定","OK")))))))</f>
        <v/>
      </c>
      <c r="M898" s="19" t="n"/>
      <c r="N898" s="56" t="n"/>
      <c r="O898" s="32">
        <f>IF($F898="","",IFERROR(MATCH($F898,'請求台帳'!$A$5:$A$1004,0),"なし"))</f>
        <v/>
      </c>
      <c r="P898" s="37">
        <f>IF(NOT(OR($A898&lt;&gt;"",$E898&lt;&gt;"",$F898&lt;&gt;"",$G898&lt;&gt;"",$H898&lt;&gt;"",$I898&lt;&gt;"")),"",IF(ISNUMBER($O898),IF(INDEX('請求台帳'!$C$5:$C$1004,$O898)="","",INDEX('請求台帳'!$C$5:$C$1004,$O898)),IF($C898="","",$C898)))</f>
        <v/>
      </c>
      <c r="Q898" s="35">
        <f>IF(OR(NOT(OR($A898&lt;&gt;"",$E898&lt;&gt;"",$F898&lt;&gt;"",$G898&lt;&gt;"",$H898&lt;&gt;"",$I898&lt;&gt;"")),$P898="",$P898&lt;&gt;'売掛帳'!$B$3,NOT(ISNUMBER($A898)),N($G898)+N($H898)+N($I898)=0),"",IF(AND($A898&gt;='売掛帳'!$Q$3,$A898&lt;='売掛帳'!$Q$4),$A898+0.5+ROW()/10000000,""))</f>
        <v/>
      </c>
      <c r="R898" s="32">
        <f>IF(AND(OR($A898&lt;&gt;"",$E898&lt;&gt;"",$F898&lt;&gt;"",$G898&lt;&gt;"",$H898&lt;&gt;"",$I898&lt;&gt;""),NOT(ISNUMBER($O898))),1,"")</f>
        <v/>
      </c>
    </row>
    <row r="899" ht="18" customHeight="1">
      <c r="A899" s="26" t="n"/>
      <c r="B899" s="18" t="n"/>
      <c r="C899" s="18" t="n"/>
      <c r="D899" s="20">
        <f>IF($P899="","",IFERROR(INDEX('得意先'!$C$5:$C$104,MATCH($P899,'得意先'!$B$5:$B$104,0))&amp;"","※得意先にないコード"))</f>
        <v/>
      </c>
      <c r="E899" s="27" t="n"/>
      <c r="F899" s="18" t="n"/>
      <c r="G899" s="27" t="n"/>
      <c r="H899" s="27" t="n"/>
      <c r="I899" s="27" t="n"/>
      <c r="J899" s="28">
        <f>IF(NOT(OR($A899&lt;&gt;"",$E899&lt;&gt;"",$F899&lt;&gt;"",$G899&lt;&gt;"",$H899&lt;&gt;"",$I899&lt;&gt;"")),"",N($G899)+N($H899)+N($I899))</f>
        <v/>
      </c>
      <c r="K899" s="28">
        <f>IF(ISNUMBER($O899),INDEX('請求台帳'!$R$5:$R$1004,$O899),"")</f>
        <v/>
      </c>
      <c r="L899" s="20">
        <f>IF(NOT(OR($A899&lt;&gt;"",$E899&lt;&gt;"",$F899&lt;&gt;"",$G899&lt;&gt;"",$H899&lt;&gt;"",$I899&lt;&gt;"")),"",IF(NOT(ISNUMBER($A899)),"入金日がありません",IF(AND($F899&lt;&gt;"",$O899="なし"),"請求Noが請求台帳にありません",IF(AND(ISNUMBER($O899),$C899&lt;&gt;"",$C899&lt;&gt;$P899),"請求の得意先は "&amp;$P899&amp;" です",IF(ROUND(IF($B899&lt;&gt;"",SUMIF($B$5:$B$1004,$B899,$E$5:$E$1004)-SUMIF($B$5:$B$1004,$B899,$G$5:$G$1004),N($E899)-N($G899)),0)&lt;&gt;0,"通帳の額と当てた額の差 "&amp;TEXT(IF($B899&lt;&gt;"",SUMIF($B$5:$B$1004,$B899,$E$5:$E$1004)-SUMIF($B$5:$B$1004,$B899,$G$5:$G$1004),N($E899)-N($G899)),"#,##0"),IF(AND(ISNUMBER($O899),N($K899)&lt;0),"請求額より多く消し込んでいます",IF($F899="","消込先が未定","OK")))))))</f>
        <v/>
      </c>
      <c r="M899" s="19" t="n"/>
      <c r="N899" s="56" t="n"/>
      <c r="O899" s="32">
        <f>IF($F899="","",IFERROR(MATCH($F899,'請求台帳'!$A$5:$A$1004,0),"なし"))</f>
        <v/>
      </c>
      <c r="P899" s="37">
        <f>IF(NOT(OR($A899&lt;&gt;"",$E899&lt;&gt;"",$F899&lt;&gt;"",$G899&lt;&gt;"",$H899&lt;&gt;"",$I899&lt;&gt;"")),"",IF(ISNUMBER($O899),IF(INDEX('請求台帳'!$C$5:$C$1004,$O899)="","",INDEX('請求台帳'!$C$5:$C$1004,$O899)),IF($C899="","",$C899)))</f>
        <v/>
      </c>
      <c r="Q899" s="35">
        <f>IF(OR(NOT(OR($A899&lt;&gt;"",$E899&lt;&gt;"",$F899&lt;&gt;"",$G899&lt;&gt;"",$H899&lt;&gt;"",$I899&lt;&gt;"")),$P899="",$P899&lt;&gt;'売掛帳'!$B$3,NOT(ISNUMBER($A899)),N($G899)+N($H899)+N($I899)=0),"",IF(AND($A899&gt;='売掛帳'!$Q$3,$A899&lt;='売掛帳'!$Q$4),$A899+0.5+ROW()/10000000,""))</f>
        <v/>
      </c>
      <c r="R899" s="32">
        <f>IF(AND(OR($A899&lt;&gt;"",$E899&lt;&gt;"",$F899&lt;&gt;"",$G899&lt;&gt;"",$H899&lt;&gt;"",$I899&lt;&gt;""),NOT(ISNUMBER($O899))),1,"")</f>
        <v/>
      </c>
    </row>
    <row r="900" ht="18" customHeight="1">
      <c r="A900" s="26" t="n"/>
      <c r="B900" s="18" t="n"/>
      <c r="C900" s="18" t="n"/>
      <c r="D900" s="20">
        <f>IF($P900="","",IFERROR(INDEX('得意先'!$C$5:$C$104,MATCH($P900,'得意先'!$B$5:$B$104,0))&amp;"","※得意先にないコード"))</f>
        <v/>
      </c>
      <c r="E900" s="27" t="n"/>
      <c r="F900" s="18" t="n"/>
      <c r="G900" s="27" t="n"/>
      <c r="H900" s="27" t="n"/>
      <c r="I900" s="27" t="n"/>
      <c r="J900" s="28">
        <f>IF(NOT(OR($A900&lt;&gt;"",$E900&lt;&gt;"",$F900&lt;&gt;"",$G900&lt;&gt;"",$H900&lt;&gt;"",$I900&lt;&gt;"")),"",N($G900)+N($H900)+N($I900))</f>
        <v/>
      </c>
      <c r="K900" s="28">
        <f>IF(ISNUMBER($O900),INDEX('請求台帳'!$R$5:$R$1004,$O900),"")</f>
        <v/>
      </c>
      <c r="L900" s="20">
        <f>IF(NOT(OR($A900&lt;&gt;"",$E900&lt;&gt;"",$F900&lt;&gt;"",$G900&lt;&gt;"",$H900&lt;&gt;"",$I900&lt;&gt;"")),"",IF(NOT(ISNUMBER($A900)),"入金日がありません",IF(AND($F900&lt;&gt;"",$O900="なし"),"請求Noが請求台帳にありません",IF(AND(ISNUMBER($O900),$C900&lt;&gt;"",$C900&lt;&gt;$P900),"請求の得意先は "&amp;$P900&amp;" です",IF(ROUND(IF($B900&lt;&gt;"",SUMIF($B$5:$B$1004,$B900,$E$5:$E$1004)-SUMIF($B$5:$B$1004,$B900,$G$5:$G$1004),N($E900)-N($G900)),0)&lt;&gt;0,"通帳の額と当てた額の差 "&amp;TEXT(IF($B900&lt;&gt;"",SUMIF($B$5:$B$1004,$B900,$E$5:$E$1004)-SUMIF($B$5:$B$1004,$B900,$G$5:$G$1004),N($E900)-N($G900)),"#,##0"),IF(AND(ISNUMBER($O900),N($K900)&lt;0),"請求額より多く消し込んでいます",IF($F900="","消込先が未定","OK")))))))</f>
        <v/>
      </c>
      <c r="M900" s="19" t="n"/>
      <c r="N900" s="56" t="n"/>
      <c r="O900" s="32">
        <f>IF($F900="","",IFERROR(MATCH($F900,'請求台帳'!$A$5:$A$1004,0),"なし"))</f>
        <v/>
      </c>
      <c r="P900" s="37">
        <f>IF(NOT(OR($A900&lt;&gt;"",$E900&lt;&gt;"",$F900&lt;&gt;"",$G900&lt;&gt;"",$H900&lt;&gt;"",$I900&lt;&gt;"")),"",IF(ISNUMBER($O900),IF(INDEX('請求台帳'!$C$5:$C$1004,$O900)="","",INDEX('請求台帳'!$C$5:$C$1004,$O900)),IF($C900="","",$C900)))</f>
        <v/>
      </c>
      <c r="Q900" s="35">
        <f>IF(OR(NOT(OR($A900&lt;&gt;"",$E900&lt;&gt;"",$F900&lt;&gt;"",$G900&lt;&gt;"",$H900&lt;&gt;"",$I900&lt;&gt;"")),$P900="",$P900&lt;&gt;'売掛帳'!$B$3,NOT(ISNUMBER($A900)),N($G900)+N($H900)+N($I900)=0),"",IF(AND($A900&gt;='売掛帳'!$Q$3,$A900&lt;='売掛帳'!$Q$4),$A900+0.5+ROW()/10000000,""))</f>
        <v/>
      </c>
      <c r="R900" s="32">
        <f>IF(AND(OR($A900&lt;&gt;"",$E900&lt;&gt;"",$F900&lt;&gt;"",$G900&lt;&gt;"",$H900&lt;&gt;"",$I900&lt;&gt;""),NOT(ISNUMBER($O900))),1,"")</f>
        <v/>
      </c>
    </row>
    <row r="901" ht="18" customHeight="1">
      <c r="A901" s="26" t="n"/>
      <c r="B901" s="18" t="n"/>
      <c r="C901" s="18" t="n"/>
      <c r="D901" s="20">
        <f>IF($P901="","",IFERROR(INDEX('得意先'!$C$5:$C$104,MATCH($P901,'得意先'!$B$5:$B$104,0))&amp;"","※得意先にないコード"))</f>
        <v/>
      </c>
      <c r="E901" s="27" t="n"/>
      <c r="F901" s="18" t="n"/>
      <c r="G901" s="27" t="n"/>
      <c r="H901" s="27" t="n"/>
      <c r="I901" s="27" t="n"/>
      <c r="J901" s="28">
        <f>IF(NOT(OR($A901&lt;&gt;"",$E901&lt;&gt;"",$F901&lt;&gt;"",$G901&lt;&gt;"",$H901&lt;&gt;"",$I901&lt;&gt;"")),"",N($G901)+N($H901)+N($I901))</f>
        <v/>
      </c>
      <c r="K901" s="28">
        <f>IF(ISNUMBER($O901),INDEX('請求台帳'!$R$5:$R$1004,$O901),"")</f>
        <v/>
      </c>
      <c r="L901" s="20">
        <f>IF(NOT(OR($A901&lt;&gt;"",$E901&lt;&gt;"",$F901&lt;&gt;"",$G901&lt;&gt;"",$H901&lt;&gt;"",$I901&lt;&gt;"")),"",IF(NOT(ISNUMBER($A901)),"入金日がありません",IF(AND($F901&lt;&gt;"",$O901="なし"),"請求Noが請求台帳にありません",IF(AND(ISNUMBER($O901),$C901&lt;&gt;"",$C901&lt;&gt;$P901),"請求の得意先は "&amp;$P901&amp;" です",IF(ROUND(IF($B901&lt;&gt;"",SUMIF($B$5:$B$1004,$B901,$E$5:$E$1004)-SUMIF($B$5:$B$1004,$B901,$G$5:$G$1004),N($E901)-N($G901)),0)&lt;&gt;0,"通帳の額と当てた額の差 "&amp;TEXT(IF($B901&lt;&gt;"",SUMIF($B$5:$B$1004,$B901,$E$5:$E$1004)-SUMIF($B$5:$B$1004,$B901,$G$5:$G$1004),N($E901)-N($G901)),"#,##0"),IF(AND(ISNUMBER($O901),N($K901)&lt;0),"請求額より多く消し込んでいます",IF($F901="","消込先が未定","OK")))))))</f>
        <v/>
      </c>
      <c r="M901" s="19" t="n"/>
      <c r="N901" s="56" t="n"/>
      <c r="O901" s="32">
        <f>IF($F901="","",IFERROR(MATCH($F901,'請求台帳'!$A$5:$A$1004,0),"なし"))</f>
        <v/>
      </c>
      <c r="P901" s="37">
        <f>IF(NOT(OR($A901&lt;&gt;"",$E901&lt;&gt;"",$F901&lt;&gt;"",$G901&lt;&gt;"",$H901&lt;&gt;"",$I901&lt;&gt;"")),"",IF(ISNUMBER($O901),IF(INDEX('請求台帳'!$C$5:$C$1004,$O901)="","",INDEX('請求台帳'!$C$5:$C$1004,$O901)),IF($C901="","",$C901)))</f>
        <v/>
      </c>
      <c r="Q901" s="35">
        <f>IF(OR(NOT(OR($A901&lt;&gt;"",$E901&lt;&gt;"",$F901&lt;&gt;"",$G901&lt;&gt;"",$H901&lt;&gt;"",$I901&lt;&gt;"")),$P901="",$P901&lt;&gt;'売掛帳'!$B$3,NOT(ISNUMBER($A901)),N($G901)+N($H901)+N($I901)=0),"",IF(AND($A901&gt;='売掛帳'!$Q$3,$A901&lt;='売掛帳'!$Q$4),$A901+0.5+ROW()/10000000,""))</f>
        <v/>
      </c>
      <c r="R901" s="32">
        <f>IF(AND(OR($A901&lt;&gt;"",$E901&lt;&gt;"",$F901&lt;&gt;"",$G901&lt;&gt;"",$H901&lt;&gt;"",$I901&lt;&gt;""),NOT(ISNUMBER($O901))),1,"")</f>
        <v/>
      </c>
    </row>
    <row r="902" ht="18" customHeight="1">
      <c r="A902" s="26" t="n"/>
      <c r="B902" s="18" t="n"/>
      <c r="C902" s="18" t="n"/>
      <c r="D902" s="20">
        <f>IF($P902="","",IFERROR(INDEX('得意先'!$C$5:$C$104,MATCH($P902,'得意先'!$B$5:$B$104,0))&amp;"","※得意先にないコード"))</f>
        <v/>
      </c>
      <c r="E902" s="27" t="n"/>
      <c r="F902" s="18" t="n"/>
      <c r="G902" s="27" t="n"/>
      <c r="H902" s="27" t="n"/>
      <c r="I902" s="27" t="n"/>
      <c r="J902" s="28">
        <f>IF(NOT(OR($A902&lt;&gt;"",$E902&lt;&gt;"",$F902&lt;&gt;"",$G902&lt;&gt;"",$H902&lt;&gt;"",$I902&lt;&gt;"")),"",N($G902)+N($H902)+N($I902))</f>
        <v/>
      </c>
      <c r="K902" s="28">
        <f>IF(ISNUMBER($O902),INDEX('請求台帳'!$R$5:$R$1004,$O902),"")</f>
        <v/>
      </c>
      <c r="L902" s="20">
        <f>IF(NOT(OR($A902&lt;&gt;"",$E902&lt;&gt;"",$F902&lt;&gt;"",$G902&lt;&gt;"",$H902&lt;&gt;"",$I902&lt;&gt;"")),"",IF(NOT(ISNUMBER($A902)),"入金日がありません",IF(AND($F902&lt;&gt;"",$O902="なし"),"請求Noが請求台帳にありません",IF(AND(ISNUMBER($O902),$C902&lt;&gt;"",$C902&lt;&gt;$P902),"請求の得意先は "&amp;$P902&amp;" です",IF(ROUND(IF($B902&lt;&gt;"",SUMIF($B$5:$B$1004,$B902,$E$5:$E$1004)-SUMIF($B$5:$B$1004,$B902,$G$5:$G$1004),N($E902)-N($G902)),0)&lt;&gt;0,"通帳の額と当てた額の差 "&amp;TEXT(IF($B902&lt;&gt;"",SUMIF($B$5:$B$1004,$B902,$E$5:$E$1004)-SUMIF($B$5:$B$1004,$B902,$G$5:$G$1004),N($E902)-N($G902)),"#,##0"),IF(AND(ISNUMBER($O902),N($K902)&lt;0),"請求額より多く消し込んでいます",IF($F902="","消込先が未定","OK")))))))</f>
        <v/>
      </c>
      <c r="M902" s="19" t="n"/>
      <c r="N902" s="56" t="n"/>
      <c r="O902" s="32">
        <f>IF($F902="","",IFERROR(MATCH($F902,'請求台帳'!$A$5:$A$1004,0),"なし"))</f>
        <v/>
      </c>
      <c r="P902" s="37">
        <f>IF(NOT(OR($A902&lt;&gt;"",$E902&lt;&gt;"",$F902&lt;&gt;"",$G902&lt;&gt;"",$H902&lt;&gt;"",$I902&lt;&gt;"")),"",IF(ISNUMBER($O902),IF(INDEX('請求台帳'!$C$5:$C$1004,$O902)="","",INDEX('請求台帳'!$C$5:$C$1004,$O902)),IF($C902="","",$C902)))</f>
        <v/>
      </c>
      <c r="Q902" s="35">
        <f>IF(OR(NOT(OR($A902&lt;&gt;"",$E902&lt;&gt;"",$F902&lt;&gt;"",$G902&lt;&gt;"",$H902&lt;&gt;"",$I902&lt;&gt;"")),$P902="",$P902&lt;&gt;'売掛帳'!$B$3,NOT(ISNUMBER($A902)),N($G902)+N($H902)+N($I902)=0),"",IF(AND($A902&gt;='売掛帳'!$Q$3,$A902&lt;='売掛帳'!$Q$4),$A902+0.5+ROW()/10000000,""))</f>
        <v/>
      </c>
      <c r="R902" s="32">
        <f>IF(AND(OR($A902&lt;&gt;"",$E902&lt;&gt;"",$F902&lt;&gt;"",$G902&lt;&gt;"",$H902&lt;&gt;"",$I902&lt;&gt;""),NOT(ISNUMBER($O902))),1,"")</f>
        <v/>
      </c>
    </row>
    <row r="903" ht="18" customHeight="1">
      <c r="A903" s="26" t="n"/>
      <c r="B903" s="18" t="n"/>
      <c r="C903" s="18" t="n"/>
      <c r="D903" s="20">
        <f>IF($P903="","",IFERROR(INDEX('得意先'!$C$5:$C$104,MATCH($P903,'得意先'!$B$5:$B$104,0))&amp;"","※得意先にないコード"))</f>
        <v/>
      </c>
      <c r="E903" s="27" t="n"/>
      <c r="F903" s="18" t="n"/>
      <c r="G903" s="27" t="n"/>
      <c r="H903" s="27" t="n"/>
      <c r="I903" s="27" t="n"/>
      <c r="J903" s="28">
        <f>IF(NOT(OR($A903&lt;&gt;"",$E903&lt;&gt;"",$F903&lt;&gt;"",$G903&lt;&gt;"",$H903&lt;&gt;"",$I903&lt;&gt;"")),"",N($G903)+N($H903)+N($I903))</f>
        <v/>
      </c>
      <c r="K903" s="28">
        <f>IF(ISNUMBER($O903),INDEX('請求台帳'!$R$5:$R$1004,$O903),"")</f>
        <v/>
      </c>
      <c r="L903" s="20">
        <f>IF(NOT(OR($A903&lt;&gt;"",$E903&lt;&gt;"",$F903&lt;&gt;"",$G903&lt;&gt;"",$H903&lt;&gt;"",$I903&lt;&gt;"")),"",IF(NOT(ISNUMBER($A903)),"入金日がありません",IF(AND($F903&lt;&gt;"",$O903="なし"),"請求Noが請求台帳にありません",IF(AND(ISNUMBER($O903),$C903&lt;&gt;"",$C903&lt;&gt;$P903),"請求の得意先は "&amp;$P903&amp;" です",IF(ROUND(IF($B903&lt;&gt;"",SUMIF($B$5:$B$1004,$B903,$E$5:$E$1004)-SUMIF($B$5:$B$1004,$B903,$G$5:$G$1004),N($E903)-N($G903)),0)&lt;&gt;0,"通帳の額と当てた額の差 "&amp;TEXT(IF($B903&lt;&gt;"",SUMIF($B$5:$B$1004,$B903,$E$5:$E$1004)-SUMIF($B$5:$B$1004,$B903,$G$5:$G$1004),N($E903)-N($G903)),"#,##0"),IF(AND(ISNUMBER($O903),N($K903)&lt;0),"請求額より多く消し込んでいます",IF($F903="","消込先が未定","OK")))))))</f>
        <v/>
      </c>
      <c r="M903" s="19" t="n"/>
      <c r="N903" s="56" t="n"/>
      <c r="O903" s="32">
        <f>IF($F903="","",IFERROR(MATCH($F903,'請求台帳'!$A$5:$A$1004,0),"なし"))</f>
        <v/>
      </c>
      <c r="P903" s="37">
        <f>IF(NOT(OR($A903&lt;&gt;"",$E903&lt;&gt;"",$F903&lt;&gt;"",$G903&lt;&gt;"",$H903&lt;&gt;"",$I903&lt;&gt;"")),"",IF(ISNUMBER($O903),IF(INDEX('請求台帳'!$C$5:$C$1004,$O903)="","",INDEX('請求台帳'!$C$5:$C$1004,$O903)),IF($C903="","",$C903)))</f>
        <v/>
      </c>
      <c r="Q903" s="35">
        <f>IF(OR(NOT(OR($A903&lt;&gt;"",$E903&lt;&gt;"",$F903&lt;&gt;"",$G903&lt;&gt;"",$H903&lt;&gt;"",$I903&lt;&gt;"")),$P903="",$P903&lt;&gt;'売掛帳'!$B$3,NOT(ISNUMBER($A903)),N($G903)+N($H903)+N($I903)=0),"",IF(AND($A903&gt;='売掛帳'!$Q$3,$A903&lt;='売掛帳'!$Q$4),$A903+0.5+ROW()/10000000,""))</f>
        <v/>
      </c>
      <c r="R903" s="32">
        <f>IF(AND(OR($A903&lt;&gt;"",$E903&lt;&gt;"",$F903&lt;&gt;"",$G903&lt;&gt;"",$H903&lt;&gt;"",$I903&lt;&gt;""),NOT(ISNUMBER($O903))),1,"")</f>
        <v/>
      </c>
    </row>
    <row r="904" ht="18" customHeight="1">
      <c r="A904" s="26" t="n"/>
      <c r="B904" s="18" t="n"/>
      <c r="C904" s="18" t="n"/>
      <c r="D904" s="20">
        <f>IF($P904="","",IFERROR(INDEX('得意先'!$C$5:$C$104,MATCH($P904,'得意先'!$B$5:$B$104,0))&amp;"","※得意先にないコード"))</f>
        <v/>
      </c>
      <c r="E904" s="27" t="n"/>
      <c r="F904" s="18" t="n"/>
      <c r="G904" s="27" t="n"/>
      <c r="H904" s="27" t="n"/>
      <c r="I904" s="27" t="n"/>
      <c r="J904" s="28">
        <f>IF(NOT(OR($A904&lt;&gt;"",$E904&lt;&gt;"",$F904&lt;&gt;"",$G904&lt;&gt;"",$H904&lt;&gt;"",$I904&lt;&gt;"")),"",N($G904)+N($H904)+N($I904))</f>
        <v/>
      </c>
      <c r="K904" s="28">
        <f>IF(ISNUMBER($O904),INDEX('請求台帳'!$R$5:$R$1004,$O904),"")</f>
        <v/>
      </c>
      <c r="L904" s="20">
        <f>IF(NOT(OR($A904&lt;&gt;"",$E904&lt;&gt;"",$F904&lt;&gt;"",$G904&lt;&gt;"",$H904&lt;&gt;"",$I904&lt;&gt;"")),"",IF(NOT(ISNUMBER($A904)),"入金日がありません",IF(AND($F904&lt;&gt;"",$O904="なし"),"請求Noが請求台帳にありません",IF(AND(ISNUMBER($O904),$C904&lt;&gt;"",$C904&lt;&gt;$P904),"請求の得意先は "&amp;$P904&amp;" です",IF(ROUND(IF($B904&lt;&gt;"",SUMIF($B$5:$B$1004,$B904,$E$5:$E$1004)-SUMIF($B$5:$B$1004,$B904,$G$5:$G$1004),N($E904)-N($G904)),0)&lt;&gt;0,"通帳の額と当てた額の差 "&amp;TEXT(IF($B904&lt;&gt;"",SUMIF($B$5:$B$1004,$B904,$E$5:$E$1004)-SUMIF($B$5:$B$1004,$B904,$G$5:$G$1004),N($E904)-N($G904)),"#,##0"),IF(AND(ISNUMBER($O904),N($K904)&lt;0),"請求額より多く消し込んでいます",IF($F904="","消込先が未定","OK")))))))</f>
        <v/>
      </c>
      <c r="M904" s="19" t="n"/>
      <c r="N904" s="56" t="n"/>
      <c r="O904" s="32">
        <f>IF($F904="","",IFERROR(MATCH($F904,'請求台帳'!$A$5:$A$1004,0),"なし"))</f>
        <v/>
      </c>
      <c r="P904" s="37">
        <f>IF(NOT(OR($A904&lt;&gt;"",$E904&lt;&gt;"",$F904&lt;&gt;"",$G904&lt;&gt;"",$H904&lt;&gt;"",$I904&lt;&gt;"")),"",IF(ISNUMBER($O904),IF(INDEX('請求台帳'!$C$5:$C$1004,$O904)="","",INDEX('請求台帳'!$C$5:$C$1004,$O904)),IF($C904="","",$C904)))</f>
        <v/>
      </c>
      <c r="Q904" s="35">
        <f>IF(OR(NOT(OR($A904&lt;&gt;"",$E904&lt;&gt;"",$F904&lt;&gt;"",$G904&lt;&gt;"",$H904&lt;&gt;"",$I904&lt;&gt;"")),$P904="",$P904&lt;&gt;'売掛帳'!$B$3,NOT(ISNUMBER($A904)),N($G904)+N($H904)+N($I904)=0),"",IF(AND($A904&gt;='売掛帳'!$Q$3,$A904&lt;='売掛帳'!$Q$4),$A904+0.5+ROW()/10000000,""))</f>
        <v/>
      </c>
      <c r="R904" s="32">
        <f>IF(AND(OR($A904&lt;&gt;"",$E904&lt;&gt;"",$F904&lt;&gt;"",$G904&lt;&gt;"",$H904&lt;&gt;"",$I904&lt;&gt;""),NOT(ISNUMBER($O904))),1,"")</f>
        <v/>
      </c>
    </row>
    <row r="905" ht="18" customHeight="1">
      <c r="A905" s="26" t="n"/>
      <c r="B905" s="18" t="n"/>
      <c r="C905" s="18" t="n"/>
      <c r="D905" s="20">
        <f>IF($P905="","",IFERROR(INDEX('得意先'!$C$5:$C$104,MATCH($P905,'得意先'!$B$5:$B$104,0))&amp;"","※得意先にないコード"))</f>
        <v/>
      </c>
      <c r="E905" s="27" t="n"/>
      <c r="F905" s="18" t="n"/>
      <c r="G905" s="27" t="n"/>
      <c r="H905" s="27" t="n"/>
      <c r="I905" s="27" t="n"/>
      <c r="J905" s="28">
        <f>IF(NOT(OR($A905&lt;&gt;"",$E905&lt;&gt;"",$F905&lt;&gt;"",$G905&lt;&gt;"",$H905&lt;&gt;"",$I905&lt;&gt;"")),"",N($G905)+N($H905)+N($I905))</f>
        <v/>
      </c>
      <c r="K905" s="28">
        <f>IF(ISNUMBER($O905),INDEX('請求台帳'!$R$5:$R$1004,$O905),"")</f>
        <v/>
      </c>
      <c r="L905" s="20">
        <f>IF(NOT(OR($A905&lt;&gt;"",$E905&lt;&gt;"",$F905&lt;&gt;"",$G905&lt;&gt;"",$H905&lt;&gt;"",$I905&lt;&gt;"")),"",IF(NOT(ISNUMBER($A905)),"入金日がありません",IF(AND($F905&lt;&gt;"",$O905="なし"),"請求Noが請求台帳にありません",IF(AND(ISNUMBER($O905),$C905&lt;&gt;"",$C905&lt;&gt;$P905),"請求の得意先は "&amp;$P905&amp;" です",IF(ROUND(IF($B905&lt;&gt;"",SUMIF($B$5:$B$1004,$B905,$E$5:$E$1004)-SUMIF($B$5:$B$1004,$B905,$G$5:$G$1004),N($E905)-N($G905)),0)&lt;&gt;0,"通帳の額と当てた額の差 "&amp;TEXT(IF($B905&lt;&gt;"",SUMIF($B$5:$B$1004,$B905,$E$5:$E$1004)-SUMIF($B$5:$B$1004,$B905,$G$5:$G$1004),N($E905)-N($G905)),"#,##0"),IF(AND(ISNUMBER($O905),N($K905)&lt;0),"請求額より多く消し込んでいます",IF($F905="","消込先が未定","OK")))))))</f>
        <v/>
      </c>
      <c r="M905" s="19" t="n"/>
      <c r="N905" s="56" t="n"/>
      <c r="O905" s="32">
        <f>IF($F905="","",IFERROR(MATCH($F905,'請求台帳'!$A$5:$A$1004,0),"なし"))</f>
        <v/>
      </c>
      <c r="P905" s="37">
        <f>IF(NOT(OR($A905&lt;&gt;"",$E905&lt;&gt;"",$F905&lt;&gt;"",$G905&lt;&gt;"",$H905&lt;&gt;"",$I905&lt;&gt;"")),"",IF(ISNUMBER($O905),IF(INDEX('請求台帳'!$C$5:$C$1004,$O905)="","",INDEX('請求台帳'!$C$5:$C$1004,$O905)),IF($C905="","",$C905)))</f>
        <v/>
      </c>
      <c r="Q905" s="35">
        <f>IF(OR(NOT(OR($A905&lt;&gt;"",$E905&lt;&gt;"",$F905&lt;&gt;"",$G905&lt;&gt;"",$H905&lt;&gt;"",$I905&lt;&gt;"")),$P905="",$P905&lt;&gt;'売掛帳'!$B$3,NOT(ISNUMBER($A905)),N($G905)+N($H905)+N($I905)=0),"",IF(AND($A905&gt;='売掛帳'!$Q$3,$A905&lt;='売掛帳'!$Q$4),$A905+0.5+ROW()/10000000,""))</f>
        <v/>
      </c>
      <c r="R905" s="32">
        <f>IF(AND(OR($A905&lt;&gt;"",$E905&lt;&gt;"",$F905&lt;&gt;"",$G905&lt;&gt;"",$H905&lt;&gt;"",$I905&lt;&gt;""),NOT(ISNUMBER($O905))),1,"")</f>
        <v/>
      </c>
    </row>
    <row r="906" ht="18" customHeight="1">
      <c r="A906" s="26" t="n"/>
      <c r="B906" s="18" t="n"/>
      <c r="C906" s="18" t="n"/>
      <c r="D906" s="20">
        <f>IF($P906="","",IFERROR(INDEX('得意先'!$C$5:$C$104,MATCH($P906,'得意先'!$B$5:$B$104,0))&amp;"","※得意先にないコード"))</f>
        <v/>
      </c>
      <c r="E906" s="27" t="n"/>
      <c r="F906" s="18" t="n"/>
      <c r="G906" s="27" t="n"/>
      <c r="H906" s="27" t="n"/>
      <c r="I906" s="27" t="n"/>
      <c r="J906" s="28">
        <f>IF(NOT(OR($A906&lt;&gt;"",$E906&lt;&gt;"",$F906&lt;&gt;"",$G906&lt;&gt;"",$H906&lt;&gt;"",$I906&lt;&gt;"")),"",N($G906)+N($H906)+N($I906))</f>
        <v/>
      </c>
      <c r="K906" s="28">
        <f>IF(ISNUMBER($O906),INDEX('請求台帳'!$R$5:$R$1004,$O906),"")</f>
        <v/>
      </c>
      <c r="L906" s="20">
        <f>IF(NOT(OR($A906&lt;&gt;"",$E906&lt;&gt;"",$F906&lt;&gt;"",$G906&lt;&gt;"",$H906&lt;&gt;"",$I906&lt;&gt;"")),"",IF(NOT(ISNUMBER($A906)),"入金日がありません",IF(AND($F906&lt;&gt;"",$O906="なし"),"請求Noが請求台帳にありません",IF(AND(ISNUMBER($O906),$C906&lt;&gt;"",$C906&lt;&gt;$P906),"請求の得意先は "&amp;$P906&amp;" です",IF(ROUND(IF($B906&lt;&gt;"",SUMIF($B$5:$B$1004,$B906,$E$5:$E$1004)-SUMIF($B$5:$B$1004,$B906,$G$5:$G$1004),N($E906)-N($G906)),0)&lt;&gt;0,"通帳の額と当てた額の差 "&amp;TEXT(IF($B906&lt;&gt;"",SUMIF($B$5:$B$1004,$B906,$E$5:$E$1004)-SUMIF($B$5:$B$1004,$B906,$G$5:$G$1004),N($E906)-N($G906)),"#,##0"),IF(AND(ISNUMBER($O906),N($K906)&lt;0),"請求額より多く消し込んでいます",IF($F906="","消込先が未定","OK")))))))</f>
        <v/>
      </c>
      <c r="M906" s="19" t="n"/>
      <c r="N906" s="56" t="n"/>
      <c r="O906" s="32">
        <f>IF($F906="","",IFERROR(MATCH($F906,'請求台帳'!$A$5:$A$1004,0),"なし"))</f>
        <v/>
      </c>
      <c r="P906" s="37">
        <f>IF(NOT(OR($A906&lt;&gt;"",$E906&lt;&gt;"",$F906&lt;&gt;"",$G906&lt;&gt;"",$H906&lt;&gt;"",$I906&lt;&gt;"")),"",IF(ISNUMBER($O906),IF(INDEX('請求台帳'!$C$5:$C$1004,$O906)="","",INDEX('請求台帳'!$C$5:$C$1004,$O906)),IF($C906="","",$C906)))</f>
        <v/>
      </c>
      <c r="Q906" s="35">
        <f>IF(OR(NOT(OR($A906&lt;&gt;"",$E906&lt;&gt;"",$F906&lt;&gt;"",$G906&lt;&gt;"",$H906&lt;&gt;"",$I906&lt;&gt;"")),$P906="",$P906&lt;&gt;'売掛帳'!$B$3,NOT(ISNUMBER($A906)),N($G906)+N($H906)+N($I906)=0),"",IF(AND($A906&gt;='売掛帳'!$Q$3,$A906&lt;='売掛帳'!$Q$4),$A906+0.5+ROW()/10000000,""))</f>
        <v/>
      </c>
      <c r="R906" s="32">
        <f>IF(AND(OR($A906&lt;&gt;"",$E906&lt;&gt;"",$F906&lt;&gt;"",$G906&lt;&gt;"",$H906&lt;&gt;"",$I906&lt;&gt;""),NOT(ISNUMBER($O906))),1,"")</f>
        <v/>
      </c>
    </row>
    <row r="907" ht="18" customHeight="1">
      <c r="A907" s="26" t="n"/>
      <c r="B907" s="18" t="n"/>
      <c r="C907" s="18" t="n"/>
      <c r="D907" s="20">
        <f>IF($P907="","",IFERROR(INDEX('得意先'!$C$5:$C$104,MATCH($P907,'得意先'!$B$5:$B$104,0))&amp;"","※得意先にないコード"))</f>
        <v/>
      </c>
      <c r="E907" s="27" t="n"/>
      <c r="F907" s="18" t="n"/>
      <c r="G907" s="27" t="n"/>
      <c r="H907" s="27" t="n"/>
      <c r="I907" s="27" t="n"/>
      <c r="J907" s="28">
        <f>IF(NOT(OR($A907&lt;&gt;"",$E907&lt;&gt;"",$F907&lt;&gt;"",$G907&lt;&gt;"",$H907&lt;&gt;"",$I907&lt;&gt;"")),"",N($G907)+N($H907)+N($I907))</f>
        <v/>
      </c>
      <c r="K907" s="28">
        <f>IF(ISNUMBER($O907),INDEX('請求台帳'!$R$5:$R$1004,$O907),"")</f>
        <v/>
      </c>
      <c r="L907" s="20">
        <f>IF(NOT(OR($A907&lt;&gt;"",$E907&lt;&gt;"",$F907&lt;&gt;"",$G907&lt;&gt;"",$H907&lt;&gt;"",$I907&lt;&gt;"")),"",IF(NOT(ISNUMBER($A907)),"入金日がありません",IF(AND($F907&lt;&gt;"",$O907="なし"),"請求Noが請求台帳にありません",IF(AND(ISNUMBER($O907),$C907&lt;&gt;"",$C907&lt;&gt;$P907),"請求の得意先は "&amp;$P907&amp;" です",IF(ROUND(IF($B907&lt;&gt;"",SUMIF($B$5:$B$1004,$B907,$E$5:$E$1004)-SUMIF($B$5:$B$1004,$B907,$G$5:$G$1004),N($E907)-N($G907)),0)&lt;&gt;0,"通帳の額と当てた額の差 "&amp;TEXT(IF($B907&lt;&gt;"",SUMIF($B$5:$B$1004,$B907,$E$5:$E$1004)-SUMIF($B$5:$B$1004,$B907,$G$5:$G$1004),N($E907)-N($G907)),"#,##0"),IF(AND(ISNUMBER($O907),N($K907)&lt;0),"請求額より多く消し込んでいます",IF($F907="","消込先が未定","OK")))))))</f>
        <v/>
      </c>
      <c r="M907" s="19" t="n"/>
      <c r="N907" s="56" t="n"/>
      <c r="O907" s="32">
        <f>IF($F907="","",IFERROR(MATCH($F907,'請求台帳'!$A$5:$A$1004,0),"なし"))</f>
        <v/>
      </c>
      <c r="P907" s="37">
        <f>IF(NOT(OR($A907&lt;&gt;"",$E907&lt;&gt;"",$F907&lt;&gt;"",$G907&lt;&gt;"",$H907&lt;&gt;"",$I907&lt;&gt;"")),"",IF(ISNUMBER($O907),IF(INDEX('請求台帳'!$C$5:$C$1004,$O907)="","",INDEX('請求台帳'!$C$5:$C$1004,$O907)),IF($C907="","",$C907)))</f>
        <v/>
      </c>
      <c r="Q907" s="35">
        <f>IF(OR(NOT(OR($A907&lt;&gt;"",$E907&lt;&gt;"",$F907&lt;&gt;"",$G907&lt;&gt;"",$H907&lt;&gt;"",$I907&lt;&gt;"")),$P907="",$P907&lt;&gt;'売掛帳'!$B$3,NOT(ISNUMBER($A907)),N($G907)+N($H907)+N($I907)=0),"",IF(AND($A907&gt;='売掛帳'!$Q$3,$A907&lt;='売掛帳'!$Q$4),$A907+0.5+ROW()/10000000,""))</f>
        <v/>
      </c>
      <c r="R907" s="32">
        <f>IF(AND(OR($A907&lt;&gt;"",$E907&lt;&gt;"",$F907&lt;&gt;"",$G907&lt;&gt;"",$H907&lt;&gt;"",$I907&lt;&gt;""),NOT(ISNUMBER($O907))),1,"")</f>
        <v/>
      </c>
    </row>
    <row r="908" ht="18" customHeight="1">
      <c r="A908" s="26" t="n"/>
      <c r="B908" s="18" t="n"/>
      <c r="C908" s="18" t="n"/>
      <c r="D908" s="20">
        <f>IF($P908="","",IFERROR(INDEX('得意先'!$C$5:$C$104,MATCH($P908,'得意先'!$B$5:$B$104,0))&amp;"","※得意先にないコード"))</f>
        <v/>
      </c>
      <c r="E908" s="27" t="n"/>
      <c r="F908" s="18" t="n"/>
      <c r="G908" s="27" t="n"/>
      <c r="H908" s="27" t="n"/>
      <c r="I908" s="27" t="n"/>
      <c r="J908" s="28">
        <f>IF(NOT(OR($A908&lt;&gt;"",$E908&lt;&gt;"",$F908&lt;&gt;"",$G908&lt;&gt;"",$H908&lt;&gt;"",$I908&lt;&gt;"")),"",N($G908)+N($H908)+N($I908))</f>
        <v/>
      </c>
      <c r="K908" s="28">
        <f>IF(ISNUMBER($O908),INDEX('請求台帳'!$R$5:$R$1004,$O908),"")</f>
        <v/>
      </c>
      <c r="L908" s="20">
        <f>IF(NOT(OR($A908&lt;&gt;"",$E908&lt;&gt;"",$F908&lt;&gt;"",$G908&lt;&gt;"",$H908&lt;&gt;"",$I908&lt;&gt;"")),"",IF(NOT(ISNUMBER($A908)),"入金日がありません",IF(AND($F908&lt;&gt;"",$O908="なし"),"請求Noが請求台帳にありません",IF(AND(ISNUMBER($O908),$C908&lt;&gt;"",$C908&lt;&gt;$P908),"請求の得意先は "&amp;$P908&amp;" です",IF(ROUND(IF($B908&lt;&gt;"",SUMIF($B$5:$B$1004,$B908,$E$5:$E$1004)-SUMIF($B$5:$B$1004,$B908,$G$5:$G$1004),N($E908)-N($G908)),0)&lt;&gt;0,"通帳の額と当てた額の差 "&amp;TEXT(IF($B908&lt;&gt;"",SUMIF($B$5:$B$1004,$B908,$E$5:$E$1004)-SUMIF($B$5:$B$1004,$B908,$G$5:$G$1004),N($E908)-N($G908)),"#,##0"),IF(AND(ISNUMBER($O908),N($K908)&lt;0),"請求額より多く消し込んでいます",IF($F908="","消込先が未定","OK")))))))</f>
        <v/>
      </c>
      <c r="M908" s="19" t="n"/>
      <c r="N908" s="56" t="n"/>
      <c r="O908" s="32">
        <f>IF($F908="","",IFERROR(MATCH($F908,'請求台帳'!$A$5:$A$1004,0),"なし"))</f>
        <v/>
      </c>
      <c r="P908" s="37">
        <f>IF(NOT(OR($A908&lt;&gt;"",$E908&lt;&gt;"",$F908&lt;&gt;"",$G908&lt;&gt;"",$H908&lt;&gt;"",$I908&lt;&gt;"")),"",IF(ISNUMBER($O908),IF(INDEX('請求台帳'!$C$5:$C$1004,$O908)="","",INDEX('請求台帳'!$C$5:$C$1004,$O908)),IF($C908="","",$C908)))</f>
        <v/>
      </c>
      <c r="Q908" s="35">
        <f>IF(OR(NOT(OR($A908&lt;&gt;"",$E908&lt;&gt;"",$F908&lt;&gt;"",$G908&lt;&gt;"",$H908&lt;&gt;"",$I908&lt;&gt;"")),$P908="",$P908&lt;&gt;'売掛帳'!$B$3,NOT(ISNUMBER($A908)),N($G908)+N($H908)+N($I908)=0),"",IF(AND($A908&gt;='売掛帳'!$Q$3,$A908&lt;='売掛帳'!$Q$4),$A908+0.5+ROW()/10000000,""))</f>
        <v/>
      </c>
      <c r="R908" s="32">
        <f>IF(AND(OR($A908&lt;&gt;"",$E908&lt;&gt;"",$F908&lt;&gt;"",$G908&lt;&gt;"",$H908&lt;&gt;"",$I908&lt;&gt;""),NOT(ISNUMBER($O908))),1,"")</f>
        <v/>
      </c>
    </row>
    <row r="909" ht="18" customHeight="1">
      <c r="A909" s="26" t="n"/>
      <c r="B909" s="18" t="n"/>
      <c r="C909" s="18" t="n"/>
      <c r="D909" s="20">
        <f>IF($P909="","",IFERROR(INDEX('得意先'!$C$5:$C$104,MATCH($P909,'得意先'!$B$5:$B$104,0))&amp;"","※得意先にないコード"))</f>
        <v/>
      </c>
      <c r="E909" s="27" t="n"/>
      <c r="F909" s="18" t="n"/>
      <c r="G909" s="27" t="n"/>
      <c r="H909" s="27" t="n"/>
      <c r="I909" s="27" t="n"/>
      <c r="J909" s="28">
        <f>IF(NOT(OR($A909&lt;&gt;"",$E909&lt;&gt;"",$F909&lt;&gt;"",$G909&lt;&gt;"",$H909&lt;&gt;"",$I909&lt;&gt;"")),"",N($G909)+N($H909)+N($I909))</f>
        <v/>
      </c>
      <c r="K909" s="28">
        <f>IF(ISNUMBER($O909),INDEX('請求台帳'!$R$5:$R$1004,$O909),"")</f>
        <v/>
      </c>
      <c r="L909" s="20">
        <f>IF(NOT(OR($A909&lt;&gt;"",$E909&lt;&gt;"",$F909&lt;&gt;"",$G909&lt;&gt;"",$H909&lt;&gt;"",$I909&lt;&gt;"")),"",IF(NOT(ISNUMBER($A909)),"入金日がありません",IF(AND($F909&lt;&gt;"",$O909="なし"),"請求Noが請求台帳にありません",IF(AND(ISNUMBER($O909),$C909&lt;&gt;"",$C909&lt;&gt;$P909),"請求の得意先は "&amp;$P909&amp;" です",IF(ROUND(IF($B909&lt;&gt;"",SUMIF($B$5:$B$1004,$B909,$E$5:$E$1004)-SUMIF($B$5:$B$1004,$B909,$G$5:$G$1004),N($E909)-N($G909)),0)&lt;&gt;0,"通帳の額と当てた額の差 "&amp;TEXT(IF($B909&lt;&gt;"",SUMIF($B$5:$B$1004,$B909,$E$5:$E$1004)-SUMIF($B$5:$B$1004,$B909,$G$5:$G$1004),N($E909)-N($G909)),"#,##0"),IF(AND(ISNUMBER($O909),N($K909)&lt;0),"請求額より多く消し込んでいます",IF($F909="","消込先が未定","OK")))))))</f>
        <v/>
      </c>
      <c r="M909" s="19" t="n"/>
      <c r="N909" s="56" t="n"/>
      <c r="O909" s="32">
        <f>IF($F909="","",IFERROR(MATCH($F909,'請求台帳'!$A$5:$A$1004,0),"なし"))</f>
        <v/>
      </c>
      <c r="P909" s="37">
        <f>IF(NOT(OR($A909&lt;&gt;"",$E909&lt;&gt;"",$F909&lt;&gt;"",$G909&lt;&gt;"",$H909&lt;&gt;"",$I909&lt;&gt;"")),"",IF(ISNUMBER($O909),IF(INDEX('請求台帳'!$C$5:$C$1004,$O909)="","",INDEX('請求台帳'!$C$5:$C$1004,$O909)),IF($C909="","",$C909)))</f>
        <v/>
      </c>
      <c r="Q909" s="35">
        <f>IF(OR(NOT(OR($A909&lt;&gt;"",$E909&lt;&gt;"",$F909&lt;&gt;"",$G909&lt;&gt;"",$H909&lt;&gt;"",$I909&lt;&gt;"")),$P909="",$P909&lt;&gt;'売掛帳'!$B$3,NOT(ISNUMBER($A909)),N($G909)+N($H909)+N($I909)=0),"",IF(AND($A909&gt;='売掛帳'!$Q$3,$A909&lt;='売掛帳'!$Q$4),$A909+0.5+ROW()/10000000,""))</f>
        <v/>
      </c>
      <c r="R909" s="32">
        <f>IF(AND(OR($A909&lt;&gt;"",$E909&lt;&gt;"",$F909&lt;&gt;"",$G909&lt;&gt;"",$H909&lt;&gt;"",$I909&lt;&gt;""),NOT(ISNUMBER($O909))),1,"")</f>
        <v/>
      </c>
    </row>
    <row r="910" ht="18" customHeight="1">
      <c r="A910" s="26" t="n"/>
      <c r="B910" s="18" t="n"/>
      <c r="C910" s="18" t="n"/>
      <c r="D910" s="20">
        <f>IF($P910="","",IFERROR(INDEX('得意先'!$C$5:$C$104,MATCH($P910,'得意先'!$B$5:$B$104,0))&amp;"","※得意先にないコード"))</f>
        <v/>
      </c>
      <c r="E910" s="27" t="n"/>
      <c r="F910" s="18" t="n"/>
      <c r="G910" s="27" t="n"/>
      <c r="H910" s="27" t="n"/>
      <c r="I910" s="27" t="n"/>
      <c r="J910" s="28">
        <f>IF(NOT(OR($A910&lt;&gt;"",$E910&lt;&gt;"",$F910&lt;&gt;"",$G910&lt;&gt;"",$H910&lt;&gt;"",$I910&lt;&gt;"")),"",N($G910)+N($H910)+N($I910))</f>
        <v/>
      </c>
      <c r="K910" s="28">
        <f>IF(ISNUMBER($O910),INDEX('請求台帳'!$R$5:$R$1004,$O910),"")</f>
        <v/>
      </c>
      <c r="L910" s="20">
        <f>IF(NOT(OR($A910&lt;&gt;"",$E910&lt;&gt;"",$F910&lt;&gt;"",$G910&lt;&gt;"",$H910&lt;&gt;"",$I910&lt;&gt;"")),"",IF(NOT(ISNUMBER($A910)),"入金日がありません",IF(AND($F910&lt;&gt;"",$O910="なし"),"請求Noが請求台帳にありません",IF(AND(ISNUMBER($O910),$C910&lt;&gt;"",$C910&lt;&gt;$P910),"請求の得意先は "&amp;$P910&amp;" です",IF(ROUND(IF($B910&lt;&gt;"",SUMIF($B$5:$B$1004,$B910,$E$5:$E$1004)-SUMIF($B$5:$B$1004,$B910,$G$5:$G$1004),N($E910)-N($G910)),0)&lt;&gt;0,"通帳の額と当てた額の差 "&amp;TEXT(IF($B910&lt;&gt;"",SUMIF($B$5:$B$1004,$B910,$E$5:$E$1004)-SUMIF($B$5:$B$1004,$B910,$G$5:$G$1004),N($E910)-N($G910)),"#,##0"),IF(AND(ISNUMBER($O910),N($K910)&lt;0),"請求額より多く消し込んでいます",IF($F910="","消込先が未定","OK")))))))</f>
        <v/>
      </c>
      <c r="M910" s="19" t="n"/>
      <c r="N910" s="56" t="n"/>
      <c r="O910" s="32">
        <f>IF($F910="","",IFERROR(MATCH($F910,'請求台帳'!$A$5:$A$1004,0),"なし"))</f>
        <v/>
      </c>
      <c r="P910" s="37">
        <f>IF(NOT(OR($A910&lt;&gt;"",$E910&lt;&gt;"",$F910&lt;&gt;"",$G910&lt;&gt;"",$H910&lt;&gt;"",$I910&lt;&gt;"")),"",IF(ISNUMBER($O910),IF(INDEX('請求台帳'!$C$5:$C$1004,$O910)="","",INDEX('請求台帳'!$C$5:$C$1004,$O910)),IF($C910="","",$C910)))</f>
        <v/>
      </c>
      <c r="Q910" s="35">
        <f>IF(OR(NOT(OR($A910&lt;&gt;"",$E910&lt;&gt;"",$F910&lt;&gt;"",$G910&lt;&gt;"",$H910&lt;&gt;"",$I910&lt;&gt;"")),$P910="",$P910&lt;&gt;'売掛帳'!$B$3,NOT(ISNUMBER($A910)),N($G910)+N($H910)+N($I910)=0),"",IF(AND($A910&gt;='売掛帳'!$Q$3,$A910&lt;='売掛帳'!$Q$4),$A910+0.5+ROW()/10000000,""))</f>
        <v/>
      </c>
      <c r="R910" s="32">
        <f>IF(AND(OR($A910&lt;&gt;"",$E910&lt;&gt;"",$F910&lt;&gt;"",$G910&lt;&gt;"",$H910&lt;&gt;"",$I910&lt;&gt;""),NOT(ISNUMBER($O910))),1,"")</f>
        <v/>
      </c>
    </row>
    <row r="911" ht="18" customHeight="1">
      <c r="A911" s="26" t="n"/>
      <c r="B911" s="18" t="n"/>
      <c r="C911" s="18" t="n"/>
      <c r="D911" s="20">
        <f>IF($P911="","",IFERROR(INDEX('得意先'!$C$5:$C$104,MATCH($P911,'得意先'!$B$5:$B$104,0))&amp;"","※得意先にないコード"))</f>
        <v/>
      </c>
      <c r="E911" s="27" t="n"/>
      <c r="F911" s="18" t="n"/>
      <c r="G911" s="27" t="n"/>
      <c r="H911" s="27" t="n"/>
      <c r="I911" s="27" t="n"/>
      <c r="J911" s="28">
        <f>IF(NOT(OR($A911&lt;&gt;"",$E911&lt;&gt;"",$F911&lt;&gt;"",$G911&lt;&gt;"",$H911&lt;&gt;"",$I911&lt;&gt;"")),"",N($G911)+N($H911)+N($I911))</f>
        <v/>
      </c>
      <c r="K911" s="28">
        <f>IF(ISNUMBER($O911),INDEX('請求台帳'!$R$5:$R$1004,$O911),"")</f>
        <v/>
      </c>
      <c r="L911" s="20">
        <f>IF(NOT(OR($A911&lt;&gt;"",$E911&lt;&gt;"",$F911&lt;&gt;"",$G911&lt;&gt;"",$H911&lt;&gt;"",$I911&lt;&gt;"")),"",IF(NOT(ISNUMBER($A911)),"入金日がありません",IF(AND($F911&lt;&gt;"",$O911="なし"),"請求Noが請求台帳にありません",IF(AND(ISNUMBER($O911),$C911&lt;&gt;"",$C911&lt;&gt;$P911),"請求の得意先は "&amp;$P911&amp;" です",IF(ROUND(IF($B911&lt;&gt;"",SUMIF($B$5:$B$1004,$B911,$E$5:$E$1004)-SUMIF($B$5:$B$1004,$B911,$G$5:$G$1004),N($E911)-N($G911)),0)&lt;&gt;0,"通帳の額と当てた額の差 "&amp;TEXT(IF($B911&lt;&gt;"",SUMIF($B$5:$B$1004,$B911,$E$5:$E$1004)-SUMIF($B$5:$B$1004,$B911,$G$5:$G$1004),N($E911)-N($G911)),"#,##0"),IF(AND(ISNUMBER($O911),N($K911)&lt;0),"請求額より多く消し込んでいます",IF($F911="","消込先が未定","OK")))))))</f>
        <v/>
      </c>
      <c r="M911" s="19" t="n"/>
      <c r="N911" s="56" t="n"/>
      <c r="O911" s="32">
        <f>IF($F911="","",IFERROR(MATCH($F911,'請求台帳'!$A$5:$A$1004,0),"なし"))</f>
        <v/>
      </c>
      <c r="P911" s="37">
        <f>IF(NOT(OR($A911&lt;&gt;"",$E911&lt;&gt;"",$F911&lt;&gt;"",$G911&lt;&gt;"",$H911&lt;&gt;"",$I911&lt;&gt;"")),"",IF(ISNUMBER($O911),IF(INDEX('請求台帳'!$C$5:$C$1004,$O911)="","",INDEX('請求台帳'!$C$5:$C$1004,$O911)),IF($C911="","",$C911)))</f>
        <v/>
      </c>
      <c r="Q911" s="35">
        <f>IF(OR(NOT(OR($A911&lt;&gt;"",$E911&lt;&gt;"",$F911&lt;&gt;"",$G911&lt;&gt;"",$H911&lt;&gt;"",$I911&lt;&gt;"")),$P911="",$P911&lt;&gt;'売掛帳'!$B$3,NOT(ISNUMBER($A911)),N($G911)+N($H911)+N($I911)=0),"",IF(AND($A911&gt;='売掛帳'!$Q$3,$A911&lt;='売掛帳'!$Q$4),$A911+0.5+ROW()/10000000,""))</f>
        <v/>
      </c>
      <c r="R911" s="32">
        <f>IF(AND(OR($A911&lt;&gt;"",$E911&lt;&gt;"",$F911&lt;&gt;"",$G911&lt;&gt;"",$H911&lt;&gt;"",$I911&lt;&gt;""),NOT(ISNUMBER($O911))),1,"")</f>
        <v/>
      </c>
    </row>
    <row r="912" ht="18" customHeight="1">
      <c r="A912" s="26" t="n"/>
      <c r="B912" s="18" t="n"/>
      <c r="C912" s="18" t="n"/>
      <c r="D912" s="20">
        <f>IF($P912="","",IFERROR(INDEX('得意先'!$C$5:$C$104,MATCH($P912,'得意先'!$B$5:$B$104,0))&amp;"","※得意先にないコード"))</f>
        <v/>
      </c>
      <c r="E912" s="27" t="n"/>
      <c r="F912" s="18" t="n"/>
      <c r="G912" s="27" t="n"/>
      <c r="H912" s="27" t="n"/>
      <c r="I912" s="27" t="n"/>
      <c r="J912" s="28">
        <f>IF(NOT(OR($A912&lt;&gt;"",$E912&lt;&gt;"",$F912&lt;&gt;"",$G912&lt;&gt;"",$H912&lt;&gt;"",$I912&lt;&gt;"")),"",N($G912)+N($H912)+N($I912))</f>
        <v/>
      </c>
      <c r="K912" s="28">
        <f>IF(ISNUMBER($O912),INDEX('請求台帳'!$R$5:$R$1004,$O912),"")</f>
        <v/>
      </c>
      <c r="L912" s="20">
        <f>IF(NOT(OR($A912&lt;&gt;"",$E912&lt;&gt;"",$F912&lt;&gt;"",$G912&lt;&gt;"",$H912&lt;&gt;"",$I912&lt;&gt;"")),"",IF(NOT(ISNUMBER($A912)),"入金日がありません",IF(AND($F912&lt;&gt;"",$O912="なし"),"請求Noが請求台帳にありません",IF(AND(ISNUMBER($O912),$C912&lt;&gt;"",$C912&lt;&gt;$P912),"請求の得意先は "&amp;$P912&amp;" です",IF(ROUND(IF($B912&lt;&gt;"",SUMIF($B$5:$B$1004,$B912,$E$5:$E$1004)-SUMIF($B$5:$B$1004,$B912,$G$5:$G$1004),N($E912)-N($G912)),0)&lt;&gt;0,"通帳の額と当てた額の差 "&amp;TEXT(IF($B912&lt;&gt;"",SUMIF($B$5:$B$1004,$B912,$E$5:$E$1004)-SUMIF($B$5:$B$1004,$B912,$G$5:$G$1004),N($E912)-N($G912)),"#,##0"),IF(AND(ISNUMBER($O912),N($K912)&lt;0),"請求額より多く消し込んでいます",IF($F912="","消込先が未定","OK")))))))</f>
        <v/>
      </c>
      <c r="M912" s="19" t="n"/>
      <c r="N912" s="56" t="n"/>
      <c r="O912" s="32">
        <f>IF($F912="","",IFERROR(MATCH($F912,'請求台帳'!$A$5:$A$1004,0),"なし"))</f>
        <v/>
      </c>
      <c r="P912" s="37">
        <f>IF(NOT(OR($A912&lt;&gt;"",$E912&lt;&gt;"",$F912&lt;&gt;"",$G912&lt;&gt;"",$H912&lt;&gt;"",$I912&lt;&gt;"")),"",IF(ISNUMBER($O912),IF(INDEX('請求台帳'!$C$5:$C$1004,$O912)="","",INDEX('請求台帳'!$C$5:$C$1004,$O912)),IF($C912="","",$C912)))</f>
        <v/>
      </c>
      <c r="Q912" s="35">
        <f>IF(OR(NOT(OR($A912&lt;&gt;"",$E912&lt;&gt;"",$F912&lt;&gt;"",$G912&lt;&gt;"",$H912&lt;&gt;"",$I912&lt;&gt;"")),$P912="",$P912&lt;&gt;'売掛帳'!$B$3,NOT(ISNUMBER($A912)),N($G912)+N($H912)+N($I912)=0),"",IF(AND($A912&gt;='売掛帳'!$Q$3,$A912&lt;='売掛帳'!$Q$4),$A912+0.5+ROW()/10000000,""))</f>
        <v/>
      </c>
      <c r="R912" s="32">
        <f>IF(AND(OR($A912&lt;&gt;"",$E912&lt;&gt;"",$F912&lt;&gt;"",$G912&lt;&gt;"",$H912&lt;&gt;"",$I912&lt;&gt;""),NOT(ISNUMBER($O912))),1,"")</f>
        <v/>
      </c>
    </row>
    <row r="913" ht="18" customHeight="1">
      <c r="A913" s="26" t="n"/>
      <c r="B913" s="18" t="n"/>
      <c r="C913" s="18" t="n"/>
      <c r="D913" s="20">
        <f>IF($P913="","",IFERROR(INDEX('得意先'!$C$5:$C$104,MATCH($P913,'得意先'!$B$5:$B$104,0))&amp;"","※得意先にないコード"))</f>
        <v/>
      </c>
      <c r="E913" s="27" t="n"/>
      <c r="F913" s="18" t="n"/>
      <c r="G913" s="27" t="n"/>
      <c r="H913" s="27" t="n"/>
      <c r="I913" s="27" t="n"/>
      <c r="J913" s="28">
        <f>IF(NOT(OR($A913&lt;&gt;"",$E913&lt;&gt;"",$F913&lt;&gt;"",$G913&lt;&gt;"",$H913&lt;&gt;"",$I913&lt;&gt;"")),"",N($G913)+N($H913)+N($I913))</f>
        <v/>
      </c>
      <c r="K913" s="28">
        <f>IF(ISNUMBER($O913),INDEX('請求台帳'!$R$5:$R$1004,$O913),"")</f>
        <v/>
      </c>
      <c r="L913" s="20">
        <f>IF(NOT(OR($A913&lt;&gt;"",$E913&lt;&gt;"",$F913&lt;&gt;"",$G913&lt;&gt;"",$H913&lt;&gt;"",$I913&lt;&gt;"")),"",IF(NOT(ISNUMBER($A913)),"入金日がありません",IF(AND($F913&lt;&gt;"",$O913="なし"),"請求Noが請求台帳にありません",IF(AND(ISNUMBER($O913),$C913&lt;&gt;"",$C913&lt;&gt;$P913),"請求の得意先は "&amp;$P913&amp;" です",IF(ROUND(IF($B913&lt;&gt;"",SUMIF($B$5:$B$1004,$B913,$E$5:$E$1004)-SUMIF($B$5:$B$1004,$B913,$G$5:$G$1004),N($E913)-N($G913)),0)&lt;&gt;0,"通帳の額と当てた額の差 "&amp;TEXT(IF($B913&lt;&gt;"",SUMIF($B$5:$B$1004,$B913,$E$5:$E$1004)-SUMIF($B$5:$B$1004,$B913,$G$5:$G$1004),N($E913)-N($G913)),"#,##0"),IF(AND(ISNUMBER($O913),N($K913)&lt;0),"請求額より多く消し込んでいます",IF($F913="","消込先が未定","OK")))))))</f>
        <v/>
      </c>
      <c r="M913" s="19" t="n"/>
      <c r="N913" s="56" t="n"/>
      <c r="O913" s="32">
        <f>IF($F913="","",IFERROR(MATCH($F913,'請求台帳'!$A$5:$A$1004,0),"なし"))</f>
        <v/>
      </c>
      <c r="P913" s="37">
        <f>IF(NOT(OR($A913&lt;&gt;"",$E913&lt;&gt;"",$F913&lt;&gt;"",$G913&lt;&gt;"",$H913&lt;&gt;"",$I913&lt;&gt;"")),"",IF(ISNUMBER($O913),IF(INDEX('請求台帳'!$C$5:$C$1004,$O913)="","",INDEX('請求台帳'!$C$5:$C$1004,$O913)),IF($C913="","",$C913)))</f>
        <v/>
      </c>
      <c r="Q913" s="35">
        <f>IF(OR(NOT(OR($A913&lt;&gt;"",$E913&lt;&gt;"",$F913&lt;&gt;"",$G913&lt;&gt;"",$H913&lt;&gt;"",$I913&lt;&gt;"")),$P913="",$P913&lt;&gt;'売掛帳'!$B$3,NOT(ISNUMBER($A913)),N($G913)+N($H913)+N($I913)=0),"",IF(AND($A913&gt;='売掛帳'!$Q$3,$A913&lt;='売掛帳'!$Q$4),$A913+0.5+ROW()/10000000,""))</f>
        <v/>
      </c>
      <c r="R913" s="32">
        <f>IF(AND(OR($A913&lt;&gt;"",$E913&lt;&gt;"",$F913&lt;&gt;"",$G913&lt;&gt;"",$H913&lt;&gt;"",$I913&lt;&gt;""),NOT(ISNUMBER($O913))),1,"")</f>
        <v/>
      </c>
    </row>
    <row r="914" ht="18" customHeight="1">
      <c r="A914" s="26" t="n"/>
      <c r="B914" s="18" t="n"/>
      <c r="C914" s="18" t="n"/>
      <c r="D914" s="20">
        <f>IF($P914="","",IFERROR(INDEX('得意先'!$C$5:$C$104,MATCH($P914,'得意先'!$B$5:$B$104,0))&amp;"","※得意先にないコード"))</f>
        <v/>
      </c>
      <c r="E914" s="27" t="n"/>
      <c r="F914" s="18" t="n"/>
      <c r="G914" s="27" t="n"/>
      <c r="H914" s="27" t="n"/>
      <c r="I914" s="27" t="n"/>
      <c r="J914" s="28">
        <f>IF(NOT(OR($A914&lt;&gt;"",$E914&lt;&gt;"",$F914&lt;&gt;"",$G914&lt;&gt;"",$H914&lt;&gt;"",$I914&lt;&gt;"")),"",N($G914)+N($H914)+N($I914))</f>
        <v/>
      </c>
      <c r="K914" s="28">
        <f>IF(ISNUMBER($O914),INDEX('請求台帳'!$R$5:$R$1004,$O914),"")</f>
        <v/>
      </c>
      <c r="L914" s="20">
        <f>IF(NOT(OR($A914&lt;&gt;"",$E914&lt;&gt;"",$F914&lt;&gt;"",$G914&lt;&gt;"",$H914&lt;&gt;"",$I914&lt;&gt;"")),"",IF(NOT(ISNUMBER($A914)),"入金日がありません",IF(AND($F914&lt;&gt;"",$O914="なし"),"請求Noが請求台帳にありません",IF(AND(ISNUMBER($O914),$C914&lt;&gt;"",$C914&lt;&gt;$P914),"請求の得意先は "&amp;$P914&amp;" です",IF(ROUND(IF($B914&lt;&gt;"",SUMIF($B$5:$B$1004,$B914,$E$5:$E$1004)-SUMIF($B$5:$B$1004,$B914,$G$5:$G$1004),N($E914)-N($G914)),0)&lt;&gt;0,"通帳の額と当てた額の差 "&amp;TEXT(IF($B914&lt;&gt;"",SUMIF($B$5:$B$1004,$B914,$E$5:$E$1004)-SUMIF($B$5:$B$1004,$B914,$G$5:$G$1004),N($E914)-N($G914)),"#,##0"),IF(AND(ISNUMBER($O914),N($K914)&lt;0),"請求額より多く消し込んでいます",IF($F914="","消込先が未定","OK")))))))</f>
        <v/>
      </c>
      <c r="M914" s="19" t="n"/>
      <c r="N914" s="56" t="n"/>
      <c r="O914" s="32">
        <f>IF($F914="","",IFERROR(MATCH($F914,'請求台帳'!$A$5:$A$1004,0),"なし"))</f>
        <v/>
      </c>
      <c r="P914" s="37">
        <f>IF(NOT(OR($A914&lt;&gt;"",$E914&lt;&gt;"",$F914&lt;&gt;"",$G914&lt;&gt;"",$H914&lt;&gt;"",$I914&lt;&gt;"")),"",IF(ISNUMBER($O914),IF(INDEX('請求台帳'!$C$5:$C$1004,$O914)="","",INDEX('請求台帳'!$C$5:$C$1004,$O914)),IF($C914="","",$C914)))</f>
        <v/>
      </c>
      <c r="Q914" s="35">
        <f>IF(OR(NOT(OR($A914&lt;&gt;"",$E914&lt;&gt;"",$F914&lt;&gt;"",$G914&lt;&gt;"",$H914&lt;&gt;"",$I914&lt;&gt;"")),$P914="",$P914&lt;&gt;'売掛帳'!$B$3,NOT(ISNUMBER($A914)),N($G914)+N($H914)+N($I914)=0),"",IF(AND($A914&gt;='売掛帳'!$Q$3,$A914&lt;='売掛帳'!$Q$4),$A914+0.5+ROW()/10000000,""))</f>
        <v/>
      </c>
      <c r="R914" s="32">
        <f>IF(AND(OR($A914&lt;&gt;"",$E914&lt;&gt;"",$F914&lt;&gt;"",$G914&lt;&gt;"",$H914&lt;&gt;"",$I914&lt;&gt;""),NOT(ISNUMBER($O914))),1,"")</f>
        <v/>
      </c>
    </row>
    <row r="915" ht="18" customHeight="1">
      <c r="A915" s="26" t="n"/>
      <c r="B915" s="18" t="n"/>
      <c r="C915" s="18" t="n"/>
      <c r="D915" s="20">
        <f>IF($P915="","",IFERROR(INDEX('得意先'!$C$5:$C$104,MATCH($P915,'得意先'!$B$5:$B$104,0))&amp;"","※得意先にないコード"))</f>
        <v/>
      </c>
      <c r="E915" s="27" t="n"/>
      <c r="F915" s="18" t="n"/>
      <c r="G915" s="27" t="n"/>
      <c r="H915" s="27" t="n"/>
      <c r="I915" s="27" t="n"/>
      <c r="J915" s="28">
        <f>IF(NOT(OR($A915&lt;&gt;"",$E915&lt;&gt;"",$F915&lt;&gt;"",$G915&lt;&gt;"",$H915&lt;&gt;"",$I915&lt;&gt;"")),"",N($G915)+N($H915)+N($I915))</f>
        <v/>
      </c>
      <c r="K915" s="28">
        <f>IF(ISNUMBER($O915),INDEX('請求台帳'!$R$5:$R$1004,$O915),"")</f>
        <v/>
      </c>
      <c r="L915" s="20">
        <f>IF(NOT(OR($A915&lt;&gt;"",$E915&lt;&gt;"",$F915&lt;&gt;"",$G915&lt;&gt;"",$H915&lt;&gt;"",$I915&lt;&gt;"")),"",IF(NOT(ISNUMBER($A915)),"入金日がありません",IF(AND($F915&lt;&gt;"",$O915="なし"),"請求Noが請求台帳にありません",IF(AND(ISNUMBER($O915),$C915&lt;&gt;"",$C915&lt;&gt;$P915),"請求の得意先は "&amp;$P915&amp;" です",IF(ROUND(IF($B915&lt;&gt;"",SUMIF($B$5:$B$1004,$B915,$E$5:$E$1004)-SUMIF($B$5:$B$1004,$B915,$G$5:$G$1004),N($E915)-N($G915)),0)&lt;&gt;0,"通帳の額と当てた額の差 "&amp;TEXT(IF($B915&lt;&gt;"",SUMIF($B$5:$B$1004,$B915,$E$5:$E$1004)-SUMIF($B$5:$B$1004,$B915,$G$5:$G$1004),N($E915)-N($G915)),"#,##0"),IF(AND(ISNUMBER($O915),N($K915)&lt;0),"請求額より多く消し込んでいます",IF($F915="","消込先が未定","OK")))))))</f>
        <v/>
      </c>
      <c r="M915" s="19" t="n"/>
      <c r="N915" s="56" t="n"/>
      <c r="O915" s="32">
        <f>IF($F915="","",IFERROR(MATCH($F915,'請求台帳'!$A$5:$A$1004,0),"なし"))</f>
        <v/>
      </c>
      <c r="P915" s="37">
        <f>IF(NOT(OR($A915&lt;&gt;"",$E915&lt;&gt;"",$F915&lt;&gt;"",$G915&lt;&gt;"",$H915&lt;&gt;"",$I915&lt;&gt;"")),"",IF(ISNUMBER($O915),IF(INDEX('請求台帳'!$C$5:$C$1004,$O915)="","",INDEX('請求台帳'!$C$5:$C$1004,$O915)),IF($C915="","",$C915)))</f>
        <v/>
      </c>
      <c r="Q915" s="35">
        <f>IF(OR(NOT(OR($A915&lt;&gt;"",$E915&lt;&gt;"",$F915&lt;&gt;"",$G915&lt;&gt;"",$H915&lt;&gt;"",$I915&lt;&gt;"")),$P915="",$P915&lt;&gt;'売掛帳'!$B$3,NOT(ISNUMBER($A915)),N($G915)+N($H915)+N($I915)=0),"",IF(AND($A915&gt;='売掛帳'!$Q$3,$A915&lt;='売掛帳'!$Q$4),$A915+0.5+ROW()/10000000,""))</f>
        <v/>
      </c>
      <c r="R915" s="32">
        <f>IF(AND(OR($A915&lt;&gt;"",$E915&lt;&gt;"",$F915&lt;&gt;"",$G915&lt;&gt;"",$H915&lt;&gt;"",$I915&lt;&gt;""),NOT(ISNUMBER($O915))),1,"")</f>
        <v/>
      </c>
    </row>
    <row r="916" ht="18" customHeight="1">
      <c r="A916" s="26" t="n"/>
      <c r="B916" s="18" t="n"/>
      <c r="C916" s="18" t="n"/>
      <c r="D916" s="20">
        <f>IF($P916="","",IFERROR(INDEX('得意先'!$C$5:$C$104,MATCH($P916,'得意先'!$B$5:$B$104,0))&amp;"","※得意先にないコード"))</f>
        <v/>
      </c>
      <c r="E916" s="27" t="n"/>
      <c r="F916" s="18" t="n"/>
      <c r="G916" s="27" t="n"/>
      <c r="H916" s="27" t="n"/>
      <c r="I916" s="27" t="n"/>
      <c r="J916" s="28">
        <f>IF(NOT(OR($A916&lt;&gt;"",$E916&lt;&gt;"",$F916&lt;&gt;"",$G916&lt;&gt;"",$H916&lt;&gt;"",$I916&lt;&gt;"")),"",N($G916)+N($H916)+N($I916))</f>
        <v/>
      </c>
      <c r="K916" s="28">
        <f>IF(ISNUMBER($O916),INDEX('請求台帳'!$R$5:$R$1004,$O916),"")</f>
        <v/>
      </c>
      <c r="L916" s="20">
        <f>IF(NOT(OR($A916&lt;&gt;"",$E916&lt;&gt;"",$F916&lt;&gt;"",$G916&lt;&gt;"",$H916&lt;&gt;"",$I916&lt;&gt;"")),"",IF(NOT(ISNUMBER($A916)),"入金日がありません",IF(AND($F916&lt;&gt;"",$O916="なし"),"請求Noが請求台帳にありません",IF(AND(ISNUMBER($O916),$C916&lt;&gt;"",$C916&lt;&gt;$P916),"請求の得意先は "&amp;$P916&amp;" です",IF(ROUND(IF($B916&lt;&gt;"",SUMIF($B$5:$B$1004,$B916,$E$5:$E$1004)-SUMIF($B$5:$B$1004,$B916,$G$5:$G$1004),N($E916)-N($G916)),0)&lt;&gt;0,"通帳の額と当てた額の差 "&amp;TEXT(IF($B916&lt;&gt;"",SUMIF($B$5:$B$1004,$B916,$E$5:$E$1004)-SUMIF($B$5:$B$1004,$B916,$G$5:$G$1004),N($E916)-N($G916)),"#,##0"),IF(AND(ISNUMBER($O916),N($K916)&lt;0),"請求額より多く消し込んでいます",IF($F916="","消込先が未定","OK")))))))</f>
        <v/>
      </c>
      <c r="M916" s="19" t="n"/>
      <c r="N916" s="56" t="n"/>
      <c r="O916" s="32">
        <f>IF($F916="","",IFERROR(MATCH($F916,'請求台帳'!$A$5:$A$1004,0),"なし"))</f>
        <v/>
      </c>
      <c r="P916" s="37">
        <f>IF(NOT(OR($A916&lt;&gt;"",$E916&lt;&gt;"",$F916&lt;&gt;"",$G916&lt;&gt;"",$H916&lt;&gt;"",$I916&lt;&gt;"")),"",IF(ISNUMBER($O916),IF(INDEX('請求台帳'!$C$5:$C$1004,$O916)="","",INDEX('請求台帳'!$C$5:$C$1004,$O916)),IF($C916="","",$C916)))</f>
        <v/>
      </c>
      <c r="Q916" s="35">
        <f>IF(OR(NOT(OR($A916&lt;&gt;"",$E916&lt;&gt;"",$F916&lt;&gt;"",$G916&lt;&gt;"",$H916&lt;&gt;"",$I916&lt;&gt;"")),$P916="",$P916&lt;&gt;'売掛帳'!$B$3,NOT(ISNUMBER($A916)),N($G916)+N($H916)+N($I916)=0),"",IF(AND($A916&gt;='売掛帳'!$Q$3,$A916&lt;='売掛帳'!$Q$4),$A916+0.5+ROW()/10000000,""))</f>
        <v/>
      </c>
      <c r="R916" s="32">
        <f>IF(AND(OR($A916&lt;&gt;"",$E916&lt;&gt;"",$F916&lt;&gt;"",$G916&lt;&gt;"",$H916&lt;&gt;"",$I916&lt;&gt;""),NOT(ISNUMBER($O916))),1,"")</f>
        <v/>
      </c>
    </row>
    <row r="917" ht="18" customHeight="1">
      <c r="A917" s="26" t="n"/>
      <c r="B917" s="18" t="n"/>
      <c r="C917" s="18" t="n"/>
      <c r="D917" s="20">
        <f>IF($P917="","",IFERROR(INDEX('得意先'!$C$5:$C$104,MATCH($P917,'得意先'!$B$5:$B$104,0))&amp;"","※得意先にないコード"))</f>
        <v/>
      </c>
      <c r="E917" s="27" t="n"/>
      <c r="F917" s="18" t="n"/>
      <c r="G917" s="27" t="n"/>
      <c r="H917" s="27" t="n"/>
      <c r="I917" s="27" t="n"/>
      <c r="J917" s="28">
        <f>IF(NOT(OR($A917&lt;&gt;"",$E917&lt;&gt;"",$F917&lt;&gt;"",$G917&lt;&gt;"",$H917&lt;&gt;"",$I917&lt;&gt;"")),"",N($G917)+N($H917)+N($I917))</f>
        <v/>
      </c>
      <c r="K917" s="28">
        <f>IF(ISNUMBER($O917),INDEX('請求台帳'!$R$5:$R$1004,$O917),"")</f>
        <v/>
      </c>
      <c r="L917" s="20">
        <f>IF(NOT(OR($A917&lt;&gt;"",$E917&lt;&gt;"",$F917&lt;&gt;"",$G917&lt;&gt;"",$H917&lt;&gt;"",$I917&lt;&gt;"")),"",IF(NOT(ISNUMBER($A917)),"入金日がありません",IF(AND($F917&lt;&gt;"",$O917="なし"),"請求Noが請求台帳にありません",IF(AND(ISNUMBER($O917),$C917&lt;&gt;"",$C917&lt;&gt;$P917),"請求の得意先は "&amp;$P917&amp;" です",IF(ROUND(IF($B917&lt;&gt;"",SUMIF($B$5:$B$1004,$B917,$E$5:$E$1004)-SUMIF($B$5:$B$1004,$B917,$G$5:$G$1004),N($E917)-N($G917)),0)&lt;&gt;0,"通帳の額と当てた額の差 "&amp;TEXT(IF($B917&lt;&gt;"",SUMIF($B$5:$B$1004,$B917,$E$5:$E$1004)-SUMIF($B$5:$B$1004,$B917,$G$5:$G$1004),N($E917)-N($G917)),"#,##0"),IF(AND(ISNUMBER($O917),N($K917)&lt;0),"請求額より多く消し込んでいます",IF($F917="","消込先が未定","OK")))))))</f>
        <v/>
      </c>
      <c r="M917" s="19" t="n"/>
      <c r="N917" s="56" t="n"/>
      <c r="O917" s="32">
        <f>IF($F917="","",IFERROR(MATCH($F917,'請求台帳'!$A$5:$A$1004,0),"なし"))</f>
        <v/>
      </c>
      <c r="P917" s="37">
        <f>IF(NOT(OR($A917&lt;&gt;"",$E917&lt;&gt;"",$F917&lt;&gt;"",$G917&lt;&gt;"",$H917&lt;&gt;"",$I917&lt;&gt;"")),"",IF(ISNUMBER($O917),IF(INDEX('請求台帳'!$C$5:$C$1004,$O917)="","",INDEX('請求台帳'!$C$5:$C$1004,$O917)),IF($C917="","",$C917)))</f>
        <v/>
      </c>
      <c r="Q917" s="35">
        <f>IF(OR(NOT(OR($A917&lt;&gt;"",$E917&lt;&gt;"",$F917&lt;&gt;"",$G917&lt;&gt;"",$H917&lt;&gt;"",$I917&lt;&gt;"")),$P917="",$P917&lt;&gt;'売掛帳'!$B$3,NOT(ISNUMBER($A917)),N($G917)+N($H917)+N($I917)=0),"",IF(AND($A917&gt;='売掛帳'!$Q$3,$A917&lt;='売掛帳'!$Q$4),$A917+0.5+ROW()/10000000,""))</f>
        <v/>
      </c>
      <c r="R917" s="32">
        <f>IF(AND(OR($A917&lt;&gt;"",$E917&lt;&gt;"",$F917&lt;&gt;"",$G917&lt;&gt;"",$H917&lt;&gt;"",$I917&lt;&gt;""),NOT(ISNUMBER($O917))),1,"")</f>
        <v/>
      </c>
    </row>
    <row r="918" ht="18" customHeight="1">
      <c r="A918" s="26" t="n"/>
      <c r="B918" s="18" t="n"/>
      <c r="C918" s="18" t="n"/>
      <c r="D918" s="20">
        <f>IF($P918="","",IFERROR(INDEX('得意先'!$C$5:$C$104,MATCH($P918,'得意先'!$B$5:$B$104,0))&amp;"","※得意先にないコード"))</f>
        <v/>
      </c>
      <c r="E918" s="27" t="n"/>
      <c r="F918" s="18" t="n"/>
      <c r="G918" s="27" t="n"/>
      <c r="H918" s="27" t="n"/>
      <c r="I918" s="27" t="n"/>
      <c r="J918" s="28">
        <f>IF(NOT(OR($A918&lt;&gt;"",$E918&lt;&gt;"",$F918&lt;&gt;"",$G918&lt;&gt;"",$H918&lt;&gt;"",$I918&lt;&gt;"")),"",N($G918)+N($H918)+N($I918))</f>
        <v/>
      </c>
      <c r="K918" s="28">
        <f>IF(ISNUMBER($O918),INDEX('請求台帳'!$R$5:$R$1004,$O918),"")</f>
        <v/>
      </c>
      <c r="L918" s="20">
        <f>IF(NOT(OR($A918&lt;&gt;"",$E918&lt;&gt;"",$F918&lt;&gt;"",$G918&lt;&gt;"",$H918&lt;&gt;"",$I918&lt;&gt;"")),"",IF(NOT(ISNUMBER($A918)),"入金日がありません",IF(AND($F918&lt;&gt;"",$O918="なし"),"請求Noが請求台帳にありません",IF(AND(ISNUMBER($O918),$C918&lt;&gt;"",$C918&lt;&gt;$P918),"請求の得意先は "&amp;$P918&amp;" です",IF(ROUND(IF($B918&lt;&gt;"",SUMIF($B$5:$B$1004,$B918,$E$5:$E$1004)-SUMIF($B$5:$B$1004,$B918,$G$5:$G$1004),N($E918)-N($G918)),0)&lt;&gt;0,"通帳の額と当てた額の差 "&amp;TEXT(IF($B918&lt;&gt;"",SUMIF($B$5:$B$1004,$B918,$E$5:$E$1004)-SUMIF($B$5:$B$1004,$B918,$G$5:$G$1004),N($E918)-N($G918)),"#,##0"),IF(AND(ISNUMBER($O918),N($K918)&lt;0),"請求額より多く消し込んでいます",IF($F918="","消込先が未定","OK")))))))</f>
        <v/>
      </c>
      <c r="M918" s="19" t="n"/>
      <c r="N918" s="56" t="n"/>
      <c r="O918" s="32">
        <f>IF($F918="","",IFERROR(MATCH($F918,'請求台帳'!$A$5:$A$1004,0),"なし"))</f>
        <v/>
      </c>
      <c r="P918" s="37">
        <f>IF(NOT(OR($A918&lt;&gt;"",$E918&lt;&gt;"",$F918&lt;&gt;"",$G918&lt;&gt;"",$H918&lt;&gt;"",$I918&lt;&gt;"")),"",IF(ISNUMBER($O918),IF(INDEX('請求台帳'!$C$5:$C$1004,$O918)="","",INDEX('請求台帳'!$C$5:$C$1004,$O918)),IF($C918="","",$C918)))</f>
        <v/>
      </c>
      <c r="Q918" s="35">
        <f>IF(OR(NOT(OR($A918&lt;&gt;"",$E918&lt;&gt;"",$F918&lt;&gt;"",$G918&lt;&gt;"",$H918&lt;&gt;"",$I918&lt;&gt;"")),$P918="",$P918&lt;&gt;'売掛帳'!$B$3,NOT(ISNUMBER($A918)),N($G918)+N($H918)+N($I918)=0),"",IF(AND($A918&gt;='売掛帳'!$Q$3,$A918&lt;='売掛帳'!$Q$4),$A918+0.5+ROW()/10000000,""))</f>
        <v/>
      </c>
      <c r="R918" s="32">
        <f>IF(AND(OR($A918&lt;&gt;"",$E918&lt;&gt;"",$F918&lt;&gt;"",$G918&lt;&gt;"",$H918&lt;&gt;"",$I918&lt;&gt;""),NOT(ISNUMBER($O918))),1,"")</f>
        <v/>
      </c>
    </row>
    <row r="919" ht="18" customHeight="1">
      <c r="A919" s="26" t="n"/>
      <c r="B919" s="18" t="n"/>
      <c r="C919" s="18" t="n"/>
      <c r="D919" s="20">
        <f>IF($P919="","",IFERROR(INDEX('得意先'!$C$5:$C$104,MATCH($P919,'得意先'!$B$5:$B$104,0))&amp;"","※得意先にないコード"))</f>
        <v/>
      </c>
      <c r="E919" s="27" t="n"/>
      <c r="F919" s="18" t="n"/>
      <c r="G919" s="27" t="n"/>
      <c r="H919" s="27" t="n"/>
      <c r="I919" s="27" t="n"/>
      <c r="J919" s="28">
        <f>IF(NOT(OR($A919&lt;&gt;"",$E919&lt;&gt;"",$F919&lt;&gt;"",$G919&lt;&gt;"",$H919&lt;&gt;"",$I919&lt;&gt;"")),"",N($G919)+N($H919)+N($I919))</f>
        <v/>
      </c>
      <c r="K919" s="28">
        <f>IF(ISNUMBER($O919),INDEX('請求台帳'!$R$5:$R$1004,$O919),"")</f>
        <v/>
      </c>
      <c r="L919" s="20">
        <f>IF(NOT(OR($A919&lt;&gt;"",$E919&lt;&gt;"",$F919&lt;&gt;"",$G919&lt;&gt;"",$H919&lt;&gt;"",$I919&lt;&gt;"")),"",IF(NOT(ISNUMBER($A919)),"入金日がありません",IF(AND($F919&lt;&gt;"",$O919="なし"),"請求Noが請求台帳にありません",IF(AND(ISNUMBER($O919),$C919&lt;&gt;"",$C919&lt;&gt;$P919),"請求の得意先は "&amp;$P919&amp;" です",IF(ROUND(IF($B919&lt;&gt;"",SUMIF($B$5:$B$1004,$B919,$E$5:$E$1004)-SUMIF($B$5:$B$1004,$B919,$G$5:$G$1004),N($E919)-N($G919)),0)&lt;&gt;0,"通帳の額と当てた額の差 "&amp;TEXT(IF($B919&lt;&gt;"",SUMIF($B$5:$B$1004,$B919,$E$5:$E$1004)-SUMIF($B$5:$B$1004,$B919,$G$5:$G$1004),N($E919)-N($G919)),"#,##0"),IF(AND(ISNUMBER($O919),N($K919)&lt;0),"請求額より多く消し込んでいます",IF($F919="","消込先が未定","OK")))))))</f>
        <v/>
      </c>
      <c r="M919" s="19" t="n"/>
      <c r="N919" s="56" t="n"/>
      <c r="O919" s="32">
        <f>IF($F919="","",IFERROR(MATCH($F919,'請求台帳'!$A$5:$A$1004,0),"なし"))</f>
        <v/>
      </c>
      <c r="P919" s="37">
        <f>IF(NOT(OR($A919&lt;&gt;"",$E919&lt;&gt;"",$F919&lt;&gt;"",$G919&lt;&gt;"",$H919&lt;&gt;"",$I919&lt;&gt;"")),"",IF(ISNUMBER($O919),IF(INDEX('請求台帳'!$C$5:$C$1004,$O919)="","",INDEX('請求台帳'!$C$5:$C$1004,$O919)),IF($C919="","",$C919)))</f>
        <v/>
      </c>
      <c r="Q919" s="35">
        <f>IF(OR(NOT(OR($A919&lt;&gt;"",$E919&lt;&gt;"",$F919&lt;&gt;"",$G919&lt;&gt;"",$H919&lt;&gt;"",$I919&lt;&gt;"")),$P919="",$P919&lt;&gt;'売掛帳'!$B$3,NOT(ISNUMBER($A919)),N($G919)+N($H919)+N($I919)=0),"",IF(AND($A919&gt;='売掛帳'!$Q$3,$A919&lt;='売掛帳'!$Q$4),$A919+0.5+ROW()/10000000,""))</f>
        <v/>
      </c>
      <c r="R919" s="32">
        <f>IF(AND(OR($A919&lt;&gt;"",$E919&lt;&gt;"",$F919&lt;&gt;"",$G919&lt;&gt;"",$H919&lt;&gt;"",$I919&lt;&gt;""),NOT(ISNUMBER($O919))),1,"")</f>
        <v/>
      </c>
    </row>
    <row r="920" ht="18" customHeight="1">
      <c r="A920" s="26" t="n"/>
      <c r="B920" s="18" t="n"/>
      <c r="C920" s="18" t="n"/>
      <c r="D920" s="20">
        <f>IF($P920="","",IFERROR(INDEX('得意先'!$C$5:$C$104,MATCH($P920,'得意先'!$B$5:$B$104,0))&amp;"","※得意先にないコード"))</f>
        <v/>
      </c>
      <c r="E920" s="27" t="n"/>
      <c r="F920" s="18" t="n"/>
      <c r="G920" s="27" t="n"/>
      <c r="H920" s="27" t="n"/>
      <c r="I920" s="27" t="n"/>
      <c r="J920" s="28">
        <f>IF(NOT(OR($A920&lt;&gt;"",$E920&lt;&gt;"",$F920&lt;&gt;"",$G920&lt;&gt;"",$H920&lt;&gt;"",$I920&lt;&gt;"")),"",N($G920)+N($H920)+N($I920))</f>
        <v/>
      </c>
      <c r="K920" s="28">
        <f>IF(ISNUMBER($O920),INDEX('請求台帳'!$R$5:$R$1004,$O920),"")</f>
        <v/>
      </c>
      <c r="L920" s="20">
        <f>IF(NOT(OR($A920&lt;&gt;"",$E920&lt;&gt;"",$F920&lt;&gt;"",$G920&lt;&gt;"",$H920&lt;&gt;"",$I920&lt;&gt;"")),"",IF(NOT(ISNUMBER($A920)),"入金日がありません",IF(AND($F920&lt;&gt;"",$O920="なし"),"請求Noが請求台帳にありません",IF(AND(ISNUMBER($O920),$C920&lt;&gt;"",$C920&lt;&gt;$P920),"請求の得意先は "&amp;$P920&amp;" です",IF(ROUND(IF($B920&lt;&gt;"",SUMIF($B$5:$B$1004,$B920,$E$5:$E$1004)-SUMIF($B$5:$B$1004,$B920,$G$5:$G$1004),N($E920)-N($G920)),0)&lt;&gt;0,"通帳の額と当てた額の差 "&amp;TEXT(IF($B920&lt;&gt;"",SUMIF($B$5:$B$1004,$B920,$E$5:$E$1004)-SUMIF($B$5:$B$1004,$B920,$G$5:$G$1004),N($E920)-N($G920)),"#,##0"),IF(AND(ISNUMBER($O920),N($K920)&lt;0),"請求額より多く消し込んでいます",IF($F920="","消込先が未定","OK")))))))</f>
        <v/>
      </c>
      <c r="M920" s="19" t="n"/>
      <c r="N920" s="56" t="n"/>
      <c r="O920" s="32">
        <f>IF($F920="","",IFERROR(MATCH($F920,'請求台帳'!$A$5:$A$1004,0),"なし"))</f>
        <v/>
      </c>
      <c r="P920" s="37">
        <f>IF(NOT(OR($A920&lt;&gt;"",$E920&lt;&gt;"",$F920&lt;&gt;"",$G920&lt;&gt;"",$H920&lt;&gt;"",$I920&lt;&gt;"")),"",IF(ISNUMBER($O920),IF(INDEX('請求台帳'!$C$5:$C$1004,$O920)="","",INDEX('請求台帳'!$C$5:$C$1004,$O920)),IF($C920="","",$C920)))</f>
        <v/>
      </c>
      <c r="Q920" s="35">
        <f>IF(OR(NOT(OR($A920&lt;&gt;"",$E920&lt;&gt;"",$F920&lt;&gt;"",$G920&lt;&gt;"",$H920&lt;&gt;"",$I920&lt;&gt;"")),$P920="",$P920&lt;&gt;'売掛帳'!$B$3,NOT(ISNUMBER($A920)),N($G920)+N($H920)+N($I920)=0),"",IF(AND($A920&gt;='売掛帳'!$Q$3,$A920&lt;='売掛帳'!$Q$4),$A920+0.5+ROW()/10000000,""))</f>
        <v/>
      </c>
      <c r="R920" s="32">
        <f>IF(AND(OR($A920&lt;&gt;"",$E920&lt;&gt;"",$F920&lt;&gt;"",$G920&lt;&gt;"",$H920&lt;&gt;"",$I920&lt;&gt;""),NOT(ISNUMBER($O920))),1,"")</f>
        <v/>
      </c>
    </row>
    <row r="921" ht="18" customHeight="1">
      <c r="A921" s="26" t="n"/>
      <c r="B921" s="18" t="n"/>
      <c r="C921" s="18" t="n"/>
      <c r="D921" s="20">
        <f>IF($P921="","",IFERROR(INDEX('得意先'!$C$5:$C$104,MATCH($P921,'得意先'!$B$5:$B$104,0))&amp;"","※得意先にないコード"))</f>
        <v/>
      </c>
      <c r="E921" s="27" t="n"/>
      <c r="F921" s="18" t="n"/>
      <c r="G921" s="27" t="n"/>
      <c r="H921" s="27" t="n"/>
      <c r="I921" s="27" t="n"/>
      <c r="J921" s="28">
        <f>IF(NOT(OR($A921&lt;&gt;"",$E921&lt;&gt;"",$F921&lt;&gt;"",$G921&lt;&gt;"",$H921&lt;&gt;"",$I921&lt;&gt;"")),"",N($G921)+N($H921)+N($I921))</f>
        <v/>
      </c>
      <c r="K921" s="28">
        <f>IF(ISNUMBER($O921),INDEX('請求台帳'!$R$5:$R$1004,$O921),"")</f>
        <v/>
      </c>
      <c r="L921" s="20">
        <f>IF(NOT(OR($A921&lt;&gt;"",$E921&lt;&gt;"",$F921&lt;&gt;"",$G921&lt;&gt;"",$H921&lt;&gt;"",$I921&lt;&gt;"")),"",IF(NOT(ISNUMBER($A921)),"入金日がありません",IF(AND($F921&lt;&gt;"",$O921="なし"),"請求Noが請求台帳にありません",IF(AND(ISNUMBER($O921),$C921&lt;&gt;"",$C921&lt;&gt;$P921),"請求の得意先は "&amp;$P921&amp;" です",IF(ROUND(IF($B921&lt;&gt;"",SUMIF($B$5:$B$1004,$B921,$E$5:$E$1004)-SUMIF($B$5:$B$1004,$B921,$G$5:$G$1004),N($E921)-N($G921)),0)&lt;&gt;0,"通帳の額と当てた額の差 "&amp;TEXT(IF($B921&lt;&gt;"",SUMIF($B$5:$B$1004,$B921,$E$5:$E$1004)-SUMIF($B$5:$B$1004,$B921,$G$5:$G$1004),N($E921)-N($G921)),"#,##0"),IF(AND(ISNUMBER($O921),N($K921)&lt;0),"請求額より多く消し込んでいます",IF($F921="","消込先が未定","OK")))))))</f>
        <v/>
      </c>
      <c r="M921" s="19" t="n"/>
      <c r="N921" s="56" t="n"/>
      <c r="O921" s="32">
        <f>IF($F921="","",IFERROR(MATCH($F921,'請求台帳'!$A$5:$A$1004,0),"なし"))</f>
        <v/>
      </c>
      <c r="P921" s="37">
        <f>IF(NOT(OR($A921&lt;&gt;"",$E921&lt;&gt;"",$F921&lt;&gt;"",$G921&lt;&gt;"",$H921&lt;&gt;"",$I921&lt;&gt;"")),"",IF(ISNUMBER($O921),IF(INDEX('請求台帳'!$C$5:$C$1004,$O921)="","",INDEX('請求台帳'!$C$5:$C$1004,$O921)),IF($C921="","",$C921)))</f>
        <v/>
      </c>
      <c r="Q921" s="35">
        <f>IF(OR(NOT(OR($A921&lt;&gt;"",$E921&lt;&gt;"",$F921&lt;&gt;"",$G921&lt;&gt;"",$H921&lt;&gt;"",$I921&lt;&gt;"")),$P921="",$P921&lt;&gt;'売掛帳'!$B$3,NOT(ISNUMBER($A921)),N($G921)+N($H921)+N($I921)=0),"",IF(AND($A921&gt;='売掛帳'!$Q$3,$A921&lt;='売掛帳'!$Q$4),$A921+0.5+ROW()/10000000,""))</f>
        <v/>
      </c>
      <c r="R921" s="32">
        <f>IF(AND(OR($A921&lt;&gt;"",$E921&lt;&gt;"",$F921&lt;&gt;"",$G921&lt;&gt;"",$H921&lt;&gt;"",$I921&lt;&gt;""),NOT(ISNUMBER($O921))),1,"")</f>
        <v/>
      </c>
    </row>
    <row r="922" ht="18" customHeight="1">
      <c r="A922" s="26" t="n"/>
      <c r="B922" s="18" t="n"/>
      <c r="C922" s="18" t="n"/>
      <c r="D922" s="20">
        <f>IF($P922="","",IFERROR(INDEX('得意先'!$C$5:$C$104,MATCH($P922,'得意先'!$B$5:$B$104,0))&amp;"","※得意先にないコード"))</f>
        <v/>
      </c>
      <c r="E922" s="27" t="n"/>
      <c r="F922" s="18" t="n"/>
      <c r="G922" s="27" t="n"/>
      <c r="H922" s="27" t="n"/>
      <c r="I922" s="27" t="n"/>
      <c r="J922" s="28">
        <f>IF(NOT(OR($A922&lt;&gt;"",$E922&lt;&gt;"",$F922&lt;&gt;"",$G922&lt;&gt;"",$H922&lt;&gt;"",$I922&lt;&gt;"")),"",N($G922)+N($H922)+N($I922))</f>
        <v/>
      </c>
      <c r="K922" s="28">
        <f>IF(ISNUMBER($O922),INDEX('請求台帳'!$R$5:$R$1004,$O922),"")</f>
        <v/>
      </c>
      <c r="L922" s="20">
        <f>IF(NOT(OR($A922&lt;&gt;"",$E922&lt;&gt;"",$F922&lt;&gt;"",$G922&lt;&gt;"",$H922&lt;&gt;"",$I922&lt;&gt;"")),"",IF(NOT(ISNUMBER($A922)),"入金日がありません",IF(AND($F922&lt;&gt;"",$O922="なし"),"請求Noが請求台帳にありません",IF(AND(ISNUMBER($O922),$C922&lt;&gt;"",$C922&lt;&gt;$P922),"請求の得意先は "&amp;$P922&amp;" です",IF(ROUND(IF($B922&lt;&gt;"",SUMIF($B$5:$B$1004,$B922,$E$5:$E$1004)-SUMIF($B$5:$B$1004,$B922,$G$5:$G$1004),N($E922)-N($G922)),0)&lt;&gt;0,"通帳の額と当てた額の差 "&amp;TEXT(IF($B922&lt;&gt;"",SUMIF($B$5:$B$1004,$B922,$E$5:$E$1004)-SUMIF($B$5:$B$1004,$B922,$G$5:$G$1004),N($E922)-N($G922)),"#,##0"),IF(AND(ISNUMBER($O922),N($K922)&lt;0),"請求額より多く消し込んでいます",IF($F922="","消込先が未定","OK")))))))</f>
        <v/>
      </c>
      <c r="M922" s="19" t="n"/>
      <c r="N922" s="56" t="n"/>
      <c r="O922" s="32">
        <f>IF($F922="","",IFERROR(MATCH($F922,'請求台帳'!$A$5:$A$1004,0),"なし"))</f>
        <v/>
      </c>
      <c r="P922" s="37">
        <f>IF(NOT(OR($A922&lt;&gt;"",$E922&lt;&gt;"",$F922&lt;&gt;"",$G922&lt;&gt;"",$H922&lt;&gt;"",$I922&lt;&gt;"")),"",IF(ISNUMBER($O922),IF(INDEX('請求台帳'!$C$5:$C$1004,$O922)="","",INDEX('請求台帳'!$C$5:$C$1004,$O922)),IF($C922="","",$C922)))</f>
        <v/>
      </c>
      <c r="Q922" s="35">
        <f>IF(OR(NOT(OR($A922&lt;&gt;"",$E922&lt;&gt;"",$F922&lt;&gt;"",$G922&lt;&gt;"",$H922&lt;&gt;"",$I922&lt;&gt;"")),$P922="",$P922&lt;&gt;'売掛帳'!$B$3,NOT(ISNUMBER($A922)),N($G922)+N($H922)+N($I922)=0),"",IF(AND($A922&gt;='売掛帳'!$Q$3,$A922&lt;='売掛帳'!$Q$4),$A922+0.5+ROW()/10000000,""))</f>
        <v/>
      </c>
      <c r="R922" s="32">
        <f>IF(AND(OR($A922&lt;&gt;"",$E922&lt;&gt;"",$F922&lt;&gt;"",$G922&lt;&gt;"",$H922&lt;&gt;"",$I922&lt;&gt;""),NOT(ISNUMBER($O922))),1,"")</f>
        <v/>
      </c>
    </row>
    <row r="923" ht="18" customHeight="1">
      <c r="A923" s="26" t="n"/>
      <c r="B923" s="18" t="n"/>
      <c r="C923" s="18" t="n"/>
      <c r="D923" s="20">
        <f>IF($P923="","",IFERROR(INDEX('得意先'!$C$5:$C$104,MATCH($P923,'得意先'!$B$5:$B$104,0))&amp;"","※得意先にないコード"))</f>
        <v/>
      </c>
      <c r="E923" s="27" t="n"/>
      <c r="F923" s="18" t="n"/>
      <c r="G923" s="27" t="n"/>
      <c r="H923" s="27" t="n"/>
      <c r="I923" s="27" t="n"/>
      <c r="J923" s="28">
        <f>IF(NOT(OR($A923&lt;&gt;"",$E923&lt;&gt;"",$F923&lt;&gt;"",$G923&lt;&gt;"",$H923&lt;&gt;"",$I923&lt;&gt;"")),"",N($G923)+N($H923)+N($I923))</f>
        <v/>
      </c>
      <c r="K923" s="28">
        <f>IF(ISNUMBER($O923),INDEX('請求台帳'!$R$5:$R$1004,$O923),"")</f>
        <v/>
      </c>
      <c r="L923" s="20">
        <f>IF(NOT(OR($A923&lt;&gt;"",$E923&lt;&gt;"",$F923&lt;&gt;"",$G923&lt;&gt;"",$H923&lt;&gt;"",$I923&lt;&gt;"")),"",IF(NOT(ISNUMBER($A923)),"入金日がありません",IF(AND($F923&lt;&gt;"",$O923="なし"),"請求Noが請求台帳にありません",IF(AND(ISNUMBER($O923),$C923&lt;&gt;"",$C923&lt;&gt;$P923),"請求の得意先は "&amp;$P923&amp;" です",IF(ROUND(IF($B923&lt;&gt;"",SUMIF($B$5:$B$1004,$B923,$E$5:$E$1004)-SUMIF($B$5:$B$1004,$B923,$G$5:$G$1004),N($E923)-N($G923)),0)&lt;&gt;0,"通帳の額と当てた額の差 "&amp;TEXT(IF($B923&lt;&gt;"",SUMIF($B$5:$B$1004,$B923,$E$5:$E$1004)-SUMIF($B$5:$B$1004,$B923,$G$5:$G$1004),N($E923)-N($G923)),"#,##0"),IF(AND(ISNUMBER($O923),N($K923)&lt;0),"請求額より多く消し込んでいます",IF($F923="","消込先が未定","OK")))))))</f>
        <v/>
      </c>
      <c r="M923" s="19" t="n"/>
      <c r="N923" s="56" t="n"/>
      <c r="O923" s="32">
        <f>IF($F923="","",IFERROR(MATCH($F923,'請求台帳'!$A$5:$A$1004,0),"なし"))</f>
        <v/>
      </c>
      <c r="P923" s="37">
        <f>IF(NOT(OR($A923&lt;&gt;"",$E923&lt;&gt;"",$F923&lt;&gt;"",$G923&lt;&gt;"",$H923&lt;&gt;"",$I923&lt;&gt;"")),"",IF(ISNUMBER($O923),IF(INDEX('請求台帳'!$C$5:$C$1004,$O923)="","",INDEX('請求台帳'!$C$5:$C$1004,$O923)),IF($C923="","",$C923)))</f>
        <v/>
      </c>
      <c r="Q923" s="35">
        <f>IF(OR(NOT(OR($A923&lt;&gt;"",$E923&lt;&gt;"",$F923&lt;&gt;"",$G923&lt;&gt;"",$H923&lt;&gt;"",$I923&lt;&gt;"")),$P923="",$P923&lt;&gt;'売掛帳'!$B$3,NOT(ISNUMBER($A923)),N($G923)+N($H923)+N($I923)=0),"",IF(AND($A923&gt;='売掛帳'!$Q$3,$A923&lt;='売掛帳'!$Q$4),$A923+0.5+ROW()/10000000,""))</f>
        <v/>
      </c>
      <c r="R923" s="32">
        <f>IF(AND(OR($A923&lt;&gt;"",$E923&lt;&gt;"",$F923&lt;&gt;"",$G923&lt;&gt;"",$H923&lt;&gt;"",$I923&lt;&gt;""),NOT(ISNUMBER($O923))),1,"")</f>
        <v/>
      </c>
    </row>
    <row r="924" ht="18" customHeight="1">
      <c r="A924" s="26" t="n"/>
      <c r="B924" s="18" t="n"/>
      <c r="C924" s="18" t="n"/>
      <c r="D924" s="20">
        <f>IF($P924="","",IFERROR(INDEX('得意先'!$C$5:$C$104,MATCH($P924,'得意先'!$B$5:$B$104,0))&amp;"","※得意先にないコード"))</f>
        <v/>
      </c>
      <c r="E924" s="27" t="n"/>
      <c r="F924" s="18" t="n"/>
      <c r="G924" s="27" t="n"/>
      <c r="H924" s="27" t="n"/>
      <c r="I924" s="27" t="n"/>
      <c r="J924" s="28">
        <f>IF(NOT(OR($A924&lt;&gt;"",$E924&lt;&gt;"",$F924&lt;&gt;"",$G924&lt;&gt;"",$H924&lt;&gt;"",$I924&lt;&gt;"")),"",N($G924)+N($H924)+N($I924))</f>
        <v/>
      </c>
      <c r="K924" s="28">
        <f>IF(ISNUMBER($O924),INDEX('請求台帳'!$R$5:$R$1004,$O924),"")</f>
        <v/>
      </c>
      <c r="L924" s="20">
        <f>IF(NOT(OR($A924&lt;&gt;"",$E924&lt;&gt;"",$F924&lt;&gt;"",$G924&lt;&gt;"",$H924&lt;&gt;"",$I924&lt;&gt;"")),"",IF(NOT(ISNUMBER($A924)),"入金日がありません",IF(AND($F924&lt;&gt;"",$O924="なし"),"請求Noが請求台帳にありません",IF(AND(ISNUMBER($O924),$C924&lt;&gt;"",$C924&lt;&gt;$P924),"請求の得意先は "&amp;$P924&amp;" です",IF(ROUND(IF($B924&lt;&gt;"",SUMIF($B$5:$B$1004,$B924,$E$5:$E$1004)-SUMIF($B$5:$B$1004,$B924,$G$5:$G$1004),N($E924)-N($G924)),0)&lt;&gt;0,"通帳の額と当てた額の差 "&amp;TEXT(IF($B924&lt;&gt;"",SUMIF($B$5:$B$1004,$B924,$E$5:$E$1004)-SUMIF($B$5:$B$1004,$B924,$G$5:$G$1004),N($E924)-N($G924)),"#,##0"),IF(AND(ISNUMBER($O924),N($K924)&lt;0),"請求額より多く消し込んでいます",IF($F924="","消込先が未定","OK")))))))</f>
        <v/>
      </c>
      <c r="M924" s="19" t="n"/>
      <c r="N924" s="56" t="n"/>
      <c r="O924" s="32">
        <f>IF($F924="","",IFERROR(MATCH($F924,'請求台帳'!$A$5:$A$1004,0),"なし"))</f>
        <v/>
      </c>
      <c r="P924" s="37">
        <f>IF(NOT(OR($A924&lt;&gt;"",$E924&lt;&gt;"",$F924&lt;&gt;"",$G924&lt;&gt;"",$H924&lt;&gt;"",$I924&lt;&gt;"")),"",IF(ISNUMBER($O924),IF(INDEX('請求台帳'!$C$5:$C$1004,$O924)="","",INDEX('請求台帳'!$C$5:$C$1004,$O924)),IF($C924="","",$C924)))</f>
        <v/>
      </c>
      <c r="Q924" s="35">
        <f>IF(OR(NOT(OR($A924&lt;&gt;"",$E924&lt;&gt;"",$F924&lt;&gt;"",$G924&lt;&gt;"",$H924&lt;&gt;"",$I924&lt;&gt;"")),$P924="",$P924&lt;&gt;'売掛帳'!$B$3,NOT(ISNUMBER($A924)),N($G924)+N($H924)+N($I924)=0),"",IF(AND($A924&gt;='売掛帳'!$Q$3,$A924&lt;='売掛帳'!$Q$4),$A924+0.5+ROW()/10000000,""))</f>
        <v/>
      </c>
      <c r="R924" s="32">
        <f>IF(AND(OR($A924&lt;&gt;"",$E924&lt;&gt;"",$F924&lt;&gt;"",$G924&lt;&gt;"",$H924&lt;&gt;"",$I924&lt;&gt;""),NOT(ISNUMBER($O924))),1,"")</f>
        <v/>
      </c>
    </row>
    <row r="925" ht="18" customHeight="1">
      <c r="A925" s="26" t="n"/>
      <c r="B925" s="18" t="n"/>
      <c r="C925" s="18" t="n"/>
      <c r="D925" s="20">
        <f>IF($P925="","",IFERROR(INDEX('得意先'!$C$5:$C$104,MATCH($P925,'得意先'!$B$5:$B$104,0))&amp;"","※得意先にないコード"))</f>
        <v/>
      </c>
      <c r="E925" s="27" t="n"/>
      <c r="F925" s="18" t="n"/>
      <c r="G925" s="27" t="n"/>
      <c r="H925" s="27" t="n"/>
      <c r="I925" s="27" t="n"/>
      <c r="J925" s="28">
        <f>IF(NOT(OR($A925&lt;&gt;"",$E925&lt;&gt;"",$F925&lt;&gt;"",$G925&lt;&gt;"",$H925&lt;&gt;"",$I925&lt;&gt;"")),"",N($G925)+N($H925)+N($I925))</f>
        <v/>
      </c>
      <c r="K925" s="28">
        <f>IF(ISNUMBER($O925),INDEX('請求台帳'!$R$5:$R$1004,$O925),"")</f>
        <v/>
      </c>
      <c r="L925" s="20">
        <f>IF(NOT(OR($A925&lt;&gt;"",$E925&lt;&gt;"",$F925&lt;&gt;"",$G925&lt;&gt;"",$H925&lt;&gt;"",$I925&lt;&gt;"")),"",IF(NOT(ISNUMBER($A925)),"入金日がありません",IF(AND($F925&lt;&gt;"",$O925="なし"),"請求Noが請求台帳にありません",IF(AND(ISNUMBER($O925),$C925&lt;&gt;"",$C925&lt;&gt;$P925),"請求の得意先は "&amp;$P925&amp;" です",IF(ROUND(IF($B925&lt;&gt;"",SUMIF($B$5:$B$1004,$B925,$E$5:$E$1004)-SUMIF($B$5:$B$1004,$B925,$G$5:$G$1004),N($E925)-N($G925)),0)&lt;&gt;0,"通帳の額と当てた額の差 "&amp;TEXT(IF($B925&lt;&gt;"",SUMIF($B$5:$B$1004,$B925,$E$5:$E$1004)-SUMIF($B$5:$B$1004,$B925,$G$5:$G$1004),N($E925)-N($G925)),"#,##0"),IF(AND(ISNUMBER($O925),N($K925)&lt;0),"請求額より多く消し込んでいます",IF($F925="","消込先が未定","OK")))))))</f>
        <v/>
      </c>
      <c r="M925" s="19" t="n"/>
      <c r="N925" s="56" t="n"/>
      <c r="O925" s="32">
        <f>IF($F925="","",IFERROR(MATCH($F925,'請求台帳'!$A$5:$A$1004,0),"なし"))</f>
        <v/>
      </c>
      <c r="P925" s="37">
        <f>IF(NOT(OR($A925&lt;&gt;"",$E925&lt;&gt;"",$F925&lt;&gt;"",$G925&lt;&gt;"",$H925&lt;&gt;"",$I925&lt;&gt;"")),"",IF(ISNUMBER($O925),IF(INDEX('請求台帳'!$C$5:$C$1004,$O925)="","",INDEX('請求台帳'!$C$5:$C$1004,$O925)),IF($C925="","",$C925)))</f>
        <v/>
      </c>
      <c r="Q925" s="35">
        <f>IF(OR(NOT(OR($A925&lt;&gt;"",$E925&lt;&gt;"",$F925&lt;&gt;"",$G925&lt;&gt;"",$H925&lt;&gt;"",$I925&lt;&gt;"")),$P925="",$P925&lt;&gt;'売掛帳'!$B$3,NOT(ISNUMBER($A925)),N($G925)+N($H925)+N($I925)=0),"",IF(AND($A925&gt;='売掛帳'!$Q$3,$A925&lt;='売掛帳'!$Q$4),$A925+0.5+ROW()/10000000,""))</f>
        <v/>
      </c>
      <c r="R925" s="32">
        <f>IF(AND(OR($A925&lt;&gt;"",$E925&lt;&gt;"",$F925&lt;&gt;"",$G925&lt;&gt;"",$H925&lt;&gt;"",$I925&lt;&gt;""),NOT(ISNUMBER($O925))),1,"")</f>
        <v/>
      </c>
    </row>
    <row r="926" ht="18" customHeight="1">
      <c r="A926" s="26" t="n"/>
      <c r="B926" s="18" t="n"/>
      <c r="C926" s="18" t="n"/>
      <c r="D926" s="20">
        <f>IF($P926="","",IFERROR(INDEX('得意先'!$C$5:$C$104,MATCH($P926,'得意先'!$B$5:$B$104,0))&amp;"","※得意先にないコード"))</f>
        <v/>
      </c>
      <c r="E926" s="27" t="n"/>
      <c r="F926" s="18" t="n"/>
      <c r="G926" s="27" t="n"/>
      <c r="H926" s="27" t="n"/>
      <c r="I926" s="27" t="n"/>
      <c r="J926" s="28">
        <f>IF(NOT(OR($A926&lt;&gt;"",$E926&lt;&gt;"",$F926&lt;&gt;"",$G926&lt;&gt;"",$H926&lt;&gt;"",$I926&lt;&gt;"")),"",N($G926)+N($H926)+N($I926))</f>
        <v/>
      </c>
      <c r="K926" s="28">
        <f>IF(ISNUMBER($O926),INDEX('請求台帳'!$R$5:$R$1004,$O926),"")</f>
        <v/>
      </c>
      <c r="L926" s="20">
        <f>IF(NOT(OR($A926&lt;&gt;"",$E926&lt;&gt;"",$F926&lt;&gt;"",$G926&lt;&gt;"",$H926&lt;&gt;"",$I926&lt;&gt;"")),"",IF(NOT(ISNUMBER($A926)),"入金日がありません",IF(AND($F926&lt;&gt;"",$O926="なし"),"請求Noが請求台帳にありません",IF(AND(ISNUMBER($O926),$C926&lt;&gt;"",$C926&lt;&gt;$P926),"請求の得意先は "&amp;$P926&amp;" です",IF(ROUND(IF($B926&lt;&gt;"",SUMIF($B$5:$B$1004,$B926,$E$5:$E$1004)-SUMIF($B$5:$B$1004,$B926,$G$5:$G$1004),N($E926)-N($G926)),0)&lt;&gt;0,"通帳の額と当てた額の差 "&amp;TEXT(IF($B926&lt;&gt;"",SUMIF($B$5:$B$1004,$B926,$E$5:$E$1004)-SUMIF($B$5:$B$1004,$B926,$G$5:$G$1004),N($E926)-N($G926)),"#,##0"),IF(AND(ISNUMBER($O926),N($K926)&lt;0),"請求額より多く消し込んでいます",IF($F926="","消込先が未定","OK")))))))</f>
        <v/>
      </c>
      <c r="M926" s="19" t="n"/>
      <c r="N926" s="56" t="n"/>
      <c r="O926" s="32">
        <f>IF($F926="","",IFERROR(MATCH($F926,'請求台帳'!$A$5:$A$1004,0),"なし"))</f>
        <v/>
      </c>
      <c r="P926" s="37">
        <f>IF(NOT(OR($A926&lt;&gt;"",$E926&lt;&gt;"",$F926&lt;&gt;"",$G926&lt;&gt;"",$H926&lt;&gt;"",$I926&lt;&gt;"")),"",IF(ISNUMBER($O926),IF(INDEX('請求台帳'!$C$5:$C$1004,$O926)="","",INDEX('請求台帳'!$C$5:$C$1004,$O926)),IF($C926="","",$C926)))</f>
        <v/>
      </c>
      <c r="Q926" s="35">
        <f>IF(OR(NOT(OR($A926&lt;&gt;"",$E926&lt;&gt;"",$F926&lt;&gt;"",$G926&lt;&gt;"",$H926&lt;&gt;"",$I926&lt;&gt;"")),$P926="",$P926&lt;&gt;'売掛帳'!$B$3,NOT(ISNUMBER($A926)),N($G926)+N($H926)+N($I926)=0),"",IF(AND($A926&gt;='売掛帳'!$Q$3,$A926&lt;='売掛帳'!$Q$4),$A926+0.5+ROW()/10000000,""))</f>
        <v/>
      </c>
      <c r="R926" s="32">
        <f>IF(AND(OR($A926&lt;&gt;"",$E926&lt;&gt;"",$F926&lt;&gt;"",$G926&lt;&gt;"",$H926&lt;&gt;"",$I926&lt;&gt;""),NOT(ISNUMBER($O926))),1,"")</f>
        <v/>
      </c>
    </row>
    <row r="927" ht="18" customHeight="1">
      <c r="A927" s="26" t="n"/>
      <c r="B927" s="18" t="n"/>
      <c r="C927" s="18" t="n"/>
      <c r="D927" s="20">
        <f>IF($P927="","",IFERROR(INDEX('得意先'!$C$5:$C$104,MATCH($P927,'得意先'!$B$5:$B$104,0))&amp;"","※得意先にないコード"))</f>
        <v/>
      </c>
      <c r="E927" s="27" t="n"/>
      <c r="F927" s="18" t="n"/>
      <c r="G927" s="27" t="n"/>
      <c r="H927" s="27" t="n"/>
      <c r="I927" s="27" t="n"/>
      <c r="J927" s="28">
        <f>IF(NOT(OR($A927&lt;&gt;"",$E927&lt;&gt;"",$F927&lt;&gt;"",$G927&lt;&gt;"",$H927&lt;&gt;"",$I927&lt;&gt;"")),"",N($G927)+N($H927)+N($I927))</f>
        <v/>
      </c>
      <c r="K927" s="28">
        <f>IF(ISNUMBER($O927),INDEX('請求台帳'!$R$5:$R$1004,$O927),"")</f>
        <v/>
      </c>
      <c r="L927" s="20">
        <f>IF(NOT(OR($A927&lt;&gt;"",$E927&lt;&gt;"",$F927&lt;&gt;"",$G927&lt;&gt;"",$H927&lt;&gt;"",$I927&lt;&gt;"")),"",IF(NOT(ISNUMBER($A927)),"入金日がありません",IF(AND($F927&lt;&gt;"",$O927="なし"),"請求Noが請求台帳にありません",IF(AND(ISNUMBER($O927),$C927&lt;&gt;"",$C927&lt;&gt;$P927),"請求の得意先は "&amp;$P927&amp;" です",IF(ROUND(IF($B927&lt;&gt;"",SUMIF($B$5:$B$1004,$B927,$E$5:$E$1004)-SUMIF($B$5:$B$1004,$B927,$G$5:$G$1004),N($E927)-N($G927)),0)&lt;&gt;0,"通帳の額と当てた額の差 "&amp;TEXT(IF($B927&lt;&gt;"",SUMIF($B$5:$B$1004,$B927,$E$5:$E$1004)-SUMIF($B$5:$B$1004,$B927,$G$5:$G$1004),N($E927)-N($G927)),"#,##0"),IF(AND(ISNUMBER($O927),N($K927)&lt;0),"請求額より多く消し込んでいます",IF($F927="","消込先が未定","OK")))))))</f>
        <v/>
      </c>
      <c r="M927" s="19" t="n"/>
      <c r="N927" s="56" t="n"/>
      <c r="O927" s="32">
        <f>IF($F927="","",IFERROR(MATCH($F927,'請求台帳'!$A$5:$A$1004,0),"なし"))</f>
        <v/>
      </c>
      <c r="P927" s="37">
        <f>IF(NOT(OR($A927&lt;&gt;"",$E927&lt;&gt;"",$F927&lt;&gt;"",$G927&lt;&gt;"",$H927&lt;&gt;"",$I927&lt;&gt;"")),"",IF(ISNUMBER($O927),IF(INDEX('請求台帳'!$C$5:$C$1004,$O927)="","",INDEX('請求台帳'!$C$5:$C$1004,$O927)),IF($C927="","",$C927)))</f>
        <v/>
      </c>
      <c r="Q927" s="35">
        <f>IF(OR(NOT(OR($A927&lt;&gt;"",$E927&lt;&gt;"",$F927&lt;&gt;"",$G927&lt;&gt;"",$H927&lt;&gt;"",$I927&lt;&gt;"")),$P927="",$P927&lt;&gt;'売掛帳'!$B$3,NOT(ISNUMBER($A927)),N($G927)+N($H927)+N($I927)=0),"",IF(AND($A927&gt;='売掛帳'!$Q$3,$A927&lt;='売掛帳'!$Q$4),$A927+0.5+ROW()/10000000,""))</f>
        <v/>
      </c>
      <c r="R927" s="32">
        <f>IF(AND(OR($A927&lt;&gt;"",$E927&lt;&gt;"",$F927&lt;&gt;"",$G927&lt;&gt;"",$H927&lt;&gt;"",$I927&lt;&gt;""),NOT(ISNUMBER($O927))),1,"")</f>
        <v/>
      </c>
    </row>
    <row r="928" ht="18" customHeight="1">
      <c r="A928" s="26" t="n"/>
      <c r="B928" s="18" t="n"/>
      <c r="C928" s="18" t="n"/>
      <c r="D928" s="20">
        <f>IF($P928="","",IFERROR(INDEX('得意先'!$C$5:$C$104,MATCH($P928,'得意先'!$B$5:$B$104,0))&amp;"","※得意先にないコード"))</f>
        <v/>
      </c>
      <c r="E928" s="27" t="n"/>
      <c r="F928" s="18" t="n"/>
      <c r="G928" s="27" t="n"/>
      <c r="H928" s="27" t="n"/>
      <c r="I928" s="27" t="n"/>
      <c r="J928" s="28">
        <f>IF(NOT(OR($A928&lt;&gt;"",$E928&lt;&gt;"",$F928&lt;&gt;"",$G928&lt;&gt;"",$H928&lt;&gt;"",$I928&lt;&gt;"")),"",N($G928)+N($H928)+N($I928))</f>
        <v/>
      </c>
      <c r="K928" s="28">
        <f>IF(ISNUMBER($O928),INDEX('請求台帳'!$R$5:$R$1004,$O928),"")</f>
        <v/>
      </c>
      <c r="L928" s="20">
        <f>IF(NOT(OR($A928&lt;&gt;"",$E928&lt;&gt;"",$F928&lt;&gt;"",$G928&lt;&gt;"",$H928&lt;&gt;"",$I928&lt;&gt;"")),"",IF(NOT(ISNUMBER($A928)),"入金日がありません",IF(AND($F928&lt;&gt;"",$O928="なし"),"請求Noが請求台帳にありません",IF(AND(ISNUMBER($O928),$C928&lt;&gt;"",$C928&lt;&gt;$P928),"請求の得意先は "&amp;$P928&amp;" です",IF(ROUND(IF($B928&lt;&gt;"",SUMIF($B$5:$B$1004,$B928,$E$5:$E$1004)-SUMIF($B$5:$B$1004,$B928,$G$5:$G$1004),N($E928)-N($G928)),0)&lt;&gt;0,"通帳の額と当てた額の差 "&amp;TEXT(IF($B928&lt;&gt;"",SUMIF($B$5:$B$1004,$B928,$E$5:$E$1004)-SUMIF($B$5:$B$1004,$B928,$G$5:$G$1004),N($E928)-N($G928)),"#,##0"),IF(AND(ISNUMBER($O928),N($K928)&lt;0),"請求額より多く消し込んでいます",IF($F928="","消込先が未定","OK")))))))</f>
        <v/>
      </c>
      <c r="M928" s="19" t="n"/>
      <c r="N928" s="56" t="n"/>
      <c r="O928" s="32">
        <f>IF($F928="","",IFERROR(MATCH($F928,'請求台帳'!$A$5:$A$1004,0),"なし"))</f>
        <v/>
      </c>
      <c r="P928" s="37">
        <f>IF(NOT(OR($A928&lt;&gt;"",$E928&lt;&gt;"",$F928&lt;&gt;"",$G928&lt;&gt;"",$H928&lt;&gt;"",$I928&lt;&gt;"")),"",IF(ISNUMBER($O928),IF(INDEX('請求台帳'!$C$5:$C$1004,$O928)="","",INDEX('請求台帳'!$C$5:$C$1004,$O928)),IF($C928="","",$C928)))</f>
        <v/>
      </c>
      <c r="Q928" s="35">
        <f>IF(OR(NOT(OR($A928&lt;&gt;"",$E928&lt;&gt;"",$F928&lt;&gt;"",$G928&lt;&gt;"",$H928&lt;&gt;"",$I928&lt;&gt;"")),$P928="",$P928&lt;&gt;'売掛帳'!$B$3,NOT(ISNUMBER($A928)),N($G928)+N($H928)+N($I928)=0),"",IF(AND($A928&gt;='売掛帳'!$Q$3,$A928&lt;='売掛帳'!$Q$4),$A928+0.5+ROW()/10000000,""))</f>
        <v/>
      </c>
      <c r="R928" s="32">
        <f>IF(AND(OR($A928&lt;&gt;"",$E928&lt;&gt;"",$F928&lt;&gt;"",$G928&lt;&gt;"",$H928&lt;&gt;"",$I928&lt;&gt;""),NOT(ISNUMBER($O928))),1,"")</f>
        <v/>
      </c>
    </row>
    <row r="929" ht="18" customHeight="1">
      <c r="A929" s="26" t="n"/>
      <c r="B929" s="18" t="n"/>
      <c r="C929" s="18" t="n"/>
      <c r="D929" s="20">
        <f>IF($P929="","",IFERROR(INDEX('得意先'!$C$5:$C$104,MATCH($P929,'得意先'!$B$5:$B$104,0))&amp;"","※得意先にないコード"))</f>
        <v/>
      </c>
      <c r="E929" s="27" t="n"/>
      <c r="F929" s="18" t="n"/>
      <c r="G929" s="27" t="n"/>
      <c r="H929" s="27" t="n"/>
      <c r="I929" s="27" t="n"/>
      <c r="J929" s="28">
        <f>IF(NOT(OR($A929&lt;&gt;"",$E929&lt;&gt;"",$F929&lt;&gt;"",$G929&lt;&gt;"",$H929&lt;&gt;"",$I929&lt;&gt;"")),"",N($G929)+N($H929)+N($I929))</f>
        <v/>
      </c>
      <c r="K929" s="28">
        <f>IF(ISNUMBER($O929),INDEX('請求台帳'!$R$5:$R$1004,$O929),"")</f>
        <v/>
      </c>
      <c r="L929" s="20">
        <f>IF(NOT(OR($A929&lt;&gt;"",$E929&lt;&gt;"",$F929&lt;&gt;"",$G929&lt;&gt;"",$H929&lt;&gt;"",$I929&lt;&gt;"")),"",IF(NOT(ISNUMBER($A929)),"入金日がありません",IF(AND($F929&lt;&gt;"",$O929="なし"),"請求Noが請求台帳にありません",IF(AND(ISNUMBER($O929),$C929&lt;&gt;"",$C929&lt;&gt;$P929),"請求の得意先は "&amp;$P929&amp;" です",IF(ROUND(IF($B929&lt;&gt;"",SUMIF($B$5:$B$1004,$B929,$E$5:$E$1004)-SUMIF($B$5:$B$1004,$B929,$G$5:$G$1004),N($E929)-N($G929)),0)&lt;&gt;0,"通帳の額と当てた額の差 "&amp;TEXT(IF($B929&lt;&gt;"",SUMIF($B$5:$B$1004,$B929,$E$5:$E$1004)-SUMIF($B$5:$B$1004,$B929,$G$5:$G$1004),N($E929)-N($G929)),"#,##0"),IF(AND(ISNUMBER($O929),N($K929)&lt;0),"請求額より多く消し込んでいます",IF($F929="","消込先が未定","OK")))))))</f>
        <v/>
      </c>
      <c r="M929" s="19" t="n"/>
      <c r="N929" s="56" t="n"/>
      <c r="O929" s="32">
        <f>IF($F929="","",IFERROR(MATCH($F929,'請求台帳'!$A$5:$A$1004,0),"なし"))</f>
        <v/>
      </c>
      <c r="P929" s="37">
        <f>IF(NOT(OR($A929&lt;&gt;"",$E929&lt;&gt;"",$F929&lt;&gt;"",$G929&lt;&gt;"",$H929&lt;&gt;"",$I929&lt;&gt;"")),"",IF(ISNUMBER($O929),IF(INDEX('請求台帳'!$C$5:$C$1004,$O929)="","",INDEX('請求台帳'!$C$5:$C$1004,$O929)),IF($C929="","",$C929)))</f>
        <v/>
      </c>
      <c r="Q929" s="35">
        <f>IF(OR(NOT(OR($A929&lt;&gt;"",$E929&lt;&gt;"",$F929&lt;&gt;"",$G929&lt;&gt;"",$H929&lt;&gt;"",$I929&lt;&gt;"")),$P929="",$P929&lt;&gt;'売掛帳'!$B$3,NOT(ISNUMBER($A929)),N($G929)+N($H929)+N($I929)=0),"",IF(AND($A929&gt;='売掛帳'!$Q$3,$A929&lt;='売掛帳'!$Q$4),$A929+0.5+ROW()/10000000,""))</f>
        <v/>
      </c>
      <c r="R929" s="32">
        <f>IF(AND(OR($A929&lt;&gt;"",$E929&lt;&gt;"",$F929&lt;&gt;"",$G929&lt;&gt;"",$H929&lt;&gt;"",$I929&lt;&gt;""),NOT(ISNUMBER($O929))),1,"")</f>
        <v/>
      </c>
    </row>
    <row r="930" ht="18" customHeight="1">
      <c r="A930" s="26" t="n"/>
      <c r="B930" s="18" t="n"/>
      <c r="C930" s="18" t="n"/>
      <c r="D930" s="20">
        <f>IF($P930="","",IFERROR(INDEX('得意先'!$C$5:$C$104,MATCH($P930,'得意先'!$B$5:$B$104,0))&amp;"","※得意先にないコード"))</f>
        <v/>
      </c>
      <c r="E930" s="27" t="n"/>
      <c r="F930" s="18" t="n"/>
      <c r="G930" s="27" t="n"/>
      <c r="H930" s="27" t="n"/>
      <c r="I930" s="27" t="n"/>
      <c r="J930" s="28">
        <f>IF(NOT(OR($A930&lt;&gt;"",$E930&lt;&gt;"",$F930&lt;&gt;"",$G930&lt;&gt;"",$H930&lt;&gt;"",$I930&lt;&gt;"")),"",N($G930)+N($H930)+N($I930))</f>
        <v/>
      </c>
      <c r="K930" s="28">
        <f>IF(ISNUMBER($O930),INDEX('請求台帳'!$R$5:$R$1004,$O930),"")</f>
        <v/>
      </c>
      <c r="L930" s="20">
        <f>IF(NOT(OR($A930&lt;&gt;"",$E930&lt;&gt;"",$F930&lt;&gt;"",$G930&lt;&gt;"",$H930&lt;&gt;"",$I930&lt;&gt;"")),"",IF(NOT(ISNUMBER($A930)),"入金日がありません",IF(AND($F930&lt;&gt;"",$O930="なし"),"請求Noが請求台帳にありません",IF(AND(ISNUMBER($O930),$C930&lt;&gt;"",$C930&lt;&gt;$P930),"請求の得意先は "&amp;$P930&amp;" です",IF(ROUND(IF($B930&lt;&gt;"",SUMIF($B$5:$B$1004,$B930,$E$5:$E$1004)-SUMIF($B$5:$B$1004,$B930,$G$5:$G$1004),N($E930)-N($G930)),0)&lt;&gt;0,"通帳の額と当てた額の差 "&amp;TEXT(IF($B930&lt;&gt;"",SUMIF($B$5:$B$1004,$B930,$E$5:$E$1004)-SUMIF($B$5:$B$1004,$B930,$G$5:$G$1004),N($E930)-N($G930)),"#,##0"),IF(AND(ISNUMBER($O930),N($K930)&lt;0),"請求額より多く消し込んでいます",IF($F930="","消込先が未定","OK")))))))</f>
        <v/>
      </c>
      <c r="M930" s="19" t="n"/>
      <c r="N930" s="56" t="n"/>
      <c r="O930" s="32">
        <f>IF($F930="","",IFERROR(MATCH($F930,'請求台帳'!$A$5:$A$1004,0),"なし"))</f>
        <v/>
      </c>
      <c r="P930" s="37">
        <f>IF(NOT(OR($A930&lt;&gt;"",$E930&lt;&gt;"",$F930&lt;&gt;"",$G930&lt;&gt;"",$H930&lt;&gt;"",$I930&lt;&gt;"")),"",IF(ISNUMBER($O930),IF(INDEX('請求台帳'!$C$5:$C$1004,$O930)="","",INDEX('請求台帳'!$C$5:$C$1004,$O930)),IF($C930="","",$C930)))</f>
        <v/>
      </c>
      <c r="Q930" s="35">
        <f>IF(OR(NOT(OR($A930&lt;&gt;"",$E930&lt;&gt;"",$F930&lt;&gt;"",$G930&lt;&gt;"",$H930&lt;&gt;"",$I930&lt;&gt;"")),$P930="",$P930&lt;&gt;'売掛帳'!$B$3,NOT(ISNUMBER($A930)),N($G930)+N($H930)+N($I930)=0),"",IF(AND($A930&gt;='売掛帳'!$Q$3,$A930&lt;='売掛帳'!$Q$4),$A930+0.5+ROW()/10000000,""))</f>
        <v/>
      </c>
      <c r="R930" s="32">
        <f>IF(AND(OR($A930&lt;&gt;"",$E930&lt;&gt;"",$F930&lt;&gt;"",$G930&lt;&gt;"",$H930&lt;&gt;"",$I930&lt;&gt;""),NOT(ISNUMBER($O930))),1,"")</f>
        <v/>
      </c>
    </row>
    <row r="931" ht="18" customHeight="1">
      <c r="A931" s="26" t="n"/>
      <c r="B931" s="18" t="n"/>
      <c r="C931" s="18" t="n"/>
      <c r="D931" s="20">
        <f>IF($P931="","",IFERROR(INDEX('得意先'!$C$5:$C$104,MATCH($P931,'得意先'!$B$5:$B$104,0))&amp;"","※得意先にないコード"))</f>
        <v/>
      </c>
      <c r="E931" s="27" t="n"/>
      <c r="F931" s="18" t="n"/>
      <c r="G931" s="27" t="n"/>
      <c r="H931" s="27" t="n"/>
      <c r="I931" s="27" t="n"/>
      <c r="J931" s="28">
        <f>IF(NOT(OR($A931&lt;&gt;"",$E931&lt;&gt;"",$F931&lt;&gt;"",$G931&lt;&gt;"",$H931&lt;&gt;"",$I931&lt;&gt;"")),"",N($G931)+N($H931)+N($I931))</f>
        <v/>
      </c>
      <c r="K931" s="28">
        <f>IF(ISNUMBER($O931),INDEX('請求台帳'!$R$5:$R$1004,$O931),"")</f>
        <v/>
      </c>
      <c r="L931" s="20">
        <f>IF(NOT(OR($A931&lt;&gt;"",$E931&lt;&gt;"",$F931&lt;&gt;"",$G931&lt;&gt;"",$H931&lt;&gt;"",$I931&lt;&gt;"")),"",IF(NOT(ISNUMBER($A931)),"入金日がありません",IF(AND($F931&lt;&gt;"",$O931="なし"),"請求Noが請求台帳にありません",IF(AND(ISNUMBER($O931),$C931&lt;&gt;"",$C931&lt;&gt;$P931),"請求の得意先は "&amp;$P931&amp;" です",IF(ROUND(IF($B931&lt;&gt;"",SUMIF($B$5:$B$1004,$B931,$E$5:$E$1004)-SUMIF($B$5:$B$1004,$B931,$G$5:$G$1004),N($E931)-N($G931)),0)&lt;&gt;0,"通帳の額と当てた額の差 "&amp;TEXT(IF($B931&lt;&gt;"",SUMIF($B$5:$B$1004,$B931,$E$5:$E$1004)-SUMIF($B$5:$B$1004,$B931,$G$5:$G$1004),N($E931)-N($G931)),"#,##0"),IF(AND(ISNUMBER($O931),N($K931)&lt;0),"請求額より多く消し込んでいます",IF($F931="","消込先が未定","OK")))))))</f>
        <v/>
      </c>
      <c r="M931" s="19" t="n"/>
      <c r="N931" s="56" t="n"/>
      <c r="O931" s="32">
        <f>IF($F931="","",IFERROR(MATCH($F931,'請求台帳'!$A$5:$A$1004,0),"なし"))</f>
        <v/>
      </c>
      <c r="P931" s="37">
        <f>IF(NOT(OR($A931&lt;&gt;"",$E931&lt;&gt;"",$F931&lt;&gt;"",$G931&lt;&gt;"",$H931&lt;&gt;"",$I931&lt;&gt;"")),"",IF(ISNUMBER($O931),IF(INDEX('請求台帳'!$C$5:$C$1004,$O931)="","",INDEX('請求台帳'!$C$5:$C$1004,$O931)),IF($C931="","",$C931)))</f>
        <v/>
      </c>
      <c r="Q931" s="35">
        <f>IF(OR(NOT(OR($A931&lt;&gt;"",$E931&lt;&gt;"",$F931&lt;&gt;"",$G931&lt;&gt;"",$H931&lt;&gt;"",$I931&lt;&gt;"")),$P931="",$P931&lt;&gt;'売掛帳'!$B$3,NOT(ISNUMBER($A931)),N($G931)+N($H931)+N($I931)=0),"",IF(AND($A931&gt;='売掛帳'!$Q$3,$A931&lt;='売掛帳'!$Q$4),$A931+0.5+ROW()/10000000,""))</f>
        <v/>
      </c>
      <c r="R931" s="32">
        <f>IF(AND(OR($A931&lt;&gt;"",$E931&lt;&gt;"",$F931&lt;&gt;"",$G931&lt;&gt;"",$H931&lt;&gt;"",$I931&lt;&gt;""),NOT(ISNUMBER($O931))),1,"")</f>
        <v/>
      </c>
    </row>
    <row r="932" ht="18" customHeight="1">
      <c r="A932" s="26" t="n"/>
      <c r="B932" s="18" t="n"/>
      <c r="C932" s="18" t="n"/>
      <c r="D932" s="20">
        <f>IF($P932="","",IFERROR(INDEX('得意先'!$C$5:$C$104,MATCH($P932,'得意先'!$B$5:$B$104,0))&amp;"","※得意先にないコード"))</f>
        <v/>
      </c>
      <c r="E932" s="27" t="n"/>
      <c r="F932" s="18" t="n"/>
      <c r="G932" s="27" t="n"/>
      <c r="H932" s="27" t="n"/>
      <c r="I932" s="27" t="n"/>
      <c r="J932" s="28">
        <f>IF(NOT(OR($A932&lt;&gt;"",$E932&lt;&gt;"",$F932&lt;&gt;"",$G932&lt;&gt;"",$H932&lt;&gt;"",$I932&lt;&gt;"")),"",N($G932)+N($H932)+N($I932))</f>
        <v/>
      </c>
      <c r="K932" s="28">
        <f>IF(ISNUMBER($O932),INDEX('請求台帳'!$R$5:$R$1004,$O932),"")</f>
        <v/>
      </c>
      <c r="L932" s="20">
        <f>IF(NOT(OR($A932&lt;&gt;"",$E932&lt;&gt;"",$F932&lt;&gt;"",$G932&lt;&gt;"",$H932&lt;&gt;"",$I932&lt;&gt;"")),"",IF(NOT(ISNUMBER($A932)),"入金日がありません",IF(AND($F932&lt;&gt;"",$O932="なし"),"請求Noが請求台帳にありません",IF(AND(ISNUMBER($O932),$C932&lt;&gt;"",$C932&lt;&gt;$P932),"請求の得意先は "&amp;$P932&amp;" です",IF(ROUND(IF($B932&lt;&gt;"",SUMIF($B$5:$B$1004,$B932,$E$5:$E$1004)-SUMIF($B$5:$B$1004,$B932,$G$5:$G$1004),N($E932)-N($G932)),0)&lt;&gt;0,"通帳の額と当てた額の差 "&amp;TEXT(IF($B932&lt;&gt;"",SUMIF($B$5:$B$1004,$B932,$E$5:$E$1004)-SUMIF($B$5:$B$1004,$B932,$G$5:$G$1004),N($E932)-N($G932)),"#,##0"),IF(AND(ISNUMBER($O932),N($K932)&lt;0),"請求額より多く消し込んでいます",IF($F932="","消込先が未定","OK")))))))</f>
        <v/>
      </c>
      <c r="M932" s="19" t="n"/>
      <c r="N932" s="56" t="n"/>
      <c r="O932" s="32">
        <f>IF($F932="","",IFERROR(MATCH($F932,'請求台帳'!$A$5:$A$1004,0),"なし"))</f>
        <v/>
      </c>
      <c r="P932" s="37">
        <f>IF(NOT(OR($A932&lt;&gt;"",$E932&lt;&gt;"",$F932&lt;&gt;"",$G932&lt;&gt;"",$H932&lt;&gt;"",$I932&lt;&gt;"")),"",IF(ISNUMBER($O932),IF(INDEX('請求台帳'!$C$5:$C$1004,$O932)="","",INDEX('請求台帳'!$C$5:$C$1004,$O932)),IF($C932="","",$C932)))</f>
        <v/>
      </c>
      <c r="Q932" s="35">
        <f>IF(OR(NOT(OR($A932&lt;&gt;"",$E932&lt;&gt;"",$F932&lt;&gt;"",$G932&lt;&gt;"",$H932&lt;&gt;"",$I932&lt;&gt;"")),$P932="",$P932&lt;&gt;'売掛帳'!$B$3,NOT(ISNUMBER($A932)),N($G932)+N($H932)+N($I932)=0),"",IF(AND($A932&gt;='売掛帳'!$Q$3,$A932&lt;='売掛帳'!$Q$4),$A932+0.5+ROW()/10000000,""))</f>
        <v/>
      </c>
      <c r="R932" s="32">
        <f>IF(AND(OR($A932&lt;&gt;"",$E932&lt;&gt;"",$F932&lt;&gt;"",$G932&lt;&gt;"",$H932&lt;&gt;"",$I932&lt;&gt;""),NOT(ISNUMBER($O932))),1,"")</f>
        <v/>
      </c>
    </row>
    <row r="933" ht="18" customHeight="1">
      <c r="A933" s="26" t="n"/>
      <c r="B933" s="18" t="n"/>
      <c r="C933" s="18" t="n"/>
      <c r="D933" s="20">
        <f>IF($P933="","",IFERROR(INDEX('得意先'!$C$5:$C$104,MATCH($P933,'得意先'!$B$5:$B$104,0))&amp;"","※得意先にないコード"))</f>
        <v/>
      </c>
      <c r="E933" s="27" t="n"/>
      <c r="F933" s="18" t="n"/>
      <c r="G933" s="27" t="n"/>
      <c r="H933" s="27" t="n"/>
      <c r="I933" s="27" t="n"/>
      <c r="J933" s="28">
        <f>IF(NOT(OR($A933&lt;&gt;"",$E933&lt;&gt;"",$F933&lt;&gt;"",$G933&lt;&gt;"",$H933&lt;&gt;"",$I933&lt;&gt;"")),"",N($G933)+N($H933)+N($I933))</f>
        <v/>
      </c>
      <c r="K933" s="28">
        <f>IF(ISNUMBER($O933),INDEX('請求台帳'!$R$5:$R$1004,$O933),"")</f>
        <v/>
      </c>
      <c r="L933" s="20">
        <f>IF(NOT(OR($A933&lt;&gt;"",$E933&lt;&gt;"",$F933&lt;&gt;"",$G933&lt;&gt;"",$H933&lt;&gt;"",$I933&lt;&gt;"")),"",IF(NOT(ISNUMBER($A933)),"入金日がありません",IF(AND($F933&lt;&gt;"",$O933="なし"),"請求Noが請求台帳にありません",IF(AND(ISNUMBER($O933),$C933&lt;&gt;"",$C933&lt;&gt;$P933),"請求の得意先は "&amp;$P933&amp;" です",IF(ROUND(IF($B933&lt;&gt;"",SUMIF($B$5:$B$1004,$B933,$E$5:$E$1004)-SUMIF($B$5:$B$1004,$B933,$G$5:$G$1004),N($E933)-N($G933)),0)&lt;&gt;0,"通帳の額と当てた額の差 "&amp;TEXT(IF($B933&lt;&gt;"",SUMIF($B$5:$B$1004,$B933,$E$5:$E$1004)-SUMIF($B$5:$B$1004,$B933,$G$5:$G$1004),N($E933)-N($G933)),"#,##0"),IF(AND(ISNUMBER($O933),N($K933)&lt;0),"請求額より多く消し込んでいます",IF($F933="","消込先が未定","OK")))))))</f>
        <v/>
      </c>
      <c r="M933" s="19" t="n"/>
      <c r="N933" s="56" t="n"/>
      <c r="O933" s="32">
        <f>IF($F933="","",IFERROR(MATCH($F933,'請求台帳'!$A$5:$A$1004,0),"なし"))</f>
        <v/>
      </c>
      <c r="P933" s="37">
        <f>IF(NOT(OR($A933&lt;&gt;"",$E933&lt;&gt;"",$F933&lt;&gt;"",$G933&lt;&gt;"",$H933&lt;&gt;"",$I933&lt;&gt;"")),"",IF(ISNUMBER($O933),IF(INDEX('請求台帳'!$C$5:$C$1004,$O933)="","",INDEX('請求台帳'!$C$5:$C$1004,$O933)),IF($C933="","",$C933)))</f>
        <v/>
      </c>
      <c r="Q933" s="35">
        <f>IF(OR(NOT(OR($A933&lt;&gt;"",$E933&lt;&gt;"",$F933&lt;&gt;"",$G933&lt;&gt;"",$H933&lt;&gt;"",$I933&lt;&gt;"")),$P933="",$P933&lt;&gt;'売掛帳'!$B$3,NOT(ISNUMBER($A933)),N($G933)+N($H933)+N($I933)=0),"",IF(AND($A933&gt;='売掛帳'!$Q$3,$A933&lt;='売掛帳'!$Q$4),$A933+0.5+ROW()/10000000,""))</f>
        <v/>
      </c>
      <c r="R933" s="32">
        <f>IF(AND(OR($A933&lt;&gt;"",$E933&lt;&gt;"",$F933&lt;&gt;"",$G933&lt;&gt;"",$H933&lt;&gt;"",$I933&lt;&gt;""),NOT(ISNUMBER($O933))),1,"")</f>
        <v/>
      </c>
    </row>
    <row r="934" ht="18" customHeight="1">
      <c r="A934" s="26" t="n"/>
      <c r="B934" s="18" t="n"/>
      <c r="C934" s="18" t="n"/>
      <c r="D934" s="20">
        <f>IF($P934="","",IFERROR(INDEX('得意先'!$C$5:$C$104,MATCH($P934,'得意先'!$B$5:$B$104,0))&amp;"","※得意先にないコード"))</f>
        <v/>
      </c>
      <c r="E934" s="27" t="n"/>
      <c r="F934" s="18" t="n"/>
      <c r="G934" s="27" t="n"/>
      <c r="H934" s="27" t="n"/>
      <c r="I934" s="27" t="n"/>
      <c r="J934" s="28">
        <f>IF(NOT(OR($A934&lt;&gt;"",$E934&lt;&gt;"",$F934&lt;&gt;"",$G934&lt;&gt;"",$H934&lt;&gt;"",$I934&lt;&gt;"")),"",N($G934)+N($H934)+N($I934))</f>
        <v/>
      </c>
      <c r="K934" s="28">
        <f>IF(ISNUMBER($O934),INDEX('請求台帳'!$R$5:$R$1004,$O934),"")</f>
        <v/>
      </c>
      <c r="L934" s="20">
        <f>IF(NOT(OR($A934&lt;&gt;"",$E934&lt;&gt;"",$F934&lt;&gt;"",$G934&lt;&gt;"",$H934&lt;&gt;"",$I934&lt;&gt;"")),"",IF(NOT(ISNUMBER($A934)),"入金日がありません",IF(AND($F934&lt;&gt;"",$O934="なし"),"請求Noが請求台帳にありません",IF(AND(ISNUMBER($O934),$C934&lt;&gt;"",$C934&lt;&gt;$P934),"請求の得意先は "&amp;$P934&amp;" です",IF(ROUND(IF($B934&lt;&gt;"",SUMIF($B$5:$B$1004,$B934,$E$5:$E$1004)-SUMIF($B$5:$B$1004,$B934,$G$5:$G$1004),N($E934)-N($G934)),0)&lt;&gt;0,"通帳の額と当てた額の差 "&amp;TEXT(IF($B934&lt;&gt;"",SUMIF($B$5:$B$1004,$B934,$E$5:$E$1004)-SUMIF($B$5:$B$1004,$B934,$G$5:$G$1004),N($E934)-N($G934)),"#,##0"),IF(AND(ISNUMBER($O934),N($K934)&lt;0),"請求額より多く消し込んでいます",IF($F934="","消込先が未定","OK")))))))</f>
        <v/>
      </c>
      <c r="M934" s="19" t="n"/>
      <c r="N934" s="56" t="n"/>
      <c r="O934" s="32">
        <f>IF($F934="","",IFERROR(MATCH($F934,'請求台帳'!$A$5:$A$1004,0),"なし"))</f>
        <v/>
      </c>
      <c r="P934" s="37">
        <f>IF(NOT(OR($A934&lt;&gt;"",$E934&lt;&gt;"",$F934&lt;&gt;"",$G934&lt;&gt;"",$H934&lt;&gt;"",$I934&lt;&gt;"")),"",IF(ISNUMBER($O934),IF(INDEX('請求台帳'!$C$5:$C$1004,$O934)="","",INDEX('請求台帳'!$C$5:$C$1004,$O934)),IF($C934="","",$C934)))</f>
        <v/>
      </c>
      <c r="Q934" s="35">
        <f>IF(OR(NOT(OR($A934&lt;&gt;"",$E934&lt;&gt;"",$F934&lt;&gt;"",$G934&lt;&gt;"",$H934&lt;&gt;"",$I934&lt;&gt;"")),$P934="",$P934&lt;&gt;'売掛帳'!$B$3,NOT(ISNUMBER($A934)),N($G934)+N($H934)+N($I934)=0),"",IF(AND($A934&gt;='売掛帳'!$Q$3,$A934&lt;='売掛帳'!$Q$4),$A934+0.5+ROW()/10000000,""))</f>
        <v/>
      </c>
      <c r="R934" s="32">
        <f>IF(AND(OR($A934&lt;&gt;"",$E934&lt;&gt;"",$F934&lt;&gt;"",$G934&lt;&gt;"",$H934&lt;&gt;"",$I934&lt;&gt;""),NOT(ISNUMBER($O934))),1,"")</f>
        <v/>
      </c>
    </row>
    <row r="935" ht="18" customHeight="1">
      <c r="A935" s="26" t="n"/>
      <c r="B935" s="18" t="n"/>
      <c r="C935" s="18" t="n"/>
      <c r="D935" s="20">
        <f>IF($P935="","",IFERROR(INDEX('得意先'!$C$5:$C$104,MATCH($P935,'得意先'!$B$5:$B$104,0))&amp;"","※得意先にないコード"))</f>
        <v/>
      </c>
      <c r="E935" s="27" t="n"/>
      <c r="F935" s="18" t="n"/>
      <c r="G935" s="27" t="n"/>
      <c r="H935" s="27" t="n"/>
      <c r="I935" s="27" t="n"/>
      <c r="J935" s="28">
        <f>IF(NOT(OR($A935&lt;&gt;"",$E935&lt;&gt;"",$F935&lt;&gt;"",$G935&lt;&gt;"",$H935&lt;&gt;"",$I935&lt;&gt;"")),"",N($G935)+N($H935)+N($I935))</f>
        <v/>
      </c>
      <c r="K935" s="28">
        <f>IF(ISNUMBER($O935),INDEX('請求台帳'!$R$5:$R$1004,$O935),"")</f>
        <v/>
      </c>
      <c r="L935" s="20">
        <f>IF(NOT(OR($A935&lt;&gt;"",$E935&lt;&gt;"",$F935&lt;&gt;"",$G935&lt;&gt;"",$H935&lt;&gt;"",$I935&lt;&gt;"")),"",IF(NOT(ISNUMBER($A935)),"入金日がありません",IF(AND($F935&lt;&gt;"",$O935="なし"),"請求Noが請求台帳にありません",IF(AND(ISNUMBER($O935),$C935&lt;&gt;"",$C935&lt;&gt;$P935),"請求の得意先は "&amp;$P935&amp;" です",IF(ROUND(IF($B935&lt;&gt;"",SUMIF($B$5:$B$1004,$B935,$E$5:$E$1004)-SUMIF($B$5:$B$1004,$B935,$G$5:$G$1004),N($E935)-N($G935)),0)&lt;&gt;0,"通帳の額と当てた額の差 "&amp;TEXT(IF($B935&lt;&gt;"",SUMIF($B$5:$B$1004,$B935,$E$5:$E$1004)-SUMIF($B$5:$B$1004,$B935,$G$5:$G$1004),N($E935)-N($G935)),"#,##0"),IF(AND(ISNUMBER($O935),N($K935)&lt;0),"請求額より多く消し込んでいます",IF($F935="","消込先が未定","OK")))))))</f>
        <v/>
      </c>
      <c r="M935" s="19" t="n"/>
      <c r="N935" s="56" t="n"/>
      <c r="O935" s="32">
        <f>IF($F935="","",IFERROR(MATCH($F935,'請求台帳'!$A$5:$A$1004,0),"なし"))</f>
        <v/>
      </c>
      <c r="P935" s="37">
        <f>IF(NOT(OR($A935&lt;&gt;"",$E935&lt;&gt;"",$F935&lt;&gt;"",$G935&lt;&gt;"",$H935&lt;&gt;"",$I935&lt;&gt;"")),"",IF(ISNUMBER($O935),IF(INDEX('請求台帳'!$C$5:$C$1004,$O935)="","",INDEX('請求台帳'!$C$5:$C$1004,$O935)),IF($C935="","",$C935)))</f>
        <v/>
      </c>
      <c r="Q935" s="35">
        <f>IF(OR(NOT(OR($A935&lt;&gt;"",$E935&lt;&gt;"",$F935&lt;&gt;"",$G935&lt;&gt;"",$H935&lt;&gt;"",$I935&lt;&gt;"")),$P935="",$P935&lt;&gt;'売掛帳'!$B$3,NOT(ISNUMBER($A935)),N($G935)+N($H935)+N($I935)=0),"",IF(AND($A935&gt;='売掛帳'!$Q$3,$A935&lt;='売掛帳'!$Q$4),$A935+0.5+ROW()/10000000,""))</f>
        <v/>
      </c>
      <c r="R935" s="32">
        <f>IF(AND(OR($A935&lt;&gt;"",$E935&lt;&gt;"",$F935&lt;&gt;"",$G935&lt;&gt;"",$H935&lt;&gt;"",$I935&lt;&gt;""),NOT(ISNUMBER($O935))),1,"")</f>
        <v/>
      </c>
    </row>
    <row r="936" ht="18" customHeight="1">
      <c r="A936" s="26" t="n"/>
      <c r="B936" s="18" t="n"/>
      <c r="C936" s="18" t="n"/>
      <c r="D936" s="20">
        <f>IF($P936="","",IFERROR(INDEX('得意先'!$C$5:$C$104,MATCH($P936,'得意先'!$B$5:$B$104,0))&amp;"","※得意先にないコード"))</f>
        <v/>
      </c>
      <c r="E936" s="27" t="n"/>
      <c r="F936" s="18" t="n"/>
      <c r="G936" s="27" t="n"/>
      <c r="H936" s="27" t="n"/>
      <c r="I936" s="27" t="n"/>
      <c r="J936" s="28">
        <f>IF(NOT(OR($A936&lt;&gt;"",$E936&lt;&gt;"",$F936&lt;&gt;"",$G936&lt;&gt;"",$H936&lt;&gt;"",$I936&lt;&gt;"")),"",N($G936)+N($H936)+N($I936))</f>
        <v/>
      </c>
      <c r="K936" s="28">
        <f>IF(ISNUMBER($O936),INDEX('請求台帳'!$R$5:$R$1004,$O936),"")</f>
        <v/>
      </c>
      <c r="L936" s="20">
        <f>IF(NOT(OR($A936&lt;&gt;"",$E936&lt;&gt;"",$F936&lt;&gt;"",$G936&lt;&gt;"",$H936&lt;&gt;"",$I936&lt;&gt;"")),"",IF(NOT(ISNUMBER($A936)),"入金日がありません",IF(AND($F936&lt;&gt;"",$O936="なし"),"請求Noが請求台帳にありません",IF(AND(ISNUMBER($O936),$C936&lt;&gt;"",$C936&lt;&gt;$P936),"請求の得意先は "&amp;$P936&amp;" です",IF(ROUND(IF($B936&lt;&gt;"",SUMIF($B$5:$B$1004,$B936,$E$5:$E$1004)-SUMIF($B$5:$B$1004,$B936,$G$5:$G$1004),N($E936)-N($G936)),0)&lt;&gt;0,"通帳の額と当てた額の差 "&amp;TEXT(IF($B936&lt;&gt;"",SUMIF($B$5:$B$1004,$B936,$E$5:$E$1004)-SUMIF($B$5:$B$1004,$B936,$G$5:$G$1004),N($E936)-N($G936)),"#,##0"),IF(AND(ISNUMBER($O936),N($K936)&lt;0),"請求額より多く消し込んでいます",IF($F936="","消込先が未定","OK")))))))</f>
        <v/>
      </c>
      <c r="M936" s="19" t="n"/>
      <c r="N936" s="56" t="n"/>
      <c r="O936" s="32">
        <f>IF($F936="","",IFERROR(MATCH($F936,'請求台帳'!$A$5:$A$1004,0),"なし"))</f>
        <v/>
      </c>
      <c r="P936" s="37">
        <f>IF(NOT(OR($A936&lt;&gt;"",$E936&lt;&gt;"",$F936&lt;&gt;"",$G936&lt;&gt;"",$H936&lt;&gt;"",$I936&lt;&gt;"")),"",IF(ISNUMBER($O936),IF(INDEX('請求台帳'!$C$5:$C$1004,$O936)="","",INDEX('請求台帳'!$C$5:$C$1004,$O936)),IF($C936="","",$C936)))</f>
        <v/>
      </c>
      <c r="Q936" s="35">
        <f>IF(OR(NOT(OR($A936&lt;&gt;"",$E936&lt;&gt;"",$F936&lt;&gt;"",$G936&lt;&gt;"",$H936&lt;&gt;"",$I936&lt;&gt;"")),$P936="",$P936&lt;&gt;'売掛帳'!$B$3,NOT(ISNUMBER($A936)),N($G936)+N($H936)+N($I936)=0),"",IF(AND($A936&gt;='売掛帳'!$Q$3,$A936&lt;='売掛帳'!$Q$4),$A936+0.5+ROW()/10000000,""))</f>
        <v/>
      </c>
      <c r="R936" s="32">
        <f>IF(AND(OR($A936&lt;&gt;"",$E936&lt;&gt;"",$F936&lt;&gt;"",$G936&lt;&gt;"",$H936&lt;&gt;"",$I936&lt;&gt;""),NOT(ISNUMBER($O936))),1,"")</f>
        <v/>
      </c>
    </row>
    <row r="937" ht="18" customHeight="1">
      <c r="A937" s="26" t="n"/>
      <c r="B937" s="18" t="n"/>
      <c r="C937" s="18" t="n"/>
      <c r="D937" s="20">
        <f>IF($P937="","",IFERROR(INDEX('得意先'!$C$5:$C$104,MATCH($P937,'得意先'!$B$5:$B$104,0))&amp;"","※得意先にないコード"))</f>
        <v/>
      </c>
      <c r="E937" s="27" t="n"/>
      <c r="F937" s="18" t="n"/>
      <c r="G937" s="27" t="n"/>
      <c r="H937" s="27" t="n"/>
      <c r="I937" s="27" t="n"/>
      <c r="J937" s="28">
        <f>IF(NOT(OR($A937&lt;&gt;"",$E937&lt;&gt;"",$F937&lt;&gt;"",$G937&lt;&gt;"",$H937&lt;&gt;"",$I937&lt;&gt;"")),"",N($G937)+N($H937)+N($I937))</f>
        <v/>
      </c>
      <c r="K937" s="28">
        <f>IF(ISNUMBER($O937),INDEX('請求台帳'!$R$5:$R$1004,$O937),"")</f>
        <v/>
      </c>
      <c r="L937" s="20">
        <f>IF(NOT(OR($A937&lt;&gt;"",$E937&lt;&gt;"",$F937&lt;&gt;"",$G937&lt;&gt;"",$H937&lt;&gt;"",$I937&lt;&gt;"")),"",IF(NOT(ISNUMBER($A937)),"入金日がありません",IF(AND($F937&lt;&gt;"",$O937="なし"),"請求Noが請求台帳にありません",IF(AND(ISNUMBER($O937),$C937&lt;&gt;"",$C937&lt;&gt;$P937),"請求の得意先は "&amp;$P937&amp;" です",IF(ROUND(IF($B937&lt;&gt;"",SUMIF($B$5:$B$1004,$B937,$E$5:$E$1004)-SUMIF($B$5:$B$1004,$B937,$G$5:$G$1004),N($E937)-N($G937)),0)&lt;&gt;0,"通帳の額と当てた額の差 "&amp;TEXT(IF($B937&lt;&gt;"",SUMIF($B$5:$B$1004,$B937,$E$5:$E$1004)-SUMIF($B$5:$B$1004,$B937,$G$5:$G$1004),N($E937)-N($G937)),"#,##0"),IF(AND(ISNUMBER($O937),N($K937)&lt;0),"請求額より多く消し込んでいます",IF($F937="","消込先が未定","OK")))))))</f>
        <v/>
      </c>
      <c r="M937" s="19" t="n"/>
      <c r="N937" s="56" t="n"/>
      <c r="O937" s="32">
        <f>IF($F937="","",IFERROR(MATCH($F937,'請求台帳'!$A$5:$A$1004,0),"なし"))</f>
        <v/>
      </c>
      <c r="P937" s="37">
        <f>IF(NOT(OR($A937&lt;&gt;"",$E937&lt;&gt;"",$F937&lt;&gt;"",$G937&lt;&gt;"",$H937&lt;&gt;"",$I937&lt;&gt;"")),"",IF(ISNUMBER($O937),IF(INDEX('請求台帳'!$C$5:$C$1004,$O937)="","",INDEX('請求台帳'!$C$5:$C$1004,$O937)),IF($C937="","",$C937)))</f>
        <v/>
      </c>
      <c r="Q937" s="35">
        <f>IF(OR(NOT(OR($A937&lt;&gt;"",$E937&lt;&gt;"",$F937&lt;&gt;"",$G937&lt;&gt;"",$H937&lt;&gt;"",$I937&lt;&gt;"")),$P937="",$P937&lt;&gt;'売掛帳'!$B$3,NOT(ISNUMBER($A937)),N($G937)+N($H937)+N($I937)=0),"",IF(AND($A937&gt;='売掛帳'!$Q$3,$A937&lt;='売掛帳'!$Q$4),$A937+0.5+ROW()/10000000,""))</f>
        <v/>
      </c>
      <c r="R937" s="32">
        <f>IF(AND(OR($A937&lt;&gt;"",$E937&lt;&gt;"",$F937&lt;&gt;"",$G937&lt;&gt;"",$H937&lt;&gt;"",$I937&lt;&gt;""),NOT(ISNUMBER($O937))),1,"")</f>
        <v/>
      </c>
    </row>
    <row r="938" ht="18" customHeight="1">
      <c r="A938" s="26" t="n"/>
      <c r="B938" s="18" t="n"/>
      <c r="C938" s="18" t="n"/>
      <c r="D938" s="20">
        <f>IF($P938="","",IFERROR(INDEX('得意先'!$C$5:$C$104,MATCH($P938,'得意先'!$B$5:$B$104,0))&amp;"","※得意先にないコード"))</f>
        <v/>
      </c>
      <c r="E938" s="27" t="n"/>
      <c r="F938" s="18" t="n"/>
      <c r="G938" s="27" t="n"/>
      <c r="H938" s="27" t="n"/>
      <c r="I938" s="27" t="n"/>
      <c r="J938" s="28">
        <f>IF(NOT(OR($A938&lt;&gt;"",$E938&lt;&gt;"",$F938&lt;&gt;"",$G938&lt;&gt;"",$H938&lt;&gt;"",$I938&lt;&gt;"")),"",N($G938)+N($H938)+N($I938))</f>
        <v/>
      </c>
      <c r="K938" s="28">
        <f>IF(ISNUMBER($O938),INDEX('請求台帳'!$R$5:$R$1004,$O938),"")</f>
        <v/>
      </c>
      <c r="L938" s="20">
        <f>IF(NOT(OR($A938&lt;&gt;"",$E938&lt;&gt;"",$F938&lt;&gt;"",$G938&lt;&gt;"",$H938&lt;&gt;"",$I938&lt;&gt;"")),"",IF(NOT(ISNUMBER($A938)),"入金日がありません",IF(AND($F938&lt;&gt;"",$O938="なし"),"請求Noが請求台帳にありません",IF(AND(ISNUMBER($O938),$C938&lt;&gt;"",$C938&lt;&gt;$P938),"請求の得意先は "&amp;$P938&amp;" です",IF(ROUND(IF($B938&lt;&gt;"",SUMIF($B$5:$B$1004,$B938,$E$5:$E$1004)-SUMIF($B$5:$B$1004,$B938,$G$5:$G$1004),N($E938)-N($G938)),0)&lt;&gt;0,"通帳の額と当てた額の差 "&amp;TEXT(IF($B938&lt;&gt;"",SUMIF($B$5:$B$1004,$B938,$E$5:$E$1004)-SUMIF($B$5:$B$1004,$B938,$G$5:$G$1004),N($E938)-N($G938)),"#,##0"),IF(AND(ISNUMBER($O938),N($K938)&lt;0),"請求額より多く消し込んでいます",IF($F938="","消込先が未定","OK")))))))</f>
        <v/>
      </c>
      <c r="M938" s="19" t="n"/>
      <c r="N938" s="56" t="n"/>
      <c r="O938" s="32">
        <f>IF($F938="","",IFERROR(MATCH($F938,'請求台帳'!$A$5:$A$1004,0),"なし"))</f>
        <v/>
      </c>
      <c r="P938" s="37">
        <f>IF(NOT(OR($A938&lt;&gt;"",$E938&lt;&gt;"",$F938&lt;&gt;"",$G938&lt;&gt;"",$H938&lt;&gt;"",$I938&lt;&gt;"")),"",IF(ISNUMBER($O938),IF(INDEX('請求台帳'!$C$5:$C$1004,$O938)="","",INDEX('請求台帳'!$C$5:$C$1004,$O938)),IF($C938="","",$C938)))</f>
        <v/>
      </c>
      <c r="Q938" s="35">
        <f>IF(OR(NOT(OR($A938&lt;&gt;"",$E938&lt;&gt;"",$F938&lt;&gt;"",$G938&lt;&gt;"",$H938&lt;&gt;"",$I938&lt;&gt;"")),$P938="",$P938&lt;&gt;'売掛帳'!$B$3,NOT(ISNUMBER($A938)),N($G938)+N($H938)+N($I938)=0),"",IF(AND($A938&gt;='売掛帳'!$Q$3,$A938&lt;='売掛帳'!$Q$4),$A938+0.5+ROW()/10000000,""))</f>
        <v/>
      </c>
      <c r="R938" s="32">
        <f>IF(AND(OR($A938&lt;&gt;"",$E938&lt;&gt;"",$F938&lt;&gt;"",$G938&lt;&gt;"",$H938&lt;&gt;"",$I938&lt;&gt;""),NOT(ISNUMBER($O938))),1,"")</f>
        <v/>
      </c>
    </row>
    <row r="939" ht="18" customHeight="1">
      <c r="A939" s="26" t="n"/>
      <c r="B939" s="18" t="n"/>
      <c r="C939" s="18" t="n"/>
      <c r="D939" s="20">
        <f>IF($P939="","",IFERROR(INDEX('得意先'!$C$5:$C$104,MATCH($P939,'得意先'!$B$5:$B$104,0))&amp;"","※得意先にないコード"))</f>
        <v/>
      </c>
      <c r="E939" s="27" t="n"/>
      <c r="F939" s="18" t="n"/>
      <c r="G939" s="27" t="n"/>
      <c r="H939" s="27" t="n"/>
      <c r="I939" s="27" t="n"/>
      <c r="J939" s="28">
        <f>IF(NOT(OR($A939&lt;&gt;"",$E939&lt;&gt;"",$F939&lt;&gt;"",$G939&lt;&gt;"",$H939&lt;&gt;"",$I939&lt;&gt;"")),"",N($G939)+N($H939)+N($I939))</f>
        <v/>
      </c>
      <c r="K939" s="28">
        <f>IF(ISNUMBER($O939),INDEX('請求台帳'!$R$5:$R$1004,$O939),"")</f>
        <v/>
      </c>
      <c r="L939" s="20">
        <f>IF(NOT(OR($A939&lt;&gt;"",$E939&lt;&gt;"",$F939&lt;&gt;"",$G939&lt;&gt;"",$H939&lt;&gt;"",$I939&lt;&gt;"")),"",IF(NOT(ISNUMBER($A939)),"入金日がありません",IF(AND($F939&lt;&gt;"",$O939="なし"),"請求Noが請求台帳にありません",IF(AND(ISNUMBER($O939),$C939&lt;&gt;"",$C939&lt;&gt;$P939),"請求の得意先は "&amp;$P939&amp;" です",IF(ROUND(IF($B939&lt;&gt;"",SUMIF($B$5:$B$1004,$B939,$E$5:$E$1004)-SUMIF($B$5:$B$1004,$B939,$G$5:$G$1004),N($E939)-N($G939)),0)&lt;&gt;0,"通帳の額と当てた額の差 "&amp;TEXT(IF($B939&lt;&gt;"",SUMIF($B$5:$B$1004,$B939,$E$5:$E$1004)-SUMIF($B$5:$B$1004,$B939,$G$5:$G$1004),N($E939)-N($G939)),"#,##0"),IF(AND(ISNUMBER($O939),N($K939)&lt;0),"請求額より多く消し込んでいます",IF($F939="","消込先が未定","OK")))))))</f>
        <v/>
      </c>
      <c r="M939" s="19" t="n"/>
      <c r="N939" s="56" t="n"/>
      <c r="O939" s="32">
        <f>IF($F939="","",IFERROR(MATCH($F939,'請求台帳'!$A$5:$A$1004,0),"なし"))</f>
        <v/>
      </c>
      <c r="P939" s="37">
        <f>IF(NOT(OR($A939&lt;&gt;"",$E939&lt;&gt;"",$F939&lt;&gt;"",$G939&lt;&gt;"",$H939&lt;&gt;"",$I939&lt;&gt;"")),"",IF(ISNUMBER($O939),IF(INDEX('請求台帳'!$C$5:$C$1004,$O939)="","",INDEX('請求台帳'!$C$5:$C$1004,$O939)),IF($C939="","",$C939)))</f>
        <v/>
      </c>
      <c r="Q939" s="35">
        <f>IF(OR(NOT(OR($A939&lt;&gt;"",$E939&lt;&gt;"",$F939&lt;&gt;"",$G939&lt;&gt;"",$H939&lt;&gt;"",$I939&lt;&gt;"")),$P939="",$P939&lt;&gt;'売掛帳'!$B$3,NOT(ISNUMBER($A939)),N($G939)+N($H939)+N($I939)=0),"",IF(AND($A939&gt;='売掛帳'!$Q$3,$A939&lt;='売掛帳'!$Q$4),$A939+0.5+ROW()/10000000,""))</f>
        <v/>
      </c>
      <c r="R939" s="32">
        <f>IF(AND(OR($A939&lt;&gt;"",$E939&lt;&gt;"",$F939&lt;&gt;"",$G939&lt;&gt;"",$H939&lt;&gt;"",$I939&lt;&gt;""),NOT(ISNUMBER($O939))),1,"")</f>
        <v/>
      </c>
    </row>
    <row r="940" ht="18" customHeight="1">
      <c r="A940" s="26" t="n"/>
      <c r="B940" s="18" t="n"/>
      <c r="C940" s="18" t="n"/>
      <c r="D940" s="20">
        <f>IF($P940="","",IFERROR(INDEX('得意先'!$C$5:$C$104,MATCH($P940,'得意先'!$B$5:$B$104,0))&amp;"","※得意先にないコード"))</f>
        <v/>
      </c>
      <c r="E940" s="27" t="n"/>
      <c r="F940" s="18" t="n"/>
      <c r="G940" s="27" t="n"/>
      <c r="H940" s="27" t="n"/>
      <c r="I940" s="27" t="n"/>
      <c r="J940" s="28">
        <f>IF(NOT(OR($A940&lt;&gt;"",$E940&lt;&gt;"",$F940&lt;&gt;"",$G940&lt;&gt;"",$H940&lt;&gt;"",$I940&lt;&gt;"")),"",N($G940)+N($H940)+N($I940))</f>
        <v/>
      </c>
      <c r="K940" s="28">
        <f>IF(ISNUMBER($O940),INDEX('請求台帳'!$R$5:$R$1004,$O940),"")</f>
        <v/>
      </c>
      <c r="L940" s="20">
        <f>IF(NOT(OR($A940&lt;&gt;"",$E940&lt;&gt;"",$F940&lt;&gt;"",$G940&lt;&gt;"",$H940&lt;&gt;"",$I940&lt;&gt;"")),"",IF(NOT(ISNUMBER($A940)),"入金日がありません",IF(AND($F940&lt;&gt;"",$O940="なし"),"請求Noが請求台帳にありません",IF(AND(ISNUMBER($O940),$C940&lt;&gt;"",$C940&lt;&gt;$P940),"請求の得意先は "&amp;$P940&amp;" です",IF(ROUND(IF($B940&lt;&gt;"",SUMIF($B$5:$B$1004,$B940,$E$5:$E$1004)-SUMIF($B$5:$B$1004,$B940,$G$5:$G$1004),N($E940)-N($G940)),0)&lt;&gt;0,"通帳の額と当てた額の差 "&amp;TEXT(IF($B940&lt;&gt;"",SUMIF($B$5:$B$1004,$B940,$E$5:$E$1004)-SUMIF($B$5:$B$1004,$B940,$G$5:$G$1004),N($E940)-N($G940)),"#,##0"),IF(AND(ISNUMBER($O940),N($K940)&lt;0),"請求額より多く消し込んでいます",IF($F940="","消込先が未定","OK")))))))</f>
        <v/>
      </c>
      <c r="M940" s="19" t="n"/>
      <c r="N940" s="56" t="n"/>
      <c r="O940" s="32">
        <f>IF($F940="","",IFERROR(MATCH($F940,'請求台帳'!$A$5:$A$1004,0),"なし"))</f>
        <v/>
      </c>
      <c r="P940" s="37">
        <f>IF(NOT(OR($A940&lt;&gt;"",$E940&lt;&gt;"",$F940&lt;&gt;"",$G940&lt;&gt;"",$H940&lt;&gt;"",$I940&lt;&gt;"")),"",IF(ISNUMBER($O940),IF(INDEX('請求台帳'!$C$5:$C$1004,$O940)="","",INDEX('請求台帳'!$C$5:$C$1004,$O940)),IF($C940="","",$C940)))</f>
        <v/>
      </c>
      <c r="Q940" s="35">
        <f>IF(OR(NOT(OR($A940&lt;&gt;"",$E940&lt;&gt;"",$F940&lt;&gt;"",$G940&lt;&gt;"",$H940&lt;&gt;"",$I940&lt;&gt;"")),$P940="",$P940&lt;&gt;'売掛帳'!$B$3,NOT(ISNUMBER($A940)),N($G940)+N($H940)+N($I940)=0),"",IF(AND($A940&gt;='売掛帳'!$Q$3,$A940&lt;='売掛帳'!$Q$4),$A940+0.5+ROW()/10000000,""))</f>
        <v/>
      </c>
      <c r="R940" s="32">
        <f>IF(AND(OR($A940&lt;&gt;"",$E940&lt;&gt;"",$F940&lt;&gt;"",$G940&lt;&gt;"",$H940&lt;&gt;"",$I940&lt;&gt;""),NOT(ISNUMBER($O940))),1,"")</f>
        <v/>
      </c>
    </row>
    <row r="941" ht="18" customHeight="1">
      <c r="A941" s="26" t="n"/>
      <c r="B941" s="18" t="n"/>
      <c r="C941" s="18" t="n"/>
      <c r="D941" s="20">
        <f>IF($P941="","",IFERROR(INDEX('得意先'!$C$5:$C$104,MATCH($P941,'得意先'!$B$5:$B$104,0))&amp;"","※得意先にないコード"))</f>
        <v/>
      </c>
      <c r="E941" s="27" t="n"/>
      <c r="F941" s="18" t="n"/>
      <c r="G941" s="27" t="n"/>
      <c r="H941" s="27" t="n"/>
      <c r="I941" s="27" t="n"/>
      <c r="J941" s="28">
        <f>IF(NOT(OR($A941&lt;&gt;"",$E941&lt;&gt;"",$F941&lt;&gt;"",$G941&lt;&gt;"",$H941&lt;&gt;"",$I941&lt;&gt;"")),"",N($G941)+N($H941)+N($I941))</f>
        <v/>
      </c>
      <c r="K941" s="28">
        <f>IF(ISNUMBER($O941),INDEX('請求台帳'!$R$5:$R$1004,$O941),"")</f>
        <v/>
      </c>
      <c r="L941" s="20">
        <f>IF(NOT(OR($A941&lt;&gt;"",$E941&lt;&gt;"",$F941&lt;&gt;"",$G941&lt;&gt;"",$H941&lt;&gt;"",$I941&lt;&gt;"")),"",IF(NOT(ISNUMBER($A941)),"入金日がありません",IF(AND($F941&lt;&gt;"",$O941="なし"),"請求Noが請求台帳にありません",IF(AND(ISNUMBER($O941),$C941&lt;&gt;"",$C941&lt;&gt;$P941),"請求の得意先は "&amp;$P941&amp;" です",IF(ROUND(IF($B941&lt;&gt;"",SUMIF($B$5:$B$1004,$B941,$E$5:$E$1004)-SUMIF($B$5:$B$1004,$B941,$G$5:$G$1004),N($E941)-N($G941)),0)&lt;&gt;0,"通帳の額と当てた額の差 "&amp;TEXT(IF($B941&lt;&gt;"",SUMIF($B$5:$B$1004,$B941,$E$5:$E$1004)-SUMIF($B$5:$B$1004,$B941,$G$5:$G$1004),N($E941)-N($G941)),"#,##0"),IF(AND(ISNUMBER($O941),N($K941)&lt;0),"請求額より多く消し込んでいます",IF($F941="","消込先が未定","OK")))))))</f>
        <v/>
      </c>
      <c r="M941" s="19" t="n"/>
      <c r="N941" s="56" t="n"/>
      <c r="O941" s="32">
        <f>IF($F941="","",IFERROR(MATCH($F941,'請求台帳'!$A$5:$A$1004,0),"なし"))</f>
        <v/>
      </c>
      <c r="P941" s="37">
        <f>IF(NOT(OR($A941&lt;&gt;"",$E941&lt;&gt;"",$F941&lt;&gt;"",$G941&lt;&gt;"",$H941&lt;&gt;"",$I941&lt;&gt;"")),"",IF(ISNUMBER($O941),IF(INDEX('請求台帳'!$C$5:$C$1004,$O941)="","",INDEX('請求台帳'!$C$5:$C$1004,$O941)),IF($C941="","",$C941)))</f>
        <v/>
      </c>
      <c r="Q941" s="35">
        <f>IF(OR(NOT(OR($A941&lt;&gt;"",$E941&lt;&gt;"",$F941&lt;&gt;"",$G941&lt;&gt;"",$H941&lt;&gt;"",$I941&lt;&gt;"")),$P941="",$P941&lt;&gt;'売掛帳'!$B$3,NOT(ISNUMBER($A941)),N($G941)+N($H941)+N($I941)=0),"",IF(AND($A941&gt;='売掛帳'!$Q$3,$A941&lt;='売掛帳'!$Q$4),$A941+0.5+ROW()/10000000,""))</f>
        <v/>
      </c>
      <c r="R941" s="32">
        <f>IF(AND(OR($A941&lt;&gt;"",$E941&lt;&gt;"",$F941&lt;&gt;"",$G941&lt;&gt;"",$H941&lt;&gt;"",$I941&lt;&gt;""),NOT(ISNUMBER($O941))),1,"")</f>
        <v/>
      </c>
    </row>
    <row r="942" ht="18" customHeight="1">
      <c r="A942" s="26" t="n"/>
      <c r="B942" s="18" t="n"/>
      <c r="C942" s="18" t="n"/>
      <c r="D942" s="20">
        <f>IF($P942="","",IFERROR(INDEX('得意先'!$C$5:$C$104,MATCH($P942,'得意先'!$B$5:$B$104,0))&amp;"","※得意先にないコード"))</f>
        <v/>
      </c>
      <c r="E942" s="27" t="n"/>
      <c r="F942" s="18" t="n"/>
      <c r="G942" s="27" t="n"/>
      <c r="H942" s="27" t="n"/>
      <c r="I942" s="27" t="n"/>
      <c r="J942" s="28">
        <f>IF(NOT(OR($A942&lt;&gt;"",$E942&lt;&gt;"",$F942&lt;&gt;"",$G942&lt;&gt;"",$H942&lt;&gt;"",$I942&lt;&gt;"")),"",N($G942)+N($H942)+N($I942))</f>
        <v/>
      </c>
      <c r="K942" s="28">
        <f>IF(ISNUMBER($O942),INDEX('請求台帳'!$R$5:$R$1004,$O942),"")</f>
        <v/>
      </c>
      <c r="L942" s="20">
        <f>IF(NOT(OR($A942&lt;&gt;"",$E942&lt;&gt;"",$F942&lt;&gt;"",$G942&lt;&gt;"",$H942&lt;&gt;"",$I942&lt;&gt;"")),"",IF(NOT(ISNUMBER($A942)),"入金日がありません",IF(AND($F942&lt;&gt;"",$O942="なし"),"請求Noが請求台帳にありません",IF(AND(ISNUMBER($O942),$C942&lt;&gt;"",$C942&lt;&gt;$P942),"請求の得意先は "&amp;$P942&amp;" です",IF(ROUND(IF($B942&lt;&gt;"",SUMIF($B$5:$B$1004,$B942,$E$5:$E$1004)-SUMIF($B$5:$B$1004,$B942,$G$5:$G$1004),N($E942)-N($G942)),0)&lt;&gt;0,"通帳の額と当てた額の差 "&amp;TEXT(IF($B942&lt;&gt;"",SUMIF($B$5:$B$1004,$B942,$E$5:$E$1004)-SUMIF($B$5:$B$1004,$B942,$G$5:$G$1004),N($E942)-N($G942)),"#,##0"),IF(AND(ISNUMBER($O942),N($K942)&lt;0),"請求額より多く消し込んでいます",IF($F942="","消込先が未定","OK")))))))</f>
        <v/>
      </c>
      <c r="M942" s="19" t="n"/>
      <c r="N942" s="56" t="n"/>
      <c r="O942" s="32">
        <f>IF($F942="","",IFERROR(MATCH($F942,'請求台帳'!$A$5:$A$1004,0),"なし"))</f>
        <v/>
      </c>
      <c r="P942" s="37">
        <f>IF(NOT(OR($A942&lt;&gt;"",$E942&lt;&gt;"",$F942&lt;&gt;"",$G942&lt;&gt;"",$H942&lt;&gt;"",$I942&lt;&gt;"")),"",IF(ISNUMBER($O942),IF(INDEX('請求台帳'!$C$5:$C$1004,$O942)="","",INDEX('請求台帳'!$C$5:$C$1004,$O942)),IF($C942="","",$C942)))</f>
        <v/>
      </c>
      <c r="Q942" s="35">
        <f>IF(OR(NOT(OR($A942&lt;&gt;"",$E942&lt;&gt;"",$F942&lt;&gt;"",$G942&lt;&gt;"",$H942&lt;&gt;"",$I942&lt;&gt;"")),$P942="",$P942&lt;&gt;'売掛帳'!$B$3,NOT(ISNUMBER($A942)),N($G942)+N($H942)+N($I942)=0),"",IF(AND($A942&gt;='売掛帳'!$Q$3,$A942&lt;='売掛帳'!$Q$4),$A942+0.5+ROW()/10000000,""))</f>
        <v/>
      </c>
      <c r="R942" s="32">
        <f>IF(AND(OR($A942&lt;&gt;"",$E942&lt;&gt;"",$F942&lt;&gt;"",$G942&lt;&gt;"",$H942&lt;&gt;"",$I942&lt;&gt;""),NOT(ISNUMBER($O942))),1,"")</f>
        <v/>
      </c>
    </row>
    <row r="943" ht="18" customHeight="1">
      <c r="A943" s="26" t="n"/>
      <c r="B943" s="18" t="n"/>
      <c r="C943" s="18" t="n"/>
      <c r="D943" s="20">
        <f>IF($P943="","",IFERROR(INDEX('得意先'!$C$5:$C$104,MATCH($P943,'得意先'!$B$5:$B$104,0))&amp;"","※得意先にないコード"))</f>
        <v/>
      </c>
      <c r="E943" s="27" t="n"/>
      <c r="F943" s="18" t="n"/>
      <c r="G943" s="27" t="n"/>
      <c r="H943" s="27" t="n"/>
      <c r="I943" s="27" t="n"/>
      <c r="J943" s="28">
        <f>IF(NOT(OR($A943&lt;&gt;"",$E943&lt;&gt;"",$F943&lt;&gt;"",$G943&lt;&gt;"",$H943&lt;&gt;"",$I943&lt;&gt;"")),"",N($G943)+N($H943)+N($I943))</f>
        <v/>
      </c>
      <c r="K943" s="28">
        <f>IF(ISNUMBER($O943),INDEX('請求台帳'!$R$5:$R$1004,$O943),"")</f>
        <v/>
      </c>
      <c r="L943" s="20">
        <f>IF(NOT(OR($A943&lt;&gt;"",$E943&lt;&gt;"",$F943&lt;&gt;"",$G943&lt;&gt;"",$H943&lt;&gt;"",$I943&lt;&gt;"")),"",IF(NOT(ISNUMBER($A943)),"入金日がありません",IF(AND($F943&lt;&gt;"",$O943="なし"),"請求Noが請求台帳にありません",IF(AND(ISNUMBER($O943),$C943&lt;&gt;"",$C943&lt;&gt;$P943),"請求の得意先は "&amp;$P943&amp;" です",IF(ROUND(IF($B943&lt;&gt;"",SUMIF($B$5:$B$1004,$B943,$E$5:$E$1004)-SUMIF($B$5:$B$1004,$B943,$G$5:$G$1004),N($E943)-N($G943)),0)&lt;&gt;0,"通帳の額と当てた額の差 "&amp;TEXT(IF($B943&lt;&gt;"",SUMIF($B$5:$B$1004,$B943,$E$5:$E$1004)-SUMIF($B$5:$B$1004,$B943,$G$5:$G$1004),N($E943)-N($G943)),"#,##0"),IF(AND(ISNUMBER($O943),N($K943)&lt;0),"請求額より多く消し込んでいます",IF($F943="","消込先が未定","OK")))))))</f>
        <v/>
      </c>
      <c r="M943" s="19" t="n"/>
      <c r="N943" s="56" t="n"/>
      <c r="O943" s="32">
        <f>IF($F943="","",IFERROR(MATCH($F943,'請求台帳'!$A$5:$A$1004,0),"なし"))</f>
        <v/>
      </c>
      <c r="P943" s="37">
        <f>IF(NOT(OR($A943&lt;&gt;"",$E943&lt;&gt;"",$F943&lt;&gt;"",$G943&lt;&gt;"",$H943&lt;&gt;"",$I943&lt;&gt;"")),"",IF(ISNUMBER($O943),IF(INDEX('請求台帳'!$C$5:$C$1004,$O943)="","",INDEX('請求台帳'!$C$5:$C$1004,$O943)),IF($C943="","",$C943)))</f>
        <v/>
      </c>
      <c r="Q943" s="35">
        <f>IF(OR(NOT(OR($A943&lt;&gt;"",$E943&lt;&gt;"",$F943&lt;&gt;"",$G943&lt;&gt;"",$H943&lt;&gt;"",$I943&lt;&gt;"")),$P943="",$P943&lt;&gt;'売掛帳'!$B$3,NOT(ISNUMBER($A943)),N($G943)+N($H943)+N($I943)=0),"",IF(AND($A943&gt;='売掛帳'!$Q$3,$A943&lt;='売掛帳'!$Q$4),$A943+0.5+ROW()/10000000,""))</f>
        <v/>
      </c>
      <c r="R943" s="32">
        <f>IF(AND(OR($A943&lt;&gt;"",$E943&lt;&gt;"",$F943&lt;&gt;"",$G943&lt;&gt;"",$H943&lt;&gt;"",$I943&lt;&gt;""),NOT(ISNUMBER($O943))),1,"")</f>
        <v/>
      </c>
    </row>
    <row r="944" ht="18" customHeight="1">
      <c r="A944" s="26" t="n"/>
      <c r="B944" s="18" t="n"/>
      <c r="C944" s="18" t="n"/>
      <c r="D944" s="20">
        <f>IF($P944="","",IFERROR(INDEX('得意先'!$C$5:$C$104,MATCH($P944,'得意先'!$B$5:$B$104,0))&amp;"","※得意先にないコード"))</f>
        <v/>
      </c>
      <c r="E944" s="27" t="n"/>
      <c r="F944" s="18" t="n"/>
      <c r="G944" s="27" t="n"/>
      <c r="H944" s="27" t="n"/>
      <c r="I944" s="27" t="n"/>
      <c r="J944" s="28">
        <f>IF(NOT(OR($A944&lt;&gt;"",$E944&lt;&gt;"",$F944&lt;&gt;"",$G944&lt;&gt;"",$H944&lt;&gt;"",$I944&lt;&gt;"")),"",N($G944)+N($H944)+N($I944))</f>
        <v/>
      </c>
      <c r="K944" s="28">
        <f>IF(ISNUMBER($O944),INDEX('請求台帳'!$R$5:$R$1004,$O944),"")</f>
        <v/>
      </c>
      <c r="L944" s="20">
        <f>IF(NOT(OR($A944&lt;&gt;"",$E944&lt;&gt;"",$F944&lt;&gt;"",$G944&lt;&gt;"",$H944&lt;&gt;"",$I944&lt;&gt;"")),"",IF(NOT(ISNUMBER($A944)),"入金日がありません",IF(AND($F944&lt;&gt;"",$O944="なし"),"請求Noが請求台帳にありません",IF(AND(ISNUMBER($O944),$C944&lt;&gt;"",$C944&lt;&gt;$P944),"請求の得意先は "&amp;$P944&amp;" です",IF(ROUND(IF($B944&lt;&gt;"",SUMIF($B$5:$B$1004,$B944,$E$5:$E$1004)-SUMIF($B$5:$B$1004,$B944,$G$5:$G$1004),N($E944)-N($G944)),0)&lt;&gt;0,"通帳の額と当てた額の差 "&amp;TEXT(IF($B944&lt;&gt;"",SUMIF($B$5:$B$1004,$B944,$E$5:$E$1004)-SUMIF($B$5:$B$1004,$B944,$G$5:$G$1004),N($E944)-N($G944)),"#,##0"),IF(AND(ISNUMBER($O944),N($K944)&lt;0),"請求額より多く消し込んでいます",IF($F944="","消込先が未定","OK")))))))</f>
        <v/>
      </c>
      <c r="M944" s="19" t="n"/>
      <c r="N944" s="56" t="n"/>
      <c r="O944" s="32">
        <f>IF($F944="","",IFERROR(MATCH($F944,'請求台帳'!$A$5:$A$1004,0),"なし"))</f>
        <v/>
      </c>
      <c r="P944" s="37">
        <f>IF(NOT(OR($A944&lt;&gt;"",$E944&lt;&gt;"",$F944&lt;&gt;"",$G944&lt;&gt;"",$H944&lt;&gt;"",$I944&lt;&gt;"")),"",IF(ISNUMBER($O944),IF(INDEX('請求台帳'!$C$5:$C$1004,$O944)="","",INDEX('請求台帳'!$C$5:$C$1004,$O944)),IF($C944="","",$C944)))</f>
        <v/>
      </c>
      <c r="Q944" s="35">
        <f>IF(OR(NOT(OR($A944&lt;&gt;"",$E944&lt;&gt;"",$F944&lt;&gt;"",$G944&lt;&gt;"",$H944&lt;&gt;"",$I944&lt;&gt;"")),$P944="",$P944&lt;&gt;'売掛帳'!$B$3,NOT(ISNUMBER($A944)),N($G944)+N($H944)+N($I944)=0),"",IF(AND($A944&gt;='売掛帳'!$Q$3,$A944&lt;='売掛帳'!$Q$4),$A944+0.5+ROW()/10000000,""))</f>
        <v/>
      </c>
      <c r="R944" s="32">
        <f>IF(AND(OR($A944&lt;&gt;"",$E944&lt;&gt;"",$F944&lt;&gt;"",$G944&lt;&gt;"",$H944&lt;&gt;"",$I944&lt;&gt;""),NOT(ISNUMBER($O944))),1,"")</f>
        <v/>
      </c>
    </row>
    <row r="945" ht="18" customHeight="1">
      <c r="A945" s="26" t="n"/>
      <c r="B945" s="18" t="n"/>
      <c r="C945" s="18" t="n"/>
      <c r="D945" s="20">
        <f>IF($P945="","",IFERROR(INDEX('得意先'!$C$5:$C$104,MATCH($P945,'得意先'!$B$5:$B$104,0))&amp;"","※得意先にないコード"))</f>
        <v/>
      </c>
      <c r="E945" s="27" t="n"/>
      <c r="F945" s="18" t="n"/>
      <c r="G945" s="27" t="n"/>
      <c r="H945" s="27" t="n"/>
      <c r="I945" s="27" t="n"/>
      <c r="J945" s="28">
        <f>IF(NOT(OR($A945&lt;&gt;"",$E945&lt;&gt;"",$F945&lt;&gt;"",$G945&lt;&gt;"",$H945&lt;&gt;"",$I945&lt;&gt;"")),"",N($G945)+N($H945)+N($I945))</f>
        <v/>
      </c>
      <c r="K945" s="28">
        <f>IF(ISNUMBER($O945),INDEX('請求台帳'!$R$5:$R$1004,$O945),"")</f>
        <v/>
      </c>
      <c r="L945" s="20">
        <f>IF(NOT(OR($A945&lt;&gt;"",$E945&lt;&gt;"",$F945&lt;&gt;"",$G945&lt;&gt;"",$H945&lt;&gt;"",$I945&lt;&gt;"")),"",IF(NOT(ISNUMBER($A945)),"入金日がありません",IF(AND($F945&lt;&gt;"",$O945="なし"),"請求Noが請求台帳にありません",IF(AND(ISNUMBER($O945),$C945&lt;&gt;"",$C945&lt;&gt;$P945),"請求の得意先は "&amp;$P945&amp;" です",IF(ROUND(IF($B945&lt;&gt;"",SUMIF($B$5:$B$1004,$B945,$E$5:$E$1004)-SUMIF($B$5:$B$1004,$B945,$G$5:$G$1004),N($E945)-N($G945)),0)&lt;&gt;0,"通帳の額と当てた額の差 "&amp;TEXT(IF($B945&lt;&gt;"",SUMIF($B$5:$B$1004,$B945,$E$5:$E$1004)-SUMIF($B$5:$B$1004,$B945,$G$5:$G$1004),N($E945)-N($G945)),"#,##0"),IF(AND(ISNUMBER($O945),N($K945)&lt;0),"請求額より多く消し込んでいます",IF($F945="","消込先が未定","OK")))))))</f>
        <v/>
      </c>
      <c r="M945" s="19" t="n"/>
      <c r="N945" s="56" t="n"/>
      <c r="O945" s="32">
        <f>IF($F945="","",IFERROR(MATCH($F945,'請求台帳'!$A$5:$A$1004,0),"なし"))</f>
        <v/>
      </c>
      <c r="P945" s="37">
        <f>IF(NOT(OR($A945&lt;&gt;"",$E945&lt;&gt;"",$F945&lt;&gt;"",$G945&lt;&gt;"",$H945&lt;&gt;"",$I945&lt;&gt;"")),"",IF(ISNUMBER($O945),IF(INDEX('請求台帳'!$C$5:$C$1004,$O945)="","",INDEX('請求台帳'!$C$5:$C$1004,$O945)),IF($C945="","",$C945)))</f>
        <v/>
      </c>
      <c r="Q945" s="35">
        <f>IF(OR(NOT(OR($A945&lt;&gt;"",$E945&lt;&gt;"",$F945&lt;&gt;"",$G945&lt;&gt;"",$H945&lt;&gt;"",$I945&lt;&gt;"")),$P945="",$P945&lt;&gt;'売掛帳'!$B$3,NOT(ISNUMBER($A945)),N($G945)+N($H945)+N($I945)=0),"",IF(AND($A945&gt;='売掛帳'!$Q$3,$A945&lt;='売掛帳'!$Q$4),$A945+0.5+ROW()/10000000,""))</f>
        <v/>
      </c>
      <c r="R945" s="32">
        <f>IF(AND(OR($A945&lt;&gt;"",$E945&lt;&gt;"",$F945&lt;&gt;"",$G945&lt;&gt;"",$H945&lt;&gt;"",$I945&lt;&gt;""),NOT(ISNUMBER($O945))),1,"")</f>
        <v/>
      </c>
    </row>
    <row r="946" ht="18" customHeight="1">
      <c r="A946" s="26" t="n"/>
      <c r="B946" s="18" t="n"/>
      <c r="C946" s="18" t="n"/>
      <c r="D946" s="20">
        <f>IF($P946="","",IFERROR(INDEX('得意先'!$C$5:$C$104,MATCH($P946,'得意先'!$B$5:$B$104,0))&amp;"","※得意先にないコード"))</f>
        <v/>
      </c>
      <c r="E946" s="27" t="n"/>
      <c r="F946" s="18" t="n"/>
      <c r="G946" s="27" t="n"/>
      <c r="H946" s="27" t="n"/>
      <c r="I946" s="27" t="n"/>
      <c r="J946" s="28">
        <f>IF(NOT(OR($A946&lt;&gt;"",$E946&lt;&gt;"",$F946&lt;&gt;"",$G946&lt;&gt;"",$H946&lt;&gt;"",$I946&lt;&gt;"")),"",N($G946)+N($H946)+N($I946))</f>
        <v/>
      </c>
      <c r="K946" s="28">
        <f>IF(ISNUMBER($O946),INDEX('請求台帳'!$R$5:$R$1004,$O946),"")</f>
        <v/>
      </c>
      <c r="L946" s="20">
        <f>IF(NOT(OR($A946&lt;&gt;"",$E946&lt;&gt;"",$F946&lt;&gt;"",$G946&lt;&gt;"",$H946&lt;&gt;"",$I946&lt;&gt;"")),"",IF(NOT(ISNUMBER($A946)),"入金日がありません",IF(AND($F946&lt;&gt;"",$O946="なし"),"請求Noが請求台帳にありません",IF(AND(ISNUMBER($O946),$C946&lt;&gt;"",$C946&lt;&gt;$P946),"請求の得意先は "&amp;$P946&amp;" です",IF(ROUND(IF($B946&lt;&gt;"",SUMIF($B$5:$B$1004,$B946,$E$5:$E$1004)-SUMIF($B$5:$B$1004,$B946,$G$5:$G$1004),N($E946)-N($G946)),0)&lt;&gt;0,"通帳の額と当てた額の差 "&amp;TEXT(IF($B946&lt;&gt;"",SUMIF($B$5:$B$1004,$B946,$E$5:$E$1004)-SUMIF($B$5:$B$1004,$B946,$G$5:$G$1004),N($E946)-N($G946)),"#,##0"),IF(AND(ISNUMBER($O946),N($K946)&lt;0),"請求額より多く消し込んでいます",IF($F946="","消込先が未定","OK")))))))</f>
        <v/>
      </c>
      <c r="M946" s="19" t="n"/>
      <c r="N946" s="56" t="n"/>
      <c r="O946" s="32">
        <f>IF($F946="","",IFERROR(MATCH($F946,'請求台帳'!$A$5:$A$1004,0),"なし"))</f>
        <v/>
      </c>
      <c r="P946" s="37">
        <f>IF(NOT(OR($A946&lt;&gt;"",$E946&lt;&gt;"",$F946&lt;&gt;"",$G946&lt;&gt;"",$H946&lt;&gt;"",$I946&lt;&gt;"")),"",IF(ISNUMBER($O946),IF(INDEX('請求台帳'!$C$5:$C$1004,$O946)="","",INDEX('請求台帳'!$C$5:$C$1004,$O946)),IF($C946="","",$C946)))</f>
        <v/>
      </c>
      <c r="Q946" s="35">
        <f>IF(OR(NOT(OR($A946&lt;&gt;"",$E946&lt;&gt;"",$F946&lt;&gt;"",$G946&lt;&gt;"",$H946&lt;&gt;"",$I946&lt;&gt;"")),$P946="",$P946&lt;&gt;'売掛帳'!$B$3,NOT(ISNUMBER($A946)),N($G946)+N($H946)+N($I946)=0),"",IF(AND($A946&gt;='売掛帳'!$Q$3,$A946&lt;='売掛帳'!$Q$4),$A946+0.5+ROW()/10000000,""))</f>
        <v/>
      </c>
      <c r="R946" s="32">
        <f>IF(AND(OR($A946&lt;&gt;"",$E946&lt;&gt;"",$F946&lt;&gt;"",$G946&lt;&gt;"",$H946&lt;&gt;"",$I946&lt;&gt;""),NOT(ISNUMBER($O946))),1,"")</f>
        <v/>
      </c>
    </row>
    <row r="947" ht="18" customHeight="1">
      <c r="A947" s="26" t="n"/>
      <c r="B947" s="18" t="n"/>
      <c r="C947" s="18" t="n"/>
      <c r="D947" s="20">
        <f>IF($P947="","",IFERROR(INDEX('得意先'!$C$5:$C$104,MATCH($P947,'得意先'!$B$5:$B$104,0))&amp;"","※得意先にないコード"))</f>
        <v/>
      </c>
      <c r="E947" s="27" t="n"/>
      <c r="F947" s="18" t="n"/>
      <c r="G947" s="27" t="n"/>
      <c r="H947" s="27" t="n"/>
      <c r="I947" s="27" t="n"/>
      <c r="J947" s="28">
        <f>IF(NOT(OR($A947&lt;&gt;"",$E947&lt;&gt;"",$F947&lt;&gt;"",$G947&lt;&gt;"",$H947&lt;&gt;"",$I947&lt;&gt;"")),"",N($G947)+N($H947)+N($I947))</f>
        <v/>
      </c>
      <c r="K947" s="28">
        <f>IF(ISNUMBER($O947),INDEX('請求台帳'!$R$5:$R$1004,$O947),"")</f>
        <v/>
      </c>
      <c r="L947" s="20">
        <f>IF(NOT(OR($A947&lt;&gt;"",$E947&lt;&gt;"",$F947&lt;&gt;"",$G947&lt;&gt;"",$H947&lt;&gt;"",$I947&lt;&gt;"")),"",IF(NOT(ISNUMBER($A947)),"入金日がありません",IF(AND($F947&lt;&gt;"",$O947="なし"),"請求Noが請求台帳にありません",IF(AND(ISNUMBER($O947),$C947&lt;&gt;"",$C947&lt;&gt;$P947),"請求の得意先は "&amp;$P947&amp;" です",IF(ROUND(IF($B947&lt;&gt;"",SUMIF($B$5:$B$1004,$B947,$E$5:$E$1004)-SUMIF($B$5:$B$1004,$B947,$G$5:$G$1004),N($E947)-N($G947)),0)&lt;&gt;0,"通帳の額と当てた額の差 "&amp;TEXT(IF($B947&lt;&gt;"",SUMIF($B$5:$B$1004,$B947,$E$5:$E$1004)-SUMIF($B$5:$B$1004,$B947,$G$5:$G$1004),N($E947)-N($G947)),"#,##0"),IF(AND(ISNUMBER($O947),N($K947)&lt;0),"請求額より多く消し込んでいます",IF($F947="","消込先が未定","OK")))))))</f>
        <v/>
      </c>
      <c r="M947" s="19" t="n"/>
      <c r="N947" s="56" t="n"/>
      <c r="O947" s="32">
        <f>IF($F947="","",IFERROR(MATCH($F947,'請求台帳'!$A$5:$A$1004,0),"なし"))</f>
        <v/>
      </c>
      <c r="P947" s="37">
        <f>IF(NOT(OR($A947&lt;&gt;"",$E947&lt;&gt;"",$F947&lt;&gt;"",$G947&lt;&gt;"",$H947&lt;&gt;"",$I947&lt;&gt;"")),"",IF(ISNUMBER($O947),IF(INDEX('請求台帳'!$C$5:$C$1004,$O947)="","",INDEX('請求台帳'!$C$5:$C$1004,$O947)),IF($C947="","",$C947)))</f>
        <v/>
      </c>
      <c r="Q947" s="35">
        <f>IF(OR(NOT(OR($A947&lt;&gt;"",$E947&lt;&gt;"",$F947&lt;&gt;"",$G947&lt;&gt;"",$H947&lt;&gt;"",$I947&lt;&gt;"")),$P947="",$P947&lt;&gt;'売掛帳'!$B$3,NOT(ISNUMBER($A947)),N($G947)+N($H947)+N($I947)=0),"",IF(AND($A947&gt;='売掛帳'!$Q$3,$A947&lt;='売掛帳'!$Q$4),$A947+0.5+ROW()/10000000,""))</f>
        <v/>
      </c>
      <c r="R947" s="32">
        <f>IF(AND(OR($A947&lt;&gt;"",$E947&lt;&gt;"",$F947&lt;&gt;"",$G947&lt;&gt;"",$H947&lt;&gt;"",$I947&lt;&gt;""),NOT(ISNUMBER($O947))),1,"")</f>
        <v/>
      </c>
    </row>
    <row r="948" ht="18" customHeight="1">
      <c r="A948" s="26" t="n"/>
      <c r="B948" s="18" t="n"/>
      <c r="C948" s="18" t="n"/>
      <c r="D948" s="20">
        <f>IF($P948="","",IFERROR(INDEX('得意先'!$C$5:$C$104,MATCH($P948,'得意先'!$B$5:$B$104,0))&amp;"","※得意先にないコード"))</f>
        <v/>
      </c>
      <c r="E948" s="27" t="n"/>
      <c r="F948" s="18" t="n"/>
      <c r="G948" s="27" t="n"/>
      <c r="H948" s="27" t="n"/>
      <c r="I948" s="27" t="n"/>
      <c r="J948" s="28">
        <f>IF(NOT(OR($A948&lt;&gt;"",$E948&lt;&gt;"",$F948&lt;&gt;"",$G948&lt;&gt;"",$H948&lt;&gt;"",$I948&lt;&gt;"")),"",N($G948)+N($H948)+N($I948))</f>
        <v/>
      </c>
      <c r="K948" s="28">
        <f>IF(ISNUMBER($O948),INDEX('請求台帳'!$R$5:$R$1004,$O948),"")</f>
        <v/>
      </c>
      <c r="L948" s="20">
        <f>IF(NOT(OR($A948&lt;&gt;"",$E948&lt;&gt;"",$F948&lt;&gt;"",$G948&lt;&gt;"",$H948&lt;&gt;"",$I948&lt;&gt;"")),"",IF(NOT(ISNUMBER($A948)),"入金日がありません",IF(AND($F948&lt;&gt;"",$O948="なし"),"請求Noが請求台帳にありません",IF(AND(ISNUMBER($O948),$C948&lt;&gt;"",$C948&lt;&gt;$P948),"請求の得意先は "&amp;$P948&amp;" です",IF(ROUND(IF($B948&lt;&gt;"",SUMIF($B$5:$B$1004,$B948,$E$5:$E$1004)-SUMIF($B$5:$B$1004,$B948,$G$5:$G$1004),N($E948)-N($G948)),0)&lt;&gt;0,"通帳の額と当てた額の差 "&amp;TEXT(IF($B948&lt;&gt;"",SUMIF($B$5:$B$1004,$B948,$E$5:$E$1004)-SUMIF($B$5:$B$1004,$B948,$G$5:$G$1004),N($E948)-N($G948)),"#,##0"),IF(AND(ISNUMBER($O948),N($K948)&lt;0),"請求額より多く消し込んでいます",IF($F948="","消込先が未定","OK")))))))</f>
        <v/>
      </c>
      <c r="M948" s="19" t="n"/>
      <c r="N948" s="56" t="n"/>
      <c r="O948" s="32">
        <f>IF($F948="","",IFERROR(MATCH($F948,'請求台帳'!$A$5:$A$1004,0),"なし"))</f>
        <v/>
      </c>
      <c r="P948" s="37">
        <f>IF(NOT(OR($A948&lt;&gt;"",$E948&lt;&gt;"",$F948&lt;&gt;"",$G948&lt;&gt;"",$H948&lt;&gt;"",$I948&lt;&gt;"")),"",IF(ISNUMBER($O948),IF(INDEX('請求台帳'!$C$5:$C$1004,$O948)="","",INDEX('請求台帳'!$C$5:$C$1004,$O948)),IF($C948="","",$C948)))</f>
        <v/>
      </c>
      <c r="Q948" s="35">
        <f>IF(OR(NOT(OR($A948&lt;&gt;"",$E948&lt;&gt;"",$F948&lt;&gt;"",$G948&lt;&gt;"",$H948&lt;&gt;"",$I948&lt;&gt;"")),$P948="",$P948&lt;&gt;'売掛帳'!$B$3,NOT(ISNUMBER($A948)),N($G948)+N($H948)+N($I948)=0),"",IF(AND($A948&gt;='売掛帳'!$Q$3,$A948&lt;='売掛帳'!$Q$4),$A948+0.5+ROW()/10000000,""))</f>
        <v/>
      </c>
      <c r="R948" s="32">
        <f>IF(AND(OR($A948&lt;&gt;"",$E948&lt;&gt;"",$F948&lt;&gt;"",$G948&lt;&gt;"",$H948&lt;&gt;"",$I948&lt;&gt;""),NOT(ISNUMBER($O948))),1,"")</f>
        <v/>
      </c>
    </row>
    <row r="949" ht="18" customHeight="1">
      <c r="A949" s="26" t="n"/>
      <c r="B949" s="18" t="n"/>
      <c r="C949" s="18" t="n"/>
      <c r="D949" s="20">
        <f>IF($P949="","",IFERROR(INDEX('得意先'!$C$5:$C$104,MATCH($P949,'得意先'!$B$5:$B$104,0))&amp;"","※得意先にないコード"))</f>
        <v/>
      </c>
      <c r="E949" s="27" t="n"/>
      <c r="F949" s="18" t="n"/>
      <c r="G949" s="27" t="n"/>
      <c r="H949" s="27" t="n"/>
      <c r="I949" s="27" t="n"/>
      <c r="J949" s="28">
        <f>IF(NOT(OR($A949&lt;&gt;"",$E949&lt;&gt;"",$F949&lt;&gt;"",$G949&lt;&gt;"",$H949&lt;&gt;"",$I949&lt;&gt;"")),"",N($G949)+N($H949)+N($I949))</f>
        <v/>
      </c>
      <c r="K949" s="28">
        <f>IF(ISNUMBER($O949),INDEX('請求台帳'!$R$5:$R$1004,$O949),"")</f>
        <v/>
      </c>
      <c r="L949" s="20">
        <f>IF(NOT(OR($A949&lt;&gt;"",$E949&lt;&gt;"",$F949&lt;&gt;"",$G949&lt;&gt;"",$H949&lt;&gt;"",$I949&lt;&gt;"")),"",IF(NOT(ISNUMBER($A949)),"入金日がありません",IF(AND($F949&lt;&gt;"",$O949="なし"),"請求Noが請求台帳にありません",IF(AND(ISNUMBER($O949),$C949&lt;&gt;"",$C949&lt;&gt;$P949),"請求の得意先は "&amp;$P949&amp;" です",IF(ROUND(IF($B949&lt;&gt;"",SUMIF($B$5:$B$1004,$B949,$E$5:$E$1004)-SUMIF($B$5:$B$1004,$B949,$G$5:$G$1004),N($E949)-N($G949)),0)&lt;&gt;0,"通帳の額と当てた額の差 "&amp;TEXT(IF($B949&lt;&gt;"",SUMIF($B$5:$B$1004,$B949,$E$5:$E$1004)-SUMIF($B$5:$B$1004,$B949,$G$5:$G$1004),N($E949)-N($G949)),"#,##0"),IF(AND(ISNUMBER($O949),N($K949)&lt;0),"請求額より多く消し込んでいます",IF($F949="","消込先が未定","OK")))))))</f>
        <v/>
      </c>
      <c r="M949" s="19" t="n"/>
      <c r="N949" s="56" t="n"/>
      <c r="O949" s="32">
        <f>IF($F949="","",IFERROR(MATCH($F949,'請求台帳'!$A$5:$A$1004,0),"なし"))</f>
        <v/>
      </c>
      <c r="P949" s="37">
        <f>IF(NOT(OR($A949&lt;&gt;"",$E949&lt;&gt;"",$F949&lt;&gt;"",$G949&lt;&gt;"",$H949&lt;&gt;"",$I949&lt;&gt;"")),"",IF(ISNUMBER($O949),IF(INDEX('請求台帳'!$C$5:$C$1004,$O949)="","",INDEX('請求台帳'!$C$5:$C$1004,$O949)),IF($C949="","",$C949)))</f>
        <v/>
      </c>
      <c r="Q949" s="35">
        <f>IF(OR(NOT(OR($A949&lt;&gt;"",$E949&lt;&gt;"",$F949&lt;&gt;"",$G949&lt;&gt;"",$H949&lt;&gt;"",$I949&lt;&gt;"")),$P949="",$P949&lt;&gt;'売掛帳'!$B$3,NOT(ISNUMBER($A949)),N($G949)+N($H949)+N($I949)=0),"",IF(AND($A949&gt;='売掛帳'!$Q$3,$A949&lt;='売掛帳'!$Q$4),$A949+0.5+ROW()/10000000,""))</f>
        <v/>
      </c>
      <c r="R949" s="32">
        <f>IF(AND(OR($A949&lt;&gt;"",$E949&lt;&gt;"",$F949&lt;&gt;"",$G949&lt;&gt;"",$H949&lt;&gt;"",$I949&lt;&gt;""),NOT(ISNUMBER($O949))),1,"")</f>
        <v/>
      </c>
    </row>
    <row r="950" ht="18" customHeight="1">
      <c r="A950" s="26" t="n"/>
      <c r="B950" s="18" t="n"/>
      <c r="C950" s="18" t="n"/>
      <c r="D950" s="20">
        <f>IF($P950="","",IFERROR(INDEX('得意先'!$C$5:$C$104,MATCH($P950,'得意先'!$B$5:$B$104,0))&amp;"","※得意先にないコード"))</f>
        <v/>
      </c>
      <c r="E950" s="27" t="n"/>
      <c r="F950" s="18" t="n"/>
      <c r="G950" s="27" t="n"/>
      <c r="H950" s="27" t="n"/>
      <c r="I950" s="27" t="n"/>
      <c r="J950" s="28">
        <f>IF(NOT(OR($A950&lt;&gt;"",$E950&lt;&gt;"",$F950&lt;&gt;"",$G950&lt;&gt;"",$H950&lt;&gt;"",$I950&lt;&gt;"")),"",N($G950)+N($H950)+N($I950))</f>
        <v/>
      </c>
      <c r="K950" s="28">
        <f>IF(ISNUMBER($O950),INDEX('請求台帳'!$R$5:$R$1004,$O950),"")</f>
        <v/>
      </c>
      <c r="L950" s="20">
        <f>IF(NOT(OR($A950&lt;&gt;"",$E950&lt;&gt;"",$F950&lt;&gt;"",$G950&lt;&gt;"",$H950&lt;&gt;"",$I950&lt;&gt;"")),"",IF(NOT(ISNUMBER($A950)),"入金日がありません",IF(AND($F950&lt;&gt;"",$O950="なし"),"請求Noが請求台帳にありません",IF(AND(ISNUMBER($O950),$C950&lt;&gt;"",$C950&lt;&gt;$P950),"請求の得意先は "&amp;$P950&amp;" です",IF(ROUND(IF($B950&lt;&gt;"",SUMIF($B$5:$B$1004,$B950,$E$5:$E$1004)-SUMIF($B$5:$B$1004,$B950,$G$5:$G$1004),N($E950)-N($G950)),0)&lt;&gt;0,"通帳の額と当てた額の差 "&amp;TEXT(IF($B950&lt;&gt;"",SUMIF($B$5:$B$1004,$B950,$E$5:$E$1004)-SUMIF($B$5:$B$1004,$B950,$G$5:$G$1004),N($E950)-N($G950)),"#,##0"),IF(AND(ISNUMBER($O950),N($K950)&lt;0),"請求額より多く消し込んでいます",IF($F950="","消込先が未定","OK")))))))</f>
        <v/>
      </c>
      <c r="M950" s="19" t="n"/>
      <c r="N950" s="56" t="n"/>
      <c r="O950" s="32">
        <f>IF($F950="","",IFERROR(MATCH($F950,'請求台帳'!$A$5:$A$1004,0),"なし"))</f>
        <v/>
      </c>
      <c r="P950" s="37">
        <f>IF(NOT(OR($A950&lt;&gt;"",$E950&lt;&gt;"",$F950&lt;&gt;"",$G950&lt;&gt;"",$H950&lt;&gt;"",$I950&lt;&gt;"")),"",IF(ISNUMBER($O950),IF(INDEX('請求台帳'!$C$5:$C$1004,$O950)="","",INDEX('請求台帳'!$C$5:$C$1004,$O950)),IF($C950="","",$C950)))</f>
        <v/>
      </c>
      <c r="Q950" s="35">
        <f>IF(OR(NOT(OR($A950&lt;&gt;"",$E950&lt;&gt;"",$F950&lt;&gt;"",$G950&lt;&gt;"",$H950&lt;&gt;"",$I950&lt;&gt;"")),$P950="",$P950&lt;&gt;'売掛帳'!$B$3,NOT(ISNUMBER($A950)),N($G950)+N($H950)+N($I950)=0),"",IF(AND($A950&gt;='売掛帳'!$Q$3,$A950&lt;='売掛帳'!$Q$4),$A950+0.5+ROW()/10000000,""))</f>
        <v/>
      </c>
      <c r="R950" s="32">
        <f>IF(AND(OR($A950&lt;&gt;"",$E950&lt;&gt;"",$F950&lt;&gt;"",$G950&lt;&gt;"",$H950&lt;&gt;"",$I950&lt;&gt;""),NOT(ISNUMBER($O950))),1,"")</f>
        <v/>
      </c>
    </row>
    <row r="951" ht="18" customHeight="1">
      <c r="A951" s="26" t="n"/>
      <c r="B951" s="18" t="n"/>
      <c r="C951" s="18" t="n"/>
      <c r="D951" s="20">
        <f>IF($P951="","",IFERROR(INDEX('得意先'!$C$5:$C$104,MATCH($P951,'得意先'!$B$5:$B$104,0))&amp;"","※得意先にないコード"))</f>
        <v/>
      </c>
      <c r="E951" s="27" t="n"/>
      <c r="F951" s="18" t="n"/>
      <c r="G951" s="27" t="n"/>
      <c r="H951" s="27" t="n"/>
      <c r="I951" s="27" t="n"/>
      <c r="J951" s="28">
        <f>IF(NOT(OR($A951&lt;&gt;"",$E951&lt;&gt;"",$F951&lt;&gt;"",$G951&lt;&gt;"",$H951&lt;&gt;"",$I951&lt;&gt;"")),"",N($G951)+N($H951)+N($I951))</f>
        <v/>
      </c>
      <c r="K951" s="28">
        <f>IF(ISNUMBER($O951),INDEX('請求台帳'!$R$5:$R$1004,$O951),"")</f>
        <v/>
      </c>
      <c r="L951" s="20">
        <f>IF(NOT(OR($A951&lt;&gt;"",$E951&lt;&gt;"",$F951&lt;&gt;"",$G951&lt;&gt;"",$H951&lt;&gt;"",$I951&lt;&gt;"")),"",IF(NOT(ISNUMBER($A951)),"入金日がありません",IF(AND($F951&lt;&gt;"",$O951="なし"),"請求Noが請求台帳にありません",IF(AND(ISNUMBER($O951),$C951&lt;&gt;"",$C951&lt;&gt;$P951),"請求の得意先は "&amp;$P951&amp;" です",IF(ROUND(IF($B951&lt;&gt;"",SUMIF($B$5:$B$1004,$B951,$E$5:$E$1004)-SUMIF($B$5:$B$1004,$B951,$G$5:$G$1004),N($E951)-N($G951)),0)&lt;&gt;0,"通帳の額と当てた額の差 "&amp;TEXT(IF($B951&lt;&gt;"",SUMIF($B$5:$B$1004,$B951,$E$5:$E$1004)-SUMIF($B$5:$B$1004,$B951,$G$5:$G$1004),N($E951)-N($G951)),"#,##0"),IF(AND(ISNUMBER($O951),N($K951)&lt;0),"請求額より多く消し込んでいます",IF($F951="","消込先が未定","OK")))))))</f>
        <v/>
      </c>
      <c r="M951" s="19" t="n"/>
      <c r="N951" s="56" t="n"/>
      <c r="O951" s="32">
        <f>IF($F951="","",IFERROR(MATCH($F951,'請求台帳'!$A$5:$A$1004,0),"なし"))</f>
        <v/>
      </c>
      <c r="P951" s="37">
        <f>IF(NOT(OR($A951&lt;&gt;"",$E951&lt;&gt;"",$F951&lt;&gt;"",$G951&lt;&gt;"",$H951&lt;&gt;"",$I951&lt;&gt;"")),"",IF(ISNUMBER($O951),IF(INDEX('請求台帳'!$C$5:$C$1004,$O951)="","",INDEX('請求台帳'!$C$5:$C$1004,$O951)),IF($C951="","",$C951)))</f>
        <v/>
      </c>
      <c r="Q951" s="35">
        <f>IF(OR(NOT(OR($A951&lt;&gt;"",$E951&lt;&gt;"",$F951&lt;&gt;"",$G951&lt;&gt;"",$H951&lt;&gt;"",$I951&lt;&gt;"")),$P951="",$P951&lt;&gt;'売掛帳'!$B$3,NOT(ISNUMBER($A951)),N($G951)+N($H951)+N($I951)=0),"",IF(AND($A951&gt;='売掛帳'!$Q$3,$A951&lt;='売掛帳'!$Q$4),$A951+0.5+ROW()/10000000,""))</f>
        <v/>
      </c>
      <c r="R951" s="32">
        <f>IF(AND(OR($A951&lt;&gt;"",$E951&lt;&gt;"",$F951&lt;&gt;"",$G951&lt;&gt;"",$H951&lt;&gt;"",$I951&lt;&gt;""),NOT(ISNUMBER($O951))),1,"")</f>
        <v/>
      </c>
    </row>
    <row r="952" ht="18" customHeight="1">
      <c r="A952" s="26" t="n"/>
      <c r="B952" s="18" t="n"/>
      <c r="C952" s="18" t="n"/>
      <c r="D952" s="20">
        <f>IF($P952="","",IFERROR(INDEX('得意先'!$C$5:$C$104,MATCH($P952,'得意先'!$B$5:$B$104,0))&amp;"","※得意先にないコード"))</f>
        <v/>
      </c>
      <c r="E952" s="27" t="n"/>
      <c r="F952" s="18" t="n"/>
      <c r="G952" s="27" t="n"/>
      <c r="H952" s="27" t="n"/>
      <c r="I952" s="27" t="n"/>
      <c r="J952" s="28">
        <f>IF(NOT(OR($A952&lt;&gt;"",$E952&lt;&gt;"",$F952&lt;&gt;"",$G952&lt;&gt;"",$H952&lt;&gt;"",$I952&lt;&gt;"")),"",N($G952)+N($H952)+N($I952))</f>
        <v/>
      </c>
      <c r="K952" s="28">
        <f>IF(ISNUMBER($O952),INDEX('請求台帳'!$R$5:$R$1004,$O952),"")</f>
        <v/>
      </c>
      <c r="L952" s="20">
        <f>IF(NOT(OR($A952&lt;&gt;"",$E952&lt;&gt;"",$F952&lt;&gt;"",$G952&lt;&gt;"",$H952&lt;&gt;"",$I952&lt;&gt;"")),"",IF(NOT(ISNUMBER($A952)),"入金日がありません",IF(AND($F952&lt;&gt;"",$O952="なし"),"請求Noが請求台帳にありません",IF(AND(ISNUMBER($O952),$C952&lt;&gt;"",$C952&lt;&gt;$P952),"請求の得意先は "&amp;$P952&amp;" です",IF(ROUND(IF($B952&lt;&gt;"",SUMIF($B$5:$B$1004,$B952,$E$5:$E$1004)-SUMIF($B$5:$B$1004,$B952,$G$5:$G$1004),N($E952)-N($G952)),0)&lt;&gt;0,"通帳の額と当てた額の差 "&amp;TEXT(IF($B952&lt;&gt;"",SUMIF($B$5:$B$1004,$B952,$E$5:$E$1004)-SUMIF($B$5:$B$1004,$B952,$G$5:$G$1004),N($E952)-N($G952)),"#,##0"),IF(AND(ISNUMBER($O952),N($K952)&lt;0),"請求額より多く消し込んでいます",IF($F952="","消込先が未定","OK")))))))</f>
        <v/>
      </c>
      <c r="M952" s="19" t="n"/>
      <c r="N952" s="56" t="n"/>
      <c r="O952" s="32">
        <f>IF($F952="","",IFERROR(MATCH($F952,'請求台帳'!$A$5:$A$1004,0),"なし"))</f>
        <v/>
      </c>
      <c r="P952" s="37">
        <f>IF(NOT(OR($A952&lt;&gt;"",$E952&lt;&gt;"",$F952&lt;&gt;"",$G952&lt;&gt;"",$H952&lt;&gt;"",$I952&lt;&gt;"")),"",IF(ISNUMBER($O952),IF(INDEX('請求台帳'!$C$5:$C$1004,$O952)="","",INDEX('請求台帳'!$C$5:$C$1004,$O952)),IF($C952="","",$C952)))</f>
        <v/>
      </c>
      <c r="Q952" s="35">
        <f>IF(OR(NOT(OR($A952&lt;&gt;"",$E952&lt;&gt;"",$F952&lt;&gt;"",$G952&lt;&gt;"",$H952&lt;&gt;"",$I952&lt;&gt;"")),$P952="",$P952&lt;&gt;'売掛帳'!$B$3,NOT(ISNUMBER($A952)),N($G952)+N($H952)+N($I952)=0),"",IF(AND($A952&gt;='売掛帳'!$Q$3,$A952&lt;='売掛帳'!$Q$4),$A952+0.5+ROW()/10000000,""))</f>
        <v/>
      </c>
      <c r="R952" s="32">
        <f>IF(AND(OR($A952&lt;&gt;"",$E952&lt;&gt;"",$F952&lt;&gt;"",$G952&lt;&gt;"",$H952&lt;&gt;"",$I952&lt;&gt;""),NOT(ISNUMBER($O952))),1,"")</f>
        <v/>
      </c>
    </row>
    <row r="953" ht="18" customHeight="1">
      <c r="A953" s="26" t="n"/>
      <c r="B953" s="18" t="n"/>
      <c r="C953" s="18" t="n"/>
      <c r="D953" s="20">
        <f>IF($P953="","",IFERROR(INDEX('得意先'!$C$5:$C$104,MATCH($P953,'得意先'!$B$5:$B$104,0))&amp;"","※得意先にないコード"))</f>
        <v/>
      </c>
      <c r="E953" s="27" t="n"/>
      <c r="F953" s="18" t="n"/>
      <c r="G953" s="27" t="n"/>
      <c r="H953" s="27" t="n"/>
      <c r="I953" s="27" t="n"/>
      <c r="J953" s="28">
        <f>IF(NOT(OR($A953&lt;&gt;"",$E953&lt;&gt;"",$F953&lt;&gt;"",$G953&lt;&gt;"",$H953&lt;&gt;"",$I953&lt;&gt;"")),"",N($G953)+N($H953)+N($I953))</f>
        <v/>
      </c>
      <c r="K953" s="28">
        <f>IF(ISNUMBER($O953),INDEX('請求台帳'!$R$5:$R$1004,$O953),"")</f>
        <v/>
      </c>
      <c r="L953" s="20">
        <f>IF(NOT(OR($A953&lt;&gt;"",$E953&lt;&gt;"",$F953&lt;&gt;"",$G953&lt;&gt;"",$H953&lt;&gt;"",$I953&lt;&gt;"")),"",IF(NOT(ISNUMBER($A953)),"入金日がありません",IF(AND($F953&lt;&gt;"",$O953="なし"),"請求Noが請求台帳にありません",IF(AND(ISNUMBER($O953),$C953&lt;&gt;"",$C953&lt;&gt;$P953),"請求の得意先は "&amp;$P953&amp;" です",IF(ROUND(IF($B953&lt;&gt;"",SUMIF($B$5:$B$1004,$B953,$E$5:$E$1004)-SUMIF($B$5:$B$1004,$B953,$G$5:$G$1004),N($E953)-N($G953)),0)&lt;&gt;0,"通帳の額と当てた額の差 "&amp;TEXT(IF($B953&lt;&gt;"",SUMIF($B$5:$B$1004,$B953,$E$5:$E$1004)-SUMIF($B$5:$B$1004,$B953,$G$5:$G$1004),N($E953)-N($G953)),"#,##0"),IF(AND(ISNUMBER($O953),N($K953)&lt;0),"請求額より多く消し込んでいます",IF($F953="","消込先が未定","OK")))))))</f>
        <v/>
      </c>
      <c r="M953" s="19" t="n"/>
      <c r="N953" s="56" t="n"/>
      <c r="O953" s="32">
        <f>IF($F953="","",IFERROR(MATCH($F953,'請求台帳'!$A$5:$A$1004,0),"なし"))</f>
        <v/>
      </c>
      <c r="P953" s="37">
        <f>IF(NOT(OR($A953&lt;&gt;"",$E953&lt;&gt;"",$F953&lt;&gt;"",$G953&lt;&gt;"",$H953&lt;&gt;"",$I953&lt;&gt;"")),"",IF(ISNUMBER($O953),IF(INDEX('請求台帳'!$C$5:$C$1004,$O953)="","",INDEX('請求台帳'!$C$5:$C$1004,$O953)),IF($C953="","",$C953)))</f>
        <v/>
      </c>
      <c r="Q953" s="35">
        <f>IF(OR(NOT(OR($A953&lt;&gt;"",$E953&lt;&gt;"",$F953&lt;&gt;"",$G953&lt;&gt;"",$H953&lt;&gt;"",$I953&lt;&gt;"")),$P953="",$P953&lt;&gt;'売掛帳'!$B$3,NOT(ISNUMBER($A953)),N($G953)+N($H953)+N($I953)=0),"",IF(AND($A953&gt;='売掛帳'!$Q$3,$A953&lt;='売掛帳'!$Q$4),$A953+0.5+ROW()/10000000,""))</f>
        <v/>
      </c>
      <c r="R953" s="32">
        <f>IF(AND(OR($A953&lt;&gt;"",$E953&lt;&gt;"",$F953&lt;&gt;"",$G953&lt;&gt;"",$H953&lt;&gt;"",$I953&lt;&gt;""),NOT(ISNUMBER($O953))),1,"")</f>
        <v/>
      </c>
    </row>
    <row r="954" ht="18" customHeight="1">
      <c r="A954" s="26" t="n"/>
      <c r="B954" s="18" t="n"/>
      <c r="C954" s="18" t="n"/>
      <c r="D954" s="20">
        <f>IF($P954="","",IFERROR(INDEX('得意先'!$C$5:$C$104,MATCH($P954,'得意先'!$B$5:$B$104,0))&amp;"","※得意先にないコード"))</f>
        <v/>
      </c>
      <c r="E954" s="27" t="n"/>
      <c r="F954" s="18" t="n"/>
      <c r="G954" s="27" t="n"/>
      <c r="H954" s="27" t="n"/>
      <c r="I954" s="27" t="n"/>
      <c r="J954" s="28">
        <f>IF(NOT(OR($A954&lt;&gt;"",$E954&lt;&gt;"",$F954&lt;&gt;"",$G954&lt;&gt;"",$H954&lt;&gt;"",$I954&lt;&gt;"")),"",N($G954)+N($H954)+N($I954))</f>
        <v/>
      </c>
      <c r="K954" s="28">
        <f>IF(ISNUMBER($O954),INDEX('請求台帳'!$R$5:$R$1004,$O954),"")</f>
        <v/>
      </c>
      <c r="L954" s="20">
        <f>IF(NOT(OR($A954&lt;&gt;"",$E954&lt;&gt;"",$F954&lt;&gt;"",$G954&lt;&gt;"",$H954&lt;&gt;"",$I954&lt;&gt;"")),"",IF(NOT(ISNUMBER($A954)),"入金日がありません",IF(AND($F954&lt;&gt;"",$O954="なし"),"請求Noが請求台帳にありません",IF(AND(ISNUMBER($O954),$C954&lt;&gt;"",$C954&lt;&gt;$P954),"請求の得意先は "&amp;$P954&amp;" です",IF(ROUND(IF($B954&lt;&gt;"",SUMIF($B$5:$B$1004,$B954,$E$5:$E$1004)-SUMIF($B$5:$B$1004,$B954,$G$5:$G$1004),N($E954)-N($G954)),0)&lt;&gt;0,"通帳の額と当てた額の差 "&amp;TEXT(IF($B954&lt;&gt;"",SUMIF($B$5:$B$1004,$B954,$E$5:$E$1004)-SUMIF($B$5:$B$1004,$B954,$G$5:$G$1004),N($E954)-N($G954)),"#,##0"),IF(AND(ISNUMBER($O954),N($K954)&lt;0),"請求額より多く消し込んでいます",IF($F954="","消込先が未定","OK")))))))</f>
        <v/>
      </c>
      <c r="M954" s="19" t="n"/>
      <c r="N954" s="56" t="n"/>
      <c r="O954" s="32">
        <f>IF($F954="","",IFERROR(MATCH($F954,'請求台帳'!$A$5:$A$1004,0),"なし"))</f>
        <v/>
      </c>
      <c r="P954" s="37">
        <f>IF(NOT(OR($A954&lt;&gt;"",$E954&lt;&gt;"",$F954&lt;&gt;"",$G954&lt;&gt;"",$H954&lt;&gt;"",$I954&lt;&gt;"")),"",IF(ISNUMBER($O954),IF(INDEX('請求台帳'!$C$5:$C$1004,$O954)="","",INDEX('請求台帳'!$C$5:$C$1004,$O954)),IF($C954="","",$C954)))</f>
        <v/>
      </c>
      <c r="Q954" s="35">
        <f>IF(OR(NOT(OR($A954&lt;&gt;"",$E954&lt;&gt;"",$F954&lt;&gt;"",$G954&lt;&gt;"",$H954&lt;&gt;"",$I954&lt;&gt;"")),$P954="",$P954&lt;&gt;'売掛帳'!$B$3,NOT(ISNUMBER($A954)),N($G954)+N($H954)+N($I954)=0),"",IF(AND($A954&gt;='売掛帳'!$Q$3,$A954&lt;='売掛帳'!$Q$4),$A954+0.5+ROW()/10000000,""))</f>
        <v/>
      </c>
      <c r="R954" s="32">
        <f>IF(AND(OR($A954&lt;&gt;"",$E954&lt;&gt;"",$F954&lt;&gt;"",$G954&lt;&gt;"",$H954&lt;&gt;"",$I954&lt;&gt;""),NOT(ISNUMBER($O954))),1,"")</f>
        <v/>
      </c>
    </row>
    <row r="955" ht="18" customHeight="1">
      <c r="A955" s="26" t="n"/>
      <c r="B955" s="18" t="n"/>
      <c r="C955" s="18" t="n"/>
      <c r="D955" s="20">
        <f>IF($P955="","",IFERROR(INDEX('得意先'!$C$5:$C$104,MATCH($P955,'得意先'!$B$5:$B$104,0))&amp;"","※得意先にないコード"))</f>
        <v/>
      </c>
      <c r="E955" s="27" t="n"/>
      <c r="F955" s="18" t="n"/>
      <c r="G955" s="27" t="n"/>
      <c r="H955" s="27" t="n"/>
      <c r="I955" s="27" t="n"/>
      <c r="J955" s="28">
        <f>IF(NOT(OR($A955&lt;&gt;"",$E955&lt;&gt;"",$F955&lt;&gt;"",$G955&lt;&gt;"",$H955&lt;&gt;"",$I955&lt;&gt;"")),"",N($G955)+N($H955)+N($I955))</f>
        <v/>
      </c>
      <c r="K955" s="28">
        <f>IF(ISNUMBER($O955),INDEX('請求台帳'!$R$5:$R$1004,$O955),"")</f>
        <v/>
      </c>
      <c r="L955" s="20">
        <f>IF(NOT(OR($A955&lt;&gt;"",$E955&lt;&gt;"",$F955&lt;&gt;"",$G955&lt;&gt;"",$H955&lt;&gt;"",$I955&lt;&gt;"")),"",IF(NOT(ISNUMBER($A955)),"入金日がありません",IF(AND($F955&lt;&gt;"",$O955="なし"),"請求Noが請求台帳にありません",IF(AND(ISNUMBER($O955),$C955&lt;&gt;"",$C955&lt;&gt;$P955),"請求の得意先は "&amp;$P955&amp;" です",IF(ROUND(IF($B955&lt;&gt;"",SUMIF($B$5:$B$1004,$B955,$E$5:$E$1004)-SUMIF($B$5:$B$1004,$B955,$G$5:$G$1004),N($E955)-N($G955)),0)&lt;&gt;0,"通帳の額と当てた額の差 "&amp;TEXT(IF($B955&lt;&gt;"",SUMIF($B$5:$B$1004,$B955,$E$5:$E$1004)-SUMIF($B$5:$B$1004,$B955,$G$5:$G$1004),N($E955)-N($G955)),"#,##0"),IF(AND(ISNUMBER($O955),N($K955)&lt;0),"請求額より多く消し込んでいます",IF($F955="","消込先が未定","OK")))))))</f>
        <v/>
      </c>
      <c r="M955" s="19" t="n"/>
      <c r="N955" s="56" t="n"/>
      <c r="O955" s="32">
        <f>IF($F955="","",IFERROR(MATCH($F955,'請求台帳'!$A$5:$A$1004,0),"なし"))</f>
        <v/>
      </c>
      <c r="P955" s="37">
        <f>IF(NOT(OR($A955&lt;&gt;"",$E955&lt;&gt;"",$F955&lt;&gt;"",$G955&lt;&gt;"",$H955&lt;&gt;"",$I955&lt;&gt;"")),"",IF(ISNUMBER($O955),IF(INDEX('請求台帳'!$C$5:$C$1004,$O955)="","",INDEX('請求台帳'!$C$5:$C$1004,$O955)),IF($C955="","",$C955)))</f>
        <v/>
      </c>
      <c r="Q955" s="35">
        <f>IF(OR(NOT(OR($A955&lt;&gt;"",$E955&lt;&gt;"",$F955&lt;&gt;"",$G955&lt;&gt;"",$H955&lt;&gt;"",$I955&lt;&gt;"")),$P955="",$P955&lt;&gt;'売掛帳'!$B$3,NOT(ISNUMBER($A955)),N($G955)+N($H955)+N($I955)=0),"",IF(AND($A955&gt;='売掛帳'!$Q$3,$A955&lt;='売掛帳'!$Q$4),$A955+0.5+ROW()/10000000,""))</f>
        <v/>
      </c>
      <c r="R955" s="32">
        <f>IF(AND(OR($A955&lt;&gt;"",$E955&lt;&gt;"",$F955&lt;&gt;"",$G955&lt;&gt;"",$H955&lt;&gt;"",$I955&lt;&gt;""),NOT(ISNUMBER($O955))),1,"")</f>
        <v/>
      </c>
    </row>
    <row r="956" ht="18" customHeight="1">
      <c r="A956" s="26" t="n"/>
      <c r="B956" s="18" t="n"/>
      <c r="C956" s="18" t="n"/>
      <c r="D956" s="20">
        <f>IF($P956="","",IFERROR(INDEX('得意先'!$C$5:$C$104,MATCH($P956,'得意先'!$B$5:$B$104,0))&amp;"","※得意先にないコード"))</f>
        <v/>
      </c>
      <c r="E956" s="27" t="n"/>
      <c r="F956" s="18" t="n"/>
      <c r="G956" s="27" t="n"/>
      <c r="H956" s="27" t="n"/>
      <c r="I956" s="27" t="n"/>
      <c r="J956" s="28">
        <f>IF(NOT(OR($A956&lt;&gt;"",$E956&lt;&gt;"",$F956&lt;&gt;"",$G956&lt;&gt;"",$H956&lt;&gt;"",$I956&lt;&gt;"")),"",N($G956)+N($H956)+N($I956))</f>
        <v/>
      </c>
      <c r="K956" s="28">
        <f>IF(ISNUMBER($O956),INDEX('請求台帳'!$R$5:$R$1004,$O956),"")</f>
        <v/>
      </c>
      <c r="L956" s="20">
        <f>IF(NOT(OR($A956&lt;&gt;"",$E956&lt;&gt;"",$F956&lt;&gt;"",$G956&lt;&gt;"",$H956&lt;&gt;"",$I956&lt;&gt;"")),"",IF(NOT(ISNUMBER($A956)),"入金日がありません",IF(AND($F956&lt;&gt;"",$O956="なし"),"請求Noが請求台帳にありません",IF(AND(ISNUMBER($O956),$C956&lt;&gt;"",$C956&lt;&gt;$P956),"請求の得意先は "&amp;$P956&amp;" です",IF(ROUND(IF($B956&lt;&gt;"",SUMIF($B$5:$B$1004,$B956,$E$5:$E$1004)-SUMIF($B$5:$B$1004,$B956,$G$5:$G$1004),N($E956)-N($G956)),0)&lt;&gt;0,"通帳の額と当てた額の差 "&amp;TEXT(IF($B956&lt;&gt;"",SUMIF($B$5:$B$1004,$B956,$E$5:$E$1004)-SUMIF($B$5:$B$1004,$B956,$G$5:$G$1004),N($E956)-N($G956)),"#,##0"),IF(AND(ISNUMBER($O956),N($K956)&lt;0),"請求額より多く消し込んでいます",IF($F956="","消込先が未定","OK")))))))</f>
        <v/>
      </c>
      <c r="M956" s="19" t="n"/>
      <c r="N956" s="56" t="n"/>
      <c r="O956" s="32">
        <f>IF($F956="","",IFERROR(MATCH($F956,'請求台帳'!$A$5:$A$1004,0),"なし"))</f>
        <v/>
      </c>
      <c r="P956" s="37">
        <f>IF(NOT(OR($A956&lt;&gt;"",$E956&lt;&gt;"",$F956&lt;&gt;"",$G956&lt;&gt;"",$H956&lt;&gt;"",$I956&lt;&gt;"")),"",IF(ISNUMBER($O956),IF(INDEX('請求台帳'!$C$5:$C$1004,$O956)="","",INDEX('請求台帳'!$C$5:$C$1004,$O956)),IF($C956="","",$C956)))</f>
        <v/>
      </c>
      <c r="Q956" s="35">
        <f>IF(OR(NOT(OR($A956&lt;&gt;"",$E956&lt;&gt;"",$F956&lt;&gt;"",$G956&lt;&gt;"",$H956&lt;&gt;"",$I956&lt;&gt;"")),$P956="",$P956&lt;&gt;'売掛帳'!$B$3,NOT(ISNUMBER($A956)),N($G956)+N($H956)+N($I956)=0),"",IF(AND($A956&gt;='売掛帳'!$Q$3,$A956&lt;='売掛帳'!$Q$4),$A956+0.5+ROW()/10000000,""))</f>
        <v/>
      </c>
      <c r="R956" s="32">
        <f>IF(AND(OR($A956&lt;&gt;"",$E956&lt;&gt;"",$F956&lt;&gt;"",$G956&lt;&gt;"",$H956&lt;&gt;"",$I956&lt;&gt;""),NOT(ISNUMBER($O956))),1,"")</f>
        <v/>
      </c>
    </row>
    <row r="957" ht="18" customHeight="1">
      <c r="A957" s="26" t="n"/>
      <c r="B957" s="18" t="n"/>
      <c r="C957" s="18" t="n"/>
      <c r="D957" s="20">
        <f>IF($P957="","",IFERROR(INDEX('得意先'!$C$5:$C$104,MATCH($P957,'得意先'!$B$5:$B$104,0))&amp;"","※得意先にないコード"))</f>
        <v/>
      </c>
      <c r="E957" s="27" t="n"/>
      <c r="F957" s="18" t="n"/>
      <c r="G957" s="27" t="n"/>
      <c r="H957" s="27" t="n"/>
      <c r="I957" s="27" t="n"/>
      <c r="J957" s="28">
        <f>IF(NOT(OR($A957&lt;&gt;"",$E957&lt;&gt;"",$F957&lt;&gt;"",$G957&lt;&gt;"",$H957&lt;&gt;"",$I957&lt;&gt;"")),"",N($G957)+N($H957)+N($I957))</f>
        <v/>
      </c>
      <c r="K957" s="28">
        <f>IF(ISNUMBER($O957),INDEX('請求台帳'!$R$5:$R$1004,$O957),"")</f>
        <v/>
      </c>
      <c r="L957" s="20">
        <f>IF(NOT(OR($A957&lt;&gt;"",$E957&lt;&gt;"",$F957&lt;&gt;"",$G957&lt;&gt;"",$H957&lt;&gt;"",$I957&lt;&gt;"")),"",IF(NOT(ISNUMBER($A957)),"入金日がありません",IF(AND($F957&lt;&gt;"",$O957="なし"),"請求Noが請求台帳にありません",IF(AND(ISNUMBER($O957),$C957&lt;&gt;"",$C957&lt;&gt;$P957),"請求の得意先は "&amp;$P957&amp;" です",IF(ROUND(IF($B957&lt;&gt;"",SUMIF($B$5:$B$1004,$B957,$E$5:$E$1004)-SUMIF($B$5:$B$1004,$B957,$G$5:$G$1004),N($E957)-N($G957)),0)&lt;&gt;0,"通帳の額と当てた額の差 "&amp;TEXT(IF($B957&lt;&gt;"",SUMIF($B$5:$B$1004,$B957,$E$5:$E$1004)-SUMIF($B$5:$B$1004,$B957,$G$5:$G$1004),N($E957)-N($G957)),"#,##0"),IF(AND(ISNUMBER($O957),N($K957)&lt;0),"請求額より多く消し込んでいます",IF($F957="","消込先が未定","OK")))))))</f>
        <v/>
      </c>
      <c r="M957" s="19" t="n"/>
      <c r="N957" s="56" t="n"/>
      <c r="O957" s="32">
        <f>IF($F957="","",IFERROR(MATCH($F957,'請求台帳'!$A$5:$A$1004,0),"なし"))</f>
        <v/>
      </c>
      <c r="P957" s="37">
        <f>IF(NOT(OR($A957&lt;&gt;"",$E957&lt;&gt;"",$F957&lt;&gt;"",$G957&lt;&gt;"",$H957&lt;&gt;"",$I957&lt;&gt;"")),"",IF(ISNUMBER($O957),IF(INDEX('請求台帳'!$C$5:$C$1004,$O957)="","",INDEX('請求台帳'!$C$5:$C$1004,$O957)),IF($C957="","",$C957)))</f>
        <v/>
      </c>
      <c r="Q957" s="35">
        <f>IF(OR(NOT(OR($A957&lt;&gt;"",$E957&lt;&gt;"",$F957&lt;&gt;"",$G957&lt;&gt;"",$H957&lt;&gt;"",$I957&lt;&gt;"")),$P957="",$P957&lt;&gt;'売掛帳'!$B$3,NOT(ISNUMBER($A957)),N($G957)+N($H957)+N($I957)=0),"",IF(AND($A957&gt;='売掛帳'!$Q$3,$A957&lt;='売掛帳'!$Q$4),$A957+0.5+ROW()/10000000,""))</f>
        <v/>
      </c>
      <c r="R957" s="32">
        <f>IF(AND(OR($A957&lt;&gt;"",$E957&lt;&gt;"",$F957&lt;&gt;"",$G957&lt;&gt;"",$H957&lt;&gt;"",$I957&lt;&gt;""),NOT(ISNUMBER($O957))),1,"")</f>
        <v/>
      </c>
    </row>
    <row r="958" ht="18" customHeight="1">
      <c r="A958" s="26" t="n"/>
      <c r="B958" s="18" t="n"/>
      <c r="C958" s="18" t="n"/>
      <c r="D958" s="20">
        <f>IF($P958="","",IFERROR(INDEX('得意先'!$C$5:$C$104,MATCH($P958,'得意先'!$B$5:$B$104,0))&amp;"","※得意先にないコード"))</f>
        <v/>
      </c>
      <c r="E958" s="27" t="n"/>
      <c r="F958" s="18" t="n"/>
      <c r="G958" s="27" t="n"/>
      <c r="H958" s="27" t="n"/>
      <c r="I958" s="27" t="n"/>
      <c r="J958" s="28">
        <f>IF(NOT(OR($A958&lt;&gt;"",$E958&lt;&gt;"",$F958&lt;&gt;"",$G958&lt;&gt;"",$H958&lt;&gt;"",$I958&lt;&gt;"")),"",N($G958)+N($H958)+N($I958))</f>
        <v/>
      </c>
      <c r="K958" s="28">
        <f>IF(ISNUMBER($O958),INDEX('請求台帳'!$R$5:$R$1004,$O958),"")</f>
        <v/>
      </c>
      <c r="L958" s="20">
        <f>IF(NOT(OR($A958&lt;&gt;"",$E958&lt;&gt;"",$F958&lt;&gt;"",$G958&lt;&gt;"",$H958&lt;&gt;"",$I958&lt;&gt;"")),"",IF(NOT(ISNUMBER($A958)),"入金日がありません",IF(AND($F958&lt;&gt;"",$O958="なし"),"請求Noが請求台帳にありません",IF(AND(ISNUMBER($O958),$C958&lt;&gt;"",$C958&lt;&gt;$P958),"請求の得意先は "&amp;$P958&amp;" です",IF(ROUND(IF($B958&lt;&gt;"",SUMIF($B$5:$B$1004,$B958,$E$5:$E$1004)-SUMIF($B$5:$B$1004,$B958,$G$5:$G$1004),N($E958)-N($G958)),0)&lt;&gt;0,"通帳の額と当てた額の差 "&amp;TEXT(IF($B958&lt;&gt;"",SUMIF($B$5:$B$1004,$B958,$E$5:$E$1004)-SUMIF($B$5:$B$1004,$B958,$G$5:$G$1004),N($E958)-N($G958)),"#,##0"),IF(AND(ISNUMBER($O958),N($K958)&lt;0),"請求額より多く消し込んでいます",IF($F958="","消込先が未定","OK")))))))</f>
        <v/>
      </c>
      <c r="M958" s="19" t="n"/>
      <c r="N958" s="56" t="n"/>
      <c r="O958" s="32">
        <f>IF($F958="","",IFERROR(MATCH($F958,'請求台帳'!$A$5:$A$1004,0),"なし"))</f>
        <v/>
      </c>
      <c r="P958" s="37">
        <f>IF(NOT(OR($A958&lt;&gt;"",$E958&lt;&gt;"",$F958&lt;&gt;"",$G958&lt;&gt;"",$H958&lt;&gt;"",$I958&lt;&gt;"")),"",IF(ISNUMBER($O958),IF(INDEX('請求台帳'!$C$5:$C$1004,$O958)="","",INDEX('請求台帳'!$C$5:$C$1004,$O958)),IF($C958="","",$C958)))</f>
        <v/>
      </c>
      <c r="Q958" s="35">
        <f>IF(OR(NOT(OR($A958&lt;&gt;"",$E958&lt;&gt;"",$F958&lt;&gt;"",$G958&lt;&gt;"",$H958&lt;&gt;"",$I958&lt;&gt;"")),$P958="",$P958&lt;&gt;'売掛帳'!$B$3,NOT(ISNUMBER($A958)),N($G958)+N($H958)+N($I958)=0),"",IF(AND($A958&gt;='売掛帳'!$Q$3,$A958&lt;='売掛帳'!$Q$4),$A958+0.5+ROW()/10000000,""))</f>
        <v/>
      </c>
      <c r="R958" s="32">
        <f>IF(AND(OR($A958&lt;&gt;"",$E958&lt;&gt;"",$F958&lt;&gt;"",$G958&lt;&gt;"",$H958&lt;&gt;"",$I958&lt;&gt;""),NOT(ISNUMBER($O958))),1,"")</f>
        <v/>
      </c>
    </row>
    <row r="959" ht="18" customHeight="1">
      <c r="A959" s="26" t="n"/>
      <c r="B959" s="18" t="n"/>
      <c r="C959" s="18" t="n"/>
      <c r="D959" s="20">
        <f>IF($P959="","",IFERROR(INDEX('得意先'!$C$5:$C$104,MATCH($P959,'得意先'!$B$5:$B$104,0))&amp;"","※得意先にないコード"))</f>
        <v/>
      </c>
      <c r="E959" s="27" t="n"/>
      <c r="F959" s="18" t="n"/>
      <c r="G959" s="27" t="n"/>
      <c r="H959" s="27" t="n"/>
      <c r="I959" s="27" t="n"/>
      <c r="J959" s="28">
        <f>IF(NOT(OR($A959&lt;&gt;"",$E959&lt;&gt;"",$F959&lt;&gt;"",$G959&lt;&gt;"",$H959&lt;&gt;"",$I959&lt;&gt;"")),"",N($G959)+N($H959)+N($I959))</f>
        <v/>
      </c>
      <c r="K959" s="28">
        <f>IF(ISNUMBER($O959),INDEX('請求台帳'!$R$5:$R$1004,$O959),"")</f>
        <v/>
      </c>
      <c r="L959" s="20">
        <f>IF(NOT(OR($A959&lt;&gt;"",$E959&lt;&gt;"",$F959&lt;&gt;"",$G959&lt;&gt;"",$H959&lt;&gt;"",$I959&lt;&gt;"")),"",IF(NOT(ISNUMBER($A959)),"入金日がありません",IF(AND($F959&lt;&gt;"",$O959="なし"),"請求Noが請求台帳にありません",IF(AND(ISNUMBER($O959),$C959&lt;&gt;"",$C959&lt;&gt;$P959),"請求の得意先は "&amp;$P959&amp;" です",IF(ROUND(IF($B959&lt;&gt;"",SUMIF($B$5:$B$1004,$B959,$E$5:$E$1004)-SUMIF($B$5:$B$1004,$B959,$G$5:$G$1004),N($E959)-N($G959)),0)&lt;&gt;0,"通帳の額と当てた額の差 "&amp;TEXT(IF($B959&lt;&gt;"",SUMIF($B$5:$B$1004,$B959,$E$5:$E$1004)-SUMIF($B$5:$B$1004,$B959,$G$5:$G$1004),N($E959)-N($G959)),"#,##0"),IF(AND(ISNUMBER($O959),N($K959)&lt;0),"請求額より多く消し込んでいます",IF($F959="","消込先が未定","OK")))))))</f>
        <v/>
      </c>
      <c r="M959" s="19" t="n"/>
      <c r="N959" s="56" t="n"/>
      <c r="O959" s="32">
        <f>IF($F959="","",IFERROR(MATCH($F959,'請求台帳'!$A$5:$A$1004,0),"なし"))</f>
        <v/>
      </c>
      <c r="P959" s="37">
        <f>IF(NOT(OR($A959&lt;&gt;"",$E959&lt;&gt;"",$F959&lt;&gt;"",$G959&lt;&gt;"",$H959&lt;&gt;"",$I959&lt;&gt;"")),"",IF(ISNUMBER($O959),IF(INDEX('請求台帳'!$C$5:$C$1004,$O959)="","",INDEX('請求台帳'!$C$5:$C$1004,$O959)),IF($C959="","",$C959)))</f>
        <v/>
      </c>
      <c r="Q959" s="35">
        <f>IF(OR(NOT(OR($A959&lt;&gt;"",$E959&lt;&gt;"",$F959&lt;&gt;"",$G959&lt;&gt;"",$H959&lt;&gt;"",$I959&lt;&gt;"")),$P959="",$P959&lt;&gt;'売掛帳'!$B$3,NOT(ISNUMBER($A959)),N($G959)+N($H959)+N($I959)=0),"",IF(AND($A959&gt;='売掛帳'!$Q$3,$A959&lt;='売掛帳'!$Q$4),$A959+0.5+ROW()/10000000,""))</f>
        <v/>
      </c>
      <c r="R959" s="32">
        <f>IF(AND(OR($A959&lt;&gt;"",$E959&lt;&gt;"",$F959&lt;&gt;"",$G959&lt;&gt;"",$H959&lt;&gt;"",$I959&lt;&gt;""),NOT(ISNUMBER($O959))),1,"")</f>
        <v/>
      </c>
    </row>
    <row r="960" ht="18" customHeight="1">
      <c r="A960" s="26" t="n"/>
      <c r="B960" s="18" t="n"/>
      <c r="C960" s="18" t="n"/>
      <c r="D960" s="20">
        <f>IF($P960="","",IFERROR(INDEX('得意先'!$C$5:$C$104,MATCH($P960,'得意先'!$B$5:$B$104,0))&amp;"","※得意先にないコード"))</f>
        <v/>
      </c>
      <c r="E960" s="27" t="n"/>
      <c r="F960" s="18" t="n"/>
      <c r="G960" s="27" t="n"/>
      <c r="H960" s="27" t="n"/>
      <c r="I960" s="27" t="n"/>
      <c r="J960" s="28">
        <f>IF(NOT(OR($A960&lt;&gt;"",$E960&lt;&gt;"",$F960&lt;&gt;"",$G960&lt;&gt;"",$H960&lt;&gt;"",$I960&lt;&gt;"")),"",N($G960)+N($H960)+N($I960))</f>
        <v/>
      </c>
      <c r="K960" s="28">
        <f>IF(ISNUMBER($O960),INDEX('請求台帳'!$R$5:$R$1004,$O960),"")</f>
        <v/>
      </c>
      <c r="L960" s="20">
        <f>IF(NOT(OR($A960&lt;&gt;"",$E960&lt;&gt;"",$F960&lt;&gt;"",$G960&lt;&gt;"",$H960&lt;&gt;"",$I960&lt;&gt;"")),"",IF(NOT(ISNUMBER($A960)),"入金日がありません",IF(AND($F960&lt;&gt;"",$O960="なし"),"請求Noが請求台帳にありません",IF(AND(ISNUMBER($O960),$C960&lt;&gt;"",$C960&lt;&gt;$P960),"請求の得意先は "&amp;$P960&amp;" です",IF(ROUND(IF($B960&lt;&gt;"",SUMIF($B$5:$B$1004,$B960,$E$5:$E$1004)-SUMIF($B$5:$B$1004,$B960,$G$5:$G$1004),N($E960)-N($G960)),0)&lt;&gt;0,"通帳の額と当てた額の差 "&amp;TEXT(IF($B960&lt;&gt;"",SUMIF($B$5:$B$1004,$B960,$E$5:$E$1004)-SUMIF($B$5:$B$1004,$B960,$G$5:$G$1004),N($E960)-N($G960)),"#,##0"),IF(AND(ISNUMBER($O960),N($K960)&lt;0),"請求額より多く消し込んでいます",IF($F960="","消込先が未定","OK")))))))</f>
        <v/>
      </c>
      <c r="M960" s="19" t="n"/>
      <c r="N960" s="56" t="n"/>
      <c r="O960" s="32">
        <f>IF($F960="","",IFERROR(MATCH($F960,'請求台帳'!$A$5:$A$1004,0),"なし"))</f>
        <v/>
      </c>
      <c r="P960" s="37">
        <f>IF(NOT(OR($A960&lt;&gt;"",$E960&lt;&gt;"",$F960&lt;&gt;"",$G960&lt;&gt;"",$H960&lt;&gt;"",$I960&lt;&gt;"")),"",IF(ISNUMBER($O960),IF(INDEX('請求台帳'!$C$5:$C$1004,$O960)="","",INDEX('請求台帳'!$C$5:$C$1004,$O960)),IF($C960="","",$C960)))</f>
        <v/>
      </c>
      <c r="Q960" s="35">
        <f>IF(OR(NOT(OR($A960&lt;&gt;"",$E960&lt;&gt;"",$F960&lt;&gt;"",$G960&lt;&gt;"",$H960&lt;&gt;"",$I960&lt;&gt;"")),$P960="",$P960&lt;&gt;'売掛帳'!$B$3,NOT(ISNUMBER($A960)),N($G960)+N($H960)+N($I960)=0),"",IF(AND($A960&gt;='売掛帳'!$Q$3,$A960&lt;='売掛帳'!$Q$4),$A960+0.5+ROW()/10000000,""))</f>
        <v/>
      </c>
      <c r="R960" s="32">
        <f>IF(AND(OR($A960&lt;&gt;"",$E960&lt;&gt;"",$F960&lt;&gt;"",$G960&lt;&gt;"",$H960&lt;&gt;"",$I960&lt;&gt;""),NOT(ISNUMBER($O960))),1,"")</f>
        <v/>
      </c>
    </row>
    <row r="961" ht="18" customHeight="1">
      <c r="A961" s="26" t="n"/>
      <c r="B961" s="18" t="n"/>
      <c r="C961" s="18" t="n"/>
      <c r="D961" s="20">
        <f>IF($P961="","",IFERROR(INDEX('得意先'!$C$5:$C$104,MATCH($P961,'得意先'!$B$5:$B$104,0))&amp;"","※得意先にないコード"))</f>
        <v/>
      </c>
      <c r="E961" s="27" t="n"/>
      <c r="F961" s="18" t="n"/>
      <c r="G961" s="27" t="n"/>
      <c r="H961" s="27" t="n"/>
      <c r="I961" s="27" t="n"/>
      <c r="J961" s="28">
        <f>IF(NOT(OR($A961&lt;&gt;"",$E961&lt;&gt;"",$F961&lt;&gt;"",$G961&lt;&gt;"",$H961&lt;&gt;"",$I961&lt;&gt;"")),"",N($G961)+N($H961)+N($I961))</f>
        <v/>
      </c>
      <c r="K961" s="28">
        <f>IF(ISNUMBER($O961),INDEX('請求台帳'!$R$5:$R$1004,$O961),"")</f>
        <v/>
      </c>
      <c r="L961" s="20">
        <f>IF(NOT(OR($A961&lt;&gt;"",$E961&lt;&gt;"",$F961&lt;&gt;"",$G961&lt;&gt;"",$H961&lt;&gt;"",$I961&lt;&gt;"")),"",IF(NOT(ISNUMBER($A961)),"入金日がありません",IF(AND($F961&lt;&gt;"",$O961="なし"),"請求Noが請求台帳にありません",IF(AND(ISNUMBER($O961),$C961&lt;&gt;"",$C961&lt;&gt;$P961),"請求の得意先は "&amp;$P961&amp;" です",IF(ROUND(IF($B961&lt;&gt;"",SUMIF($B$5:$B$1004,$B961,$E$5:$E$1004)-SUMIF($B$5:$B$1004,$B961,$G$5:$G$1004),N($E961)-N($G961)),0)&lt;&gt;0,"通帳の額と当てた額の差 "&amp;TEXT(IF($B961&lt;&gt;"",SUMIF($B$5:$B$1004,$B961,$E$5:$E$1004)-SUMIF($B$5:$B$1004,$B961,$G$5:$G$1004),N($E961)-N($G961)),"#,##0"),IF(AND(ISNUMBER($O961),N($K961)&lt;0),"請求額より多く消し込んでいます",IF($F961="","消込先が未定","OK")))))))</f>
        <v/>
      </c>
      <c r="M961" s="19" t="n"/>
      <c r="N961" s="56" t="n"/>
      <c r="O961" s="32">
        <f>IF($F961="","",IFERROR(MATCH($F961,'請求台帳'!$A$5:$A$1004,0),"なし"))</f>
        <v/>
      </c>
      <c r="P961" s="37">
        <f>IF(NOT(OR($A961&lt;&gt;"",$E961&lt;&gt;"",$F961&lt;&gt;"",$G961&lt;&gt;"",$H961&lt;&gt;"",$I961&lt;&gt;"")),"",IF(ISNUMBER($O961),IF(INDEX('請求台帳'!$C$5:$C$1004,$O961)="","",INDEX('請求台帳'!$C$5:$C$1004,$O961)),IF($C961="","",$C961)))</f>
        <v/>
      </c>
      <c r="Q961" s="35">
        <f>IF(OR(NOT(OR($A961&lt;&gt;"",$E961&lt;&gt;"",$F961&lt;&gt;"",$G961&lt;&gt;"",$H961&lt;&gt;"",$I961&lt;&gt;"")),$P961="",$P961&lt;&gt;'売掛帳'!$B$3,NOT(ISNUMBER($A961)),N($G961)+N($H961)+N($I961)=0),"",IF(AND($A961&gt;='売掛帳'!$Q$3,$A961&lt;='売掛帳'!$Q$4),$A961+0.5+ROW()/10000000,""))</f>
        <v/>
      </c>
      <c r="R961" s="32">
        <f>IF(AND(OR($A961&lt;&gt;"",$E961&lt;&gt;"",$F961&lt;&gt;"",$G961&lt;&gt;"",$H961&lt;&gt;"",$I961&lt;&gt;""),NOT(ISNUMBER($O961))),1,"")</f>
        <v/>
      </c>
    </row>
    <row r="962" ht="18" customHeight="1">
      <c r="A962" s="26" t="n"/>
      <c r="B962" s="18" t="n"/>
      <c r="C962" s="18" t="n"/>
      <c r="D962" s="20">
        <f>IF($P962="","",IFERROR(INDEX('得意先'!$C$5:$C$104,MATCH($P962,'得意先'!$B$5:$B$104,0))&amp;"","※得意先にないコード"))</f>
        <v/>
      </c>
      <c r="E962" s="27" t="n"/>
      <c r="F962" s="18" t="n"/>
      <c r="G962" s="27" t="n"/>
      <c r="H962" s="27" t="n"/>
      <c r="I962" s="27" t="n"/>
      <c r="J962" s="28">
        <f>IF(NOT(OR($A962&lt;&gt;"",$E962&lt;&gt;"",$F962&lt;&gt;"",$G962&lt;&gt;"",$H962&lt;&gt;"",$I962&lt;&gt;"")),"",N($G962)+N($H962)+N($I962))</f>
        <v/>
      </c>
      <c r="K962" s="28">
        <f>IF(ISNUMBER($O962),INDEX('請求台帳'!$R$5:$R$1004,$O962),"")</f>
        <v/>
      </c>
      <c r="L962" s="20">
        <f>IF(NOT(OR($A962&lt;&gt;"",$E962&lt;&gt;"",$F962&lt;&gt;"",$G962&lt;&gt;"",$H962&lt;&gt;"",$I962&lt;&gt;"")),"",IF(NOT(ISNUMBER($A962)),"入金日がありません",IF(AND($F962&lt;&gt;"",$O962="なし"),"請求Noが請求台帳にありません",IF(AND(ISNUMBER($O962),$C962&lt;&gt;"",$C962&lt;&gt;$P962),"請求の得意先は "&amp;$P962&amp;" です",IF(ROUND(IF($B962&lt;&gt;"",SUMIF($B$5:$B$1004,$B962,$E$5:$E$1004)-SUMIF($B$5:$B$1004,$B962,$G$5:$G$1004),N($E962)-N($G962)),0)&lt;&gt;0,"通帳の額と当てた額の差 "&amp;TEXT(IF($B962&lt;&gt;"",SUMIF($B$5:$B$1004,$B962,$E$5:$E$1004)-SUMIF($B$5:$B$1004,$B962,$G$5:$G$1004),N($E962)-N($G962)),"#,##0"),IF(AND(ISNUMBER($O962),N($K962)&lt;0),"請求額より多く消し込んでいます",IF($F962="","消込先が未定","OK")))))))</f>
        <v/>
      </c>
      <c r="M962" s="19" t="n"/>
      <c r="N962" s="56" t="n"/>
      <c r="O962" s="32">
        <f>IF($F962="","",IFERROR(MATCH($F962,'請求台帳'!$A$5:$A$1004,0),"なし"))</f>
        <v/>
      </c>
      <c r="P962" s="37">
        <f>IF(NOT(OR($A962&lt;&gt;"",$E962&lt;&gt;"",$F962&lt;&gt;"",$G962&lt;&gt;"",$H962&lt;&gt;"",$I962&lt;&gt;"")),"",IF(ISNUMBER($O962),IF(INDEX('請求台帳'!$C$5:$C$1004,$O962)="","",INDEX('請求台帳'!$C$5:$C$1004,$O962)),IF($C962="","",$C962)))</f>
        <v/>
      </c>
      <c r="Q962" s="35">
        <f>IF(OR(NOT(OR($A962&lt;&gt;"",$E962&lt;&gt;"",$F962&lt;&gt;"",$G962&lt;&gt;"",$H962&lt;&gt;"",$I962&lt;&gt;"")),$P962="",$P962&lt;&gt;'売掛帳'!$B$3,NOT(ISNUMBER($A962)),N($G962)+N($H962)+N($I962)=0),"",IF(AND($A962&gt;='売掛帳'!$Q$3,$A962&lt;='売掛帳'!$Q$4),$A962+0.5+ROW()/10000000,""))</f>
        <v/>
      </c>
      <c r="R962" s="32">
        <f>IF(AND(OR($A962&lt;&gt;"",$E962&lt;&gt;"",$F962&lt;&gt;"",$G962&lt;&gt;"",$H962&lt;&gt;"",$I962&lt;&gt;""),NOT(ISNUMBER($O962))),1,"")</f>
        <v/>
      </c>
    </row>
    <row r="963" ht="18" customHeight="1">
      <c r="A963" s="26" t="n"/>
      <c r="B963" s="18" t="n"/>
      <c r="C963" s="18" t="n"/>
      <c r="D963" s="20">
        <f>IF($P963="","",IFERROR(INDEX('得意先'!$C$5:$C$104,MATCH($P963,'得意先'!$B$5:$B$104,0))&amp;"","※得意先にないコード"))</f>
        <v/>
      </c>
      <c r="E963" s="27" t="n"/>
      <c r="F963" s="18" t="n"/>
      <c r="G963" s="27" t="n"/>
      <c r="H963" s="27" t="n"/>
      <c r="I963" s="27" t="n"/>
      <c r="J963" s="28">
        <f>IF(NOT(OR($A963&lt;&gt;"",$E963&lt;&gt;"",$F963&lt;&gt;"",$G963&lt;&gt;"",$H963&lt;&gt;"",$I963&lt;&gt;"")),"",N($G963)+N($H963)+N($I963))</f>
        <v/>
      </c>
      <c r="K963" s="28">
        <f>IF(ISNUMBER($O963),INDEX('請求台帳'!$R$5:$R$1004,$O963),"")</f>
        <v/>
      </c>
      <c r="L963" s="20">
        <f>IF(NOT(OR($A963&lt;&gt;"",$E963&lt;&gt;"",$F963&lt;&gt;"",$G963&lt;&gt;"",$H963&lt;&gt;"",$I963&lt;&gt;"")),"",IF(NOT(ISNUMBER($A963)),"入金日がありません",IF(AND($F963&lt;&gt;"",$O963="なし"),"請求Noが請求台帳にありません",IF(AND(ISNUMBER($O963),$C963&lt;&gt;"",$C963&lt;&gt;$P963),"請求の得意先は "&amp;$P963&amp;" です",IF(ROUND(IF($B963&lt;&gt;"",SUMIF($B$5:$B$1004,$B963,$E$5:$E$1004)-SUMIF($B$5:$B$1004,$B963,$G$5:$G$1004),N($E963)-N($G963)),0)&lt;&gt;0,"通帳の額と当てた額の差 "&amp;TEXT(IF($B963&lt;&gt;"",SUMIF($B$5:$B$1004,$B963,$E$5:$E$1004)-SUMIF($B$5:$B$1004,$B963,$G$5:$G$1004),N($E963)-N($G963)),"#,##0"),IF(AND(ISNUMBER($O963),N($K963)&lt;0),"請求額より多く消し込んでいます",IF($F963="","消込先が未定","OK")))))))</f>
        <v/>
      </c>
      <c r="M963" s="19" t="n"/>
      <c r="N963" s="56" t="n"/>
      <c r="O963" s="32">
        <f>IF($F963="","",IFERROR(MATCH($F963,'請求台帳'!$A$5:$A$1004,0),"なし"))</f>
        <v/>
      </c>
      <c r="P963" s="37">
        <f>IF(NOT(OR($A963&lt;&gt;"",$E963&lt;&gt;"",$F963&lt;&gt;"",$G963&lt;&gt;"",$H963&lt;&gt;"",$I963&lt;&gt;"")),"",IF(ISNUMBER($O963),IF(INDEX('請求台帳'!$C$5:$C$1004,$O963)="","",INDEX('請求台帳'!$C$5:$C$1004,$O963)),IF($C963="","",$C963)))</f>
        <v/>
      </c>
      <c r="Q963" s="35">
        <f>IF(OR(NOT(OR($A963&lt;&gt;"",$E963&lt;&gt;"",$F963&lt;&gt;"",$G963&lt;&gt;"",$H963&lt;&gt;"",$I963&lt;&gt;"")),$P963="",$P963&lt;&gt;'売掛帳'!$B$3,NOT(ISNUMBER($A963)),N($G963)+N($H963)+N($I963)=0),"",IF(AND($A963&gt;='売掛帳'!$Q$3,$A963&lt;='売掛帳'!$Q$4),$A963+0.5+ROW()/10000000,""))</f>
        <v/>
      </c>
      <c r="R963" s="32">
        <f>IF(AND(OR($A963&lt;&gt;"",$E963&lt;&gt;"",$F963&lt;&gt;"",$G963&lt;&gt;"",$H963&lt;&gt;"",$I963&lt;&gt;""),NOT(ISNUMBER($O963))),1,"")</f>
        <v/>
      </c>
    </row>
    <row r="964" ht="18" customHeight="1">
      <c r="A964" s="26" t="n"/>
      <c r="B964" s="18" t="n"/>
      <c r="C964" s="18" t="n"/>
      <c r="D964" s="20">
        <f>IF($P964="","",IFERROR(INDEX('得意先'!$C$5:$C$104,MATCH($P964,'得意先'!$B$5:$B$104,0))&amp;"","※得意先にないコード"))</f>
        <v/>
      </c>
      <c r="E964" s="27" t="n"/>
      <c r="F964" s="18" t="n"/>
      <c r="G964" s="27" t="n"/>
      <c r="H964" s="27" t="n"/>
      <c r="I964" s="27" t="n"/>
      <c r="J964" s="28">
        <f>IF(NOT(OR($A964&lt;&gt;"",$E964&lt;&gt;"",$F964&lt;&gt;"",$G964&lt;&gt;"",$H964&lt;&gt;"",$I964&lt;&gt;"")),"",N($G964)+N($H964)+N($I964))</f>
        <v/>
      </c>
      <c r="K964" s="28">
        <f>IF(ISNUMBER($O964),INDEX('請求台帳'!$R$5:$R$1004,$O964),"")</f>
        <v/>
      </c>
      <c r="L964" s="20">
        <f>IF(NOT(OR($A964&lt;&gt;"",$E964&lt;&gt;"",$F964&lt;&gt;"",$G964&lt;&gt;"",$H964&lt;&gt;"",$I964&lt;&gt;"")),"",IF(NOT(ISNUMBER($A964)),"入金日がありません",IF(AND($F964&lt;&gt;"",$O964="なし"),"請求Noが請求台帳にありません",IF(AND(ISNUMBER($O964),$C964&lt;&gt;"",$C964&lt;&gt;$P964),"請求の得意先は "&amp;$P964&amp;" です",IF(ROUND(IF($B964&lt;&gt;"",SUMIF($B$5:$B$1004,$B964,$E$5:$E$1004)-SUMIF($B$5:$B$1004,$B964,$G$5:$G$1004),N($E964)-N($G964)),0)&lt;&gt;0,"通帳の額と当てた額の差 "&amp;TEXT(IF($B964&lt;&gt;"",SUMIF($B$5:$B$1004,$B964,$E$5:$E$1004)-SUMIF($B$5:$B$1004,$B964,$G$5:$G$1004),N($E964)-N($G964)),"#,##0"),IF(AND(ISNUMBER($O964),N($K964)&lt;0),"請求額より多く消し込んでいます",IF($F964="","消込先が未定","OK")))))))</f>
        <v/>
      </c>
      <c r="M964" s="19" t="n"/>
      <c r="N964" s="56" t="n"/>
      <c r="O964" s="32">
        <f>IF($F964="","",IFERROR(MATCH($F964,'請求台帳'!$A$5:$A$1004,0),"なし"))</f>
        <v/>
      </c>
      <c r="P964" s="37">
        <f>IF(NOT(OR($A964&lt;&gt;"",$E964&lt;&gt;"",$F964&lt;&gt;"",$G964&lt;&gt;"",$H964&lt;&gt;"",$I964&lt;&gt;"")),"",IF(ISNUMBER($O964),IF(INDEX('請求台帳'!$C$5:$C$1004,$O964)="","",INDEX('請求台帳'!$C$5:$C$1004,$O964)),IF($C964="","",$C964)))</f>
        <v/>
      </c>
      <c r="Q964" s="35">
        <f>IF(OR(NOT(OR($A964&lt;&gt;"",$E964&lt;&gt;"",$F964&lt;&gt;"",$G964&lt;&gt;"",$H964&lt;&gt;"",$I964&lt;&gt;"")),$P964="",$P964&lt;&gt;'売掛帳'!$B$3,NOT(ISNUMBER($A964)),N($G964)+N($H964)+N($I964)=0),"",IF(AND($A964&gt;='売掛帳'!$Q$3,$A964&lt;='売掛帳'!$Q$4),$A964+0.5+ROW()/10000000,""))</f>
        <v/>
      </c>
      <c r="R964" s="32">
        <f>IF(AND(OR($A964&lt;&gt;"",$E964&lt;&gt;"",$F964&lt;&gt;"",$G964&lt;&gt;"",$H964&lt;&gt;"",$I964&lt;&gt;""),NOT(ISNUMBER($O964))),1,"")</f>
        <v/>
      </c>
    </row>
    <row r="965" ht="18" customHeight="1">
      <c r="A965" s="26" t="n"/>
      <c r="B965" s="18" t="n"/>
      <c r="C965" s="18" t="n"/>
      <c r="D965" s="20">
        <f>IF($P965="","",IFERROR(INDEX('得意先'!$C$5:$C$104,MATCH($P965,'得意先'!$B$5:$B$104,0))&amp;"","※得意先にないコード"))</f>
        <v/>
      </c>
      <c r="E965" s="27" t="n"/>
      <c r="F965" s="18" t="n"/>
      <c r="G965" s="27" t="n"/>
      <c r="H965" s="27" t="n"/>
      <c r="I965" s="27" t="n"/>
      <c r="J965" s="28">
        <f>IF(NOT(OR($A965&lt;&gt;"",$E965&lt;&gt;"",$F965&lt;&gt;"",$G965&lt;&gt;"",$H965&lt;&gt;"",$I965&lt;&gt;"")),"",N($G965)+N($H965)+N($I965))</f>
        <v/>
      </c>
      <c r="K965" s="28">
        <f>IF(ISNUMBER($O965),INDEX('請求台帳'!$R$5:$R$1004,$O965),"")</f>
        <v/>
      </c>
      <c r="L965" s="20">
        <f>IF(NOT(OR($A965&lt;&gt;"",$E965&lt;&gt;"",$F965&lt;&gt;"",$G965&lt;&gt;"",$H965&lt;&gt;"",$I965&lt;&gt;"")),"",IF(NOT(ISNUMBER($A965)),"入金日がありません",IF(AND($F965&lt;&gt;"",$O965="なし"),"請求Noが請求台帳にありません",IF(AND(ISNUMBER($O965),$C965&lt;&gt;"",$C965&lt;&gt;$P965),"請求の得意先は "&amp;$P965&amp;" です",IF(ROUND(IF($B965&lt;&gt;"",SUMIF($B$5:$B$1004,$B965,$E$5:$E$1004)-SUMIF($B$5:$B$1004,$B965,$G$5:$G$1004),N($E965)-N($G965)),0)&lt;&gt;0,"通帳の額と当てた額の差 "&amp;TEXT(IF($B965&lt;&gt;"",SUMIF($B$5:$B$1004,$B965,$E$5:$E$1004)-SUMIF($B$5:$B$1004,$B965,$G$5:$G$1004),N($E965)-N($G965)),"#,##0"),IF(AND(ISNUMBER($O965),N($K965)&lt;0),"請求額より多く消し込んでいます",IF($F965="","消込先が未定","OK")))))))</f>
        <v/>
      </c>
      <c r="M965" s="19" t="n"/>
      <c r="N965" s="56" t="n"/>
      <c r="O965" s="32">
        <f>IF($F965="","",IFERROR(MATCH($F965,'請求台帳'!$A$5:$A$1004,0),"なし"))</f>
        <v/>
      </c>
      <c r="P965" s="37">
        <f>IF(NOT(OR($A965&lt;&gt;"",$E965&lt;&gt;"",$F965&lt;&gt;"",$G965&lt;&gt;"",$H965&lt;&gt;"",$I965&lt;&gt;"")),"",IF(ISNUMBER($O965),IF(INDEX('請求台帳'!$C$5:$C$1004,$O965)="","",INDEX('請求台帳'!$C$5:$C$1004,$O965)),IF($C965="","",$C965)))</f>
        <v/>
      </c>
      <c r="Q965" s="35">
        <f>IF(OR(NOT(OR($A965&lt;&gt;"",$E965&lt;&gt;"",$F965&lt;&gt;"",$G965&lt;&gt;"",$H965&lt;&gt;"",$I965&lt;&gt;"")),$P965="",$P965&lt;&gt;'売掛帳'!$B$3,NOT(ISNUMBER($A965)),N($G965)+N($H965)+N($I965)=0),"",IF(AND($A965&gt;='売掛帳'!$Q$3,$A965&lt;='売掛帳'!$Q$4),$A965+0.5+ROW()/10000000,""))</f>
        <v/>
      </c>
      <c r="R965" s="32">
        <f>IF(AND(OR($A965&lt;&gt;"",$E965&lt;&gt;"",$F965&lt;&gt;"",$G965&lt;&gt;"",$H965&lt;&gt;"",$I965&lt;&gt;""),NOT(ISNUMBER($O965))),1,"")</f>
        <v/>
      </c>
    </row>
    <row r="966" ht="18" customHeight="1">
      <c r="A966" s="26" t="n"/>
      <c r="B966" s="18" t="n"/>
      <c r="C966" s="18" t="n"/>
      <c r="D966" s="20">
        <f>IF($P966="","",IFERROR(INDEX('得意先'!$C$5:$C$104,MATCH($P966,'得意先'!$B$5:$B$104,0))&amp;"","※得意先にないコード"))</f>
        <v/>
      </c>
      <c r="E966" s="27" t="n"/>
      <c r="F966" s="18" t="n"/>
      <c r="G966" s="27" t="n"/>
      <c r="H966" s="27" t="n"/>
      <c r="I966" s="27" t="n"/>
      <c r="J966" s="28">
        <f>IF(NOT(OR($A966&lt;&gt;"",$E966&lt;&gt;"",$F966&lt;&gt;"",$G966&lt;&gt;"",$H966&lt;&gt;"",$I966&lt;&gt;"")),"",N($G966)+N($H966)+N($I966))</f>
        <v/>
      </c>
      <c r="K966" s="28">
        <f>IF(ISNUMBER($O966),INDEX('請求台帳'!$R$5:$R$1004,$O966),"")</f>
        <v/>
      </c>
      <c r="L966" s="20">
        <f>IF(NOT(OR($A966&lt;&gt;"",$E966&lt;&gt;"",$F966&lt;&gt;"",$G966&lt;&gt;"",$H966&lt;&gt;"",$I966&lt;&gt;"")),"",IF(NOT(ISNUMBER($A966)),"入金日がありません",IF(AND($F966&lt;&gt;"",$O966="なし"),"請求Noが請求台帳にありません",IF(AND(ISNUMBER($O966),$C966&lt;&gt;"",$C966&lt;&gt;$P966),"請求の得意先は "&amp;$P966&amp;" です",IF(ROUND(IF($B966&lt;&gt;"",SUMIF($B$5:$B$1004,$B966,$E$5:$E$1004)-SUMIF($B$5:$B$1004,$B966,$G$5:$G$1004),N($E966)-N($G966)),0)&lt;&gt;0,"通帳の額と当てた額の差 "&amp;TEXT(IF($B966&lt;&gt;"",SUMIF($B$5:$B$1004,$B966,$E$5:$E$1004)-SUMIF($B$5:$B$1004,$B966,$G$5:$G$1004),N($E966)-N($G966)),"#,##0"),IF(AND(ISNUMBER($O966),N($K966)&lt;0),"請求額より多く消し込んでいます",IF($F966="","消込先が未定","OK")))))))</f>
        <v/>
      </c>
      <c r="M966" s="19" t="n"/>
      <c r="N966" s="56" t="n"/>
      <c r="O966" s="32">
        <f>IF($F966="","",IFERROR(MATCH($F966,'請求台帳'!$A$5:$A$1004,0),"なし"))</f>
        <v/>
      </c>
      <c r="P966" s="37">
        <f>IF(NOT(OR($A966&lt;&gt;"",$E966&lt;&gt;"",$F966&lt;&gt;"",$G966&lt;&gt;"",$H966&lt;&gt;"",$I966&lt;&gt;"")),"",IF(ISNUMBER($O966),IF(INDEX('請求台帳'!$C$5:$C$1004,$O966)="","",INDEX('請求台帳'!$C$5:$C$1004,$O966)),IF($C966="","",$C966)))</f>
        <v/>
      </c>
      <c r="Q966" s="35">
        <f>IF(OR(NOT(OR($A966&lt;&gt;"",$E966&lt;&gt;"",$F966&lt;&gt;"",$G966&lt;&gt;"",$H966&lt;&gt;"",$I966&lt;&gt;"")),$P966="",$P966&lt;&gt;'売掛帳'!$B$3,NOT(ISNUMBER($A966)),N($G966)+N($H966)+N($I966)=0),"",IF(AND($A966&gt;='売掛帳'!$Q$3,$A966&lt;='売掛帳'!$Q$4),$A966+0.5+ROW()/10000000,""))</f>
        <v/>
      </c>
      <c r="R966" s="32">
        <f>IF(AND(OR($A966&lt;&gt;"",$E966&lt;&gt;"",$F966&lt;&gt;"",$G966&lt;&gt;"",$H966&lt;&gt;"",$I966&lt;&gt;""),NOT(ISNUMBER($O966))),1,"")</f>
        <v/>
      </c>
    </row>
    <row r="967" ht="18" customHeight="1">
      <c r="A967" s="26" t="n"/>
      <c r="B967" s="18" t="n"/>
      <c r="C967" s="18" t="n"/>
      <c r="D967" s="20">
        <f>IF($P967="","",IFERROR(INDEX('得意先'!$C$5:$C$104,MATCH($P967,'得意先'!$B$5:$B$104,0))&amp;"","※得意先にないコード"))</f>
        <v/>
      </c>
      <c r="E967" s="27" t="n"/>
      <c r="F967" s="18" t="n"/>
      <c r="G967" s="27" t="n"/>
      <c r="H967" s="27" t="n"/>
      <c r="I967" s="27" t="n"/>
      <c r="J967" s="28">
        <f>IF(NOT(OR($A967&lt;&gt;"",$E967&lt;&gt;"",$F967&lt;&gt;"",$G967&lt;&gt;"",$H967&lt;&gt;"",$I967&lt;&gt;"")),"",N($G967)+N($H967)+N($I967))</f>
        <v/>
      </c>
      <c r="K967" s="28">
        <f>IF(ISNUMBER($O967),INDEX('請求台帳'!$R$5:$R$1004,$O967),"")</f>
        <v/>
      </c>
      <c r="L967" s="20">
        <f>IF(NOT(OR($A967&lt;&gt;"",$E967&lt;&gt;"",$F967&lt;&gt;"",$G967&lt;&gt;"",$H967&lt;&gt;"",$I967&lt;&gt;"")),"",IF(NOT(ISNUMBER($A967)),"入金日がありません",IF(AND($F967&lt;&gt;"",$O967="なし"),"請求Noが請求台帳にありません",IF(AND(ISNUMBER($O967),$C967&lt;&gt;"",$C967&lt;&gt;$P967),"請求の得意先は "&amp;$P967&amp;" です",IF(ROUND(IF($B967&lt;&gt;"",SUMIF($B$5:$B$1004,$B967,$E$5:$E$1004)-SUMIF($B$5:$B$1004,$B967,$G$5:$G$1004),N($E967)-N($G967)),0)&lt;&gt;0,"通帳の額と当てた額の差 "&amp;TEXT(IF($B967&lt;&gt;"",SUMIF($B$5:$B$1004,$B967,$E$5:$E$1004)-SUMIF($B$5:$B$1004,$B967,$G$5:$G$1004),N($E967)-N($G967)),"#,##0"),IF(AND(ISNUMBER($O967),N($K967)&lt;0),"請求額より多く消し込んでいます",IF($F967="","消込先が未定","OK")))))))</f>
        <v/>
      </c>
      <c r="M967" s="19" t="n"/>
      <c r="N967" s="56" t="n"/>
      <c r="O967" s="32">
        <f>IF($F967="","",IFERROR(MATCH($F967,'請求台帳'!$A$5:$A$1004,0),"なし"))</f>
        <v/>
      </c>
      <c r="P967" s="37">
        <f>IF(NOT(OR($A967&lt;&gt;"",$E967&lt;&gt;"",$F967&lt;&gt;"",$G967&lt;&gt;"",$H967&lt;&gt;"",$I967&lt;&gt;"")),"",IF(ISNUMBER($O967),IF(INDEX('請求台帳'!$C$5:$C$1004,$O967)="","",INDEX('請求台帳'!$C$5:$C$1004,$O967)),IF($C967="","",$C967)))</f>
        <v/>
      </c>
      <c r="Q967" s="35">
        <f>IF(OR(NOT(OR($A967&lt;&gt;"",$E967&lt;&gt;"",$F967&lt;&gt;"",$G967&lt;&gt;"",$H967&lt;&gt;"",$I967&lt;&gt;"")),$P967="",$P967&lt;&gt;'売掛帳'!$B$3,NOT(ISNUMBER($A967)),N($G967)+N($H967)+N($I967)=0),"",IF(AND($A967&gt;='売掛帳'!$Q$3,$A967&lt;='売掛帳'!$Q$4),$A967+0.5+ROW()/10000000,""))</f>
        <v/>
      </c>
      <c r="R967" s="32">
        <f>IF(AND(OR($A967&lt;&gt;"",$E967&lt;&gt;"",$F967&lt;&gt;"",$G967&lt;&gt;"",$H967&lt;&gt;"",$I967&lt;&gt;""),NOT(ISNUMBER($O967))),1,"")</f>
        <v/>
      </c>
    </row>
    <row r="968" ht="18" customHeight="1">
      <c r="A968" s="26" t="n"/>
      <c r="B968" s="18" t="n"/>
      <c r="C968" s="18" t="n"/>
      <c r="D968" s="20">
        <f>IF($P968="","",IFERROR(INDEX('得意先'!$C$5:$C$104,MATCH($P968,'得意先'!$B$5:$B$104,0))&amp;"","※得意先にないコード"))</f>
        <v/>
      </c>
      <c r="E968" s="27" t="n"/>
      <c r="F968" s="18" t="n"/>
      <c r="G968" s="27" t="n"/>
      <c r="H968" s="27" t="n"/>
      <c r="I968" s="27" t="n"/>
      <c r="J968" s="28">
        <f>IF(NOT(OR($A968&lt;&gt;"",$E968&lt;&gt;"",$F968&lt;&gt;"",$G968&lt;&gt;"",$H968&lt;&gt;"",$I968&lt;&gt;"")),"",N($G968)+N($H968)+N($I968))</f>
        <v/>
      </c>
      <c r="K968" s="28">
        <f>IF(ISNUMBER($O968),INDEX('請求台帳'!$R$5:$R$1004,$O968),"")</f>
        <v/>
      </c>
      <c r="L968" s="20">
        <f>IF(NOT(OR($A968&lt;&gt;"",$E968&lt;&gt;"",$F968&lt;&gt;"",$G968&lt;&gt;"",$H968&lt;&gt;"",$I968&lt;&gt;"")),"",IF(NOT(ISNUMBER($A968)),"入金日がありません",IF(AND($F968&lt;&gt;"",$O968="なし"),"請求Noが請求台帳にありません",IF(AND(ISNUMBER($O968),$C968&lt;&gt;"",$C968&lt;&gt;$P968),"請求の得意先は "&amp;$P968&amp;" です",IF(ROUND(IF($B968&lt;&gt;"",SUMIF($B$5:$B$1004,$B968,$E$5:$E$1004)-SUMIF($B$5:$B$1004,$B968,$G$5:$G$1004),N($E968)-N($G968)),0)&lt;&gt;0,"通帳の額と当てた額の差 "&amp;TEXT(IF($B968&lt;&gt;"",SUMIF($B$5:$B$1004,$B968,$E$5:$E$1004)-SUMIF($B$5:$B$1004,$B968,$G$5:$G$1004),N($E968)-N($G968)),"#,##0"),IF(AND(ISNUMBER($O968),N($K968)&lt;0),"請求額より多く消し込んでいます",IF($F968="","消込先が未定","OK")))))))</f>
        <v/>
      </c>
      <c r="M968" s="19" t="n"/>
      <c r="N968" s="56" t="n"/>
      <c r="O968" s="32">
        <f>IF($F968="","",IFERROR(MATCH($F968,'請求台帳'!$A$5:$A$1004,0),"なし"))</f>
        <v/>
      </c>
      <c r="P968" s="37">
        <f>IF(NOT(OR($A968&lt;&gt;"",$E968&lt;&gt;"",$F968&lt;&gt;"",$G968&lt;&gt;"",$H968&lt;&gt;"",$I968&lt;&gt;"")),"",IF(ISNUMBER($O968),IF(INDEX('請求台帳'!$C$5:$C$1004,$O968)="","",INDEX('請求台帳'!$C$5:$C$1004,$O968)),IF($C968="","",$C968)))</f>
        <v/>
      </c>
      <c r="Q968" s="35">
        <f>IF(OR(NOT(OR($A968&lt;&gt;"",$E968&lt;&gt;"",$F968&lt;&gt;"",$G968&lt;&gt;"",$H968&lt;&gt;"",$I968&lt;&gt;"")),$P968="",$P968&lt;&gt;'売掛帳'!$B$3,NOT(ISNUMBER($A968)),N($G968)+N($H968)+N($I968)=0),"",IF(AND($A968&gt;='売掛帳'!$Q$3,$A968&lt;='売掛帳'!$Q$4),$A968+0.5+ROW()/10000000,""))</f>
        <v/>
      </c>
      <c r="R968" s="32">
        <f>IF(AND(OR($A968&lt;&gt;"",$E968&lt;&gt;"",$F968&lt;&gt;"",$G968&lt;&gt;"",$H968&lt;&gt;"",$I968&lt;&gt;""),NOT(ISNUMBER($O968))),1,"")</f>
        <v/>
      </c>
    </row>
    <row r="969" ht="18" customHeight="1">
      <c r="A969" s="26" t="n"/>
      <c r="B969" s="18" t="n"/>
      <c r="C969" s="18" t="n"/>
      <c r="D969" s="20">
        <f>IF($P969="","",IFERROR(INDEX('得意先'!$C$5:$C$104,MATCH($P969,'得意先'!$B$5:$B$104,0))&amp;"","※得意先にないコード"))</f>
        <v/>
      </c>
      <c r="E969" s="27" t="n"/>
      <c r="F969" s="18" t="n"/>
      <c r="G969" s="27" t="n"/>
      <c r="H969" s="27" t="n"/>
      <c r="I969" s="27" t="n"/>
      <c r="J969" s="28">
        <f>IF(NOT(OR($A969&lt;&gt;"",$E969&lt;&gt;"",$F969&lt;&gt;"",$G969&lt;&gt;"",$H969&lt;&gt;"",$I969&lt;&gt;"")),"",N($G969)+N($H969)+N($I969))</f>
        <v/>
      </c>
      <c r="K969" s="28">
        <f>IF(ISNUMBER($O969),INDEX('請求台帳'!$R$5:$R$1004,$O969),"")</f>
        <v/>
      </c>
      <c r="L969" s="20">
        <f>IF(NOT(OR($A969&lt;&gt;"",$E969&lt;&gt;"",$F969&lt;&gt;"",$G969&lt;&gt;"",$H969&lt;&gt;"",$I969&lt;&gt;"")),"",IF(NOT(ISNUMBER($A969)),"入金日がありません",IF(AND($F969&lt;&gt;"",$O969="なし"),"請求Noが請求台帳にありません",IF(AND(ISNUMBER($O969),$C969&lt;&gt;"",$C969&lt;&gt;$P969),"請求の得意先は "&amp;$P969&amp;" です",IF(ROUND(IF($B969&lt;&gt;"",SUMIF($B$5:$B$1004,$B969,$E$5:$E$1004)-SUMIF($B$5:$B$1004,$B969,$G$5:$G$1004),N($E969)-N($G969)),0)&lt;&gt;0,"通帳の額と当てた額の差 "&amp;TEXT(IF($B969&lt;&gt;"",SUMIF($B$5:$B$1004,$B969,$E$5:$E$1004)-SUMIF($B$5:$B$1004,$B969,$G$5:$G$1004),N($E969)-N($G969)),"#,##0"),IF(AND(ISNUMBER($O969),N($K969)&lt;0),"請求額より多く消し込んでいます",IF($F969="","消込先が未定","OK")))))))</f>
        <v/>
      </c>
      <c r="M969" s="19" t="n"/>
      <c r="N969" s="56" t="n"/>
      <c r="O969" s="32">
        <f>IF($F969="","",IFERROR(MATCH($F969,'請求台帳'!$A$5:$A$1004,0),"なし"))</f>
        <v/>
      </c>
      <c r="P969" s="37">
        <f>IF(NOT(OR($A969&lt;&gt;"",$E969&lt;&gt;"",$F969&lt;&gt;"",$G969&lt;&gt;"",$H969&lt;&gt;"",$I969&lt;&gt;"")),"",IF(ISNUMBER($O969),IF(INDEX('請求台帳'!$C$5:$C$1004,$O969)="","",INDEX('請求台帳'!$C$5:$C$1004,$O969)),IF($C969="","",$C969)))</f>
        <v/>
      </c>
      <c r="Q969" s="35">
        <f>IF(OR(NOT(OR($A969&lt;&gt;"",$E969&lt;&gt;"",$F969&lt;&gt;"",$G969&lt;&gt;"",$H969&lt;&gt;"",$I969&lt;&gt;"")),$P969="",$P969&lt;&gt;'売掛帳'!$B$3,NOT(ISNUMBER($A969)),N($G969)+N($H969)+N($I969)=0),"",IF(AND($A969&gt;='売掛帳'!$Q$3,$A969&lt;='売掛帳'!$Q$4),$A969+0.5+ROW()/10000000,""))</f>
        <v/>
      </c>
      <c r="R969" s="32">
        <f>IF(AND(OR($A969&lt;&gt;"",$E969&lt;&gt;"",$F969&lt;&gt;"",$G969&lt;&gt;"",$H969&lt;&gt;"",$I969&lt;&gt;""),NOT(ISNUMBER($O969))),1,"")</f>
        <v/>
      </c>
    </row>
    <row r="970" ht="18" customHeight="1">
      <c r="A970" s="26" t="n"/>
      <c r="B970" s="18" t="n"/>
      <c r="C970" s="18" t="n"/>
      <c r="D970" s="20">
        <f>IF($P970="","",IFERROR(INDEX('得意先'!$C$5:$C$104,MATCH($P970,'得意先'!$B$5:$B$104,0))&amp;"","※得意先にないコード"))</f>
        <v/>
      </c>
      <c r="E970" s="27" t="n"/>
      <c r="F970" s="18" t="n"/>
      <c r="G970" s="27" t="n"/>
      <c r="H970" s="27" t="n"/>
      <c r="I970" s="27" t="n"/>
      <c r="J970" s="28">
        <f>IF(NOT(OR($A970&lt;&gt;"",$E970&lt;&gt;"",$F970&lt;&gt;"",$G970&lt;&gt;"",$H970&lt;&gt;"",$I970&lt;&gt;"")),"",N($G970)+N($H970)+N($I970))</f>
        <v/>
      </c>
      <c r="K970" s="28">
        <f>IF(ISNUMBER($O970),INDEX('請求台帳'!$R$5:$R$1004,$O970),"")</f>
        <v/>
      </c>
      <c r="L970" s="20">
        <f>IF(NOT(OR($A970&lt;&gt;"",$E970&lt;&gt;"",$F970&lt;&gt;"",$G970&lt;&gt;"",$H970&lt;&gt;"",$I970&lt;&gt;"")),"",IF(NOT(ISNUMBER($A970)),"入金日がありません",IF(AND($F970&lt;&gt;"",$O970="なし"),"請求Noが請求台帳にありません",IF(AND(ISNUMBER($O970),$C970&lt;&gt;"",$C970&lt;&gt;$P970),"請求の得意先は "&amp;$P970&amp;" です",IF(ROUND(IF($B970&lt;&gt;"",SUMIF($B$5:$B$1004,$B970,$E$5:$E$1004)-SUMIF($B$5:$B$1004,$B970,$G$5:$G$1004),N($E970)-N($G970)),0)&lt;&gt;0,"通帳の額と当てた額の差 "&amp;TEXT(IF($B970&lt;&gt;"",SUMIF($B$5:$B$1004,$B970,$E$5:$E$1004)-SUMIF($B$5:$B$1004,$B970,$G$5:$G$1004),N($E970)-N($G970)),"#,##0"),IF(AND(ISNUMBER($O970),N($K970)&lt;0),"請求額より多く消し込んでいます",IF($F970="","消込先が未定","OK")))))))</f>
        <v/>
      </c>
      <c r="M970" s="19" t="n"/>
      <c r="N970" s="56" t="n"/>
      <c r="O970" s="32">
        <f>IF($F970="","",IFERROR(MATCH($F970,'請求台帳'!$A$5:$A$1004,0),"なし"))</f>
        <v/>
      </c>
      <c r="P970" s="37">
        <f>IF(NOT(OR($A970&lt;&gt;"",$E970&lt;&gt;"",$F970&lt;&gt;"",$G970&lt;&gt;"",$H970&lt;&gt;"",$I970&lt;&gt;"")),"",IF(ISNUMBER($O970),IF(INDEX('請求台帳'!$C$5:$C$1004,$O970)="","",INDEX('請求台帳'!$C$5:$C$1004,$O970)),IF($C970="","",$C970)))</f>
        <v/>
      </c>
      <c r="Q970" s="35">
        <f>IF(OR(NOT(OR($A970&lt;&gt;"",$E970&lt;&gt;"",$F970&lt;&gt;"",$G970&lt;&gt;"",$H970&lt;&gt;"",$I970&lt;&gt;"")),$P970="",$P970&lt;&gt;'売掛帳'!$B$3,NOT(ISNUMBER($A970)),N($G970)+N($H970)+N($I970)=0),"",IF(AND($A970&gt;='売掛帳'!$Q$3,$A970&lt;='売掛帳'!$Q$4),$A970+0.5+ROW()/10000000,""))</f>
        <v/>
      </c>
      <c r="R970" s="32">
        <f>IF(AND(OR($A970&lt;&gt;"",$E970&lt;&gt;"",$F970&lt;&gt;"",$G970&lt;&gt;"",$H970&lt;&gt;"",$I970&lt;&gt;""),NOT(ISNUMBER($O970))),1,"")</f>
        <v/>
      </c>
    </row>
    <row r="971" ht="18" customHeight="1">
      <c r="A971" s="26" t="n"/>
      <c r="B971" s="18" t="n"/>
      <c r="C971" s="18" t="n"/>
      <c r="D971" s="20">
        <f>IF($P971="","",IFERROR(INDEX('得意先'!$C$5:$C$104,MATCH($P971,'得意先'!$B$5:$B$104,0))&amp;"","※得意先にないコード"))</f>
        <v/>
      </c>
      <c r="E971" s="27" t="n"/>
      <c r="F971" s="18" t="n"/>
      <c r="G971" s="27" t="n"/>
      <c r="H971" s="27" t="n"/>
      <c r="I971" s="27" t="n"/>
      <c r="J971" s="28">
        <f>IF(NOT(OR($A971&lt;&gt;"",$E971&lt;&gt;"",$F971&lt;&gt;"",$G971&lt;&gt;"",$H971&lt;&gt;"",$I971&lt;&gt;"")),"",N($G971)+N($H971)+N($I971))</f>
        <v/>
      </c>
      <c r="K971" s="28">
        <f>IF(ISNUMBER($O971),INDEX('請求台帳'!$R$5:$R$1004,$O971),"")</f>
        <v/>
      </c>
      <c r="L971" s="20">
        <f>IF(NOT(OR($A971&lt;&gt;"",$E971&lt;&gt;"",$F971&lt;&gt;"",$G971&lt;&gt;"",$H971&lt;&gt;"",$I971&lt;&gt;"")),"",IF(NOT(ISNUMBER($A971)),"入金日がありません",IF(AND($F971&lt;&gt;"",$O971="なし"),"請求Noが請求台帳にありません",IF(AND(ISNUMBER($O971),$C971&lt;&gt;"",$C971&lt;&gt;$P971),"請求の得意先は "&amp;$P971&amp;" です",IF(ROUND(IF($B971&lt;&gt;"",SUMIF($B$5:$B$1004,$B971,$E$5:$E$1004)-SUMIF($B$5:$B$1004,$B971,$G$5:$G$1004),N($E971)-N($G971)),0)&lt;&gt;0,"通帳の額と当てた額の差 "&amp;TEXT(IF($B971&lt;&gt;"",SUMIF($B$5:$B$1004,$B971,$E$5:$E$1004)-SUMIF($B$5:$B$1004,$B971,$G$5:$G$1004),N($E971)-N($G971)),"#,##0"),IF(AND(ISNUMBER($O971),N($K971)&lt;0),"請求額より多く消し込んでいます",IF($F971="","消込先が未定","OK")))))))</f>
        <v/>
      </c>
      <c r="M971" s="19" t="n"/>
      <c r="N971" s="56" t="n"/>
      <c r="O971" s="32">
        <f>IF($F971="","",IFERROR(MATCH($F971,'請求台帳'!$A$5:$A$1004,0),"なし"))</f>
        <v/>
      </c>
      <c r="P971" s="37">
        <f>IF(NOT(OR($A971&lt;&gt;"",$E971&lt;&gt;"",$F971&lt;&gt;"",$G971&lt;&gt;"",$H971&lt;&gt;"",$I971&lt;&gt;"")),"",IF(ISNUMBER($O971),IF(INDEX('請求台帳'!$C$5:$C$1004,$O971)="","",INDEX('請求台帳'!$C$5:$C$1004,$O971)),IF($C971="","",$C971)))</f>
        <v/>
      </c>
      <c r="Q971" s="35">
        <f>IF(OR(NOT(OR($A971&lt;&gt;"",$E971&lt;&gt;"",$F971&lt;&gt;"",$G971&lt;&gt;"",$H971&lt;&gt;"",$I971&lt;&gt;"")),$P971="",$P971&lt;&gt;'売掛帳'!$B$3,NOT(ISNUMBER($A971)),N($G971)+N($H971)+N($I971)=0),"",IF(AND($A971&gt;='売掛帳'!$Q$3,$A971&lt;='売掛帳'!$Q$4),$A971+0.5+ROW()/10000000,""))</f>
        <v/>
      </c>
      <c r="R971" s="32">
        <f>IF(AND(OR($A971&lt;&gt;"",$E971&lt;&gt;"",$F971&lt;&gt;"",$G971&lt;&gt;"",$H971&lt;&gt;"",$I971&lt;&gt;""),NOT(ISNUMBER($O971))),1,"")</f>
        <v/>
      </c>
    </row>
    <row r="972" ht="18" customHeight="1">
      <c r="A972" s="26" t="n"/>
      <c r="B972" s="18" t="n"/>
      <c r="C972" s="18" t="n"/>
      <c r="D972" s="20">
        <f>IF($P972="","",IFERROR(INDEX('得意先'!$C$5:$C$104,MATCH($P972,'得意先'!$B$5:$B$104,0))&amp;"","※得意先にないコード"))</f>
        <v/>
      </c>
      <c r="E972" s="27" t="n"/>
      <c r="F972" s="18" t="n"/>
      <c r="G972" s="27" t="n"/>
      <c r="H972" s="27" t="n"/>
      <c r="I972" s="27" t="n"/>
      <c r="J972" s="28">
        <f>IF(NOT(OR($A972&lt;&gt;"",$E972&lt;&gt;"",$F972&lt;&gt;"",$G972&lt;&gt;"",$H972&lt;&gt;"",$I972&lt;&gt;"")),"",N($G972)+N($H972)+N($I972))</f>
        <v/>
      </c>
      <c r="K972" s="28">
        <f>IF(ISNUMBER($O972),INDEX('請求台帳'!$R$5:$R$1004,$O972),"")</f>
        <v/>
      </c>
      <c r="L972" s="20">
        <f>IF(NOT(OR($A972&lt;&gt;"",$E972&lt;&gt;"",$F972&lt;&gt;"",$G972&lt;&gt;"",$H972&lt;&gt;"",$I972&lt;&gt;"")),"",IF(NOT(ISNUMBER($A972)),"入金日がありません",IF(AND($F972&lt;&gt;"",$O972="なし"),"請求Noが請求台帳にありません",IF(AND(ISNUMBER($O972),$C972&lt;&gt;"",$C972&lt;&gt;$P972),"請求の得意先は "&amp;$P972&amp;" です",IF(ROUND(IF($B972&lt;&gt;"",SUMIF($B$5:$B$1004,$B972,$E$5:$E$1004)-SUMIF($B$5:$B$1004,$B972,$G$5:$G$1004),N($E972)-N($G972)),0)&lt;&gt;0,"通帳の額と当てた額の差 "&amp;TEXT(IF($B972&lt;&gt;"",SUMIF($B$5:$B$1004,$B972,$E$5:$E$1004)-SUMIF($B$5:$B$1004,$B972,$G$5:$G$1004),N($E972)-N($G972)),"#,##0"),IF(AND(ISNUMBER($O972),N($K972)&lt;0),"請求額より多く消し込んでいます",IF($F972="","消込先が未定","OK")))))))</f>
        <v/>
      </c>
      <c r="M972" s="19" t="n"/>
      <c r="N972" s="56" t="n"/>
      <c r="O972" s="32">
        <f>IF($F972="","",IFERROR(MATCH($F972,'請求台帳'!$A$5:$A$1004,0),"なし"))</f>
        <v/>
      </c>
      <c r="P972" s="37">
        <f>IF(NOT(OR($A972&lt;&gt;"",$E972&lt;&gt;"",$F972&lt;&gt;"",$G972&lt;&gt;"",$H972&lt;&gt;"",$I972&lt;&gt;"")),"",IF(ISNUMBER($O972),IF(INDEX('請求台帳'!$C$5:$C$1004,$O972)="","",INDEX('請求台帳'!$C$5:$C$1004,$O972)),IF($C972="","",$C972)))</f>
        <v/>
      </c>
      <c r="Q972" s="35">
        <f>IF(OR(NOT(OR($A972&lt;&gt;"",$E972&lt;&gt;"",$F972&lt;&gt;"",$G972&lt;&gt;"",$H972&lt;&gt;"",$I972&lt;&gt;"")),$P972="",$P972&lt;&gt;'売掛帳'!$B$3,NOT(ISNUMBER($A972)),N($G972)+N($H972)+N($I972)=0),"",IF(AND($A972&gt;='売掛帳'!$Q$3,$A972&lt;='売掛帳'!$Q$4),$A972+0.5+ROW()/10000000,""))</f>
        <v/>
      </c>
      <c r="R972" s="32">
        <f>IF(AND(OR($A972&lt;&gt;"",$E972&lt;&gt;"",$F972&lt;&gt;"",$G972&lt;&gt;"",$H972&lt;&gt;"",$I972&lt;&gt;""),NOT(ISNUMBER($O972))),1,"")</f>
        <v/>
      </c>
    </row>
    <row r="973" ht="18" customHeight="1">
      <c r="A973" s="26" t="n"/>
      <c r="B973" s="18" t="n"/>
      <c r="C973" s="18" t="n"/>
      <c r="D973" s="20">
        <f>IF($P973="","",IFERROR(INDEX('得意先'!$C$5:$C$104,MATCH($P973,'得意先'!$B$5:$B$104,0))&amp;"","※得意先にないコード"))</f>
        <v/>
      </c>
      <c r="E973" s="27" t="n"/>
      <c r="F973" s="18" t="n"/>
      <c r="G973" s="27" t="n"/>
      <c r="H973" s="27" t="n"/>
      <c r="I973" s="27" t="n"/>
      <c r="J973" s="28">
        <f>IF(NOT(OR($A973&lt;&gt;"",$E973&lt;&gt;"",$F973&lt;&gt;"",$G973&lt;&gt;"",$H973&lt;&gt;"",$I973&lt;&gt;"")),"",N($G973)+N($H973)+N($I973))</f>
        <v/>
      </c>
      <c r="K973" s="28">
        <f>IF(ISNUMBER($O973),INDEX('請求台帳'!$R$5:$R$1004,$O973),"")</f>
        <v/>
      </c>
      <c r="L973" s="20">
        <f>IF(NOT(OR($A973&lt;&gt;"",$E973&lt;&gt;"",$F973&lt;&gt;"",$G973&lt;&gt;"",$H973&lt;&gt;"",$I973&lt;&gt;"")),"",IF(NOT(ISNUMBER($A973)),"入金日がありません",IF(AND($F973&lt;&gt;"",$O973="なし"),"請求Noが請求台帳にありません",IF(AND(ISNUMBER($O973),$C973&lt;&gt;"",$C973&lt;&gt;$P973),"請求の得意先は "&amp;$P973&amp;" です",IF(ROUND(IF($B973&lt;&gt;"",SUMIF($B$5:$B$1004,$B973,$E$5:$E$1004)-SUMIF($B$5:$B$1004,$B973,$G$5:$G$1004),N($E973)-N($G973)),0)&lt;&gt;0,"通帳の額と当てた額の差 "&amp;TEXT(IF($B973&lt;&gt;"",SUMIF($B$5:$B$1004,$B973,$E$5:$E$1004)-SUMIF($B$5:$B$1004,$B973,$G$5:$G$1004),N($E973)-N($G973)),"#,##0"),IF(AND(ISNUMBER($O973),N($K973)&lt;0),"請求額より多く消し込んでいます",IF($F973="","消込先が未定","OK")))))))</f>
        <v/>
      </c>
      <c r="M973" s="19" t="n"/>
      <c r="N973" s="56" t="n"/>
      <c r="O973" s="32">
        <f>IF($F973="","",IFERROR(MATCH($F973,'請求台帳'!$A$5:$A$1004,0),"なし"))</f>
        <v/>
      </c>
      <c r="P973" s="37">
        <f>IF(NOT(OR($A973&lt;&gt;"",$E973&lt;&gt;"",$F973&lt;&gt;"",$G973&lt;&gt;"",$H973&lt;&gt;"",$I973&lt;&gt;"")),"",IF(ISNUMBER($O973),IF(INDEX('請求台帳'!$C$5:$C$1004,$O973)="","",INDEX('請求台帳'!$C$5:$C$1004,$O973)),IF($C973="","",$C973)))</f>
        <v/>
      </c>
      <c r="Q973" s="35">
        <f>IF(OR(NOT(OR($A973&lt;&gt;"",$E973&lt;&gt;"",$F973&lt;&gt;"",$G973&lt;&gt;"",$H973&lt;&gt;"",$I973&lt;&gt;"")),$P973="",$P973&lt;&gt;'売掛帳'!$B$3,NOT(ISNUMBER($A973)),N($G973)+N($H973)+N($I973)=0),"",IF(AND($A973&gt;='売掛帳'!$Q$3,$A973&lt;='売掛帳'!$Q$4),$A973+0.5+ROW()/10000000,""))</f>
        <v/>
      </c>
      <c r="R973" s="32">
        <f>IF(AND(OR($A973&lt;&gt;"",$E973&lt;&gt;"",$F973&lt;&gt;"",$G973&lt;&gt;"",$H973&lt;&gt;"",$I973&lt;&gt;""),NOT(ISNUMBER($O973))),1,"")</f>
        <v/>
      </c>
    </row>
    <row r="974" ht="18" customHeight="1">
      <c r="A974" s="26" t="n"/>
      <c r="B974" s="18" t="n"/>
      <c r="C974" s="18" t="n"/>
      <c r="D974" s="20">
        <f>IF($P974="","",IFERROR(INDEX('得意先'!$C$5:$C$104,MATCH($P974,'得意先'!$B$5:$B$104,0))&amp;"","※得意先にないコード"))</f>
        <v/>
      </c>
      <c r="E974" s="27" t="n"/>
      <c r="F974" s="18" t="n"/>
      <c r="G974" s="27" t="n"/>
      <c r="H974" s="27" t="n"/>
      <c r="I974" s="27" t="n"/>
      <c r="J974" s="28">
        <f>IF(NOT(OR($A974&lt;&gt;"",$E974&lt;&gt;"",$F974&lt;&gt;"",$G974&lt;&gt;"",$H974&lt;&gt;"",$I974&lt;&gt;"")),"",N($G974)+N($H974)+N($I974))</f>
        <v/>
      </c>
      <c r="K974" s="28">
        <f>IF(ISNUMBER($O974),INDEX('請求台帳'!$R$5:$R$1004,$O974),"")</f>
        <v/>
      </c>
      <c r="L974" s="20">
        <f>IF(NOT(OR($A974&lt;&gt;"",$E974&lt;&gt;"",$F974&lt;&gt;"",$G974&lt;&gt;"",$H974&lt;&gt;"",$I974&lt;&gt;"")),"",IF(NOT(ISNUMBER($A974)),"入金日がありません",IF(AND($F974&lt;&gt;"",$O974="なし"),"請求Noが請求台帳にありません",IF(AND(ISNUMBER($O974),$C974&lt;&gt;"",$C974&lt;&gt;$P974),"請求の得意先は "&amp;$P974&amp;" です",IF(ROUND(IF($B974&lt;&gt;"",SUMIF($B$5:$B$1004,$B974,$E$5:$E$1004)-SUMIF($B$5:$B$1004,$B974,$G$5:$G$1004),N($E974)-N($G974)),0)&lt;&gt;0,"通帳の額と当てた額の差 "&amp;TEXT(IF($B974&lt;&gt;"",SUMIF($B$5:$B$1004,$B974,$E$5:$E$1004)-SUMIF($B$5:$B$1004,$B974,$G$5:$G$1004),N($E974)-N($G974)),"#,##0"),IF(AND(ISNUMBER($O974),N($K974)&lt;0),"請求額より多く消し込んでいます",IF($F974="","消込先が未定","OK")))))))</f>
        <v/>
      </c>
      <c r="M974" s="19" t="n"/>
      <c r="N974" s="56" t="n"/>
      <c r="O974" s="32">
        <f>IF($F974="","",IFERROR(MATCH($F974,'請求台帳'!$A$5:$A$1004,0),"なし"))</f>
        <v/>
      </c>
      <c r="P974" s="37">
        <f>IF(NOT(OR($A974&lt;&gt;"",$E974&lt;&gt;"",$F974&lt;&gt;"",$G974&lt;&gt;"",$H974&lt;&gt;"",$I974&lt;&gt;"")),"",IF(ISNUMBER($O974),IF(INDEX('請求台帳'!$C$5:$C$1004,$O974)="","",INDEX('請求台帳'!$C$5:$C$1004,$O974)),IF($C974="","",$C974)))</f>
        <v/>
      </c>
      <c r="Q974" s="35">
        <f>IF(OR(NOT(OR($A974&lt;&gt;"",$E974&lt;&gt;"",$F974&lt;&gt;"",$G974&lt;&gt;"",$H974&lt;&gt;"",$I974&lt;&gt;"")),$P974="",$P974&lt;&gt;'売掛帳'!$B$3,NOT(ISNUMBER($A974)),N($G974)+N($H974)+N($I974)=0),"",IF(AND($A974&gt;='売掛帳'!$Q$3,$A974&lt;='売掛帳'!$Q$4),$A974+0.5+ROW()/10000000,""))</f>
        <v/>
      </c>
      <c r="R974" s="32">
        <f>IF(AND(OR($A974&lt;&gt;"",$E974&lt;&gt;"",$F974&lt;&gt;"",$G974&lt;&gt;"",$H974&lt;&gt;"",$I974&lt;&gt;""),NOT(ISNUMBER($O974))),1,"")</f>
        <v/>
      </c>
    </row>
    <row r="975" ht="18" customHeight="1">
      <c r="A975" s="26" t="n"/>
      <c r="B975" s="18" t="n"/>
      <c r="C975" s="18" t="n"/>
      <c r="D975" s="20">
        <f>IF($P975="","",IFERROR(INDEX('得意先'!$C$5:$C$104,MATCH($P975,'得意先'!$B$5:$B$104,0))&amp;"","※得意先にないコード"))</f>
        <v/>
      </c>
      <c r="E975" s="27" t="n"/>
      <c r="F975" s="18" t="n"/>
      <c r="G975" s="27" t="n"/>
      <c r="H975" s="27" t="n"/>
      <c r="I975" s="27" t="n"/>
      <c r="J975" s="28">
        <f>IF(NOT(OR($A975&lt;&gt;"",$E975&lt;&gt;"",$F975&lt;&gt;"",$G975&lt;&gt;"",$H975&lt;&gt;"",$I975&lt;&gt;"")),"",N($G975)+N($H975)+N($I975))</f>
        <v/>
      </c>
      <c r="K975" s="28">
        <f>IF(ISNUMBER($O975),INDEX('請求台帳'!$R$5:$R$1004,$O975),"")</f>
        <v/>
      </c>
      <c r="L975" s="20">
        <f>IF(NOT(OR($A975&lt;&gt;"",$E975&lt;&gt;"",$F975&lt;&gt;"",$G975&lt;&gt;"",$H975&lt;&gt;"",$I975&lt;&gt;"")),"",IF(NOT(ISNUMBER($A975)),"入金日がありません",IF(AND($F975&lt;&gt;"",$O975="なし"),"請求Noが請求台帳にありません",IF(AND(ISNUMBER($O975),$C975&lt;&gt;"",$C975&lt;&gt;$P975),"請求の得意先は "&amp;$P975&amp;" です",IF(ROUND(IF($B975&lt;&gt;"",SUMIF($B$5:$B$1004,$B975,$E$5:$E$1004)-SUMIF($B$5:$B$1004,$B975,$G$5:$G$1004),N($E975)-N($G975)),0)&lt;&gt;0,"通帳の額と当てた額の差 "&amp;TEXT(IF($B975&lt;&gt;"",SUMIF($B$5:$B$1004,$B975,$E$5:$E$1004)-SUMIF($B$5:$B$1004,$B975,$G$5:$G$1004),N($E975)-N($G975)),"#,##0"),IF(AND(ISNUMBER($O975),N($K975)&lt;0),"請求額より多く消し込んでいます",IF($F975="","消込先が未定","OK")))))))</f>
        <v/>
      </c>
      <c r="M975" s="19" t="n"/>
      <c r="N975" s="56" t="n"/>
      <c r="O975" s="32">
        <f>IF($F975="","",IFERROR(MATCH($F975,'請求台帳'!$A$5:$A$1004,0),"なし"))</f>
        <v/>
      </c>
      <c r="P975" s="37">
        <f>IF(NOT(OR($A975&lt;&gt;"",$E975&lt;&gt;"",$F975&lt;&gt;"",$G975&lt;&gt;"",$H975&lt;&gt;"",$I975&lt;&gt;"")),"",IF(ISNUMBER($O975),IF(INDEX('請求台帳'!$C$5:$C$1004,$O975)="","",INDEX('請求台帳'!$C$5:$C$1004,$O975)),IF($C975="","",$C975)))</f>
        <v/>
      </c>
      <c r="Q975" s="35">
        <f>IF(OR(NOT(OR($A975&lt;&gt;"",$E975&lt;&gt;"",$F975&lt;&gt;"",$G975&lt;&gt;"",$H975&lt;&gt;"",$I975&lt;&gt;"")),$P975="",$P975&lt;&gt;'売掛帳'!$B$3,NOT(ISNUMBER($A975)),N($G975)+N($H975)+N($I975)=0),"",IF(AND($A975&gt;='売掛帳'!$Q$3,$A975&lt;='売掛帳'!$Q$4),$A975+0.5+ROW()/10000000,""))</f>
        <v/>
      </c>
      <c r="R975" s="32">
        <f>IF(AND(OR($A975&lt;&gt;"",$E975&lt;&gt;"",$F975&lt;&gt;"",$G975&lt;&gt;"",$H975&lt;&gt;"",$I975&lt;&gt;""),NOT(ISNUMBER($O975))),1,"")</f>
        <v/>
      </c>
    </row>
    <row r="976" ht="18" customHeight="1">
      <c r="A976" s="26" t="n"/>
      <c r="B976" s="18" t="n"/>
      <c r="C976" s="18" t="n"/>
      <c r="D976" s="20">
        <f>IF($P976="","",IFERROR(INDEX('得意先'!$C$5:$C$104,MATCH($P976,'得意先'!$B$5:$B$104,0))&amp;"","※得意先にないコード"))</f>
        <v/>
      </c>
      <c r="E976" s="27" t="n"/>
      <c r="F976" s="18" t="n"/>
      <c r="G976" s="27" t="n"/>
      <c r="H976" s="27" t="n"/>
      <c r="I976" s="27" t="n"/>
      <c r="J976" s="28">
        <f>IF(NOT(OR($A976&lt;&gt;"",$E976&lt;&gt;"",$F976&lt;&gt;"",$G976&lt;&gt;"",$H976&lt;&gt;"",$I976&lt;&gt;"")),"",N($G976)+N($H976)+N($I976))</f>
        <v/>
      </c>
      <c r="K976" s="28">
        <f>IF(ISNUMBER($O976),INDEX('請求台帳'!$R$5:$R$1004,$O976),"")</f>
        <v/>
      </c>
      <c r="L976" s="20">
        <f>IF(NOT(OR($A976&lt;&gt;"",$E976&lt;&gt;"",$F976&lt;&gt;"",$G976&lt;&gt;"",$H976&lt;&gt;"",$I976&lt;&gt;"")),"",IF(NOT(ISNUMBER($A976)),"入金日がありません",IF(AND($F976&lt;&gt;"",$O976="なし"),"請求Noが請求台帳にありません",IF(AND(ISNUMBER($O976),$C976&lt;&gt;"",$C976&lt;&gt;$P976),"請求の得意先は "&amp;$P976&amp;" です",IF(ROUND(IF($B976&lt;&gt;"",SUMIF($B$5:$B$1004,$B976,$E$5:$E$1004)-SUMIF($B$5:$B$1004,$B976,$G$5:$G$1004),N($E976)-N($G976)),0)&lt;&gt;0,"通帳の額と当てた額の差 "&amp;TEXT(IF($B976&lt;&gt;"",SUMIF($B$5:$B$1004,$B976,$E$5:$E$1004)-SUMIF($B$5:$B$1004,$B976,$G$5:$G$1004),N($E976)-N($G976)),"#,##0"),IF(AND(ISNUMBER($O976),N($K976)&lt;0),"請求額より多く消し込んでいます",IF($F976="","消込先が未定","OK")))))))</f>
        <v/>
      </c>
      <c r="M976" s="19" t="n"/>
      <c r="N976" s="56" t="n"/>
      <c r="O976" s="32">
        <f>IF($F976="","",IFERROR(MATCH($F976,'請求台帳'!$A$5:$A$1004,0),"なし"))</f>
        <v/>
      </c>
      <c r="P976" s="37">
        <f>IF(NOT(OR($A976&lt;&gt;"",$E976&lt;&gt;"",$F976&lt;&gt;"",$G976&lt;&gt;"",$H976&lt;&gt;"",$I976&lt;&gt;"")),"",IF(ISNUMBER($O976),IF(INDEX('請求台帳'!$C$5:$C$1004,$O976)="","",INDEX('請求台帳'!$C$5:$C$1004,$O976)),IF($C976="","",$C976)))</f>
        <v/>
      </c>
      <c r="Q976" s="35">
        <f>IF(OR(NOT(OR($A976&lt;&gt;"",$E976&lt;&gt;"",$F976&lt;&gt;"",$G976&lt;&gt;"",$H976&lt;&gt;"",$I976&lt;&gt;"")),$P976="",$P976&lt;&gt;'売掛帳'!$B$3,NOT(ISNUMBER($A976)),N($G976)+N($H976)+N($I976)=0),"",IF(AND($A976&gt;='売掛帳'!$Q$3,$A976&lt;='売掛帳'!$Q$4),$A976+0.5+ROW()/10000000,""))</f>
        <v/>
      </c>
      <c r="R976" s="32">
        <f>IF(AND(OR($A976&lt;&gt;"",$E976&lt;&gt;"",$F976&lt;&gt;"",$G976&lt;&gt;"",$H976&lt;&gt;"",$I976&lt;&gt;""),NOT(ISNUMBER($O976))),1,"")</f>
        <v/>
      </c>
    </row>
    <row r="977" ht="18" customHeight="1">
      <c r="A977" s="26" t="n"/>
      <c r="B977" s="18" t="n"/>
      <c r="C977" s="18" t="n"/>
      <c r="D977" s="20">
        <f>IF($P977="","",IFERROR(INDEX('得意先'!$C$5:$C$104,MATCH($P977,'得意先'!$B$5:$B$104,0))&amp;"","※得意先にないコード"))</f>
        <v/>
      </c>
      <c r="E977" s="27" t="n"/>
      <c r="F977" s="18" t="n"/>
      <c r="G977" s="27" t="n"/>
      <c r="H977" s="27" t="n"/>
      <c r="I977" s="27" t="n"/>
      <c r="J977" s="28">
        <f>IF(NOT(OR($A977&lt;&gt;"",$E977&lt;&gt;"",$F977&lt;&gt;"",$G977&lt;&gt;"",$H977&lt;&gt;"",$I977&lt;&gt;"")),"",N($G977)+N($H977)+N($I977))</f>
        <v/>
      </c>
      <c r="K977" s="28">
        <f>IF(ISNUMBER($O977),INDEX('請求台帳'!$R$5:$R$1004,$O977),"")</f>
        <v/>
      </c>
      <c r="L977" s="20">
        <f>IF(NOT(OR($A977&lt;&gt;"",$E977&lt;&gt;"",$F977&lt;&gt;"",$G977&lt;&gt;"",$H977&lt;&gt;"",$I977&lt;&gt;"")),"",IF(NOT(ISNUMBER($A977)),"入金日がありません",IF(AND($F977&lt;&gt;"",$O977="なし"),"請求Noが請求台帳にありません",IF(AND(ISNUMBER($O977),$C977&lt;&gt;"",$C977&lt;&gt;$P977),"請求の得意先は "&amp;$P977&amp;" です",IF(ROUND(IF($B977&lt;&gt;"",SUMIF($B$5:$B$1004,$B977,$E$5:$E$1004)-SUMIF($B$5:$B$1004,$B977,$G$5:$G$1004),N($E977)-N($G977)),0)&lt;&gt;0,"通帳の額と当てた額の差 "&amp;TEXT(IF($B977&lt;&gt;"",SUMIF($B$5:$B$1004,$B977,$E$5:$E$1004)-SUMIF($B$5:$B$1004,$B977,$G$5:$G$1004),N($E977)-N($G977)),"#,##0"),IF(AND(ISNUMBER($O977),N($K977)&lt;0),"請求額より多く消し込んでいます",IF($F977="","消込先が未定","OK")))))))</f>
        <v/>
      </c>
      <c r="M977" s="19" t="n"/>
      <c r="N977" s="56" t="n"/>
      <c r="O977" s="32">
        <f>IF($F977="","",IFERROR(MATCH($F977,'請求台帳'!$A$5:$A$1004,0),"なし"))</f>
        <v/>
      </c>
      <c r="P977" s="37">
        <f>IF(NOT(OR($A977&lt;&gt;"",$E977&lt;&gt;"",$F977&lt;&gt;"",$G977&lt;&gt;"",$H977&lt;&gt;"",$I977&lt;&gt;"")),"",IF(ISNUMBER($O977),IF(INDEX('請求台帳'!$C$5:$C$1004,$O977)="","",INDEX('請求台帳'!$C$5:$C$1004,$O977)),IF($C977="","",$C977)))</f>
        <v/>
      </c>
      <c r="Q977" s="35">
        <f>IF(OR(NOT(OR($A977&lt;&gt;"",$E977&lt;&gt;"",$F977&lt;&gt;"",$G977&lt;&gt;"",$H977&lt;&gt;"",$I977&lt;&gt;"")),$P977="",$P977&lt;&gt;'売掛帳'!$B$3,NOT(ISNUMBER($A977)),N($G977)+N($H977)+N($I977)=0),"",IF(AND($A977&gt;='売掛帳'!$Q$3,$A977&lt;='売掛帳'!$Q$4),$A977+0.5+ROW()/10000000,""))</f>
        <v/>
      </c>
      <c r="R977" s="32">
        <f>IF(AND(OR($A977&lt;&gt;"",$E977&lt;&gt;"",$F977&lt;&gt;"",$G977&lt;&gt;"",$H977&lt;&gt;"",$I977&lt;&gt;""),NOT(ISNUMBER($O977))),1,"")</f>
        <v/>
      </c>
    </row>
    <row r="978" ht="18" customHeight="1">
      <c r="A978" s="26" t="n"/>
      <c r="B978" s="18" t="n"/>
      <c r="C978" s="18" t="n"/>
      <c r="D978" s="20">
        <f>IF($P978="","",IFERROR(INDEX('得意先'!$C$5:$C$104,MATCH($P978,'得意先'!$B$5:$B$104,0))&amp;"","※得意先にないコード"))</f>
        <v/>
      </c>
      <c r="E978" s="27" t="n"/>
      <c r="F978" s="18" t="n"/>
      <c r="G978" s="27" t="n"/>
      <c r="H978" s="27" t="n"/>
      <c r="I978" s="27" t="n"/>
      <c r="J978" s="28">
        <f>IF(NOT(OR($A978&lt;&gt;"",$E978&lt;&gt;"",$F978&lt;&gt;"",$G978&lt;&gt;"",$H978&lt;&gt;"",$I978&lt;&gt;"")),"",N($G978)+N($H978)+N($I978))</f>
        <v/>
      </c>
      <c r="K978" s="28">
        <f>IF(ISNUMBER($O978),INDEX('請求台帳'!$R$5:$R$1004,$O978),"")</f>
        <v/>
      </c>
      <c r="L978" s="20">
        <f>IF(NOT(OR($A978&lt;&gt;"",$E978&lt;&gt;"",$F978&lt;&gt;"",$G978&lt;&gt;"",$H978&lt;&gt;"",$I978&lt;&gt;"")),"",IF(NOT(ISNUMBER($A978)),"入金日がありません",IF(AND($F978&lt;&gt;"",$O978="なし"),"請求Noが請求台帳にありません",IF(AND(ISNUMBER($O978),$C978&lt;&gt;"",$C978&lt;&gt;$P978),"請求の得意先は "&amp;$P978&amp;" です",IF(ROUND(IF($B978&lt;&gt;"",SUMIF($B$5:$B$1004,$B978,$E$5:$E$1004)-SUMIF($B$5:$B$1004,$B978,$G$5:$G$1004),N($E978)-N($G978)),0)&lt;&gt;0,"通帳の額と当てた額の差 "&amp;TEXT(IF($B978&lt;&gt;"",SUMIF($B$5:$B$1004,$B978,$E$5:$E$1004)-SUMIF($B$5:$B$1004,$B978,$G$5:$G$1004),N($E978)-N($G978)),"#,##0"),IF(AND(ISNUMBER($O978),N($K978)&lt;0),"請求額より多く消し込んでいます",IF($F978="","消込先が未定","OK")))))))</f>
        <v/>
      </c>
      <c r="M978" s="19" t="n"/>
      <c r="N978" s="56" t="n"/>
      <c r="O978" s="32">
        <f>IF($F978="","",IFERROR(MATCH($F978,'請求台帳'!$A$5:$A$1004,0),"なし"))</f>
        <v/>
      </c>
      <c r="P978" s="37">
        <f>IF(NOT(OR($A978&lt;&gt;"",$E978&lt;&gt;"",$F978&lt;&gt;"",$G978&lt;&gt;"",$H978&lt;&gt;"",$I978&lt;&gt;"")),"",IF(ISNUMBER($O978),IF(INDEX('請求台帳'!$C$5:$C$1004,$O978)="","",INDEX('請求台帳'!$C$5:$C$1004,$O978)),IF($C978="","",$C978)))</f>
        <v/>
      </c>
      <c r="Q978" s="35">
        <f>IF(OR(NOT(OR($A978&lt;&gt;"",$E978&lt;&gt;"",$F978&lt;&gt;"",$G978&lt;&gt;"",$H978&lt;&gt;"",$I978&lt;&gt;"")),$P978="",$P978&lt;&gt;'売掛帳'!$B$3,NOT(ISNUMBER($A978)),N($G978)+N($H978)+N($I978)=0),"",IF(AND($A978&gt;='売掛帳'!$Q$3,$A978&lt;='売掛帳'!$Q$4),$A978+0.5+ROW()/10000000,""))</f>
        <v/>
      </c>
      <c r="R978" s="32">
        <f>IF(AND(OR($A978&lt;&gt;"",$E978&lt;&gt;"",$F978&lt;&gt;"",$G978&lt;&gt;"",$H978&lt;&gt;"",$I978&lt;&gt;""),NOT(ISNUMBER($O978))),1,"")</f>
        <v/>
      </c>
    </row>
    <row r="979" ht="18" customHeight="1">
      <c r="A979" s="26" t="n"/>
      <c r="B979" s="18" t="n"/>
      <c r="C979" s="18" t="n"/>
      <c r="D979" s="20">
        <f>IF($P979="","",IFERROR(INDEX('得意先'!$C$5:$C$104,MATCH($P979,'得意先'!$B$5:$B$104,0))&amp;"","※得意先にないコード"))</f>
        <v/>
      </c>
      <c r="E979" s="27" t="n"/>
      <c r="F979" s="18" t="n"/>
      <c r="G979" s="27" t="n"/>
      <c r="H979" s="27" t="n"/>
      <c r="I979" s="27" t="n"/>
      <c r="J979" s="28">
        <f>IF(NOT(OR($A979&lt;&gt;"",$E979&lt;&gt;"",$F979&lt;&gt;"",$G979&lt;&gt;"",$H979&lt;&gt;"",$I979&lt;&gt;"")),"",N($G979)+N($H979)+N($I979))</f>
        <v/>
      </c>
      <c r="K979" s="28">
        <f>IF(ISNUMBER($O979),INDEX('請求台帳'!$R$5:$R$1004,$O979),"")</f>
        <v/>
      </c>
      <c r="L979" s="20">
        <f>IF(NOT(OR($A979&lt;&gt;"",$E979&lt;&gt;"",$F979&lt;&gt;"",$G979&lt;&gt;"",$H979&lt;&gt;"",$I979&lt;&gt;"")),"",IF(NOT(ISNUMBER($A979)),"入金日がありません",IF(AND($F979&lt;&gt;"",$O979="なし"),"請求Noが請求台帳にありません",IF(AND(ISNUMBER($O979),$C979&lt;&gt;"",$C979&lt;&gt;$P979),"請求の得意先は "&amp;$P979&amp;" です",IF(ROUND(IF($B979&lt;&gt;"",SUMIF($B$5:$B$1004,$B979,$E$5:$E$1004)-SUMIF($B$5:$B$1004,$B979,$G$5:$G$1004),N($E979)-N($G979)),0)&lt;&gt;0,"通帳の額と当てた額の差 "&amp;TEXT(IF($B979&lt;&gt;"",SUMIF($B$5:$B$1004,$B979,$E$5:$E$1004)-SUMIF($B$5:$B$1004,$B979,$G$5:$G$1004),N($E979)-N($G979)),"#,##0"),IF(AND(ISNUMBER($O979),N($K979)&lt;0),"請求額より多く消し込んでいます",IF($F979="","消込先が未定","OK")))))))</f>
        <v/>
      </c>
      <c r="M979" s="19" t="n"/>
      <c r="N979" s="56" t="n"/>
      <c r="O979" s="32">
        <f>IF($F979="","",IFERROR(MATCH($F979,'請求台帳'!$A$5:$A$1004,0),"なし"))</f>
        <v/>
      </c>
      <c r="P979" s="37">
        <f>IF(NOT(OR($A979&lt;&gt;"",$E979&lt;&gt;"",$F979&lt;&gt;"",$G979&lt;&gt;"",$H979&lt;&gt;"",$I979&lt;&gt;"")),"",IF(ISNUMBER($O979),IF(INDEX('請求台帳'!$C$5:$C$1004,$O979)="","",INDEX('請求台帳'!$C$5:$C$1004,$O979)),IF($C979="","",$C979)))</f>
        <v/>
      </c>
      <c r="Q979" s="35">
        <f>IF(OR(NOT(OR($A979&lt;&gt;"",$E979&lt;&gt;"",$F979&lt;&gt;"",$G979&lt;&gt;"",$H979&lt;&gt;"",$I979&lt;&gt;"")),$P979="",$P979&lt;&gt;'売掛帳'!$B$3,NOT(ISNUMBER($A979)),N($G979)+N($H979)+N($I979)=0),"",IF(AND($A979&gt;='売掛帳'!$Q$3,$A979&lt;='売掛帳'!$Q$4),$A979+0.5+ROW()/10000000,""))</f>
        <v/>
      </c>
      <c r="R979" s="32">
        <f>IF(AND(OR($A979&lt;&gt;"",$E979&lt;&gt;"",$F979&lt;&gt;"",$G979&lt;&gt;"",$H979&lt;&gt;"",$I979&lt;&gt;""),NOT(ISNUMBER($O979))),1,"")</f>
        <v/>
      </c>
    </row>
    <row r="980" ht="18" customHeight="1">
      <c r="A980" s="26" t="n"/>
      <c r="B980" s="18" t="n"/>
      <c r="C980" s="18" t="n"/>
      <c r="D980" s="20">
        <f>IF($P980="","",IFERROR(INDEX('得意先'!$C$5:$C$104,MATCH($P980,'得意先'!$B$5:$B$104,0))&amp;"","※得意先にないコード"))</f>
        <v/>
      </c>
      <c r="E980" s="27" t="n"/>
      <c r="F980" s="18" t="n"/>
      <c r="G980" s="27" t="n"/>
      <c r="H980" s="27" t="n"/>
      <c r="I980" s="27" t="n"/>
      <c r="J980" s="28">
        <f>IF(NOT(OR($A980&lt;&gt;"",$E980&lt;&gt;"",$F980&lt;&gt;"",$G980&lt;&gt;"",$H980&lt;&gt;"",$I980&lt;&gt;"")),"",N($G980)+N($H980)+N($I980))</f>
        <v/>
      </c>
      <c r="K980" s="28">
        <f>IF(ISNUMBER($O980),INDEX('請求台帳'!$R$5:$R$1004,$O980),"")</f>
        <v/>
      </c>
      <c r="L980" s="20">
        <f>IF(NOT(OR($A980&lt;&gt;"",$E980&lt;&gt;"",$F980&lt;&gt;"",$G980&lt;&gt;"",$H980&lt;&gt;"",$I980&lt;&gt;"")),"",IF(NOT(ISNUMBER($A980)),"入金日がありません",IF(AND($F980&lt;&gt;"",$O980="なし"),"請求Noが請求台帳にありません",IF(AND(ISNUMBER($O980),$C980&lt;&gt;"",$C980&lt;&gt;$P980),"請求の得意先は "&amp;$P980&amp;" です",IF(ROUND(IF($B980&lt;&gt;"",SUMIF($B$5:$B$1004,$B980,$E$5:$E$1004)-SUMIF($B$5:$B$1004,$B980,$G$5:$G$1004),N($E980)-N($G980)),0)&lt;&gt;0,"通帳の額と当てた額の差 "&amp;TEXT(IF($B980&lt;&gt;"",SUMIF($B$5:$B$1004,$B980,$E$5:$E$1004)-SUMIF($B$5:$B$1004,$B980,$G$5:$G$1004),N($E980)-N($G980)),"#,##0"),IF(AND(ISNUMBER($O980),N($K980)&lt;0),"請求額より多く消し込んでいます",IF($F980="","消込先が未定","OK")))))))</f>
        <v/>
      </c>
      <c r="M980" s="19" t="n"/>
      <c r="N980" s="56" t="n"/>
      <c r="O980" s="32">
        <f>IF($F980="","",IFERROR(MATCH($F980,'請求台帳'!$A$5:$A$1004,0),"なし"))</f>
        <v/>
      </c>
      <c r="P980" s="37">
        <f>IF(NOT(OR($A980&lt;&gt;"",$E980&lt;&gt;"",$F980&lt;&gt;"",$G980&lt;&gt;"",$H980&lt;&gt;"",$I980&lt;&gt;"")),"",IF(ISNUMBER($O980),IF(INDEX('請求台帳'!$C$5:$C$1004,$O980)="","",INDEX('請求台帳'!$C$5:$C$1004,$O980)),IF($C980="","",$C980)))</f>
        <v/>
      </c>
      <c r="Q980" s="35">
        <f>IF(OR(NOT(OR($A980&lt;&gt;"",$E980&lt;&gt;"",$F980&lt;&gt;"",$G980&lt;&gt;"",$H980&lt;&gt;"",$I980&lt;&gt;"")),$P980="",$P980&lt;&gt;'売掛帳'!$B$3,NOT(ISNUMBER($A980)),N($G980)+N($H980)+N($I980)=0),"",IF(AND($A980&gt;='売掛帳'!$Q$3,$A980&lt;='売掛帳'!$Q$4),$A980+0.5+ROW()/10000000,""))</f>
        <v/>
      </c>
      <c r="R980" s="32">
        <f>IF(AND(OR($A980&lt;&gt;"",$E980&lt;&gt;"",$F980&lt;&gt;"",$G980&lt;&gt;"",$H980&lt;&gt;"",$I980&lt;&gt;""),NOT(ISNUMBER($O980))),1,"")</f>
        <v/>
      </c>
    </row>
    <row r="981" ht="18" customHeight="1">
      <c r="A981" s="26" t="n"/>
      <c r="B981" s="18" t="n"/>
      <c r="C981" s="18" t="n"/>
      <c r="D981" s="20">
        <f>IF($P981="","",IFERROR(INDEX('得意先'!$C$5:$C$104,MATCH($P981,'得意先'!$B$5:$B$104,0))&amp;"","※得意先にないコード"))</f>
        <v/>
      </c>
      <c r="E981" s="27" t="n"/>
      <c r="F981" s="18" t="n"/>
      <c r="G981" s="27" t="n"/>
      <c r="H981" s="27" t="n"/>
      <c r="I981" s="27" t="n"/>
      <c r="J981" s="28">
        <f>IF(NOT(OR($A981&lt;&gt;"",$E981&lt;&gt;"",$F981&lt;&gt;"",$G981&lt;&gt;"",$H981&lt;&gt;"",$I981&lt;&gt;"")),"",N($G981)+N($H981)+N($I981))</f>
        <v/>
      </c>
      <c r="K981" s="28">
        <f>IF(ISNUMBER($O981),INDEX('請求台帳'!$R$5:$R$1004,$O981),"")</f>
        <v/>
      </c>
      <c r="L981" s="20">
        <f>IF(NOT(OR($A981&lt;&gt;"",$E981&lt;&gt;"",$F981&lt;&gt;"",$G981&lt;&gt;"",$H981&lt;&gt;"",$I981&lt;&gt;"")),"",IF(NOT(ISNUMBER($A981)),"入金日がありません",IF(AND($F981&lt;&gt;"",$O981="なし"),"請求Noが請求台帳にありません",IF(AND(ISNUMBER($O981),$C981&lt;&gt;"",$C981&lt;&gt;$P981),"請求の得意先は "&amp;$P981&amp;" です",IF(ROUND(IF($B981&lt;&gt;"",SUMIF($B$5:$B$1004,$B981,$E$5:$E$1004)-SUMIF($B$5:$B$1004,$B981,$G$5:$G$1004),N($E981)-N($G981)),0)&lt;&gt;0,"通帳の額と当てた額の差 "&amp;TEXT(IF($B981&lt;&gt;"",SUMIF($B$5:$B$1004,$B981,$E$5:$E$1004)-SUMIF($B$5:$B$1004,$B981,$G$5:$G$1004),N($E981)-N($G981)),"#,##0"),IF(AND(ISNUMBER($O981),N($K981)&lt;0),"請求額より多く消し込んでいます",IF($F981="","消込先が未定","OK")))))))</f>
        <v/>
      </c>
      <c r="M981" s="19" t="n"/>
      <c r="N981" s="56" t="n"/>
      <c r="O981" s="32">
        <f>IF($F981="","",IFERROR(MATCH($F981,'請求台帳'!$A$5:$A$1004,0),"なし"))</f>
        <v/>
      </c>
      <c r="P981" s="37">
        <f>IF(NOT(OR($A981&lt;&gt;"",$E981&lt;&gt;"",$F981&lt;&gt;"",$G981&lt;&gt;"",$H981&lt;&gt;"",$I981&lt;&gt;"")),"",IF(ISNUMBER($O981),IF(INDEX('請求台帳'!$C$5:$C$1004,$O981)="","",INDEX('請求台帳'!$C$5:$C$1004,$O981)),IF($C981="","",$C981)))</f>
        <v/>
      </c>
      <c r="Q981" s="35">
        <f>IF(OR(NOT(OR($A981&lt;&gt;"",$E981&lt;&gt;"",$F981&lt;&gt;"",$G981&lt;&gt;"",$H981&lt;&gt;"",$I981&lt;&gt;"")),$P981="",$P981&lt;&gt;'売掛帳'!$B$3,NOT(ISNUMBER($A981)),N($G981)+N($H981)+N($I981)=0),"",IF(AND($A981&gt;='売掛帳'!$Q$3,$A981&lt;='売掛帳'!$Q$4),$A981+0.5+ROW()/10000000,""))</f>
        <v/>
      </c>
      <c r="R981" s="32">
        <f>IF(AND(OR($A981&lt;&gt;"",$E981&lt;&gt;"",$F981&lt;&gt;"",$G981&lt;&gt;"",$H981&lt;&gt;"",$I981&lt;&gt;""),NOT(ISNUMBER($O981))),1,"")</f>
        <v/>
      </c>
    </row>
    <row r="982" ht="18" customHeight="1">
      <c r="A982" s="26" t="n"/>
      <c r="B982" s="18" t="n"/>
      <c r="C982" s="18" t="n"/>
      <c r="D982" s="20">
        <f>IF($P982="","",IFERROR(INDEX('得意先'!$C$5:$C$104,MATCH($P982,'得意先'!$B$5:$B$104,0))&amp;"","※得意先にないコード"))</f>
        <v/>
      </c>
      <c r="E982" s="27" t="n"/>
      <c r="F982" s="18" t="n"/>
      <c r="G982" s="27" t="n"/>
      <c r="H982" s="27" t="n"/>
      <c r="I982" s="27" t="n"/>
      <c r="J982" s="28">
        <f>IF(NOT(OR($A982&lt;&gt;"",$E982&lt;&gt;"",$F982&lt;&gt;"",$G982&lt;&gt;"",$H982&lt;&gt;"",$I982&lt;&gt;"")),"",N($G982)+N($H982)+N($I982))</f>
        <v/>
      </c>
      <c r="K982" s="28">
        <f>IF(ISNUMBER($O982),INDEX('請求台帳'!$R$5:$R$1004,$O982),"")</f>
        <v/>
      </c>
      <c r="L982" s="20">
        <f>IF(NOT(OR($A982&lt;&gt;"",$E982&lt;&gt;"",$F982&lt;&gt;"",$G982&lt;&gt;"",$H982&lt;&gt;"",$I982&lt;&gt;"")),"",IF(NOT(ISNUMBER($A982)),"入金日がありません",IF(AND($F982&lt;&gt;"",$O982="なし"),"請求Noが請求台帳にありません",IF(AND(ISNUMBER($O982),$C982&lt;&gt;"",$C982&lt;&gt;$P982),"請求の得意先は "&amp;$P982&amp;" です",IF(ROUND(IF($B982&lt;&gt;"",SUMIF($B$5:$B$1004,$B982,$E$5:$E$1004)-SUMIF($B$5:$B$1004,$B982,$G$5:$G$1004),N($E982)-N($G982)),0)&lt;&gt;0,"通帳の額と当てた額の差 "&amp;TEXT(IF($B982&lt;&gt;"",SUMIF($B$5:$B$1004,$B982,$E$5:$E$1004)-SUMIF($B$5:$B$1004,$B982,$G$5:$G$1004),N($E982)-N($G982)),"#,##0"),IF(AND(ISNUMBER($O982),N($K982)&lt;0),"請求額より多く消し込んでいます",IF($F982="","消込先が未定","OK")))))))</f>
        <v/>
      </c>
      <c r="M982" s="19" t="n"/>
      <c r="N982" s="56" t="n"/>
      <c r="O982" s="32">
        <f>IF($F982="","",IFERROR(MATCH($F982,'請求台帳'!$A$5:$A$1004,0),"なし"))</f>
        <v/>
      </c>
      <c r="P982" s="37">
        <f>IF(NOT(OR($A982&lt;&gt;"",$E982&lt;&gt;"",$F982&lt;&gt;"",$G982&lt;&gt;"",$H982&lt;&gt;"",$I982&lt;&gt;"")),"",IF(ISNUMBER($O982),IF(INDEX('請求台帳'!$C$5:$C$1004,$O982)="","",INDEX('請求台帳'!$C$5:$C$1004,$O982)),IF($C982="","",$C982)))</f>
        <v/>
      </c>
      <c r="Q982" s="35">
        <f>IF(OR(NOT(OR($A982&lt;&gt;"",$E982&lt;&gt;"",$F982&lt;&gt;"",$G982&lt;&gt;"",$H982&lt;&gt;"",$I982&lt;&gt;"")),$P982="",$P982&lt;&gt;'売掛帳'!$B$3,NOT(ISNUMBER($A982)),N($G982)+N($H982)+N($I982)=0),"",IF(AND($A982&gt;='売掛帳'!$Q$3,$A982&lt;='売掛帳'!$Q$4),$A982+0.5+ROW()/10000000,""))</f>
        <v/>
      </c>
      <c r="R982" s="32">
        <f>IF(AND(OR($A982&lt;&gt;"",$E982&lt;&gt;"",$F982&lt;&gt;"",$G982&lt;&gt;"",$H982&lt;&gt;"",$I982&lt;&gt;""),NOT(ISNUMBER($O982))),1,"")</f>
        <v/>
      </c>
    </row>
    <row r="983" ht="18" customHeight="1">
      <c r="A983" s="26" t="n"/>
      <c r="B983" s="18" t="n"/>
      <c r="C983" s="18" t="n"/>
      <c r="D983" s="20">
        <f>IF($P983="","",IFERROR(INDEX('得意先'!$C$5:$C$104,MATCH($P983,'得意先'!$B$5:$B$104,0))&amp;"","※得意先にないコード"))</f>
        <v/>
      </c>
      <c r="E983" s="27" t="n"/>
      <c r="F983" s="18" t="n"/>
      <c r="G983" s="27" t="n"/>
      <c r="H983" s="27" t="n"/>
      <c r="I983" s="27" t="n"/>
      <c r="J983" s="28">
        <f>IF(NOT(OR($A983&lt;&gt;"",$E983&lt;&gt;"",$F983&lt;&gt;"",$G983&lt;&gt;"",$H983&lt;&gt;"",$I983&lt;&gt;"")),"",N($G983)+N($H983)+N($I983))</f>
        <v/>
      </c>
      <c r="K983" s="28">
        <f>IF(ISNUMBER($O983),INDEX('請求台帳'!$R$5:$R$1004,$O983),"")</f>
        <v/>
      </c>
      <c r="L983" s="20">
        <f>IF(NOT(OR($A983&lt;&gt;"",$E983&lt;&gt;"",$F983&lt;&gt;"",$G983&lt;&gt;"",$H983&lt;&gt;"",$I983&lt;&gt;"")),"",IF(NOT(ISNUMBER($A983)),"入金日がありません",IF(AND($F983&lt;&gt;"",$O983="なし"),"請求Noが請求台帳にありません",IF(AND(ISNUMBER($O983),$C983&lt;&gt;"",$C983&lt;&gt;$P983),"請求の得意先は "&amp;$P983&amp;" です",IF(ROUND(IF($B983&lt;&gt;"",SUMIF($B$5:$B$1004,$B983,$E$5:$E$1004)-SUMIF($B$5:$B$1004,$B983,$G$5:$G$1004),N($E983)-N($G983)),0)&lt;&gt;0,"通帳の額と当てた額の差 "&amp;TEXT(IF($B983&lt;&gt;"",SUMIF($B$5:$B$1004,$B983,$E$5:$E$1004)-SUMIF($B$5:$B$1004,$B983,$G$5:$G$1004),N($E983)-N($G983)),"#,##0"),IF(AND(ISNUMBER($O983),N($K983)&lt;0),"請求額より多く消し込んでいます",IF($F983="","消込先が未定","OK")))))))</f>
        <v/>
      </c>
      <c r="M983" s="19" t="n"/>
      <c r="N983" s="56" t="n"/>
      <c r="O983" s="32">
        <f>IF($F983="","",IFERROR(MATCH($F983,'請求台帳'!$A$5:$A$1004,0),"なし"))</f>
        <v/>
      </c>
      <c r="P983" s="37">
        <f>IF(NOT(OR($A983&lt;&gt;"",$E983&lt;&gt;"",$F983&lt;&gt;"",$G983&lt;&gt;"",$H983&lt;&gt;"",$I983&lt;&gt;"")),"",IF(ISNUMBER($O983),IF(INDEX('請求台帳'!$C$5:$C$1004,$O983)="","",INDEX('請求台帳'!$C$5:$C$1004,$O983)),IF($C983="","",$C983)))</f>
        <v/>
      </c>
      <c r="Q983" s="35">
        <f>IF(OR(NOT(OR($A983&lt;&gt;"",$E983&lt;&gt;"",$F983&lt;&gt;"",$G983&lt;&gt;"",$H983&lt;&gt;"",$I983&lt;&gt;"")),$P983="",$P983&lt;&gt;'売掛帳'!$B$3,NOT(ISNUMBER($A983)),N($G983)+N($H983)+N($I983)=0),"",IF(AND($A983&gt;='売掛帳'!$Q$3,$A983&lt;='売掛帳'!$Q$4),$A983+0.5+ROW()/10000000,""))</f>
        <v/>
      </c>
      <c r="R983" s="32">
        <f>IF(AND(OR($A983&lt;&gt;"",$E983&lt;&gt;"",$F983&lt;&gt;"",$G983&lt;&gt;"",$H983&lt;&gt;"",$I983&lt;&gt;""),NOT(ISNUMBER($O983))),1,"")</f>
        <v/>
      </c>
    </row>
    <row r="984" ht="18" customHeight="1">
      <c r="A984" s="26" t="n"/>
      <c r="B984" s="18" t="n"/>
      <c r="C984" s="18" t="n"/>
      <c r="D984" s="20">
        <f>IF($P984="","",IFERROR(INDEX('得意先'!$C$5:$C$104,MATCH($P984,'得意先'!$B$5:$B$104,0))&amp;"","※得意先にないコード"))</f>
        <v/>
      </c>
      <c r="E984" s="27" t="n"/>
      <c r="F984" s="18" t="n"/>
      <c r="G984" s="27" t="n"/>
      <c r="H984" s="27" t="n"/>
      <c r="I984" s="27" t="n"/>
      <c r="J984" s="28">
        <f>IF(NOT(OR($A984&lt;&gt;"",$E984&lt;&gt;"",$F984&lt;&gt;"",$G984&lt;&gt;"",$H984&lt;&gt;"",$I984&lt;&gt;"")),"",N($G984)+N($H984)+N($I984))</f>
        <v/>
      </c>
      <c r="K984" s="28">
        <f>IF(ISNUMBER($O984),INDEX('請求台帳'!$R$5:$R$1004,$O984),"")</f>
        <v/>
      </c>
      <c r="L984" s="20">
        <f>IF(NOT(OR($A984&lt;&gt;"",$E984&lt;&gt;"",$F984&lt;&gt;"",$G984&lt;&gt;"",$H984&lt;&gt;"",$I984&lt;&gt;"")),"",IF(NOT(ISNUMBER($A984)),"入金日がありません",IF(AND($F984&lt;&gt;"",$O984="なし"),"請求Noが請求台帳にありません",IF(AND(ISNUMBER($O984),$C984&lt;&gt;"",$C984&lt;&gt;$P984),"請求の得意先は "&amp;$P984&amp;" です",IF(ROUND(IF($B984&lt;&gt;"",SUMIF($B$5:$B$1004,$B984,$E$5:$E$1004)-SUMIF($B$5:$B$1004,$B984,$G$5:$G$1004),N($E984)-N($G984)),0)&lt;&gt;0,"通帳の額と当てた額の差 "&amp;TEXT(IF($B984&lt;&gt;"",SUMIF($B$5:$B$1004,$B984,$E$5:$E$1004)-SUMIF($B$5:$B$1004,$B984,$G$5:$G$1004),N($E984)-N($G984)),"#,##0"),IF(AND(ISNUMBER($O984),N($K984)&lt;0),"請求額より多く消し込んでいます",IF($F984="","消込先が未定","OK")))))))</f>
        <v/>
      </c>
      <c r="M984" s="19" t="n"/>
      <c r="N984" s="56" t="n"/>
      <c r="O984" s="32">
        <f>IF($F984="","",IFERROR(MATCH($F984,'請求台帳'!$A$5:$A$1004,0),"なし"))</f>
        <v/>
      </c>
      <c r="P984" s="37">
        <f>IF(NOT(OR($A984&lt;&gt;"",$E984&lt;&gt;"",$F984&lt;&gt;"",$G984&lt;&gt;"",$H984&lt;&gt;"",$I984&lt;&gt;"")),"",IF(ISNUMBER($O984),IF(INDEX('請求台帳'!$C$5:$C$1004,$O984)="","",INDEX('請求台帳'!$C$5:$C$1004,$O984)),IF($C984="","",$C984)))</f>
        <v/>
      </c>
      <c r="Q984" s="35">
        <f>IF(OR(NOT(OR($A984&lt;&gt;"",$E984&lt;&gt;"",$F984&lt;&gt;"",$G984&lt;&gt;"",$H984&lt;&gt;"",$I984&lt;&gt;"")),$P984="",$P984&lt;&gt;'売掛帳'!$B$3,NOT(ISNUMBER($A984)),N($G984)+N($H984)+N($I984)=0),"",IF(AND($A984&gt;='売掛帳'!$Q$3,$A984&lt;='売掛帳'!$Q$4),$A984+0.5+ROW()/10000000,""))</f>
        <v/>
      </c>
      <c r="R984" s="32">
        <f>IF(AND(OR($A984&lt;&gt;"",$E984&lt;&gt;"",$F984&lt;&gt;"",$G984&lt;&gt;"",$H984&lt;&gt;"",$I984&lt;&gt;""),NOT(ISNUMBER($O984))),1,"")</f>
        <v/>
      </c>
    </row>
    <row r="985" ht="18" customHeight="1">
      <c r="A985" s="26" t="n"/>
      <c r="B985" s="18" t="n"/>
      <c r="C985" s="18" t="n"/>
      <c r="D985" s="20">
        <f>IF($P985="","",IFERROR(INDEX('得意先'!$C$5:$C$104,MATCH($P985,'得意先'!$B$5:$B$104,0))&amp;"","※得意先にないコード"))</f>
        <v/>
      </c>
      <c r="E985" s="27" t="n"/>
      <c r="F985" s="18" t="n"/>
      <c r="G985" s="27" t="n"/>
      <c r="H985" s="27" t="n"/>
      <c r="I985" s="27" t="n"/>
      <c r="J985" s="28">
        <f>IF(NOT(OR($A985&lt;&gt;"",$E985&lt;&gt;"",$F985&lt;&gt;"",$G985&lt;&gt;"",$H985&lt;&gt;"",$I985&lt;&gt;"")),"",N($G985)+N($H985)+N($I985))</f>
        <v/>
      </c>
      <c r="K985" s="28">
        <f>IF(ISNUMBER($O985),INDEX('請求台帳'!$R$5:$R$1004,$O985),"")</f>
        <v/>
      </c>
      <c r="L985" s="20">
        <f>IF(NOT(OR($A985&lt;&gt;"",$E985&lt;&gt;"",$F985&lt;&gt;"",$G985&lt;&gt;"",$H985&lt;&gt;"",$I985&lt;&gt;"")),"",IF(NOT(ISNUMBER($A985)),"入金日がありません",IF(AND($F985&lt;&gt;"",$O985="なし"),"請求Noが請求台帳にありません",IF(AND(ISNUMBER($O985),$C985&lt;&gt;"",$C985&lt;&gt;$P985),"請求の得意先は "&amp;$P985&amp;" です",IF(ROUND(IF($B985&lt;&gt;"",SUMIF($B$5:$B$1004,$B985,$E$5:$E$1004)-SUMIF($B$5:$B$1004,$B985,$G$5:$G$1004),N($E985)-N($G985)),0)&lt;&gt;0,"通帳の額と当てた額の差 "&amp;TEXT(IF($B985&lt;&gt;"",SUMIF($B$5:$B$1004,$B985,$E$5:$E$1004)-SUMIF($B$5:$B$1004,$B985,$G$5:$G$1004),N($E985)-N($G985)),"#,##0"),IF(AND(ISNUMBER($O985),N($K985)&lt;0),"請求額より多く消し込んでいます",IF($F985="","消込先が未定","OK")))))))</f>
        <v/>
      </c>
      <c r="M985" s="19" t="n"/>
      <c r="N985" s="56" t="n"/>
      <c r="O985" s="32">
        <f>IF($F985="","",IFERROR(MATCH($F985,'請求台帳'!$A$5:$A$1004,0),"なし"))</f>
        <v/>
      </c>
      <c r="P985" s="37">
        <f>IF(NOT(OR($A985&lt;&gt;"",$E985&lt;&gt;"",$F985&lt;&gt;"",$G985&lt;&gt;"",$H985&lt;&gt;"",$I985&lt;&gt;"")),"",IF(ISNUMBER($O985),IF(INDEX('請求台帳'!$C$5:$C$1004,$O985)="","",INDEX('請求台帳'!$C$5:$C$1004,$O985)),IF($C985="","",$C985)))</f>
        <v/>
      </c>
      <c r="Q985" s="35">
        <f>IF(OR(NOT(OR($A985&lt;&gt;"",$E985&lt;&gt;"",$F985&lt;&gt;"",$G985&lt;&gt;"",$H985&lt;&gt;"",$I985&lt;&gt;"")),$P985="",$P985&lt;&gt;'売掛帳'!$B$3,NOT(ISNUMBER($A985)),N($G985)+N($H985)+N($I985)=0),"",IF(AND($A985&gt;='売掛帳'!$Q$3,$A985&lt;='売掛帳'!$Q$4),$A985+0.5+ROW()/10000000,""))</f>
        <v/>
      </c>
      <c r="R985" s="32">
        <f>IF(AND(OR($A985&lt;&gt;"",$E985&lt;&gt;"",$F985&lt;&gt;"",$G985&lt;&gt;"",$H985&lt;&gt;"",$I985&lt;&gt;""),NOT(ISNUMBER($O985))),1,"")</f>
        <v/>
      </c>
    </row>
    <row r="986" ht="18" customHeight="1">
      <c r="A986" s="26" t="n"/>
      <c r="B986" s="18" t="n"/>
      <c r="C986" s="18" t="n"/>
      <c r="D986" s="20">
        <f>IF($P986="","",IFERROR(INDEX('得意先'!$C$5:$C$104,MATCH($P986,'得意先'!$B$5:$B$104,0))&amp;"","※得意先にないコード"))</f>
        <v/>
      </c>
      <c r="E986" s="27" t="n"/>
      <c r="F986" s="18" t="n"/>
      <c r="G986" s="27" t="n"/>
      <c r="H986" s="27" t="n"/>
      <c r="I986" s="27" t="n"/>
      <c r="J986" s="28">
        <f>IF(NOT(OR($A986&lt;&gt;"",$E986&lt;&gt;"",$F986&lt;&gt;"",$G986&lt;&gt;"",$H986&lt;&gt;"",$I986&lt;&gt;"")),"",N($G986)+N($H986)+N($I986))</f>
        <v/>
      </c>
      <c r="K986" s="28">
        <f>IF(ISNUMBER($O986),INDEX('請求台帳'!$R$5:$R$1004,$O986),"")</f>
        <v/>
      </c>
      <c r="L986" s="20">
        <f>IF(NOT(OR($A986&lt;&gt;"",$E986&lt;&gt;"",$F986&lt;&gt;"",$G986&lt;&gt;"",$H986&lt;&gt;"",$I986&lt;&gt;"")),"",IF(NOT(ISNUMBER($A986)),"入金日がありません",IF(AND($F986&lt;&gt;"",$O986="なし"),"請求Noが請求台帳にありません",IF(AND(ISNUMBER($O986),$C986&lt;&gt;"",$C986&lt;&gt;$P986),"請求の得意先は "&amp;$P986&amp;" です",IF(ROUND(IF($B986&lt;&gt;"",SUMIF($B$5:$B$1004,$B986,$E$5:$E$1004)-SUMIF($B$5:$B$1004,$B986,$G$5:$G$1004),N($E986)-N($G986)),0)&lt;&gt;0,"通帳の額と当てた額の差 "&amp;TEXT(IF($B986&lt;&gt;"",SUMIF($B$5:$B$1004,$B986,$E$5:$E$1004)-SUMIF($B$5:$B$1004,$B986,$G$5:$G$1004),N($E986)-N($G986)),"#,##0"),IF(AND(ISNUMBER($O986),N($K986)&lt;0),"請求額より多く消し込んでいます",IF($F986="","消込先が未定","OK")))))))</f>
        <v/>
      </c>
      <c r="M986" s="19" t="n"/>
      <c r="N986" s="56" t="n"/>
      <c r="O986" s="32">
        <f>IF($F986="","",IFERROR(MATCH($F986,'請求台帳'!$A$5:$A$1004,0),"なし"))</f>
        <v/>
      </c>
      <c r="P986" s="37">
        <f>IF(NOT(OR($A986&lt;&gt;"",$E986&lt;&gt;"",$F986&lt;&gt;"",$G986&lt;&gt;"",$H986&lt;&gt;"",$I986&lt;&gt;"")),"",IF(ISNUMBER($O986),IF(INDEX('請求台帳'!$C$5:$C$1004,$O986)="","",INDEX('請求台帳'!$C$5:$C$1004,$O986)),IF($C986="","",$C986)))</f>
        <v/>
      </c>
      <c r="Q986" s="35">
        <f>IF(OR(NOT(OR($A986&lt;&gt;"",$E986&lt;&gt;"",$F986&lt;&gt;"",$G986&lt;&gt;"",$H986&lt;&gt;"",$I986&lt;&gt;"")),$P986="",$P986&lt;&gt;'売掛帳'!$B$3,NOT(ISNUMBER($A986)),N($G986)+N($H986)+N($I986)=0),"",IF(AND($A986&gt;='売掛帳'!$Q$3,$A986&lt;='売掛帳'!$Q$4),$A986+0.5+ROW()/10000000,""))</f>
        <v/>
      </c>
      <c r="R986" s="32">
        <f>IF(AND(OR($A986&lt;&gt;"",$E986&lt;&gt;"",$F986&lt;&gt;"",$G986&lt;&gt;"",$H986&lt;&gt;"",$I986&lt;&gt;""),NOT(ISNUMBER($O986))),1,"")</f>
        <v/>
      </c>
    </row>
    <row r="987" ht="18" customHeight="1">
      <c r="A987" s="26" t="n"/>
      <c r="B987" s="18" t="n"/>
      <c r="C987" s="18" t="n"/>
      <c r="D987" s="20">
        <f>IF($P987="","",IFERROR(INDEX('得意先'!$C$5:$C$104,MATCH($P987,'得意先'!$B$5:$B$104,0))&amp;"","※得意先にないコード"))</f>
        <v/>
      </c>
      <c r="E987" s="27" t="n"/>
      <c r="F987" s="18" t="n"/>
      <c r="G987" s="27" t="n"/>
      <c r="H987" s="27" t="n"/>
      <c r="I987" s="27" t="n"/>
      <c r="J987" s="28">
        <f>IF(NOT(OR($A987&lt;&gt;"",$E987&lt;&gt;"",$F987&lt;&gt;"",$G987&lt;&gt;"",$H987&lt;&gt;"",$I987&lt;&gt;"")),"",N($G987)+N($H987)+N($I987))</f>
        <v/>
      </c>
      <c r="K987" s="28">
        <f>IF(ISNUMBER($O987),INDEX('請求台帳'!$R$5:$R$1004,$O987),"")</f>
        <v/>
      </c>
      <c r="L987" s="20">
        <f>IF(NOT(OR($A987&lt;&gt;"",$E987&lt;&gt;"",$F987&lt;&gt;"",$G987&lt;&gt;"",$H987&lt;&gt;"",$I987&lt;&gt;"")),"",IF(NOT(ISNUMBER($A987)),"入金日がありません",IF(AND($F987&lt;&gt;"",$O987="なし"),"請求Noが請求台帳にありません",IF(AND(ISNUMBER($O987),$C987&lt;&gt;"",$C987&lt;&gt;$P987),"請求の得意先は "&amp;$P987&amp;" です",IF(ROUND(IF($B987&lt;&gt;"",SUMIF($B$5:$B$1004,$B987,$E$5:$E$1004)-SUMIF($B$5:$B$1004,$B987,$G$5:$G$1004),N($E987)-N($G987)),0)&lt;&gt;0,"通帳の額と当てた額の差 "&amp;TEXT(IF($B987&lt;&gt;"",SUMIF($B$5:$B$1004,$B987,$E$5:$E$1004)-SUMIF($B$5:$B$1004,$B987,$G$5:$G$1004),N($E987)-N($G987)),"#,##0"),IF(AND(ISNUMBER($O987),N($K987)&lt;0),"請求額より多く消し込んでいます",IF($F987="","消込先が未定","OK")))))))</f>
        <v/>
      </c>
      <c r="M987" s="19" t="n"/>
      <c r="N987" s="56" t="n"/>
      <c r="O987" s="32">
        <f>IF($F987="","",IFERROR(MATCH($F987,'請求台帳'!$A$5:$A$1004,0),"なし"))</f>
        <v/>
      </c>
      <c r="P987" s="37">
        <f>IF(NOT(OR($A987&lt;&gt;"",$E987&lt;&gt;"",$F987&lt;&gt;"",$G987&lt;&gt;"",$H987&lt;&gt;"",$I987&lt;&gt;"")),"",IF(ISNUMBER($O987),IF(INDEX('請求台帳'!$C$5:$C$1004,$O987)="","",INDEX('請求台帳'!$C$5:$C$1004,$O987)),IF($C987="","",$C987)))</f>
        <v/>
      </c>
      <c r="Q987" s="35">
        <f>IF(OR(NOT(OR($A987&lt;&gt;"",$E987&lt;&gt;"",$F987&lt;&gt;"",$G987&lt;&gt;"",$H987&lt;&gt;"",$I987&lt;&gt;"")),$P987="",$P987&lt;&gt;'売掛帳'!$B$3,NOT(ISNUMBER($A987)),N($G987)+N($H987)+N($I987)=0),"",IF(AND($A987&gt;='売掛帳'!$Q$3,$A987&lt;='売掛帳'!$Q$4),$A987+0.5+ROW()/10000000,""))</f>
        <v/>
      </c>
      <c r="R987" s="32">
        <f>IF(AND(OR($A987&lt;&gt;"",$E987&lt;&gt;"",$F987&lt;&gt;"",$G987&lt;&gt;"",$H987&lt;&gt;"",$I987&lt;&gt;""),NOT(ISNUMBER($O987))),1,"")</f>
        <v/>
      </c>
    </row>
    <row r="988" ht="18" customHeight="1">
      <c r="A988" s="26" t="n"/>
      <c r="B988" s="18" t="n"/>
      <c r="C988" s="18" t="n"/>
      <c r="D988" s="20">
        <f>IF($P988="","",IFERROR(INDEX('得意先'!$C$5:$C$104,MATCH($P988,'得意先'!$B$5:$B$104,0))&amp;"","※得意先にないコード"))</f>
        <v/>
      </c>
      <c r="E988" s="27" t="n"/>
      <c r="F988" s="18" t="n"/>
      <c r="G988" s="27" t="n"/>
      <c r="H988" s="27" t="n"/>
      <c r="I988" s="27" t="n"/>
      <c r="J988" s="28">
        <f>IF(NOT(OR($A988&lt;&gt;"",$E988&lt;&gt;"",$F988&lt;&gt;"",$G988&lt;&gt;"",$H988&lt;&gt;"",$I988&lt;&gt;"")),"",N($G988)+N($H988)+N($I988))</f>
        <v/>
      </c>
      <c r="K988" s="28">
        <f>IF(ISNUMBER($O988),INDEX('請求台帳'!$R$5:$R$1004,$O988),"")</f>
        <v/>
      </c>
      <c r="L988" s="20">
        <f>IF(NOT(OR($A988&lt;&gt;"",$E988&lt;&gt;"",$F988&lt;&gt;"",$G988&lt;&gt;"",$H988&lt;&gt;"",$I988&lt;&gt;"")),"",IF(NOT(ISNUMBER($A988)),"入金日がありません",IF(AND($F988&lt;&gt;"",$O988="なし"),"請求Noが請求台帳にありません",IF(AND(ISNUMBER($O988),$C988&lt;&gt;"",$C988&lt;&gt;$P988),"請求の得意先は "&amp;$P988&amp;" です",IF(ROUND(IF($B988&lt;&gt;"",SUMIF($B$5:$B$1004,$B988,$E$5:$E$1004)-SUMIF($B$5:$B$1004,$B988,$G$5:$G$1004),N($E988)-N($G988)),0)&lt;&gt;0,"通帳の額と当てた額の差 "&amp;TEXT(IF($B988&lt;&gt;"",SUMIF($B$5:$B$1004,$B988,$E$5:$E$1004)-SUMIF($B$5:$B$1004,$B988,$G$5:$G$1004),N($E988)-N($G988)),"#,##0"),IF(AND(ISNUMBER($O988),N($K988)&lt;0),"請求額より多く消し込んでいます",IF($F988="","消込先が未定","OK")))))))</f>
        <v/>
      </c>
      <c r="M988" s="19" t="n"/>
      <c r="N988" s="56" t="n"/>
      <c r="O988" s="32">
        <f>IF($F988="","",IFERROR(MATCH($F988,'請求台帳'!$A$5:$A$1004,0),"なし"))</f>
        <v/>
      </c>
      <c r="P988" s="37">
        <f>IF(NOT(OR($A988&lt;&gt;"",$E988&lt;&gt;"",$F988&lt;&gt;"",$G988&lt;&gt;"",$H988&lt;&gt;"",$I988&lt;&gt;"")),"",IF(ISNUMBER($O988),IF(INDEX('請求台帳'!$C$5:$C$1004,$O988)="","",INDEX('請求台帳'!$C$5:$C$1004,$O988)),IF($C988="","",$C988)))</f>
        <v/>
      </c>
      <c r="Q988" s="35">
        <f>IF(OR(NOT(OR($A988&lt;&gt;"",$E988&lt;&gt;"",$F988&lt;&gt;"",$G988&lt;&gt;"",$H988&lt;&gt;"",$I988&lt;&gt;"")),$P988="",$P988&lt;&gt;'売掛帳'!$B$3,NOT(ISNUMBER($A988)),N($G988)+N($H988)+N($I988)=0),"",IF(AND($A988&gt;='売掛帳'!$Q$3,$A988&lt;='売掛帳'!$Q$4),$A988+0.5+ROW()/10000000,""))</f>
        <v/>
      </c>
      <c r="R988" s="32">
        <f>IF(AND(OR($A988&lt;&gt;"",$E988&lt;&gt;"",$F988&lt;&gt;"",$G988&lt;&gt;"",$H988&lt;&gt;"",$I988&lt;&gt;""),NOT(ISNUMBER($O988))),1,"")</f>
        <v/>
      </c>
    </row>
    <row r="989" ht="18" customHeight="1">
      <c r="A989" s="26" t="n"/>
      <c r="B989" s="18" t="n"/>
      <c r="C989" s="18" t="n"/>
      <c r="D989" s="20">
        <f>IF($P989="","",IFERROR(INDEX('得意先'!$C$5:$C$104,MATCH($P989,'得意先'!$B$5:$B$104,0))&amp;"","※得意先にないコード"))</f>
        <v/>
      </c>
      <c r="E989" s="27" t="n"/>
      <c r="F989" s="18" t="n"/>
      <c r="G989" s="27" t="n"/>
      <c r="H989" s="27" t="n"/>
      <c r="I989" s="27" t="n"/>
      <c r="J989" s="28">
        <f>IF(NOT(OR($A989&lt;&gt;"",$E989&lt;&gt;"",$F989&lt;&gt;"",$G989&lt;&gt;"",$H989&lt;&gt;"",$I989&lt;&gt;"")),"",N($G989)+N($H989)+N($I989))</f>
        <v/>
      </c>
      <c r="K989" s="28">
        <f>IF(ISNUMBER($O989),INDEX('請求台帳'!$R$5:$R$1004,$O989),"")</f>
        <v/>
      </c>
      <c r="L989" s="20">
        <f>IF(NOT(OR($A989&lt;&gt;"",$E989&lt;&gt;"",$F989&lt;&gt;"",$G989&lt;&gt;"",$H989&lt;&gt;"",$I989&lt;&gt;"")),"",IF(NOT(ISNUMBER($A989)),"入金日がありません",IF(AND($F989&lt;&gt;"",$O989="なし"),"請求Noが請求台帳にありません",IF(AND(ISNUMBER($O989),$C989&lt;&gt;"",$C989&lt;&gt;$P989),"請求の得意先は "&amp;$P989&amp;" です",IF(ROUND(IF($B989&lt;&gt;"",SUMIF($B$5:$B$1004,$B989,$E$5:$E$1004)-SUMIF($B$5:$B$1004,$B989,$G$5:$G$1004),N($E989)-N($G989)),0)&lt;&gt;0,"通帳の額と当てた額の差 "&amp;TEXT(IF($B989&lt;&gt;"",SUMIF($B$5:$B$1004,$B989,$E$5:$E$1004)-SUMIF($B$5:$B$1004,$B989,$G$5:$G$1004),N($E989)-N($G989)),"#,##0"),IF(AND(ISNUMBER($O989),N($K989)&lt;0),"請求額より多く消し込んでいます",IF($F989="","消込先が未定","OK")))))))</f>
        <v/>
      </c>
      <c r="M989" s="19" t="n"/>
      <c r="N989" s="56" t="n"/>
      <c r="O989" s="32">
        <f>IF($F989="","",IFERROR(MATCH($F989,'請求台帳'!$A$5:$A$1004,0),"なし"))</f>
        <v/>
      </c>
      <c r="P989" s="37">
        <f>IF(NOT(OR($A989&lt;&gt;"",$E989&lt;&gt;"",$F989&lt;&gt;"",$G989&lt;&gt;"",$H989&lt;&gt;"",$I989&lt;&gt;"")),"",IF(ISNUMBER($O989),IF(INDEX('請求台帳'!$C$5:$C$1004,$O989)="","",INDEX('請求台帳'!$C$5:$C$1004,$O989)),IF($C989="","",$C989)))</f>
        <v/>
      </c>
      <c r="Q989" s="35">
        <f>IF(OR(NOT(OR($A989&lt;&gt;"",$E989&lt;&gt;"",$F989&lt;&gt;"",$G989&lt;&gt;"",$H989&lt;&gt;"",$I989&lt;&gt;"")),$P989="",$P989&lt;&gt;'売掛帳'!$B$3,NOT(ISNUMBER($A989)),N($G989)+N($H989)+N($I989)=0),"",IF(AND($A989&gt;='売掛帳'!$Q$3,$A989&lt;='売掛帳'!$Q$4),$A989+0.5+ROW()/10000000,""))</f>
        <v/>
      </c>
      <c r="R989" s="32">
        <f>IF(AND(OR($A989&lt;&gt;"",$E989&lt;&gt;"",$F989&lt;&gt;"",$G989&lt;&gt;"",$H989&lt;&gt;"",$I989&lt;&gt;""),NOT(ISNUMBER($O989))),1,"")</f>
        <v/>
      </c>
    </row>
    <row r="990" ht="18" customHeight="1">
      <c r="A990" s="26" t="n"/>
      <c r="B990" s="18" t="n"/>
      <c r="C990" s="18" t="n"/>
      <c r="D990" s="20">
        <f>IF($P990="","",IFERROR(INDEX('得意先'!$C$5:$C$104,MATCH($P990,'得意先'!$B$5:$B$104,0))&amp;"","※得意先にないコード"))</f>
        <v/>
      </c>
      <c r="E990" s="27" t="n"/>
      <c r="F990" s="18" t="n"/>
      <c r="G990" s="27" t="n"/>
      <c r="H990" s="27" t="n"/>
      <c r="I990" s="27" t="n"/>
      <c r="J990" s="28">
        <f>IF(NOT(OR($A990&lt;&gt;"",$E990&lt;&gt;"",$F990&lt;&gt;"",$G990&lt;&gt;"",$H990&lt;&gt;"",$I990&lt;&gt;"")),"",N($G990)+N($H990)+N($I990))</f>
        <v/>
      </c>
      <c r="K990" s="28">
        <f>IF(ISNUMBER($O990),INDEX('請求台帳'!$R$5:$R$1004,$O990),"")</f>
        <v/>
      </c>
      <c r="L990" s="20">
        <f>IF(NOT(OR($A990&lt;&gt;"",$E990&lt;&gt;"",$F990&lt;&gt;"",$G990&lt;&gt;"",$H990&lt;&gt;"",$I990&lt;&gt;"")),"",IF(NOT(ISNUMBER($A990)),"入金日がありません",IF(AND($F990&lt;&gt;"",$O990="なし"),"請求Noが請求台帳にありません",IF(AND(ISNUMBER($O990),$C990&lt;&gt;"",$C990&lt;&gt;$P990),"請求の得意先は "&amp;$P990&amp;" です",IF(ROUND(IF($B990&lt;&gt;"",SUMIF($B$5:$B$1004,$B990,$E$5:$E$1004)-SUMIF($B$5:$B$1004,$B990,$G$5:$G$1004),N($E990)-N($G990)),0)&lt;&gt;0,"通帳の額と当てた額の差 "&amp;TEXT(IF($B990&lt;&gt;"",SUMIF($B$5:$B$1004,$B990,$E$5:$E$1004)-SUMIF($B$5:$B$1004,$B990,$G$5:$G$1004),N($E990)-N($G990)),"#,##0"),IF(AND(ISNUMBER($O990),N($K990)&lt;0),"請求額より多く消し込んでいます",IF($F990="","消込先が未定","OK")))))))</f>
        <v/>
      </c>
      <c r="M990" s="19" t="n"/>
      <c r="N990" s="56" t="n"/>
      <c r="O990" s="32">
        <f>IF($F990="","",IFERROR(MATCH($F990,'請求台帳'!$A$5:$A$1004,0),"なし"))</f>
        <v/>
      </c>
      <c r="P990" s="37">
        <f>IF(NOT(OR($A990&lt;&gt;"",$E990&lt;&gt;"",$F990&lt;&gt;"",$G990&lt;&gt;"",$H990&lt;&gt;"",$I990&lt;&gt;"")),"",IF(ISNUMBER($O990),IF(INDEX('請求台帳'!$C$5:$C$1004,$O990)="","",INDEX('請求台帳'!$C$5:$C$1004,$O990)),IF($C990="","",$C990)))</f>
        <v/>
      </c>
      <c r="Q990" s="35">
        <f>IF(OR(NOT(OR($A990&lt;&gt;"",$E990&lt;&gt;"",$F990&lt;&gt;"",$G990&lt;&gt;"",$H990&lt;&gt;"",$I990&lt;&gt;"")),$P990="",$P990&lt;&gt;'売掛帳'!$B$3,NOT(ISNUMBER($A990)),N($G990)+N($H990)+N($I990)=0),"",IF(AND($A990&gt;='売掛帳'!$Q$3,$A990&lt;='売掛帳'!$Q$4),$A990+0.5+ROW()/10000000,""))</f>
        <v/>
      </c>
      <c r="R990" s="32">
        <f>IF(AND(OR($A990&lt;&gt;"",$E990&lt;&gt;"",$F990&lt;&gt;"",$G990&lt;&gt;"",$H990&lt;&gt;"",$I990&lt;&gt;""),NOT(ISNUMBER($O990))),1,"")</f>
        <v/>
      </c>
    </row>
    <row r="991" ht="18" customHeight="1">
      <c r="A991" s="26" t="n"/>
      <c r="B991" s="18" t="n"/>
      <c r="C991" s="18" t="n"/>
      <c r="D991" s="20">
        <f>IF($P991="","",IFERROR(INDEX('得意先'!$C$5:$C$104,MATCH($P991,'得意先'!$B$5:$B$104,0))&amp;"","※得意先にないコード"))</f>
        <v/>
      </c>
      <c r="E991" s="27" t="n"/>
      <c r="F991" s="18" t="n"/>
      <c r="G991" s="27" t="n"/>
      <c r="H991" s="27" t="n"/>
      <c r="I991" s="27" t="n"/>
      <c r="J991" s="28">
        <f>IF(NOT(OR($A991&lt;&gt;"",$E991&lt;&gt;"",$F991&lt;&gt;"",$G991&lt;&gt;"",$H991&lt;&gt;"",$I991&lt;&gt;"")),"",N($G991)+N($H991)+N($I991))</f>
        <v/>
      </c>
      <c r="K991" s="28">
        <f>IF(ISNUMBER($O991),INDEX('請求台帳'!$R$5:$R$1004,$O991),"")</f>
        <v/>
      </c>
      <c r="L991" s="20">
        <f>IF(NOT(OR($A991&lt;&gt;"",$E991&lt;&gt;"",$F991&lt;&gt;"",$G991&lt;&gt;"",$H991&lt;&gt;"",$I991&lt;&gt;"")),"",IF(NOT(ISNUMBER($A991)),"入金日がありません",IF(AND($F991&lt;&gt;"",$O991="なし"),"請求Noが請求台帳にありません",IF(AND(ISNUMBER($O991),$C991&lt;&gt;"",$C991&lt;&gt;$P991),"請求の得意先は "&amp;$P991&amp;" です",IF(ROUND(IF($B991&lt;&gt;"",SUMIF($B$5:$B$1004,$B991,$E$5:$E$1004)-SUMIF($B$5:$B$1004,$B991,$G$5:$G$1004),N($E991)-N($G991)),0)&lt;&gt;0,"通帳の額と当てた額の差 "&amp;TEXT(IF($B991&lt;&gt;"",SUMIF($B$5:$B$1004,$B991,$E$5:$E$1004)-SUMIF($B$5:$B$1004,$B991,$G$5:$G$1004),N($E991)-N($G991)),"#,##0"),IF(AND(ISNUMBER($O991),N($K991)&lt;0),"請求額より多く消し込んでいます",IF($F991="","消込先が未定","OK")))))))</f>
        <v/>
      </c>
      <c r="M991" s="19" t="n"/>
      <c r="N991" s="56" t="n"/>
      <c r="O991" s="32">
        <f>IF($F991="","",IFERROR(MATCH($F991,'請求台帳'!$A$5:$A$1004,0),"なし"))</f>
        <v/>
      </c>
      <c r="P991" s="37">
        <f>IF(NOT(OR($A991&lt;&gt;"",$E991&lt;&gt;"",$F991&lt;&gt;"",$G991&lt;&gt;"",$H991&lt;&gt;"",$I991&lt;&gt;"")),"",IF(ISNUMBER($O991),IF(INDEX('請求台帳'!$C$5:$C$1004,$O991)="","",INDEX('請求台帳'!$C$5:$C$1004,$O991)),IF($C991="","",$C991)))</f>
        <v/>
      </c>
      <c r="Q991" s="35">
        <f>IF(OR(NOT(OR($A991&lt;&gt;"",$E991&lt;&gt;"",$F991&lt;&gt;"",$G991&lt;&gt;"",$H991&lt;&gt;"",$I991&lt;&gt;"")),$P991="",$P991&lt;&gt;'売掛帳'!$B$3,NOT(ISNUMBER($A991)),N($G991)+N($H991)+N($I991)=0),"",IF(AND($A991&gt;='売掛帳'!$Q$3,$A991&lt;='売掛帳'!$Q$4),$A991+0.5+ROW()/10000000,""))</f>
        <v/>
      </c>
      <c r="R991" s="32">
        <f>IF(AND(OR($A991&lt;&gt;"",$E991&lt;&gt;"",$F991&lt;&gt;"",$G991&lt;&gt;"",$H991&lt;&gt;"",$I991&lt;&gt;""),NOT(ISNUMBER($O991))),1,"")</f>
        <v/>
      </c>
    </row>
    <row r="992" ht="18" customHeight="1">
      <c r="A992" s="26" t="n"/>
      <c r="B992" s="18" t="n"/>
      <c r="C992" s="18" t="n"/>
      <c r="D992" s="20">
        <f>IF($P992="","",IFERROR(INDEX('得意先'!$C$5:$C$104,MATCH($P992,'得意先'!$B$5:$B$104,0))&amp;"","※得意先にないコード"))</f>
        <v/>
      </c>
      <c r="E992" s="27" t="n"/>
      <c r="F992" s="18" t="n"/>
      <c r="G992" s="27" t="n"/>
      <c r="H992" s="27" t="n"/>
      <c r="I992" s="27" t="n"/>
      <c r="J992" s="28">
        <f>IF(NOT(OR($A992&lt;&gt;"",$E992&lt;&gt;"",$F992&lt;&gt;"",$G992&lt;&gt;"",$H992&lt;&gt;"",$I992&lt;&gt;"")),"",N($G992)+N($H992)+N($I992))</f>
        <v/>
      </c>
      <c r="K992" s="28">
        <f>IF(ISNUMBER($O992),INDEX('請求台帳'!$R$5:$R$1004,$O992),"")</f>
        <v/>
      </c>
      <c r="L992" s="20">
        <f>IF(NOT(OR($A992&lt;&gt;"",$E992&lt;&gt;"",$F992&lt;&gt;"",$G992&lt;&gt;"",$H992&lt;&gt;"",$I992&lt;&gt;"")),"",IF(NOT(ISNUMBER($A992)),"入金日がありません",IF(AND($F992&lt;&gt;"",$O992="なし"),"請求Noが請求台帳にありません",IF(AND(ISNUMBER($O992),$C992&lt;&gt;"",$C992&lt;&gt;$P992),"請求の得意先は "&amp;$P992&amp;" です",IF(ROUND(IF($B992&lt;&gt;"",SUMIF($B$5:$B$1004,$B992,$E$5:$E$1004)-SUMIF($B$5:$B$1004,$B992,$G$5:$G$1004),N($E992)-N($G992)),0)&lt;&gt;0,"通帳の額と当てた額の差 "&amp;TEXT(IF($B992&lt;&gt;"",SUMIF($B$5:$B$1004,$B992,$E$5:$E$1004)-SUMIF($B$5:$B$1004,$B992,$G$5:$G$1004),N($E992)-N($G992)),"#,##0"),IF(AND(ISNUMBER($O992),N($K992)&lt;0),"請求額より多く消し込んでいます",IF($F992="","消込先が未定","OK")))))))</f>
        <v/>
      </c>
      <c r="M992" s="19" t="n"/>
      <c r="N992" s="56" t="n"/>
      <c r="O992" s="32">
        <f>IF($F992="","",IFERROR(MATCH($F992,'請求台帳'!$A$5:$A$1004,0),"なし"))</f>
        <v/>
      </c>
      <c r="P992" s="37">
        <f>IF(NOT(OR($A992&lt;&gt;"",$E992&lt;&gt;"",$F992&lt;&gt;"",$G992&lt;&gt;"",$H992&lt;&gt;"",$I992&lt;&gt;"")),"",IF(ISNUMBER($O992),IF(INDEX('請求台帳'!$C$5:$C$1004,$O992)="","",INDEX('請求台帳'!$C$5:$C$1004,$O992)),IF($C992="","",$C992)))</f>
        <v/>
      </c>
      <c r="Q992" s="35">
        <f>IF(OR(NOT(OR($A992&lt;&gt;"",$E992&lt;&gt;"",$F992&lt;&gt;"",$G992&lt;&gt;"",$H992&lt;&gt;"",$I992&lt;&gt;"")),$P992="",$P992&lt;&gt;'売掛帳'!$B$3,NOT(ISNUMBER($A992)),N($G992)+N($H992)+N($I992)=0),"",IF(AND($A992&gt;='売掛帳'!$Q$3,$A992&lt;='売掛帳'!$Q$4),$A992+0.5+ROW()/10000000,""))</f>
        <v/>
      </c>
      <c r="R992" s="32">
        <f>IF(AND(OR($A992&lt;&gt;"",$E992&lt;&gt;"",$F992&lt;&gt;"",$G992&lt;&gt;"",$H992&lt;&gt;"",$I992&lt;&gt;""),NOT(ISNUMBER($O992))),1,"")</f>
        <v/>
      </c>
    </row>
    <row r="993" ht="18" customHeight="1">
      <c r="A993" s="26" t="n"/>
      <c r="B993" s="18" t="n"/>
      <c r="C993" s="18" t="n"/>
      <c r="D993" s="20">
        <f>IF($P993="","",IFERROR(INDEX('得意先'!$C$5:$C$104,MATCH($P993,'得意先'!$B$5:$B$104,0))&amp;"","※得意先にないコード"))</f>
        <v/>
      </c>
      <c r="E993" s="27" t="n"/>
      <c r="F993" s="18" t="n"/>
      <c r="G993" s="27" t="n"/>
      <c r="H993" s="27" t="n"/>
      <c r="I993" s="27" t="n"/>
      <c r="J993" s="28">
        <f>IF(NOT(OR($A993&lt;&gt;"",$E993&lt;&gt;"",$F993&lt;&gt;"",$G993&lt;&gt;"",$H993&lt;&gt;"",$I993&lt;&gt;"")),"",N($G993)+N($H993)+N($I993))</f>
        <v/>
      </c>
      <c r="K993" s="28">
        <f>IF(ISNUMBER($O993),INDEX('請求台帳'!$R$5:$R$1004,$O993),"")</f>
        <v/>
      </c>
      <c r="L993" s="20">
        <f>IF(NOT(OR($A993&lt;&gt;"",$E993&lt;&gt;"",$F993&lt;&gt;"",$G993&lt;&gt;"",$H993&lt;&gt;"",$I993&lt;&gt;"")),"",IF(NOT(ISNUMBER($A993)),"入金日がありません",IF(AND($F993&lt;&gt;"",$O993="なし"),"請求Noが請求台帳にありません",IF(AND(ISNUMBER($O993),$C993&lt;&gt;"",$C993&lt;&gt;$P993),"請求の得意先は "&amp;$P993&amp;" です",IF(ROUND(IF($B993&lt;&gt;"",SUMIF($B$5:$B$1004,$B993,$E$5:$E$1004)-SUMIF($B$5:$B$1004,$B993,$G$5:$G$1004),N($E993)-N($G993)),0)&lt;&gt;0,"通帳の額と当てた額の差 "&amp;TEXT(IF($B993&lt;&gt;"",SUMIF($B$5:$B$1004,$B993,$E$5:$E$1004)-SUMIF($B$5:$B$1004,$B993,$G$5:$G$1004),N($E993)-N($G993)),"#,##0"),IF(AND(ISNUMBER($O993),N($K993)&lt;0),"請求額より多く消し込んでいます",IF($F993="","消込先が未定","OK")))))))</f>
        <v/>
      </c>
      <c r="M993" s="19" t="n"/>
      <c r="N993" s="56" t="n"/>
      <c r="O993" s="32">
        <f>IF($F993="","",IFERROR(MATCH($F993,'請求台帳'!$A$5:$A$1004,0),"なし"))</f>
        <v/>
      </c>
      <c r="P993" s="37">
        <f>IF(NOT(OR($A993&lt;&gt;"",$E993&lt;&gt;"",$F993&lt;&gt;"",$G993&lt;&gt;"",$H993&lt;&gt;"",$I993&lt;&gt;"")),"",IF(ISNUMBER($O993),IF(INDEX('請求台帳'!$C$5:$C$1004,$O993)="","",INDEX('請求台帳'!$C$5:$C$1004,$O993)),IF($C993="","",$C993)))</f>
        <v/>
      </c>
      <c r="Q993" s="35">
        <f>IF(OR(NOT(OR($A993&lt;&gt;"",$E993&lt;&gt;"",$F993&lt;&gt;"",$G993&lt;&gt;"",$H993&lt;&gt;"",$I993&lt;&gt;"")),$P993="",$P993&lt;&gt;'売掛帳'!$B$3,NOT(ISNUMBER($A993)),N($G993)+N($H993)+N($I993)=0),"",IF(AND($A993&gt;='売掛帳'!$Q$3,$A993&lt;='売掛帳'!$Q$4),$A993+0.5+ROW()/10000000,""))</f>
        <v/>
      </c>
      <c r="R993" s="32">
        <f>IF(AND(OR($A993&lt;&gt;"",$E993&lt;&gt;"",$F993&lt;&gt;"",$G993&lt;&gt;"",$H993&lt;&gt;"",$I993&lt;&gt;""),NOT(ISNUMBER($O993))),1,"")</f>
        <v/>
      </c>
    </row>
    <row r="994" ht="18" customHeight="1">
      <c r="A994" s="26" t="n"/>
      <c r="B994" s="18" t="n"/>
      <c r="C994" s="18" t="n"/>
      <c r="D994" s="20">
        <f>IF($P994="","",IFERROR(INDEX('得意先'!$C$5:$C$104,MATCH($P994,'得意先'!$B$5:$B$104,0))&amp;"","※得意先にないコード"))</f>
        <v/>
      </c>
      <c r="E994" s="27" t="n"/>
      <c r="F994" s="18" t="n"/>
      <c r="G994" s="27" t="n"/>
      <c r="H994" s="27" t="n"/>
      <c r="I994" s="27" t="n"/>
      <c r="J994" s="28">
        <f>IF(NOT(OR($A994&lt;&gt;"",$E994&lt;&gt;"",$F994&lt;&gt;"",$G994&lt;&gt;"",$H994&lt;&gt;"",$I994&lt;&gt;"")),"",N($G994)+N($H994)+N($I994))</f>
        <v/>
      </c>
      <c r="K994" s="28">
        <f>IF(ISNUMBER($O994),INDEX('請求台帳'!$R$5:$R$1004,$O994),"")</f>
        <v/>
      </c>
      <c r="L994" s="20">
        <f>IF(NOT(OR($A994&lt;&gt;"",$E994&lt;&gt;"",$F994&lt;&gt;"",$G994&lt;&gt;"",$H994&lt;&gt;"",$I994&lt;&gt;"")),"",IF(NOT(ISNUMBER($A994)),"入金日がありません",IF(AND($F994&lt;&gt;"",$O994="なし"),"請求Noが請求台帳にありません",IF(AND(ISNUMBER($O994),$C994&lt;&gt;"",$C994&lt;&gt;$P994),"請求の得意先は "&amp;$P994&amp;" です",IF(ROUND(IF($B994&lt;&gt;"",SUMIF($B$5:$B$1004,$B994,$E$5:$E$1004)-SUMIF($B$5:$B$1004,$B994,$G$5:$G$1004),N($E994)-N($G994)),0)&lt;&gt;0,"通帳の額と当てた額の差 "&amp;TEXT(IF($B994&lt;&gt;"",SUMIF($B$5:$B$1004,$B994,$E$5:$E$1004)-SUMIF($B$5:$B$1004,$B994,$G$5:$G$1004),N($E994)-N($G994)),"#,##0"),IF(AND(ISNUMBER($O994),N($K994)&lt;0),"請求額より多く消し込んでいます",IF($F994="","消込先が未定","OK")))))))</f>
        <v/>
      </c>
      <c r="M994" s="19" t="n"/>
      <c r="N994" s="56" t="n"/>
      <c r="O994" s="32">
        <f>IF($F994="","",IFERROR(MATCH($F994,'請求台帳'!$A$5:$A$1004,0),"なし"))</f>
        <v/>
      </c>
      <c r="P994" s="37">
        <f>IF(NOT(OR($A994&lt;&gt;"",$E994&lt;&gt;"",$F994&lt;&gt;"",$G994&lt;&gt;"",$H994&lt;&gt;"",$I994&lt;&gt;"")),"",IF(ISNUMBER($O994),IF(INDEX('請求台帳'!$C$5:$C$1004,$O994)="","",INDEX('請求台帳'!$C$5:$C$1004,$O994)),IF($C994="","",$C994)))</f>
        <v/>
      </c>
      <c r="Q994" s="35">
        <f>IF(OR(NOT(OR($A994&lt;&gt;"",$E994&lt;&gt;"",$F994&lt;&gt;"",$G994&lt;&gt;"",$H994&lt;&gt;"",$I994&lt;&gt;"")),$P994="",$P994&lt;&gt;'売掛帳'!$B$3,NOT(ISNUMBER($A994)),N($G994)+N($H994)+N($I994)=0),"",IF(AND($A994&gt;='売掛帳'!$Q$3,$A994&lt;='売掛帳'!$Q$4),$A994+0.5+ROW()/10000000,""))</f>
        <v/>
      </c>
      <c r="R994" s="32">
        <f>IF(AND(OR($A994&lt;&gt;"",$E994&lt;&gt;"",$F994&lt;&gt;"",$G994&lt;&gt;"",$H994&lt;&gt;"",$I994&lt;&gt;""),NOT(ISNUMBER($O994))),1,"")</f>
        <v/>
      </c>
    </row>
    <row r="995" ht="18" customHeight="1">
      <c r="A995" s="26" t="n"/>
      <c r="B995" s="18" t="n"/>
      <c r="C995" s="18" t="n"/>
      <c r="D995" s="20">
        <f>IF($P995="","",IFERROR(INDEX('得意先'!$C$5:$C$104,MATCH($P995,'得意先'!$B$5:$B$104,0))&amp;"","※得意先にないコード"))</f>
        <v/>
      </c>
      <c r="E995" s="27" t="n"/>
      <c r="F995" s="18" t="n"/>
      <c r="G995" s="27" t="n"/>
      <c r="H995" s="27" t="n"/>
      <c r="I995" s="27" t="n"/>
      <c r="J995" s="28">
        <f>IF(NOT(OR($A995&lt;&gt;"",$E995&lt;&gt;"",$F995&lt;&gt;"",$G995&lt;&gt;"",$H995&lt;&gt;"",$I995&lt;&gt;"")),"",N($G995)+N($H995)+N($I995))</f>
        <v/>
      </c>
      <c r="K995" s="28">
        <f>IF(ISNUMBER($O995),INDEX('請求台帳'!$R$5:$R$1004,$O995),"")</f>
        <v/>
      </c>
      <c r="L995" s="20">
        <f>IF(NOT(OR($A995&lt;&gt;"",$E995&lt;&gt;"",$F995&lt;&gt;"",$G995&lt;&gt;"",$H995&lt;&gt;"",$I995&lt;&gt;"")),"",IF(NOT(ISNUMBER($A995)),"入金日がありません",IF(AND($F995&lt;&gt;"",$O995="なし"),"請求Noが請求台帳にありません",IF(AND(ISNUMBER($O995),$C995&lt;&gt;"",$C995&lt;&gt;$P995),"請求の得意先は "&amp;$P995&amp;" です",IF(ROUND(IF($B995&lt;&gt;"",SUMIF($B$5:$B$1004,$B995,$E$5:$E$1004)-SUMIF($B$5:$B$1004,$B995,$G$5:$G$1004),N($E995)-N($G995)),0)&lt;&gt;0,"通帳の額と当てた額の差 "&amp;TEXT(IF($B995&lt;&gt;"",SUMIF($B$5:$B$1004,$B995,$E$5:$E$1004)-SUMIF($B$5:$B$1004,$B995,$G$5:$G$1004),N($E995)-N($G995)),"#,##0"),IF(AND(ISNUMBER($O995),N($K995)&lt;0),"請求額より多く消し込んでいます",IF($F995="","消込先が未定","OK")))))))</f>
        <v/>
      </c>
      <c r="M995" s="19" t="n"/>
      <c r="N995" s="56" t="n"/>
      <c r="O995" s="32">
        <f>IF($F995="","",IFERROR(MATCH($F995,'請求台帳'!$A$5:$A$1004,0),"なし"))</f>
        <v/>
      </c>
      <c r="P995" s="37">
        <f>IF(NOT(OR($A995&lt;&gt;"",$E995&lt;&gt;"",$F995&lt;&gt;"",$G995&lt;&gt;"",$H995&lt;&gt;"",$I995&lt;&gt;"")),"",IF(ISNUMBER($O995),IF(INDEX('請求台帳'!$C$5:$C$1004,$O995)="","",INDEX('請求台帳'!$C$5:$C$1004,$O995)),IF($C995="","",$C995)))</f>
        <v/>
      </c>
      <c r="Q995" s="35">
        <f>IF(OR(NOT(OR($A995&lt;&gt;"",$E995&lt;&gt;"",$F995&lt;&gt;"",$G995&lt;&gt;"",$H995&lt;&gt;"",$I995&lt;&gt;"")),$P995="",$P995&lt;&gt;'売掛帳'!$B$3,NOT(ISNUMBER($A995)),N($G995)+N($H995)+N($I995)=0),"",IF(AND($A995&gt;='売掛帳'!$Q$3,$A995&lt;='売掛帳'!$Q$4),$A995+0.5+ROW()/10000000,""))</f>
        <v/>
      </c>
      <c r="R995" s="32">
        <f>IF(AND(OR($A995&lt;&gt;"",$E995&lt;&gt;"",$F995&lt;&gt;"",$G995&lt;&gt;"",$H995&lt;&gt;"",$I995&lt;&gt;""),NOT(ISNUMBER($O995))),1,"")</f>
        <v/>
      </c>
    </row>
    <row r="996" ht="18" customHeight="1">
      <c r="A996" s="26" t="n"/>
      <c r="B996" s="18" t="n"/>
      <c r="C996" s="18" t="n"/>
      <c r="D996" s="20">
        <f>IF($P996="","",IFERROR(INDEX('得意先'!$C$5:$C$104,MATCH($P996,'得意先'!$B$5:$B$104,0))&amp;"","※得意先にないコード"))</f>
        <v/>
      </c>
      <c r="E996" s="27" t="n"/>
      <c r="F996" s="18" t="n"/>
      <c r="G996" s="27" t="n"/>
      <c r="H996" s="27" t="n"/>
      <c r="I996" s="27" t="n"/>
      <c r="J996" s="28">
        <f>IF(NOT(OR($A996&lt;&gt;"",$E996&lt;&gt;"",$F996&lt;&gt;"",$G996&lt;&gt;"",$H996&lt;&gt;"",$I996&lt;&gt;"")),"",N($G996)+N($H996)+N($I996))</f>
        <v/>
      </c>
      <c r="K996" s="28">
        <f>IF(ISNUMBER($O996),INDEX('請求台帳'!$R$5:$R$1004,$O996),"")</f>
        <v/>
      </c>
      <c r="L996" s="20">
        <f>IF(NOT(OR($A996&lt;&gt;"",$E996&lt;&gt;"",$F996&lt;&gt;"",$G996&lt;&gt;"",$H996&lt;&gt;"",$I996&lt;&gt;"")),"",IF(NOT(ISNUMBER($A996)),"入金日がありません",IF(AND($F996&lt;&gt;"",$O996="なし"),"請求Noが請求台帳にありません",IF(AND(ISNUMBER($O996),$C996&lt;&gt;"",$C996&lt;&gt;$P996),"請求の得意先は "&amp;$P996&amp;" です",IF(ROUND(IF($B996&lt;&gt;"",SUMIF($B$5:$B$1004,$B996,$E$5:$E$1004)-SUMIF($B$5:$B$1004,$B996,$G$5:$G$1004),N($E996)-N($G996)),0)&lt;&gt;0,"通帳の額と当てた額の差 "&amp;TEXT(IF($B996&lt;&gt;"",SUMIF($B$5:$B$1004,$B996,$E$5:$E$1004)-SUMIF($B$5:$B$1004,$B996,$G$5:$G$1004),N($E996)-N($G996)),"#,##0"),IF(AND(ISNUMBER($O996),N($K996)&lt;0),"請求額より多く消し込んでいます",IF($F996="","消込先が未定","OK")))))))</f>
        <v/>
      </c>
      <c r="M996" s="19" t="n"/>
      <c r="N996" s="56" t="n"/>
      <c r="O996" s="32">
        <f>IF($F996="","",IFERROR(MATCH($F996,'請求台帳'!$A$5:$A$1004,0),"なし"))</f>
        <v/>
      </c>
      <c r="P996" s="37">
        <f>IF(NOT(OR($A996&lt;&gt;"",$E996&lt;&gt;"",$F996&lt;&gt;"",$G996&lt;&gt;"",$H996&lt;&gt;"",$I996&lt;&gt;"")),"",IF(ISNUMBER($O996),IF(INDEX('請求台帳'!$C$5:$C$1004,$O996)="","",INDEX('請求台帳'!$C$5:$C$1004,$O996)),IF($C996="","",$C996)))</f>
        <v/>
      </c>
      <c r="Q996" s="35">
        <f>IF(OR(NOT(OR($A996&lt;&gt;"",$E996&lt;&gt;"",$F996&lt;&gt;"",$G996&lt;&gt;"",$H996&lt;&gt;"",$I996&lt;&gt;"")),$P996="",$P996&lt;&gt;'売掛帳'!$B$3,NOT(ISNUMBER($A996)),N($G996)+N($H996)+N($I996)=0),"",IF(AND($A996&gt;='売掛帳'!$Q$3,$A996&lt;='売掛帳'!$Q$4),$A996+0.5+ROW()/10000000,""))</f>
        <v/>
      </c>
      <c r="R996" s="32">
        <f>IF(AND(OR($A996&lt;&gt;"",$E996&lt;&gt;"",$F996&lt;&gt;"",$G996&lt;&gt;"",$H996&lt;&gt;"",$I996&lt;&gt;""),NOT(ISNUMBER($O996))),1,"")</f>
        <v/>
      </c>
    </row>
    <row r="997" ht="18" customHeight="1">
      <c r="A997" s="26" t="n"/>
      <c r="B997" s="18" t="n"/>
      <c r="C997" s="18" t="n"/>
      <c r="D997" s="20">
        <f>IF($P997="","",IFERROR(INDEX('得意先'!$C$5:$C$104,MATCH($P997,'得意先'!$B$5:$B$104,0))&amp;"","※得意先にないコード"))</f>
        <v/>
      </c>
      <c r="E997" s="27" t="n"/>
      <c r="F997" s="18" t="n"/>
      <c r="G997" s="27" t="n"/>
      <c r="H997" s="27" t="n"/>
      <c r="I997" s="27" t="n"/>
      <c r="J997" s="28">
        <f>IF(NOT(OR($A997&lt;&gt;"",$E997&lt;&gt;"",$F997&lt;&gt;"",$G997&lt;&gt;"",$H997&lt;&gt;"",$I997&lt;&gt;"")),"",N($G997)+N($H997)+N($I997))</f>
        <v/>
      </c>
      <c r="K997" s="28">
        <f>IF(ISNUMBER($O997),INDEX('請求台帳'!$R$5:$R$1004,$O997),"")</f>
        <v/>
      </c>
      <c r="L997" s="20">
        <f>IF(NOT(OR($A997&lt;&gt;"",$E997&lt;&gt;"",$F997&lt;&gt;"",$G997&lt;&gt;"",$H997&lt;&gt;"",$I997&lt;&gt;"")),"",IF(NOT(ISNUMBER($A997)),"入金日がありません",IF(AND($F997&lt;&gt;"",$O997="なし"),"請求Noが請求台帳にありません",IF(AND(ISNUMBER($O997),$C997&lt;&gt;"",$C997&lt;&gt;$P997),"請求の得意先は "&amp;$P997&amp;" です",IF(ROUND(IF($B997&lt;&gt;"",SUMIF($B$5:$B$1004,$B997,$E$5:$E$1004)-SUMIF($B$5:$B$1004,$B997,$G$5:$G$1004),N($E997)-N($G997)),0)&lt;&gt;0,"通帳の額と当てた額の差 "&amp;TEXT(IF($B997&lt;&gt;"",SUMIF($B$5:$B$1004,$B997,$E$5:$E$1004)-SUMIF($B$5:$B$1004,$B997,$G$5:$G$1004),N($E997)-N($G997)),"#,##0"),IF(AND(ISNUMBER($O997),N($K997)&lt;0),"請求額より多く消し込んでいます",IF($F997="","消込先が未定","OK")))))))</f>
        <v/>
      </c>
      <c r="M997" s="19" t="n"/>
      <c r="N997" s="56" t="n"/>
      <c r="O997" s="32">
        <f>IF($F997="","",IFERROR(MATCH($F997,'請求台帳'!$A$5:$A$1004,0),"なし"))</f>
        <v/>
      </c>
      <c r="P997" s="37">
        <f>IF(NOT(OR($A997&lt;&gt;"",$E997&lt;&gt;"",$F997&lt;&gt;"",$G997&lt;&gt;"",$H997&lt;&gt;"",$I997&lt;&gt;"")),"",IF(ISNUMBER($O997),IF(INDEX('請求台帳'!$C$5:$C$1004,$O997)="","",INDEX('請求台帳'!$C$5:$C$1004,$O997)),IF($C997="","",$C997)))</f>
        <v/>
      </c>
      <c r="Q997" s="35">
        <f>IF(OR(NOT(OR($A997&lt;&gt;"",$E997&lt;&gt;"",$F997&lt;&gt;"",$G997&lt;&gt;"",$H997&lt;&gt;"",$I997&lt;&gt;"")),$P997="",$P997&lt;&gt;'売掛帳'!$B$3,NOT(ISNUMBER($A997)),N($G997)+N($H997)+N($I997)=0),"",IF(AND($A997&gt;='売掛帳'!$Q$3,$A997&lt;='売掛帳'!$Q$4),$A997+0.5+ROW()/10000000,""))</f>
        <v/>
      </c>
      <c r="R997" s="32">
        <f>IF(AND(OR($A997&lt;&gt;"",$E997&lt;&gt;"",$F997&lt;&gt;"",$G997&lt;&gt;"",$H997&lt;&gt;"",$I997&lt;&gt;""),NOT(ISNUMBER($O997))),1,"")</f>
        <v/>
      </c>
    </row>
    <row r="998" ht="18" customHeight="1">
      <c r="A998" s="26" t="n"/>
      <c r="B998" s="18" t="n"/>
      <c r="C998" s="18" t="n"/>
      <c r="D998" s="20">
        <f>IF($P998="","",IFERROR(INDEX('得意先'!$C$5:$C$104,MATCH($P998,'得意先'!$B$5:$B$104,0))&amp;"","※得意先にないコード"))</f>
        <v/>
      </c>
      <c r="E998" s="27" t="n"/>
      <c r="F998" s="18" t="n"/>
      <c r="G998" s="27" t="n"/>
      <c r="H998" s="27" t="n"/>
      <c r="I998" s="27" t="n"/>
      <c r="J998" s="28">
        <f>IF(NOT(OR($A998&lt;&gt;"",$E998&lt;&gt;"",$F998&lt;&gt;"",$G998&lt;&gt;"",$H998&lt;&gt;"",$I998&lt;&gt;"")),"",N($G998)+N($H998)+N($I998))</f>
        <v/>
      </c>
      <c r="K998" s="28">
        <f>IF(ISNUMBER($O998),INDEX('請求台帳'!$R$5:$R$1004,$O998),"")</f>
        <v/>
      </c>
      <c r="L998" s="20">
        <f>IF(NOT(OR($A998&lt;&gt;"",$E998&lt;&gt;"",$F998&lt;&gt;"",$G998&lt;&gt;"",$H998&lt;&gt;"",$I998&lt;&gt;"")),"",IF(NOT(ISNUMBER($A998)),"入金日がありません",IF(AND($F998&lt;&gt;"",$O998="なし"),"請求Noが請求台帳にありません",IF(AND(ISNUMBER($O998),$C998&lt;&gt;"",$C998&lt;&gt;$P998),"請求の得意先は "&amp;$P998&amp;" です",IF(ROUND(IF($B998&lt;&gt;"",SUMIF($B$5:$B$1004,$B998,$E$5:$E$1004)-SUMIF($B$5:$B$1004,$B998,$G$5:$G$1004),N($E998)-N($G998)),0)&lt;&gt;0,"通帳の額と当てた額の差 "&amp;TEXT(IF($B998&lt;&gt;"",SUMIF($B$5:$B$1004,$B998,$E$5:$E$1004)-SUMIF($B$5:$B$1004,$B998,$G$5:$G$1004),N($E998)-N($G998)),"#,##0"),IF(AND(ISNUMBER($O998),N($K998)&lt;0),"請求額より多く消し込んでいます",IF($F998="","消込先が未定","OK")))))))</f>
        <v/>
      </c>
      <c r="M998" s="19" t="n"/>
      <c r="N998" s="56" t="n"/>
      <c r="O998" s="32">
        <f>IF($F998="","",IFERROR(MATCH($F998,'請求台帳'!$A$5:$A$1004,0),"なし"))</f>
        <v/>
      </c>
      <c r="P998" s="37">
        <f>IF(NOT(OR($A998&lt;&gt;"",$E998&lt;&gt;"",$F998&lt;&gt;"",$G998&lt;&gt;"",$H998&lt;&gt;"",$I998&lt;&gt;"")),"",IF(ISNUMBER($O998),IF(INDEX('請求台帳'!$C$5:$C$1004,$O998)="","",INDEX('請求台帳'!$C$5:$C$1004,$O998)),IF($C998="","",$C998)))</f>
        <v/>
      </c>
      <c r="Q998" s="35">
        <f>IF(OR(NOT(OR($A998&lt;&gt;"",$E998&lt;&gt;"",$F998&lt;&gt;"",$G998&lt;&gt;"",$H998&lt;&gt;"",$I998&lt;&gt;"")),$P998="",$P998&lt;&gt;'売掛帳'!$B$3,NOT(ISNUMBER($A998)),N($G998)+N($H998)+N($I998)=0),"",IF(AND($A998&gt;='売掛帳'!$Q$3,$A998&lt;='売掛帳'!$Q$4),$A998+0.5+ROW()/10000000,""))</f>
        <v/>
      </c>
      <c r="R998" s="32">
        <f>IF(AND(OR($A998&lt;&gt;"",$E998&lt;&gt;"",$F998&lt;&gt;"",$G998&lt;&gt;"",$H998&lt;&gt;"",$I998&lt;&gt;""),NOT(ISNUMBER($O998))),1,"")</f>
        <v/>
      </c>
    </row>
    <row r="999" ht="18" customHeight="1">
      <c r="A999" s="26" t="n"/>
      <c r="B999" s="18" t="n"/>
      <c r="C999" s="18" t="n"/>
      <c r="D999" s="20">
        <f>IF($P999="","",IFERROR(INDEX('得意先'!$C$5:$C$104,MATCH($P999,'得意先'!$B$5:$B$104,0))&amp;"","※得意先にないコード"))</f>
        <v/>
      </c>
      <c r="E999" s="27" t="n"/>
      <c r="F999" s="18" t="n"/>
      <c r="G999" s="27" t="n"/>
      <c r="H999" s="27" t="n"/>
      <c r="I999" s="27" t="n"/>
      <c r="J999" s="28">
        <f>IF(NOT(OR($A999&lt;&gt;"",$E999&lt;&gt;"",$F999&lt;&gt;"",$G999&lt;&gt;"",$H999&lt;&gt;"",$I999&lt;&gt;"")),"",N($G999)+N($H999)+N($I999))</f>
        <v/>
      </c>
      <c r="K999" s="28">
        <f>IF(ISNUMBER($O999),INDEX('請求台帳'!$R$5:$R$1004,$O999),"")</f>
        <v/>
      </c>
      <c r="L999" s="20">
        <f>IF(NOT(OR($A999&lt;&gt;"",$E999&lt;&gt;"",$F999&lt;&gt;"",$G999&lt;&gt;"",$H999&lt;&gt;"",$I999&lt;&gt;"")),"",IF(NOT(ISNUMBER($A999)),"入金日がありません",IF(AND($F999&lt;&gt;"",$O999="なし"),"請求Noが請求台帳にありません",IF(AND(ISNUMBER($O999),$C999&lt;&gt;"",$C999&lt;&gt;$P999),"請求の得意先は "&amp;$P999&amp;" です",IF(ROUND(IF($B999&lt;&gt;"",SUMIF($B$5:$B$1004,$B999,$E$5:$E$1004)-SUMIF($B$5:$B$1004,$B999,$G$5:$G$1004),N($E999)-N($G999)),0)&lt;&gt;0,"通帳の額と当てた額の差 "&amp;TEXT(IF($B999&lt;&gt;"",SUMIF($B$5:$B$1004,$B999,$E$5:$E$1004)-SUMIF($B$5:$B$1004,$B999,$G$5:$G$1004),N($E999)-N($G999)),"#,##0"),IF(AND(ISNUMBER($O999),N($K999)&lt;0),"請求額より多く消し込んでいます",IF($F999="","消込先が未定","OK")))))))</f>
        <v/>
      </c>
      <c r="M999" s="19" t="n"/>
      <c r="N999" s="56" t="n"/>
      <c r="O999" s="32">
        <f>IF($F999="","",IFERROR(MATCH($F999,'請求台帳'!$A$5:$A$1004,0),"なし"))</f>
        <v/>
      </c>
      <c r="P999" s="37">
        <f>IF(NOT(OR($A999&lt;&gt;"",$E999&lt;&gt;"",$F999&lt;&gt;"",$G999&lt;&gt;"",$H999&lt;&gt;"",$I999&lt;&gt;"")),"",IF(ISNUMBER($O999),IF(INDEX('請求台帳'!$C$5:$C$1004,$O999)="","",INDEX('請求台帳'!$C$5:$C$1004,$O999)),IF($C999="","",$C999)))</f>
        <v/>
      </c>
      <c r="Q999" s="35">
        <f>IF(OR(NOT(OR($A999&lt;&gt;"",$E999&lt;&gt;"",$F999&lt;&gt;"",$G999&lt;&gt;"",$H999&lt;&gt;"",$I999&lt;&gt;"")),$P999="",$P999&lt;&gt;'売掛帳'!$B$3,NOT(ISNUMBER($A999)),N($G999)+N($H999)+N($I999)=0),"",IF(AND($A999&gt;='売掛帳'!$Q$3,$A999&lt;='売掛帳'!$Q$4),$A999+0.5+ROW()/10000000,""))</f>
        <v/>
      </c>
      <c r="R999" s="32">
        <f>IF(AND(OR($A999&lt;&gt;"",$E999&lt;&gt;"",$F999&lt;&gt;"",$G999&lt;&gt;"",$H999&lt;&gt;"",$I999&lt;&gt;""),NOT(ISNUMBER($O999))),1,"")</f>
        <v/>
      </c>
    </row>
    <row r="1000" ht="18" customHeight="1">
      <c r="A1000" s="26" t="n"/>
      <c r="B1000" s="18" t="n"/>
      <c r="C1000" s="18" t="n"/>
      <c r="D1000" s="20">
        <f>IF($P1000="","",IFERROR(INDEX('得意先'!$C$5:$C$104,MATCH($P1000,'得意先'!$B$5:$B$104,0))&amp;"","※得意先にないコード"))</f>
        <v/>
      </c>
      <c r="E1000" s="27" t="n"/>
      <c r="F1000" s="18" t="n"/>
      <c r="G1000" s="27" t="n"/>
      <c r="H1000" s="27" t="n"/>
      <c r="I1000" s="27" t="n"/>
      <c r="J1000" s="28">
        <f>IF(NOT(OR($A1000&lt;&gt;"",$E1000&lt;&gt;"",$F1000&lt;&gt;"",$G1000&lt;&gt;"",$H1000&lt;&gt;"",$I1000&lt;&gt;"")),"",N($G1000)+N($H1000)+N($I1000))</f>
        <v/>
      </c>
      <c r="K1000" s="28">
        <f>IF(ISNUMBER($O1000),INDEX('請求台帳'!$R$5:$R$1004,$O1000),"")</f>
        <v/>
      </c>
      <c r="L1000" s="20">
        <f>IF(NOT(OR($A1000&lt;&gt;"",$E1000&lt;&gt;"",$F1000&lt;&gt;"",$G1000&lt;&gt;"",$H1000&lt;&gt;"",$I1000&lt;&gt;"")),"",IF(NOT(ISNUMBER($A1000)),"入金日がありません",IF(AND($F1000&lt;&gt;"",$O1000="なし"),"請求Noが請求台帳にありません",IF(AND(ISNUMBER($O1000),$C1000&lt;&gt;"",$C1000&lt;&gt;$P1000),"請求の得意先は "&amp;$P1000&amp;" です",IF(ROUND(IF($B1000&lt;&gt;"",SUMIF($B$5:$B$1004,$B1000,$E$5:$E$1004)-SUMIF($B$5:$B$1004,$B1000,$G$5:$G$1004),N($E1000)-N($G1000)),0)&lt;&gt;0,"通帳の額と当てた額の差 "&amp;TEXT(IF($B1000&lt;&gt;"",SUMIF($B$5:$B$1004,$B1000,$E$5:$E$1004)-SUMIF($B$5:$B$1004,$B1000,$G$5:$G$1004),N($E1000)-N($G1000)),"#,##0"),IF(AND(ISNUMBER($O1000),N($K1000)&lt;0),"請求額より多く消し込んでいます",IF($F1000="","消込先が未定","OK")))))))</f>
        <v/>
      </c>
      <c r="M1000" s="19" t="n"/>
      <c r="N1000" s="56" t="n"/>
      <c r="O1000" s="32">
        <f>IF($F1000="","",IFERROR(MATCH($F1000,'請求台帳'!$A$5:$A$1004,0),"なし"))</f>
        <v/>
      </c>
      <c r="P1000" s="37">
        <f>IF(NOT(OR($A1000&lt;&gt;"",$E1000&lt;&gt;"",$F1000&lt;&gt;"",$G1000&lt;&gt;"",$H1000&lt;&gt;"",$I1000&lt;&gt;"")),"",IF(ISNUMBER($O1000),IF(INDEX('請求台帳'!$C$5:$C$1004,$O1000)="","",INDEX('請求台帳'!$C$5:$C$1004,$O1000)),IF($C1000="","",$C1000)))</f>
        <v/>
      </c>
      <c r="Q1000" s="35">
        <f>IF(OR(NOT(OR($A1000&lt;&gt;"",$E1000&lt;&gt;"",$F1000&lt;&gt;"",$G1000&lt;&gt;"",$H1000&lt;&gt;"",$I1000&lt;&gt;"")),$P1000="",$P1000&lt;&gt;'売掛帳'!$B$3,NOT(ISNUMBER($A1000)),N($G1000)+N($H1000)+N($I1000)=0),"",IF(AND($A1000&gt;='売掛帳'!$Q$3,$A1000&lt;='売掛帳'!$Q$4),$A1000+0.5+ROW()/10000000,""))</f>
        <v/>
      </c>
      <c r="R1000" s="32">
        <f>IF(AND(OR($A1000&lt;&gt;"",$E1000&lt;&gt;"",$F1000&lt;&gt;"",$G1000&lt;&gt;"",$H1000&lt;&gt;"",$I1000&lt;&gt;""),NOT(ISNUMBER($O1000))),1,"")</f>
        <v/>
      </c>
    </row>
    <row r="1001" ht="18" customHeight="1">
      <c r="A1001" s="26" t="n"/>
      <c r="B1001" s="18" t="n"/>
      <c r="C1001" s="18" t="n"/>
      <c r="D1001" s="20">
        <f>IF($P1001="","",IFERROR(INDEX('得意先'!$C$5:$C$104,MATCH($P1001,'得意先'!$B$5:$B$104,0))&amp;"","※得意先にないコード"))</f>
        <v/>
      </c>
      <c r="E1001" s="27" t="n"/>
      <c r="F1001" s="18" t="n"/>
      <c r="G1001" s="27" t="n"/>
      <c r="H1001" s="27" t="n"/>
      <c r="I1001" s="27" t="n"/>
      <c r="J1001" s="28">
        <f>IF(NOT(OR($A1001&lt;&gt;"",$E1001&lt;&gt;"",$F1001&lt;&gt;"",$G1001&lt;&gt;"",$H1001&lt;&gt;"",$I1001&lt;&gt;"")),"",N($G1001)+N($H1001)+N($I1001))</f>
        <v/>
      </c>
      <c r="K1001" s="28">
        <f>IF(ISNUMBER($O1001),INDEX('請求台帳'!$R$5:$R$1004,$O1001),"")</f>
        <v/>
      </c>
      <c r="L1001" s="20">
        <f>IF(NOT(OR($A1001&lt;&gt;"",$E1001&lt;&gt;"",$F1001&lt;&gt;"",$G1001&lt;&gt;"",$H1001&lt;&gt;"",$I1001&lt;&gt;"")),"",IF(NOT(ISNUMBER($A1001)),"入金日がありません",IF(AND($F1001&lt;&gt;"",$O1001="なし"),"請求Noが請求台帳にありません",IF(AND(ISNUMBER($O1001),$C1001&lt;&gt;"",$C1001&lt;&gt;$P1001),"請求の得意先は "&amp;$P1001&amp;" です",IF(ROUND(IF($B1001&lt;&gt;"",SUMIF($B$5:$B$1004,$B1001,$E$5:$E$1004)-SUMIF($B$5:$B$1004,$B1001,$G$5:$G$1004),N($E1001)-N($G1001)),0)&lt;&gt;0,"通帳の額と当てた額の差 "&amp;TEXT(IF($B1001&lt;&gt;"",SUMIF($B$5:$B$1004,$B1001,$E$5:$E$1004)-SUMIF($B$5:$B$1004,$B1001,$G$5:$G$1004),N($E1001)-N($G1001)),"#,##0"),IF(AND(ISNUMBER($O1001),N($K1001)&lt;0),"請求額より多く消し込んでいます",IF($F1001="","消込先が未定","OK")))))))</f>
        <v/>
      </c>
      <c r="M1001" s="19" t="n"/>
      <c r="N1001" s="56" t="n"/>
      <c r="O1001" s="32">
        <f>IF($F1001="","",IFERROR(MATCH($F1001,'請求台帳'!$A$5:$A$1004,0),"なし"))</f>
        <v/>
      </c>
      <c r="P1001" s="37">
        <f>IF(NOT(OR($A1001&lt;&gt;"",$E1001&lt;&gt;"",$F1001&lt;&gt;"",$G1001&lt;&gt;"",$H1001&lt;&gt;"",$I1001&lt;&gt;"")),"",IF(ISNUMBER($O1001),IF(INDEX('請求台帳'!$C$5:$C$1004,$O1001)="","",INDEX('請求台帳'!$C$5:$C$1004,$O1001)),IF($C1001="","",$C1001)))</f>
        <v/>
      </c>
      <c r="Q1001" s="35">
        <f>IF(OR(NOT(OR($A1001&lt;&gt;"",$E1001&lt;&gt;"",$F1001&lt;&gt;"",$G1001&lt;&gt;"",$H1001&lt;&gt;"",$I1001&lt;&gt;"")),$P1001="",$P1001&lt;&gt;'売掛帳'!$B$3,NOT(ISNUMBER($A1001)),N($G1001)+N($H1001)+N($I1001)=0),"",IF(AND($A1001&gt;='売掛帳'!$Q$3,$A1001&lt;='売掛帳'!$Q$4),$A1001+0.5+ROW()/10000000,""))</f>
        <v/>
      </c>
      <c r="R1001" s="32">
        <f>IF(AND(OR($A1001&lt;&gt;"",$E1001&lt;&gt;"",$F1001&lt;&gt;"",$G1001&lt;&gt;"",$H1001&lt;&gt;"",$I1001&lt;&gt;""),NOT(ISNUMBER($O1001))),1,"")</f>
        <v/>
      </c>
    </row>
    <row r="1002" ht="18" customHeight="1">
      <c r="A1002" s="26" t="n"/>
      <c r="B1002" s="18" t="n"/>
      <c r="C1002" s="18" t="n"/>
      <c r="D1002" s="20">
        <f>IF($P1002="","",IFERROR(INDEX('得意先'!$C$5:$C$104,MATCH($P1002,'得意先'!$B$5:$B$104,0))&amp;"","※得意先にないコード"))</f>
        <v/>
      </c>
      <c r="E1002" s="27" t="n"/>
      <c r="F1002" s="18" t="n"/>
      <c r="G1002" s="27" t="n"/>
      <c r="H1002" s="27" t="n"/>
      <c r="I1002" s="27" t="n"/>
      <c r="J1002" s="28">
        <f>IF(NOT(OR($A1002&lt;&gt;"",$E1002&lt;&gt;"",$F1002&lt;&gt;"",$G1002&lt;&gt;"",$H1002&lt;&gt;"",$I1002&lt;&gt;"")),"",N($G1002)+N($H1002)+N($I1002))</f>
        <v/>
      </c>
      <c r="K1002" s="28">
        <f>IF(ISNUMBER($O1002),INDEX('請求台帳'!$R$5:$R$1004,$O1002),"")</f>
        <v/>
      </c>
      <c r="L1002" s="20">
        <f>IF(NOT(OR($A1002&lt;&gt;"",$E1002&lt;&gt;"",$F1002&lt;&gt;"",$G1002&lt;&gt;"",$H1002&lt;&gt;"",$I1002&lt;&gt;"")),"",IF(NOT(ISNUMBER($A1002)),"入金日がありません",IF(AND($F1002&lt;&gt;"",$O1002="なし"),"請求Noが請求台帳にありません",IF(AND(ISNUMBER($O1002),$C1002&lt;&gt;"",$C1002&lt;&gt;$P1002),"請求の得意先は "&amp;$P1002&amp;" です",IF(ROUND(IF($B1002&lt;&gt;"",SUMIF($B$5:$B$1004,$B1002,$E$5:$E$1004)-SUMIF($B$5:$B$1004,$B1002,$G$5:$G$1004),N($E1002)-N($G1002)),0)&lt;&gt;0,"通帳の額と当てた額の差 "&amp;TEXT(IF($B1002&lt;&gt;"",SUMIF($B$5:$B$1004,$B1002,$E$5:$E$1004)-SUMIF($B$5:$B$1004,$B1002,$G$5:$G$1004),N($E1002)-N($G1002)),"#,##0"),IF(AND(ISNUMBER($O1002),N($K1002)&lt;0),"請求額より多く消し込んでいます",IF($F1002="","消込先が未定","OK")))))))</f>
        <v/>
      </c>
      <c r="M1002" s="19" t="n"/>
      <c r="N1002" s="56" t="n"/>
      <c r="O1002" s="32">
        <f>IF($F1002="","",IFERROR(MATCH($F1002,'請求台帳'!$A$5:$A$1004,0),"なし"))</f>
        <v/>
      </c>
      <c r="P1002" s="37">
        <f>IF(NOT(OR($A1002&lt;&gt;"",$E1002&lt;&gt;"",$F1002&lt;&gt;"",$G1002&lt;&gt;"",$H1002&lt;&gt;"",$I1002&lt;&gt;"")),"",IF(ISNUMBER($O1002),IF(INDEX('請求台帳'!$C$5:$C$1004,$O1002)="","",INDEX('請求台帳'!$C$5:$C$1004,$O1002)),IF($C1002="","",$C1002)))</f>
        <v/>
      </c>
      <c r="Q1002" s="35">
        <f>IF(OR(NOT(OR($A1002&lt;&gt;"",$E1002&lt;&gt;"",$F1002&lt;&gt;"",$G1002&lt;&gt;"",$H1002&lt;&gt;"",$I1002&lt;&gt;"")),$P1002="",$P1002&lt;&gt;'売掛帳'!$B$3,NOT(ISNUMBER($A1002)),N($G1002)+N($H1002)+N($I1002)=0),"",IF(AND($A1002&gt;='売掛帳'!$Q$3,$A1002&lt;='売掛帳'!$Q$4),$A1002+0.5+ROW()/10000000,""))</f>
        <v/>
      </c>
      <c r="R1002" s="32">
        <f>IF(AND(OR($A1002&lt;&gt;"",$E1002&lt;&gt;"",$F1002&lt;&gt;"",$G1002&lt;&gt;"",$H1002&lt;&gt;"",$I1002&lt;&gt;""),NOT(ISNUMBER($O1002))),1,"")</f>
        <v/>
      </c>
    </row>
    <row r="1003" ht="18" customHeight="1">
      <c r="A1003" s="26" t="n"/>
      <c r="B1003" s="18" t="n"/>
      <c r="C1003" s="18" t="n"/>
      <c r="D1003" s="20">
        <f>IF($P1003="","",IFERROR(INDEX('得意先'!$C$5:$C$104,MATCH($P1003,'得意先'!$B$5:$B$104,0))&amp;"","※得意先にないコード"))</f>
        <v/>
      </c>
      <c r="E1003" s="27" t="n"/>
      <c r="F1003" s="18" t="n"/>
      <c r="G1003" s="27" t="n"/>
      <c r="H1003" s="27" t="n"/>
      <c r="I1003" s="27" t="n"/>
      <c r="J1003" s="28">
        <f>IF(NOT(OR($A1003&lt;&gt;"",$E1003&lt;&gt;"",$F1003&lt;&gt;"",$G1003&lt;&gt;"",$H1003&lt;&gt;"",$I1003&lt;&gt;"")),"",N($G1003)+N($H1003)+N($I1003))</f>
        <v/>
      </c>
      <c r="K1003" s="28">
        <f>IF(ISNUMBER($O1003),INDEX('請求台帳'!$R$5:$R$1004,$O1003),"")</f>
        <v/>
      </c>
      <c r="L1003" s="20">
        <f>IF(NOT(OR($A1003&lt;&gt;"",$E1003&lt;&gt;"",$F1003&lt;&gt;"",$G1003&lt;&gt;"",$H1003&lt;&gt;"",$I1003&lt;&gt;"")),"",IF(NOT(ISNUMBER($A1003)),"入金日がありません",IF(AND($F1003&lt;&gt;"",$O1003="なし"),"請求Noが請求台帳にありません",IF(AND(ISNUMBER($O1003),$C1003&lt;&gt;"",$C1003&lt;&gt;$P1003),"請求の得意先は "&amp;$P1003&amp;" です",IF(ROUND(IF($B1003&lt;&gt;"",SUMIF($B$5:$B$1004,$B1003,$E$5:$E$1004)-SUMIF($B$5:$B$1004,$B1003,$G$5:$G$1004),N($E1003)-N($G1003)),0)&lt;&gt;0,"通帳の額と当てた額の差 "&amp;TEXT(IF($B1003&lt;&gt;"",SUMIF($B$5:$B$1004,$B1003,$E$5:$E$1004)-SUMIF($B$5:$B$1004,$B1003,$G$5:$G$1004),N($E1003)-N($G1003)),"#,##0"),IF(AND(ISNUMBER($O1003),N($K1003)&lt;0),"請求額より多く消し込んでいます",IF($F1003="","消込先が未定","OK")))))))</f>
        <v/>
      </c>
      <c r="M1003" s="19" t="n"/>
      <c r="N1003" s="56" t="n"/>
      <c r="O1003" s="32">
        <f>IF($F1003="","",IFERROR(MATCH($F1003,'請求台帳'!$A$5:$A$1004,0),"なし"))</f>
        <v/>
      </c>
      <c r="P1003" s="37">
        <f>IF(NOT(OR($A1003&lt;&gt;"",$E1003&lt;&gt;"",$F1003&lt;&gt;"",$G1003&lt;&gt;"",$H1003&lt;&gt;"",$I1003&lt;&gt;"")),"",IF(ISNUMBER($O1003),IF(INDEX('請求台帳'!$C$5:$C$1004,$O1003)="","",INDEX('請求台帳'!$C$5:$C$1004,$O1003)),IF($C1003="","",$C1003)))</f>
        <v/>
      </c>
      <c r="Q1003" s="35">
        <f>IF(OR(NOT(OR($A1003&lt;&gt;"",$E1003&lt;&gt;"",$F1003&lt;&gt;"",$G1003&lt;&gt;"",$H1003&lt;&gt;"",$I1003&lt;&gt;"")),$P1003="",$P1003&lt;&gt;'売掛帳'!$B$3,NOT(ISNUMBER($A1003)),N($G1003)+N($H1003)+N($I1003)=0),"",IF(AND($A1003&gt;='売掛帳'!$Q$3,$A1003&lt;='売掛帳'!$Q$4),$A1003+0.5+ROW()/10000000,""))</f>
        <v/>
      </c>
      <c r="R1003" s="32">
        <f>IF(AND(OR($A1003&lt;&gt;"",$E1003&lt;&gt;"",$F1003&lt;&gt;"",$G1003&lt;&gt;"",$H1003&lt;&gt;"",$I1003&lt;&gt;""),NOT(ISNUMBER($O1003))),1,"")</f>
        <v/>
      </c>
    </row>
    <row r="1004" ht="18" customHeight="1">
      <c r="A1004" s="26" t="n"/>
      <c r="B1004" s="18" t="n"/>
      <c r="C1004" s="18" t="n"/>
      <c r="D1004" s="20">
        <f>IF($P1004="","",IFERROR(INDEX('得意先'!$C$5:$C$104,MATCH($P1004,'得意先'!$B$5:$B$104,0))&amp;"","※得意先にないコード"))</f>
        <v/>
      </c>
      <c r="E1004" s="27" t="n"/>
      <c r="F1004" s="18" t="n"/>
      <c r="G1004" s="27" t="n"/>
      <c r="H1004" s="27" t="n"/>
      <c r="I1004" s="27" t="n"/>
      <c r="J1004" s="28">
        <f>IF(NOT(OR($A1004&lt;&gt;"",$E1004&lt;&gt;"",$F1004&lt;&gt;"",$G1004&lt;&gt;"",$H1004&lt;&gt;"",$I1004&lt;&gt;"")),"",N($G1004)+N($H1004)+N($I1004))</f>
        <v/>
      </c>
      <c r="K1004" s="28">
        <f>IF(ISNUMBER($O1004),INDEX('請求台帳'!$R$5:$R$1004,$O1004),"")</f>
        <v/>
      </c>
      <c r="L1004" s="20">
        <f>IF(NOT(OR($A1004&lt;&gt;"",$E1004&lt;&gt;"",$F1004&lt;&gt;"",$G1004&lt;&gt;"",$H1004&lt;&gt;"",$I1004&lt;&gt;"")),"",IF(NOT(ISNUMBER($A1004)),"入金日がありません",IF(AND($F1004&lt;&gt;"",$O1004="なし"),"請求Noが請求台帳にありません",IF(AND(ISNUMBER($O1004),$C1004&lt;&gt;"",$C1004&lt;&gt;$P1004),"請求の得意先は "&amp;$P1004&amp;" です",IF(ROUND(IF($B1004&lt;&gt;"",SUMIF($B$5:$B$1004,$B1004,$E$5:$E$1004)-SUMIF($B$5:$B$1004,$B1004,$G$5:$G$1004),N($E1004)-N($G1004)),0)&lt;&gt;0,"通帳の額と当てた額の差 "&amp;TEXT(IF($B1004&lt;&gt;"",SUMIF($B$5:$B$1004,$B1004,$E$5:$E$1004)-SUMIF($B$5:$B$1004,$B1004,$G$5:$G$1004),N($E1004)-N($G1004)),"#,##0"),IF(AND(ISNUMBER($O1004),N($K1004)&lt;0),"請求額より多く消し込んでいます",IF($F1004="","消込先が未定","OK")))))))</f>
        <v/>
      </c>
      <c r="M1004" s="19" t="n"/>
      <c r="N1004" s="56" t="n"/>
      <c r="O1004" s="32">
        <f>IF($F1004="","",IFERROR(MATCH($F1004,'請求台帳'!$A$5:$A$1004,0),"なし"))</f>
        <v/>
      </c>
      <c r="P1004" s="37">
        <f>IF(NOT(OR($A1004&lt;&gt;"",$E1004&lt;&gt;"",$F1004&lt;&gt;"",$G1004&lt;&gt;"",$H1004&lt;&gt;"",$I1004&lt;&gt;"")),"",IF(ISNUMBER($O1004),IF(INDEX('請求台帳'!$C$5:$C$1004,$O1004)="","",INDEX('請求台帳'!$C$5:$C$1004,$O1004)),IF($C1004="","",$C1004)))</f>
        <v/>
      </c>
      <c r="Q1004" s="35">
        <f>IF(OR(NOT(OR($A1004&lt;&gt;"",$E1004&lt;&gt;"",$F1004&lt;&gt;"",$G1004&lt;&gt;"",$H1004&lt;&gt;"",$I1004&lt;&gt;"")),$P1004="",$P1004&lt;&gt;'売掛帳'!$B$3,NOT(ISNUMBER($A1004)),N($G1004)+N($H1004)+N($I1004)=0),"",IF(AND($A1004&gt;='売掛帳'!$Q$3,$A1004&lt;='売掛帳'!$Q$4),$A1004+0.5+ROW()/10000000,""))</f>
        <v/>
      </c>
      <c r="R1004" s="32">
        <f>IF(AND(OR($A1004&lt;&gt;"",$E1004&lt;&gt;"",$F1004&lt;&gt;"",$G1004&lt;&gt;"",$H1004&lt;&gt;"",$I1004&lt;&gt;""),NOT(ISNUMBER($O1004))),1,"")</f>
        <v/>
      </c>
    </row>
  </sheetData>
  <autoFilter ref="A4:M1004"/>
  <mergeCells count="3">
    <mergeCell ref="A3:B3"/>
    <mergeCell ref="A1:M1"/>
    <mergeCell ref="A2:M2"/>
  </mergeCells>
  <conditionalFormatting sqref="L5:L1004">
    <cfRule type="expression" priority="1" dxfId="0">
      <formula>AND($L5&lt;&gt;"",$L5&lt;&gt;"OK",$L5&lt;&gt;"消込先が未定")</formula>
    </cfRule>
    <cfRule type="expression" priority="2" dxfId="1">
      <formula>$L5="消込先が未定"</formula>
    </cfRule>
  </conditionalFormatting>
  <dataValidations count="5">
    <dataValidation sqref="A5:A1004" showDropDown="0" showInputMessage="0" showErrorMessage="1" allowBlank="1" errorTitle="日付で入力してください" error="2026/9/30 のように、日付として入力してください。" type="date" operator="greaterThanOrEqual">
      <formula1>36526</formula1>
    </dataValidation>
    <dataValidation sqref="C5:C1004" showDropDown="0" showInputMessage="0" showErrorMessage="1" allowBlank="1" errorTitle="一覧から選んでください" error="「得意先」シートのコードから選んでください。" type="list">
      <formula1>='得意先'!$B$5:$B$104</formula1>
    </dataValidation>
    <dataValidation sqref="F5:F1004" showDropDown="0" showInputMessage="0" showErrorMessage="1" allowBlank="1" errorTitle="一覧から選んでください" error="「請求台帳」の請求Noから選んでください（分からないときは空のまま）。" type="list">
      <formula1>='請求台帳'!$A$5:$A$1004</formula1>
    </dataValidation>
    <dataValidation sqref="E5:E1004" showDropDown="0" showInputMessage="0" showErrorMessage="1" allowBlank="1" errorTitle="金額" error="円単位の整数で入れてください。" type="whole" operator="between">
      <formula1>-9999999999</formula1>
      <formula2>9999999999</formula2>
    </dataValidation>
    <dataValidation sqref="G5:I1004" showDropDown="0" showInputMessage="0" showErrorMessage="1" allowBlank="1" errorTitle="金額" error="円単位の整数で入れてください。" type="whole" operator="between">
      <formula1>-9999999999</formula1>
      <formula2>9999999999</formula2>
    </dataValidation>
  </dataValidations>
  <pageMargins left="0.4" right="0.4" top="0.45" bottom="0.45" header="0.2" footer="0.2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tabColor rgb="00B9C4CF"/>
    <outlinePr summaryBelow="1" summaryRight="1"/>
    <pageSetUpPr fitToPage="1"/>
  </sheetPr>
  <dimension ref="A1:Q325"/>
  <sheetViews>
    <sheetView showGridLines="0" tabSelected="0" workbookViewId="0">
      <pane ySplit="23" topLeftCell="A24" activePane="bottomLeft" state="frozen"/>
      <selection pane="bottomLeft" activeCell="A1" sqref="A1"/>
    </sheetView>
  </sheetViews>
  <sheetFormatPr baseColWidth="8" defaultRowHeight="15"/>
  <cols>
    <col width="11" customWidth="1" min="1" max="1"/>
    <col width="7" customWidth="1" min="2" max="2"/>
    <col width="12" customWidth="1" min="3" max="3"/>
    <col width="30" customWidth="1" min="4" max="4"/>
    <col width="13" customWidth="1" min="5" max="5"/>
    <col width="13" customWidth="1" min="6" max="6"/>
    <col width="12" customWidth="1" min="7" max="7"/>
    <col width="14" customWidth="1" min="8" max="8"/>
    <col width="2" customWidth="1" min="9" max="9"/>
    <col width="5" customWidth="1" min="10" max="10"/>
    <col width="5" customWidth="1" min="11" max="11"/>
    <col width="12" customWidth="1" min="12" max="12"/>
    <col width="12" customWidth="1" min="13" max="13"/>
    <col width="5" customWidth="1" min="14" max="14"/>
    <col width="6" customWidth="1" min="15" max="15"/>
    <col width="2" customWidth="1" min="16" max="16"/>
    <col width="11" customWidth="1" min="17" max="17"/>
  </cols>
  <sheetData>
    <row r="1" ht="26" customHeight="1">
      <c r="A1" s="55" t="inlineStr">
        <is>
          <t>売掛帳（得意先ごと・日付順）</t>
        </is>
      </c>
      <c r="B1" s="56" t="n"/>
      <c r="C1" s="56" t="n"/>
      <c r="D1" s="56" t="n"/>
      <c r="E1" s="56" t="n"/>
      <c r="F1" s="56" t="n"/>
      <c r="G1" s="56" t="n"/>
      <c r="H1" s="56" t="n"/>
      <c r="I1" s="56" t="n"/>
      <c r="J1" s="56" t="n"/>
      <c r="K1" s="56" t="n"/>
      <c r="L1" s="56" t="n"/>
      <c r="M1" s="56" t="n"/>
      <c r="N1" s="56" t="n"/>
      <c r="O1" s="56" t="n"/>
      <c r="P1" s="56" t="n"/>
      <c r="Q1" s="56" t="n"/>
    </row>
    <row r="2" ht="30" customHeight="1">
      <c r="A2" s="59" t="inlineStr">
        <is>
          <t>得意先コードを選ぶと、その得意先の売上と入金が日付順に並び、差引残高が出ます。期間を空にすると、設定の期首日から1年間です。同じ日は売上を先に並べます。この帳簿に入力はしません（請求台帳と入金消込に入れます）。</t>
        </is>
      </c>
      <c r="B2" s="56" t="n"/>
      <c r="C2" s="56" t="n"/>
      <c r="D2" s="56" t="n"/>
      <c r="E2" s="56" t="n"/>
      <c r="F2" s="56" t="n"/>
      <c r="G2" s="56" t="n"/>
      <c r="H2" s="56" t="n"/>
      <c r="I2" s="56" t="n"/>
      <c r="J2" s="56" t="n"/>
      <c r="K2" s="56" t="n"/>
      <c r="L2" s="56" t="n"/>
      <c r="M2" s="56" t="n"/>
      <c r="N2" s="56" t="n"/>
      <c r="O2" s="56" t="n"/>
      <c r="P2" s="56" t="n"/>
      <c r="Q2" s="68" t="inlineStr">
        <is>
          <t>作業:期間</t>
        </is>
      </c>
    </row>
    <row r="3" ht="26" customHeight="1">
      <c r="A3" s="60" t="inlineStr">
        <is>
          <t>得意先コード</t>
        </is>
      </c>
      <c r="B3" s="69" t="n"/>
      <c r="C3" s="70">
        <f>IF($B$3="","（コードを選ぶ）",IFERROR(INDEX('得意先'!$C$5:$C$104,MATCH($B$3,'得意先'!$B$5:$B$104,0))&amp;"","※得意先にないコード"))</f>
        <v/>
      </c>
      <c r="D3" s="66" t="n"/>
      <c r="E3" s="60" t="inlineStr">
        <is>
          <t>回収条件</t>
        </is>
      </c>
      <c r="F3" s="20">
        <f>IF($B$3="","",IFERROR(INDEX('得意先'!$G$5:$G$104,MATCH($B$3,'得意先'!$B$5:$B$104,0))&amp;"",""))</f>
        <v/>
      </c>
      <c r="G3" s="65" t="n"/>
      <c r="H3" s="66" t="n"/>
      <c r="I3" s="56" t="n"/>
      <c r="J3" s="56" t="n"/>
      <c r="K3" s="56" t="n"/>
      <c r="L3" s="56" t="n"/>
      <c r="M3" s="56" t="n"/>
      <c r="N3" s="56" t="n"/>
      <c r="O3" s="56" t="n"/>
      <c r="P3" s="56" t="n"/>
      <c r="Q3" s="71">
        <f>IF(ISNUMBER($B$4),$B$4,IF(ISNUMBER('設定'!$B$5),'設定'!$B$5,DATE(YEAR('設定'!$B$7),1,1)))</f>
        <v/>
      </c>
    </row>
    <row r="4" ht="20" customHeight="1">
      <c r="A4" s="60" t="inlineStr">
        <is>
          <t>期間</t>
        </is>
      </c>
      <c r="B4" s="26" t="n"/>
      <c r="C4" s="60" t="inlineStr">
        <is>
          <t>〜</t>
        </is>
      </c>
      <c r="D4" s="9" t="n"/>
      <c r="E4" s="42">
        <f>"対象: "&amp;TEXT($Q$3,"yyyy/m/d")&amp;" 〜 "&amp;TEXT($Q$4,"yyyy/m/d")</f>
        <v/>
      </c>
      <c r="F4" s="65" t="n"/>
      <c r="G4" s="65" t="n"/>
      <c r="H4" s="66" t="n"/>
      <c r="I4" s="56" t="n"/>
      <c r="J4" s="56" t="n"/>
      <c r="K4" s="56" t="n"/>
      <c r="L4" s="56" t="n"/>
      <c r="M4" s="56" t="n"/>
      <c r="N4" s="56" t="n"/>
      <c r="O4" s="56" t="n"/>
      <c r="P4" s="56" t="n"/>
      <c r="Q4" s="71">
        <f>IF(ISNUMBER($D$4),$D$4,DATE(YEAR($Q$3)+1,MONTH($Q$3),DAY($Q$3))-1)</f>
        <v/>
      </c>
    </row>
    <row r="5">
      <c r="A5" s="56" t="n"/>
      <c r="B5" s="56" t="n"/>
      <c r="C5" s="56" t="n"/>
      <c r="D5" s="56" t="n"/>
      <c r="E5" s="56" t="n"/>
      <c r="F5" s="56" t="n"/>
      <c r="G5" s="56" t="n"/>
      <c r="H5" s="56" t="n"/>
      <c r="I5" s="56" t="n"/>
      <c r="J5" s="56" t="n"/>
      <c r="K5" s="56" t="n"/>
      <c r="L5" s="56" t="n"/>
      <c r="M5" s="56" t="n"/>
      <c r="N5" s="56" t="n"/>
      <c r="O5" s="56" t="n"/>
      <c r="P5" s="56" t="n"/>
      <c r="Q5" s="56" t="n"/>
    </row>
    <row r="6" ht="20" customHeight="1">
      <c r="A6" s="61" t="inlineStr">
        <is>
          <t>月別の推移（期間の始まりの月から12か月）</t>
        </is>
      </c>
      <c r="B6" s="62" t="n"/>
      <c r="C6" s="62" t="n"/>
      <c r="D6" s="62" t="n"/>
      <c r="E6" s="62" t="n"/>
      <c r="F6" s="62" t="n"/>
      <c r="G6" s="62" t="n"/>
      <c r="H6" s="62" t="n"/>
      <c r="I6" s="56" t="n"/>
      <c r="J6" s="56" t="n"/>
      <c r="K6" s="56" t="n"/>
      <c r="L6" s="56" t="n"/>
      <c r="M6" s="56" t="n"/>
      <c r="N6" s="56" t="n"/>
      <c r="O6" s="56" t="n"/>
      <c r="P6" s="56" t="n"/>
      <c r="Q6" s="56" t="n"/>
    </row>
    <row r="7">
      <c r="A7" s="15" t="inlineStr">
        <is>
          <t>月</t>
        </is>
      </c>
      <c r="B7" s="66" t="n"/>
      <c r="C7" s="15" t="inlineStr">
        <is>
          <t>前月繰越</t>
        </is>
      </c>
      <c r="D7" s="15" t="inlineStr">
        <is>
          <t>売上金額</t>
        </is>
      </c>
      <c r="E7" s="15" t="inlineStr">
        <is>
          <t>受入金額</t>
        </is>
      </c>
      <c r="F7" s="15" t="inlineStr">
        <is>
          <t>値引・手数料</t>
        </is>
      </c>
      <c r="G7" s="15" t="inlineStr">
        <is>
          <t>月末残高</t>
        </is>
      </c>
      <c r="H7" s="66" t="n"/>
      <c r="I7" s="56" t="n"/>
      <c r="J7" s="56" t="n"/>
      <c r="K7" s="56" t="n"/>
      <c r="L7" s="56" t="n"/>
      <c r="M7" s="56" t="n"/>
      <c r="N7" s="56" t="n"/>
      <c r="O7" s="56" t="n"/>
      <c r="P7" s="56" t="n"/>
      <c r="Q7" s="56" t="n"/>
    </row>
    <row r="8" ht="18" customHeight="1">
      <c r="A8" s="44">
        <f>IF($B$3="","",DATE(YEAR($Q$3),MONTH($Q$3)+0,1))</f>
        <v/>
      </c>
      <c r="B8" s="66" t="n"/>
      <c r="C8" s="28">
        <f>IF($B$3="","",SUMIFS('請求台帳'!$L$5:$L$1004,'請求台帳'!$C$5:$C$1004,$B$3,'請求台帳'!$X$5:$X$1004,"&lt;"&amp;DATE(YEAR($Q$3),MONTH($Q$3)+0,1))-SUMIFS('入金消込'!$G$5:$G$1004,'入金消込'!$P$5:$P$1004,$B$3,'入金消込'!$A$5:$A$1004,"&lt;"&amp;DATE(YEAR($Q$3),MONTH($Q$3)+0,1))-SUMIFS('入金消込'!$H$5:$H$1004,'入金消込'!$P$5:$P$1004,$B$3,'入金消込'!$A$5:$A$1004,"&lt;"&amp;DATE(YEAR($Q$3),MONTH($Q$3)+0,1))-SUMIFS('入金消込'!$I$5:$I$1004,'入金消込'!$P$5:$P$1004,$B$3,'入金消込'!$A$5:$A$1004,"&lt;"&amp;DATE(YEAR($Q$3),MONTH($Q$3)+0,1)))</f>
        <v/>
      </c>
      <c r="D8" s="28">
        <f>IF($B$3="","",SUMIFS('請求台帳'!$L$5:$L$1004,'請求台帳'!$C$5:$C$1004,$B$3,'請求台帳'!$X$5:$X$1004,"&gt;="&amp;DATE(YEAR($Q$3),MONTH($Q$3)+0,1),'請求台帳'!$X$5:$X$1004,"&lt;"&amp;DATE(YEAR($Q$3),MONTH($Q$3)+1,1)))</f>
        <v/>
      </c>
      <c r="E8" s="28">
        <f>IF($B$3="","",SUMIFS('入金消込'!$G$5:$G$1004,'入金消込'!$P$5:$P$1004,$B$3,'入金消込'!$A$5:$A$1004,"&gt;="&amp;DATE(YEAR($Q$3),MONTH($Q$3)+0,1),'入金消込'!$A$5:$A$1004,"&lt;"&amp;DATE(YEAR($Q$3),MONTH($Q$3)+1,1)))</f>
        <v/>
      </c>
      <c r="F8" s="28">
        <f>IF($B$3="","",SUMIFS('入金消込'!$H$5:$H$1004,'入金消込'!$P$5:$P$1004,$B$3,'入金消込'!$A$5:$A$1004,"&gt;="&amp;DATE(YEAR($Q$3),MONTH($Q$3)+0,1),'入金消込'!$A$5:$A$1004,"&lt;"&amp;DATE(YEAR($Q$3),MONTH($Q$3)+1,1))+SUMIFS('入金消込'!$I$5:$I$1004,'入金消込'!$P$5:$P$1004,$B$3,'入金消込'!$A$5:$A$1004,"&gt;="&amp;DATE(YEAR($Q$3),MONTH($Q$3)+0,1),'入金消込'!$A$5:$A$1004,"&lt;"&amp;DATE(YEAR($Q$3),MONTH($Q$3)+1,1)))</f>
        <v/>
      </c>
      <c r="G8" s="28">
        <f>IF($B$3="","",$C8+$D8-$E8-$F8)</f>
        <v/>
      </c>
      <c r="H8" s="66" t="n"/>
      <c r="I8" s="56" t="n"/>
      <c r="J8" s="56" t="n"/>
      <c r="K8" s="56" t="n"/>
      <c r="L8" s="56" t="n"/>
      <c r="M8" s="56" t="n"/>
      <c r="N8" s="56" t="n"/>
      <c r="O8" s="56" t="n"/>
      <c r="P8" s="56" t="n"/>
      <c r="Q8" s="56" t="n"/>
    </row>
    <row r="9" ht="18" customHeight="1">
      <c r="A9" s="44">
        <f>IF($B$3="","",DATE(YEAR($Q$3),MONTH($Q$3)+1,1))</f>
        <v/>
      </c>
      <c r="B9" s="66" t="n"/>
      <c r="C9" s="28">
        <f>IF($B$3="","",$G8)</f>
        <v/>
      </c>
      <c r="D9" s="28">
        <f>IF($B$3="","",SUMIFS('請求台帳'!$L$5:$L$1004,'請求台帳'!$C$5:$C$1004,$B$3,'請求台帳'!$X$5:$X$1004,"&gt;="&amp;DATE(YEAR($Q$3),MONTH($Q$3)+1,1),'請求台帳'!$X$5:$X$1004,"&lt;"&amp;DATE(YEAR($Q$3),MONTH($Q$3)+2,1)))</f>
        <v/>
      </c>
      <c r="E9" s="28">
        <f>IF($B$3="","",SUMIFS('入金消込'!$G$5:$G$1004,'入金消込'!$P$5:$P$1004,$B$3,'入金消込'!$A$5:$A$1004,"&gt;="&amp;DATE(YEAR($Q$3),MONTH($Q$3)+1,1),'入金消込'!$A$5:$A$1004,"&lt;"&amp;DATE(YEAR($Q$3),MONTH($Q$3)+2,1)))</f>
        <v/>
      </c>
      <c r="F9" s="28">
        <f>IF($B$3="","",SUMIFS('入金消込'!$H$5:$H$1004,'入金消込'!$P$5:$P$1004,$B$3,'入金消込'!$A$5:$A$1004,"&gt;="&amp;DATE(YEAR($Q$3),MONTH($Q$3)+1,1),'入金消込'!$A$5:$A$1004,"&lt;"&amp;DATE(YEAR($Q$3),MONTH($Q$3)+2,1))+SUMIFS('入金消込'!$I$5:$I$1004,'入金消込'!$P$5:$P$1004,$B$3,'入金消込'!$A$5:$A$1004,"&gt;="&amp;DATE(YEAR($Q$3),MONTH($Q$3)+1,1),'入金消込'!$A$5:$A$1004,"&lt;"&amp;DATE(YEAR($Q$3),MONTH($Q$3)+2,1)))</f>
        <v/>
      </c>
      <c r="G9" s="28">
        <f>IF($B$3="","",$C9+$D9-$E9-$F9)</f>
        <v/>
      </c>
      <c r="H9" s="66" t="n"/>
      <c r="I9" s="56" t="n"/>
      <c r="J9" s="56" t="n"/>
      <c r="K9" s="56" t="n"/>
      <c r="L9" s="56" t="n"/>
      <c r="M9" s="56" t="n"/>
      <c r="N9" s="56" t="n"/>
      <c r="O9" s="56" t="n"/>
      <c r="P9" s="56" t="n"/>
      <c r="Q9" s="56" t="n"/>
    </row>
    <row r="10" ht="18" customHeight="1">
      <c r="A10" s="44">
        <f>IF($B$3="","",DATE(YEAR($Q$3),MONTH($Q$3)+2,1))</f>
        <v/>
      </c>
      <c r="B10" s="66" t="n"/>
      <c r="C10" s="28">
        <f>IF($B$3="","",$G9)</f>
        <v/>
      </c>
      <c r="D10" s="28">
        <f>IF($B$3="","",SUMIFS('請求台帳'!$L$5:$L$1004,'請求台帳'!$C$5:$C$1004,$B$3,'請求台帳'!$X$5:$X$1004,"&gt;="&amp;DATE(YEAR($Q$3),MONTH($Q$3)+2,1),'請求台帳'!$X$5:$X$1004,"&lt;"&amp;DATE(YEAR($Q$3),MONTH($Q$3)+3,1)))</f>
        <v/>
      </c>
      <c r="E10" s="28">
        <f>IF($B$3="","",SUMIFS('入金消込'!$G$5:$G$1004,'入金消込'!$P$5:$P$1004,$B$3,'入金消込'!$A$5:$A$1004,"&gt;="&amp;DATE(YEAR($Q$3),MONTH($Q$3)+2,1),'入金消込'!$A$5:$A$1004,"&lt;"&amp;DATE(YEAR($Q$3),MONTH($Q$3)+3,1)))</f>
        <v/>
      </c>
      <c r="F10" s="28">
        <f>IF($B$3="","",SUMIFS('入金消込'!$H$5:$H$1004,'入金消込'!$P$5:$P$1004,$B$3,'入金消込'!$A$5:$A$1004,"&gt;="&amp;DATE(YEAR($Q$3),MONTH($Q$3)+2,1),'入金消込'!$A$5:$A$1004,"&lt;"&amp;DATE(YEAR($Q$3),MONTH($Q$3)+3,1))+SUMIFS('入金消込'!$I$5:$I$1004,'入金消込'!$P$5:$P$1004,$B$3,'入金消込'!$A$5:$A$1004,"&gt;="&amp;DATE(YEAR($Q$3),MONTH($Q$3)+2,1),'入金消込'!$A$5:$A$1004,"&lt;"&amp;DATE(YEAR($Q$3),MONTH($Q$3)+3,1)))</f>
        <v/>
      </c>
      <c r="G10" s="28">
        <f>IF($B$3="","",$C10+$D10-$E10-$F10)</f>
        <v/>
      </c>
      <c r="H10" s="66" t="n"/>
      <c r="I10" s="56" t="n"/>
      <c r="J10" s="56" t="n"/>
      <c r="K10" s="56" t="n"/>
      <c r="L10" s="56" t="n"/>
      <c r="M10" s="56" t="n"/>
      <c r="N10" s="56" t="n"/>
      <c r="O10" s="56" t="n"/>
      <c r="P10" s="56" t="n"/>
      <c r="Q10" s="56" t="n"/>
    </row>
    <row r="11" ht="18" customHeight="1">
      <c r="A11" s="44">
        <f>IF($B$3="","",DATE(YEAR($Q$3),MONTH($Q$3)+3,1))</f>
        <v/>
      </c>
      <c r="B11" s="66" t="n"/>
      <c r="C11" s="28">
        <f>IF($B$3="","",$G10)</f>
        <v/>
      </c>
      <c r="D11" s="28">
        <f>IF($B$3="","",SUMIFS('請求台帳'!$L$5:$L$1004,'請求台帳'!$C$5:$C$1004,$B$3,'請求台帳'!$X$5:$X$1004,"&gt;="&amp;DATE(YEAR($Q$3),MONTH($Q$3)+3,1),'請求台帳'!$X$5:$X$1004,"&lt;"&amp;DATE(YEAR($Q$3),MONTH($Q$3)+4,1)))</f>
        <v/>
      </c>
      <c r="E11" s="28">
        <f>IF($B$3="","",SUMIFS('入金消込'!$G$5:$G$1004,'入金消込'!$P$5:$P$1004,$B$3,'入金消込'!$A$5:$A$1004,"&gt;="&amp;DATE(YEAR($Q$3),MONTH($Q$3)+3,1),'入金消込'!$A$5:$A$1004,"&lt;"&amp;DATE(YEAR($Q$3),MONTH($Q$3)+4,1)))</f>
        <v/>
      </c>
      <c r="F11" s="28">
        <f>IF($B$3="","",SUMIFS('入金消込'!$H$5:$H$1004,'入金消込'!$P$5:$P$1004,$B$3,'入金消込'!$A$5:$A$1004,"&gt;="&amp;DATE(YEAR($Q$3),MONTH($Q$3)+3,1),'入金消込'!$A$5:$A$1004,"&lt;"&amp;DATE(YEAR($Q$3),MONTH($Q$3)+4,1))+SUMIFS('入金消込'!$I$5:$I$1004,'入金消込'!$P$5:$P$1004,$B$3,'入金消込'!$A$5:$A$1004,"&gt;="&amp;DATE(YEAR($Q$3),MONTH($Q$3)+3,1),'入金消込'!$A$5:$A$1004,"&lt;"&amp;DATE(YEAR($Q$3),MONTH($Q$3)+4,1)))</f>
        <v/>
      </c>
      <c r="G11" s="28">
        <f>IF($B$3="","",$C11+$D11-$E11-$F11)</f>
        <v/>
      </c>
      <c r="H11" s="66" t="n"/>
      <c r="I11" s="56" t="n"/>
      <c r="J11" s="56" t="n"/>
      <c r="K11" s="56" t="n"/>
      <c r="L11" s="56" t="n"/>
      <c r="M11" s="56" t="n"/>
      <c r="N11" s="56" t="n"/>
      <c r="O11" s="56" t="n"/>
      <c r="P11" s="56" t="n"/>
      <c r="Q11" s="56" t="n"/>
    </row>
    <row r="12" ht="18" customHeight="1">
      <c r="A12" s="44">
        <f>IF($B$3="","",DATE(YEAR($Q$3),MONTH($Q$3)+4,1))</f>
        <v/>
      </c>
      <c r="B12" s="66" t="n"/>
      <c r="C12" s="28">
        <f>IF($B$3="","",$G11)</f>
        <v/>
      </c>
      <c r="D12" s="28">
        <f>IF($B$3="","",SUMIFS('請求台帳'!$L$5:$L$1004,'請求台帳'!$C$5:$C$1004,$B$3,'請求台帳'!$X$5:$X$1004,"&gt;="&amp;DATE(YEAR($Q$3),MONTH($Q$3)+4,1),'請求台帳'!$X$5:$X$1004,"&lt;"&amp;DATE(YEAR($Q$3),MONTH($Q$3)+5,1)))</f>
        <v/>
      </c>
      <c r="E12" s="28">
        <f>IF($B$3="","",SUMIFS('入金消込'!$G$5:$G$1004,'入金消込'!$P$5:$P$1004,$B$3,'入金消込'!$A$5:$A$1004,"&gt;="&amp;DATE(YEAR($Q$3),MONTH($Q$3)+4,1),'入金消込'!$A$5:$A$1004,"&lt;"&amp;DATE(YEAR($Q$3),MONTH($Q$3)+5,1)))</f>
        <v/>
      </c>
      <c r="F12" s="28">
        <f>IF($B$3="","",SUMIFS('入金消込'!$H$5:$H$1004,'入金消込'!$P$5:$P$1004,$B$3,'入金消込'!$A$5:$A$1004,"&gt;="&amp;DATE(YEAR($Q$3),MONTH($Q$3)+4,1),'入金消込'!$A$5:$A$1004,"&lt;"&amp;DATE(YEAR($Q$3),MONTH($Q$3)+5,1))+SUMIFS('入金消込'!$I$5:$I$1004,'入金消込'!$P$5:$P$1004,$B$3,'入金消込'!$A$5:$A$1004,"&gt;="&amp;DATE(YEAR($Q$3),MONTH($Q$3)+4,1),'入金消込'!$A$5:$A$1004,"&lt;"&amp;DATE(YEAR($Q$3),MONTH($Q$3)+5,1)))</f>
        <v/>
      </c>
      <c r="G12" s="28">
        <f>IF($B$3="","",$C12+$D12-$E12-$F12)</f>
        <v/>
      </c>
      <c r="H12" s="66" t="n"/>
      <c r="I12" s="56" t="n"/>
      <c r="J12" s="56" t="n"/>
      <c r="K12" s="56" t="n"/>
      <c r="L12" s="56" t="n"/>
      <c r="M12" s="56" t="n"/>
      <c r="N12" s="56" t="n"/>
      <c r="O12" s="56" t="n"/>
      <c r="P12" s="56" t="n"/>
      <c r="Q12" s="56" t="n"/>
    </row>
    <row r="13" ht="18" customHeight="1">
      <c r="A13" s="44">
        <f>IF($B$3="","",DATE(YEAR($Q$3),MONTH($Q$3)+5,1))</f>
        <v/>
      </c>
      <c r="B13" s="66" t="n"/>
      <c r="C13" s="28">
        <f>IF($B$3="","",$G12)</f>
        <v/>
      </c>
      <c r="D13" s="28">
        <f>IF($B$3="","",SUMIFS('請求台帳'!$L$5:$L$1004,'請求台帳'!$C$5:$C$1004,$B$3,'請求台帳'!$X$5:$X$1004,"&gt;="&amp;DATE(YEAR($Q$3),MONTH($Q$3)+5,1),'請求台帳'!$X$5:$X$1004,"&lt;"&amp;DATE(YEAR($Q$3),MONTH($Q$3)+6,1)))</f>
        <v/>
      </c>
      <c r="E13" s="28">
        <f>IF($B$3="","",SUMIFS('入金消込'!$G$5:$G$1004,'入金消込'!$P$5:$P$1004,$B$3,'入金消込'!$A$5:$A$1004,"&gt;="&amp;DATE(YEAR($Q$3),MONTH($Q$3)+5,1),'入金消込'!$A$5:$A$1004,"&lt;"&amp;DATE(YEAR($Q$3),MONTH($Q$3)+6,1)))</f>
        <v/>
      </c>
      <c r="F13" s="28">
        <f>IF($B$3="","",SUMIFS('入金消込'!$H$5:$H$1004,'入金消込'!$P$5:$P$1004,$B$3,'入金消込'!$A$5:$A$1004,"&gt;="&amp;DATE(YEAR($Q$3),MONTH($Q$3)+5,1),'入金消込'!$A$5:$A$1004,"&lt;"&amp;DATE(YEAR($Q$3),MONTH($Q$3)+6,1))+SUMIFS('入金消込'!$I$5:$I$1004,'入金消込'!$P$5:$P$1004,$B$3,'入金消込'!$A$5:$A$1004,"&gt;="&amp;DATE(YEAR($Q$3),MONTH($Q$3)+5,1),'入金消込'!$A$5:$A$1004,"&lt;"&amp;DATE(YEAR($Q$3),MONTH($Q$3)+6,1)))</f>
        <v/>
      </c>
      <c r="G13" s="28">
        <f>IF($B$3="","",$C13+$D13-$E13-$F13)</f>
        <v/>
      </c>
      <c r="H13" s="66" t="n"/>
      <c r="I13" s="56" t="n"/>
      <c r="J13" s="56" t="n"/>
      <c r="K13" s="56" t="n"/>
      <c r="L13" s="56" t="n"/>
      <c r="M13" s="56" t="n"/>
      <c r="N13" s="56" t="n"/>
      <c r="O13" s="56" t="n"/>
      <c r="P13" s="56" t="n"/>
      <c r="Q13" s="56" t="n"/>
    </row>
    <row r="14" ht="18" customHeight="1">
      <c r="A14" s="44">
        <f>IF($B$3="","",DATE(YEAR($Q$3),MONTH($Q$3)+6,1))</f>
        <v/>
      </c>
      <c r="B14" s="66" t="n"/>
      <c r="C14" s="28">
        <f>IF($B$3="","",$G13)</f>
        <v/>
      </c>
      <c r="D14" s="28">
        <f>IF($B$3="","",SUMIFS('請求台帳'!$L$5:$L$1004,'請求台帳'!$C$5:$C$1004,$B$3,'請求台帳'!$X$5:$X$1004,"&gt;="&amp;DATE(YEAR($Q$3),MONTH($Q$3)+6,1),'請求台帳'!$X$5:$X$1004,"&lt;"&amp;DATE(YEAR($Q$3),MONTH($Q$3)+7,1)))</f>
        <v/>
      </c>
      <c r="E14" s="28">
        <f>IF($B$3="","",SUMIFS('入金消込'!$G$5:$G$1004,'入金消込'!$P$5:$P$1004,$B$3,'入金消込'!$A$5:$A$1004,"&gt;="&amp;DATE(YEAR($Q$3),MONTH($Q$3)+6,1),'入金消込'!$A$5:$A$1004,"&lt;"&amp;DATE(YEAR($Q$3),MONTH($Q$3)+7,1)))</f>
        <v/>
      </c>
      <c r="F14" s="28">
        <f>IF($B$3="","",SUMIFS('入金消込'!$H$5:$H$1004,'入金消込'!$P$5:$P$1004,$B$3,'入金消込'!$A$5:$A$1004,"&gt;="&amp;DATE(YEAR($Q$3),MONTH($Q$3)+6,1),'入金消込'!$A$5:$A$1004,"&lt;"&amp;DATE(YEAR($Q$3),MONTH($Q$3)+7,1))+SUMIFS('入金消込'!$I$5:$I$1004,'入金消込'!$P$5:$P$1004,$B$3,'入金消込'!$A$5:$A$1004,"&gt;="&amp;DATE(YEAR($Q$3),MONTH($Q$3)+6,1),'入金消込'!$A$5:$A$1004,"&lt;"&amp;DATE(YEAR($Q$3),MONTH($Q$3)+7,1)))</f>
        <v/>
      </c>
      <c r="G14" s="28">
        <f>IF($B$3="","",$C14+$D14-$E14-$F14)</f>
        <v/>
      </c>
      <c r="H14" s="66" t="n"/>
      <c r="I14" s="56" t="n"/>
      <c r="J14" s="56" t="n"/>
      <c r="K14" s="56" t="n"/>
      <c r="L14" s="56" t="n"/>
      <c r="M14" s="56" t="n"/>
      <c r="N14" s="56" t="n"/>
      <c r="O14" s="56" t="n"/>
      <c r="P14" s="56" t="n"/>
      <c r="Q14" s="56" t="n"/>
    </row>
    <row r="15" ht="18" customHeight="1">
      <c r="A15" s="44">
        <f>IF($B$3="","",DATE(YEAR($Q$3),MONTH($Q$3)+7,1))</f>
        <v/>
      </c>
      <c r="B15" s="66" t="n"/>
      <c r="C15" s="28">
        <f>IF($B$3="","",$G14)</f>
        <v/>
      </c>
      <c r="D15" s="28">
        <f>IF($B$3="","",SUMIFS('請求台帳'!$L$5:$L$1004,'請求台帳'!$C$5:$C$1004,$B$3,'請求台帳'!$X$5:$X$1004,"&gt;="&amp;DATE(YEAR($Q$3),MONTH($Q$3)+7,1),'請求台帳'!$X$5:$X$1004,"&lt;"&amp;DATE(YEAR($Q$3),MONTH($Q$3)+8,1)))</f>
        <v/>
      </c>
      <c r="E15" s="28">
        <f>IF($B$3="","",SUMIFS('入金消込'!$G$5:$G$1004,'入金消込'!$P$5:$P$1004,$B$3,'入金消込'!$A$5:$A$1004,"&gt;="&amp;DATE(YEAR($Q$3),MONTH($Q$3)+7,1),'入金消込'!$A$5:$A$1004,"&lt;"&amp;DATE(YEAR($Q$3),MONTH($Q$3)+8,1)))</f>
        <v/>
      </c>
      <c r="F15" s="28">
        <f>IF($B$3="","",SUMIFS('入金消込'!$H$5:$H$1004,'入金消込'!$P$5:$P$1004,$B$3,'入金消込'!$A$5:$A$1004,"&gt;="&amp;DATE(YEAR($Q$3),MONTH($Q$3)+7,1),'入金消込'!$A$5:$A$1004,"&lt;"&amp;DATE(YEAR($Q$3),MONTH($Q$3)+8,1))+SUMIFS('入金消込'!$I$5:$I$1004,'入金消込'!$P$5:$P$1004,$B$3,'入金消込'!$A$5:$A$1004,"&gt;="&amp;DATE(YEAR($Q$3),MONTH($Q$3)+7,1),'入金消込'!$A$5:$A$1004,"&lt;"&amp;DATE(YEAR($Q$3),MONTH($Q$3)+8,1)))</f>
        <v/>
      </c>
      <c r="G15" s="28">
        <f>IF($B$3="","",$C15+$D15-$E15-$F15)</f>
        <v/>
      </c>
      <c r="H15" s="66" t="n"/>
      <c r="I15" s="56" t="n"/>
      <c r="J15" s="56" t="n"/>
      <c r="K15" s="56" t="n"/>
      <c r="L15" s="56" t="n"/>
      <c r="M15" s="56" t="n"/>
      <c r="N15" s="56" t="n"/>
      <c r="O15" s="56" t="n"/>
      <c r="P15" s="56" t="n"/>
      <c r="Q15" s="56" t="n"/>
    </row>
    <row r="16" ht="18" customHeight="1">
      <c r="A16" s="44">
        <f>IF($B$3="","",DATE(YEAR($Q$3),MONTH($Q$3)+8,1))</f>
        <v/>
      </c>
      <c r="B16" s="66" t="n"/>
      <c r="C16" s="28">
        <f>IF($B$3="","",$G15)</f>
        <v/>
      </c>
      <c r="D16" s="28">
        <f>IF($B$3="","",SUMIFS('請求台帳'!$L$5:$L$1004,'請求台帳'!$C$5:$C$1004,$B$3,'請求台帳'!$X$5:$X$1004,"&gt;="&amp;DATE(YEAR($Q$3),MONTH($Q$3)+8,1),'請求台帳'!$X$5:$X$1004,"&lt;"&amp;DATE(YEAR($Q$3),MONTH($Q$3)+9,1)))</f>
        <v/>
      </c>
      <c r="E16" s="28">
        <f>IF($B$3="","",SUMIFS('入金消込'!$G$5:$G$1004,'入金消込'!$P$5:$P$1004,$B$3,'入金消込'!$A$5:$A$1004,"&gt;="&amp;DATE(YEAR($Q$3),MONTH($Q$3)+8,1),'入金消込'!$A$5:$A$1004,"&lt;"&amp;DATE(YEAR($Q$3),MONTH($Q$3)+9,1)))</f>
        <v/>
      </c>
      <c r="F16" s="28">
        <f>IF($B$3="","",SUMIFS('入金消込'!$H$5:$H$1004,'入金消込'!$P$5:$P$1004,$B$3,'入金消込'!$A$5:$A$1004,"&gt;="&amp;DATE(YEAR($Q$3),MONTH($Q$3)+8,1),'入金消込'!$A$5:$A$1004,"&lt;"&amp;DATE(YEAR($Q$3),MONTH($Q$3)+9,1))+SUMIFS('入金消込'!$I$5:$I$1004,'入金消込'!$P$5:$P$1004,$B$3,'入金消込'!$A$5:$A$1004,"&gt;="&amp;DATE(YEAR($Q$3),MONTH($Q$3)+8,1),'入金消込'!$A$5:$A$1004,"&lt;"&amp;DATE(YEAR($Q$3),MONTH($Q$3)+9,1)))</f>
        <v/>
      </c>
      <c r="G16" s="28">
        <f>IF($B$3="","",$C16+$D16-$E16-$F16)</f>
        <v/>
      </c>
      <c r="H16" s="66" t="n"/>
      <c r="I16" s="56" t="n"/>
      <c r="J16" s="56" t="n"/>
      <c r="K16" s="56" t="n"/>
      <c r="L16" s="56" t="n"/>
      <c r="M16" s="56" t="n"/>
      <c r="N16" s="56" t="n"/>
      <c r="O16" s="56" t="n"/>
      <c r="P16" s="56" t="n"/>
      <c r="Q16" s="56" t="n"/>
    </row>
    <row r="17" ht="18" customHeight="1">
      <c r="A17" s="44">
        <f>IF($B$3="","",DATE(YEAR($Q$3),MONTH($Q$3)+9,1))</f>
        <v/>
      </c>
      <c r="B17" s="66" t="n"/>
      <c r="C17" s="28">
        <f>IF($B$3="","",$G16)</f>
        <v/>
      </c>
      <c r="D17" s="28">
        <f>IF($B$3="","",SUMIFS('請求台帳'!$L$5:$L$1004,'請求台帳'!$C$5:$C$1004,$B$3,'請求台帳'!$X$5:$X$1004,"&gt;="&amp;DATE(YEAR($Q$3),MONTH($Q$3)+9,1),'請求台帳'!$X$5:$X$1004,"&lt;"&amp;DATE(YEAR($Q$3),MONTH($Q$3)+10,1)))</f>
        <v/>
      </c>
      <c r="E17" s="28">
        <f>IF($B$3="","",SUMIFS('入金消込'!$G$5:$G$1004,'入金消込'!$P$5:$P$1004,$B$3,'入金消込'!$A$5:$A$1004,"&gt;="&amp;DATE(YEAR($Q$3),MONTH($Q$3)+9,1),'入金消込'!$A$5:$A$1004,"&lt;"&amp;DATE(YEAR($Q$3),MONTH($Q$3)+10,1)))</f>
        <v/>
      </c>
      <c r="F17" s="28">
        <f>IF($B$3="","",SUMIFS('入金消込'!$H$5:$H$1004,'入金消込'!$P$5:$P$1004,$B$3,'入金消込'!$A$5:$A$1004,"&gt;="&amp;DATE(YEAR($Q$3),MONTH($Q$3)+9,1),'入金消込'!$A$5:$A$1004,"&lt;"&amp;DATE(YEAR($Q$3),MONTH($Q$3)+10,1))+SUMIFS('入金消込'!$I$5:$I$1004,'入金消込'!$P$5:$P$1004,$B$3,'入金消込'!$A$5:$A$1004,"&gt;="&amp;DATE(YEAR($Q$3),MONTH($Q$3)+9,1),'入金消込'!$A$5:$A$1004,"&lt;"&amp;DATE(YEAR($Q$3),MONTH($Q$3)+10,1)))</f>
        <v/>
      </c>
      <c r="G17" s="28">
        <f>IF($B$3="","",$C17+$D17-$E17-$F17)</f>
        <v/>
      </c>
      <c r="H17" s="66" t="n"/>
      <c r="I17" s="56" t="n"/>
      <c r="J17" s="56" t="n"/>
      <c r="K17" s="56" t="n"/>
      <c r="L17" s="56" t="n"/>
      <c r="M17" s="56" t="n"/>
      <c r="N17" s="56" t="n"/>
      <c r="O17" s="56" t="n"/>
      <c r="P17" s="56" t="n"/>
      <c r="Q17" s="56" t="n"/>
    </row>
    <row r="18" ht="18" customHeight="1">
      <c r="A18" s="44">
        <f>IF($B$3="","",DATE(YEAR($Q$3),MONTH($Q$3)+10,1))</f>
        <v/>
      </c>
      <c r="B18" s="66" t="n"/>
      <c r="C18" s="28">
        <f>IF($B$3="","",$G17)</f>
        <v/>
      </c>
      <c r="D18" s="28">
        <f>IF($B$3="","",SUMIFS('請求台帳'!$L$5:$L$1004,'請求台帳'!$C$5:$C$1004,$B$3,'請求台帳'!$X$5:$X$1004,"&gt;="&amp;DATE(YEAR($Q$3),MONTH($Q$3)+10,1),'請求台帳'!$X$5:$X$1004,"&lt;"&amp;DATE(YEAR($Q$3),MONTH($Q$3)+11,1)))</f>
        <v/>
      </c>
      <c r="E18" s="28">
        <f>IF($B$3="","",SUMIFS('入金消込'!$G$5:$G$1004,'入金消込'!$P$5:$P$1004,$B$3,'入金消込'!$A$5:$A$1004,"&gt;="&amp;DATE(YEAR($Q$3),MONTH($Q$3)+10,1),'入金消込'!$A$5:$A$1004,"&lt;"&amp;DATE(YEAR($Q$3),MONTH($Q$3)+11,1)))</f>
        <v/>
      </c>
      <c r="F18" s="28">
        <f>IF($B$3="","",SUMIFS('入金消込'!$H$5:$H$1004,'入金消込'!$P$5:$P$1004,$B$3,'入金消込'!$A$5:$A$1004,"&gt;="&amp;DATE(YEAR($Q$3),MONTH($Q$3)+10,1),'入金消込'!$A$5:$A$1004,"&lt;"&amp;DATE(YEAR($Q$3),MONTH($Q$3)+11,1))+SUMIFS('入金消込'!$I$5:$I$1004,'入金消込'!$P$5:$P$1004,$B$3,'入金消込'!$A$5:$A$1004,"&gt;="&amp;DATE(YEAR($Q$3),MONTH($Q$3)+10,1),'入金消込'!$A$5:$A$1004,"&lt;"&amp;DATE(YEAR($Q$3),MONTH($Q$3)+11,1)))</f>
        <v/>
      </c>
      <c r="G18" s="28">
        <f>IF($B$3="","",$C18+$D18-$E18-$F18)</f>
        <v/>
      </c>
      <c r="H18" s="66" t="n"/>
      <c r="I18" s="56" t="n"/>
      <c r="J18" s="56" t="n"/>
      <c r="K18" s="56" t="n"/>
      <c r="L18" s="56" t="n"/>
      <c r="M18" s="56" t="n"/>
      <c r="N18" s="56" t="n"/>
      <c r="O18" s="56" t="n"/>
      <c r="P18" s="56" t="n"/>
      <c r="Q18" s="56" t="n"/>
    </row>
    <row r="19" ht="18" customHeight="1">
      <c r="A19" s="44">
        <f>IF($B$3="","",DATE(YEAR($Q$3),MONTH($Q$3)+11,1))</f>
        <v/>
      </c>
      <c r="B19" s="66" t="n"/>
      <c r="C19" s="28">
        <f>IF($B$3="","",$G18)</f>
        <v/>
      </c>
      <c r="D19" s="28">
        <f>IF($B$3="","",SUMIFS('請求台帳'!$L$5:$L$1004,'請求台帳'!$C$5:$C$1004,$B$3,'請求台帳'!$X$5:$X$1004,"&gt;="&amp;DATE(YEAR($Q$3),MONTH($Q$3)+11,1),'請求台帳'!$X$5:$X$1004,"&lt;"&amp;DATE(YEAR($Q$3),MONTH($Q$3)+12,1)))</f>
        <v/>
      </c>
      <c r="E19" s="28">
        <f>IF($B$3="","",SUMIFS('入金消込'!$G$5:$G$1004,'入金消込'!$P$5:$P$1004,$B$3,'入金消込'!$A$5:$A$1004,"&gt;="&amp;DATE(YEAR($Q$3),MONTH($Q$3)+11,1),'入金消込'!$A$5:$A$1004,"&lt;"&amp;DATE(YEAR($Q$3),MONTH($Q$3)+12,1)))</f>
        <v/>
      </c>
      <c r="F19" s="28">
        <f>IF($B$3="","",SUMIFS('入金消込'!$H$5:$H$1004,'入金消込'!$P$5:$P$1004,$B$3,'入金消込'!$A$5:$A$1004,"&gt;="&amp;DATE(YEAR($Q$3),MONTH($Q$3)+11,1),'入金消込'!$A$5:$A$1004,"&lt;"&amp;DATE(YEAR($Q$3),MONTH($Q$3)+12,1))+SUMIFS('入金消込'!$I$5:$I$1004,'入金消込'!$P$5:$P$1004,$B$3,'入金消込'!$A$5:$A$1004,"&gt;="&amp;DATE(YEAR($Q$3),MONTH($Q$3)+11,1),'入金消込'!$A$5:$A$1004,"&lt;"&amp;DATE(YEAR($Q$3),MONTH($Q$3)+12,1)))</f>
        <v/>
      </c>
      <c r="G19" s="28">
        <f>IF($B$3="","",$C19+$D19-$E19-$F19)</f>
        <v/>
      </c>
      <c r="H19" s="66" t="n"/>
      <c r="I19" s="56" t="n"/>
      <c r="J19" s="56" t="n"/>
      <c r="K19" s="56" t="n"/>
      <c r="L19" s="56" t="n"/>
      <c r="M19" s="56" t="n"/>
      <c r="N19" s="56" t="n"/>
      <c r="O19" s="56" t="n"/>
      <c r="P19" s="56" t="n"/>
      <c r="Q19" s="56" t="n"/>
    </row>
    <row r="20">
      <c r="A20" s="56" t="n"/>
      <c r="B20" s="56" t="n"/>
      <c r="C20" s="56" t="n"/>
      <c r="D20" s="56" t="n"/>
      <c r="E20" s="56" t="n"/>
      <c r="F20" s="56" t="n"/>
      <c r="G20" s="56" t="n"/>
      <c r="H20" s="56" t="n"/>
      <c r="I20" s="56" t="n"/>
      <c r="J20" s="56" t="n"/>
      <c r="K20" s="56" t="n"/>
      <c r="L20" s="56" t="n"/>
      <c r="M20" s="56" t="n"/>
      <c r="N20" s="56" t="n"/>
      <c r="O20" s="56" t="n"/>
      <c r="P20" s="56" t="n"/>
      <c r="Q20" s="56" t="n"/>
    </row>
    <row r="21" ht="20" customHeight="1">
      <c r="A21" s="61" t="inlineStr">
        <is>
          <t>売掛帳（期間内を日付順に・300行まで）</t>
        </is>
      </c>
      <c r="B21" s="62" t="n"/>
      <c r="C21" s="62" t="n"/>
      <c r="D21" s="62" t="n"/>
      <c r="E21" s="62" t="n"/>
      <c r="F21" s="62" t="n"/>
      <c r="G21" s="62" t="n"/>
      <c r="H21" s="62" t="n"/>
      <c r="I21" s="56" t="n"/>
      <c r="J21" s="56" t="n"/>
      <c r="K21" s="56" t="n"/>
      <c r="L21" s="56" t="n"/>
      <c r="M21" s="56" t="n"/>
      <c r="N21" s="56" t="n"/>
      <c r="O21" s="56" t="n"/>
      <c r="P21" s="56" t="n"/>
      <c r="Q21" s="56" t="n"/>
    </row>
    <row r="22" ht="30" customHeight="1">
      <c r="A22" s="15" t="inlineStr">
        <is>
          <t>日付</t>
        </is>
      </c>
      <c r="B22" s="15" t="inlineStr">
        <is>
          <t>区分</t>
        </is>
      </c>
      <c r="C22" s="15" t="inlineStr">
        <is>
          <t>請求No</t>
        </is>
      </c>
      <c r="D22" s="15" t="inlineStr">
        <is>
          <t>摘要</t>
        </is>
      </c>
      <c r="E22" s="15" t="inlineStr">
        <is>
          <t>売上金額</t>
        </is>
      </c>
      <c r="F22" s="15" t="inlineStr">
        <is>
          <t>受入金額</t>
        </is>
      </c>
      <c r="G22" s="15" t="inlineStr">
        <is>
          <t>値引・手数料</t>
        </is>
      </c>
      <c r="H22" s="15" t="inlineStr">
        <is>
          <t>差引残高</t>
        </is>
      </c>
      <c r="I22" s="56" t="n"/>
      <c r="J22" s="25" t="inlineStr">
        <is>
          <t>増の件数</t>
        </is>
      </c>
      <c r="K22" s="25" t="inlineStr">
        <is>
          <t>減の件数</t>
        </is>
      </c>
      <c r="L22" s="25" t="inlineStr">
        <is>
          <t>次の増</t>
        </is>
      </c>
      <c r="M22" s="25" t="inlineStr">
        <is>
          <t>次の減</t>
        </is>
      </c>
      <c r="N22" s="25" t="inlineStr">
        <is>
          <t>どちら</t>
        </is>
      </c>
      <c r="O22" s="25" t="inlineStr">
        <is>
          <t>元の行</t>
        </is>
      </c>
      <c r="P22" s="56" t="n"/>
      <c r="Q22" s="56" t="n"/>
    </row>
    <row r="23" ht="18" customHeight="1">
      <c r="A23" s="29">
        <f>IF($B$3="","",$Q$3)</f>
        <v/>
      </c>
      <c r="B23" s="30">
        <f>IF($B$3="","","繰越")</f>
        <v/>
      </c>
      <c r="C23" s="14" t="n"/>
      <c r="D23" s="20">
        <f>IF($B$3="","","期間の始まりより前からの繰越")</f>
        <v/>
      </c>
      <c r="E23" s="14" t="n"/>
      <c r="F23" s="14" t="n"/>
      <c r="G23" s="14" t="n"/>
      <c r="H23" s="67">
        <f>IF($B$3="","",SUMIFS('請求台帳'!$L$5:$L$1004,'請求台帳'!$C$5:$C$1004,$B$3,'請求台帳'!$X$5:$X$1004,"&lt;"&amp;$Q$3)-SUMIFS('入金消込'!$G$5:$G$1004,'入金消込'!$P$5:$P$1004,$B$3,'入金消込'!$A$5:$A$1004,"&lt;"&amp;$Q$3)-SUMIFS('入金消込'!$H$5:$H$1004,'入金消込'!$P$5:$P$1004,$B$3,'入金消込'!$A$5:$A$1004,"&lt;"&amp;$Q$3)-SUMIFS('入金消込'!$I$5:$I$1004,'入金消込'!$P$5:$P$1004,$B$3,'入金消込'!$A$5:$A$1004,"&lt;"&amp;$Q$3))</f>
        <v/>
      </c>
      <c r="I23" s="56" t="n"/>
      <c r="J23" s="56" t="n"/>
      <c r="K23" s="56" t="n"/>
      <c r="L23" s="56" t="n"/>
      <c r="M23" s="56" t="n"/>
      <c r="N23" s="56" t="n"/>
      <c r="O23" s="56" t="n"/>
      <c r="P23" s="56" t="n"/>
      <c r="Q23" s="56" t="n"/>
    </row>
    <row r="24" ht="18" customHeight="1">
      <c r="A24" s="45">
        <f>IF($N24="","",IF($N24="増",INDEX('請求台帳'!$X$5:$X$1004,$O24),INDEX('入金消込'!$A$5:$A$1004,$O24)))</f>
        <v/>
      </c>
      <c r="B24" s="46">
        <f>IF($N24="","",IF($N24="増","売上","入金"))</f>
        <v/>
      </c>
      <c r="C24" s="46">
        <f>IF($N24="","",IF($N24="増",INDEX('請求台帳'!$A$5:$A$1004,$O24)&amp;"","入金No "&amp;INDEX('入金消込'!$B$5:$B$1004,$O24)))</f>
        <v/>
      </c>
      <c r="D24" s="47">
        <f>IF($N24="","",IF($N24="増",INDEX('請求台帳'!$F$5:$F$1004,$O24)&amp;"",IF(INDEX('入金消込'!$F$5:$F$1004,$O24)="","消込先が未定",INDEX('入金消込'!$F$5:$F$1004,$O24)&amp;" の入金")))</f>
        <v/>
      </c>
      <c r="E24" s="48">
        <f>IF($N24&lt;&gt;"増","",INDEX('請求台帳'!$L$5:$L$1004,$O24))</f>
        <v/>
      </c>
      <c r="F24" s="48">
        <f>IF($N24&lt;&gt;"減","",N(INDEX('入金消込'!$G$5:$G$1004,$O24)))</f>
        <v/>
      </c>
      <c r="G24" s="48">
        <f>IF($N24&lt;&gt;"減","",N(INDEX('入金消込'!$H$5:$H$1004,$O24))+N(INDEX('入金消込'!$I$5:$I$1004,$O24)))</f>
        <v/>
      </c>
      <c r="H24" s="49">
        <f>IF($N24="","",$H23+N($E24)-N($F24)-N($G24))</f>
        <v/>
      </c>
      <c r="I24" s="56" t="n"/>
      <c r="J24" s="32">
        <f>0</f>
        <v/>
      </c>
      <c r="K24" s="32">
        <f>0</f>
        <v/>
      </c>
      <c r="L24" s="35">
        <f>IF($B$3="",1E+9,IFERROR(SMALL('請求台帳'!$Z$5:$Z$1004,$J24+1),1E+9))</f>
        <v/>
      </c>
      <c r="M24" s="35">
        <f>IF($B$3="",1E+9,IFERROR(SMALL('入金消込'!$Q$5:$Q$1004,$K24+1),1E+9))</f>
        <v/>
      </c>
      <c r="N24" s="32">
        <f>IF(MIN($L24,$M24)&gt;=1E+9,"",IF($L24&lt;=$M24,"増","減"))</f>
        <v/>
      </c>
      <c r="O24" s="32">
        <f>IF($N24="","",IF($N24="増",MATCH($L24,'請求台帳'!$Z$5:$Z$1004,0),MATCH($M24,'入金消込'!$Q$5:$Q$1004,0)))</f>
        <v/>
      </c>
      <c r="P24" s="56" t="n"/>
      <c r="Q24" s="56" t="n"/>
    </row>
    <row r="25" ht="18" customHeight="1">
      <c r="A25" s="45">
        <f>IF($N25="","",IF($N25="増",INDEX('請求台帳'!$X$5:$X$1004,$O25),INDEX('入金消込'!$A$5:$A$1004,$O25)))</f>
        <v/>
      </c>
      <c r="B25" s="46">
        <f>IF($N25="","",IF($N25="増","売上","入金"))</f>
        <v/>
      </c>
      <c r="C25" s="46">
        <f>IF($N25="","",IF($N25="増",INDEX('請求台帳'!$A$5:$A$1004,$O25)&amp;"","入金No "&amp;INDEX('入金消込'!$B$5:$B$1004,$O25)))</f>
        <v/>
      </c>
      <c r="D25" s="47">
        <f>IF($N25="","",IF($N25="増",INDEX('請求台帳'!$F$5:$F$1004,$O25)&amp;"",IF(INDEX('入金消込'!$F$5:$F$1004,$O25)="","消込先が未定",INDEX('入金消込'!$F$5:$F$1004,$O25)&amp;" の入金")))</f>
        <v/>
      </c>
      <c r="E25" s="48">
        <f>IF($N25&lt;&gt;"増","",INDEX('請求台帳'!$L$5:$L$1004,$O25))</f>
        <v/>
      </c>
      <c r="F25" s="48">
        <f>IF($N25&lt;&gt;"減","",N(INDEX('入金消込'!$G$5:$G$1004,$O25)))</f>
        <v/>
      </c>
      <c r="G25" s="48">
        <f>IF($N25&lt;&gt;"減","",N(INDEX('入金消込'!$H$5:$H$1004,$O25))+N(INDEX('入金消込'!$I$5:$I$1004,$O25)))</f>
        <v/>
      </c>
      <c r="H25" s="49">
        <f>IF($N25="","",$H24+N($E25)-N($F25)-N($G25))</f>
        <v/>
      </c>
      <c r="I25" s="56" t="n"/>
      <c r="J25" s="32">
        <f>$J24+IF($N24="増",1,0)</f>
        <v/>
      </c>
      <c r="K25" s="32">
        <f>$K24+IF($N24="減",1,0)</f>
        <v/>
      </c>
      <c r="L25" s="35">
        <f>IF($B$3="",1E+9,IFERROR(SMALL('請求台帳'!$Z$5:$Z$1004,$J25+1),1E+9))</f>
        <v/>
      </c>
      <c r="M25" s="35">
        <f>IF($B$3="",1E+9,IFERROR(SMALL('入金消込'!$Q$5:$Q$1004,$K25+1),1E+9))</f>
        <v/>
      </c>
      <c r="N25" s="32">
        <f>IF(MIN($L25,$M25)&gt;=1E+9,"",IF($L25&lt;=$M25,"増","減"))</f>
        <v/>
      </c>
      <c r="O25" s="32">
        <f>IF($N25="","",IF($N25="増",MATCH($L25,'請求台帳'!$Z$5:$Z$1004,0),MATCH($M25,'入金消込'!$Q$5:$Q$1004,0)))</f>
        <v/>
      </c>
      <c r="P25" s="56" t="n"/>
      <c r="Q25" s="56" t="n"/>
    </row>
    <row r="26" ht="18" customHeight="1">
      <c r="A26" s="45">
        <f>IF($N26="","",IF($N26="増",INDEX('請求台帳'!$X$5:$X$1004,$O26),INDEX('入金消込'!$A$5:$A$1004,$O26)))</f>
        <v/>
      </c>
      <c r="B26" s="46">
        <f>IF($N26="","",IF($N26="増","売上","入金"))</f>
        <v/>
      </c>
      <c r="C26" s="46">
        <f>IF($N26="","",IF($N26="増",INDEX('請求台帳'!$A$5:$A$1004,$O26)&amp;"","入金No "&amp;INDEX('入金消込'!$B$5:$B$1004,$O26)))</f>
        <v/>
      </c>
      <c r="D26" s="47">
        <f>IF($N26="","",IF($N26="増",INDEX('請求台帳'!$F$5:$F$1004,$O26)&amp;"",IF(INDEX('入金消込'!$F$5:$F$1004,$O26)="","消込先が未定",INDEX('入金消込'!$F$5:$F$1004,$O26)&amp;" の入金")))</f>
        <v/>
      </c>
      <c r="E26" s="48">
        <f>IF($N26&lt;&gt;"増","",INDEX('請求台帳'!$L$5:$L$1004,$O26))</f>
        <v/>
      </c>
      <c r="F26" s="48">
        <f>IF($N26&lt;&gt;"減","",N(INDEX('入金消込'!$G$5:$G$1004,$O26)))</f>
        <v/>
      </c>
      <c r="G26" s="48">
        <f>IF($N26&lt;&gt;"減","",N(INDEX('入金消込'!$H$5:$H$1004,$O26))+N(INDEX('入金消込'!$I$5:$I$1004,$O26)))</f>
        <v/>
      </c>
      <c r="H26" s="49">
        <f>IF($N26="","",$H25+N($E26)-N($F26)-N($G26))</f>
        <v/>
      </c>
      <c r="I26" s="56" t="n"/>
      <c r="J26" s="32">
        <f>$J25+IF($N25="増",1,0)</f>
        <v/>
      </c>
      <c r="K26" s="32">
        <f>$K25+IF($N25="減",1,0)</f>
        <v/>
      </c>
      <c r="L26" s="35">
        <f>IF($B$3="",1E+9,IFERROR(SMALL('請求台帳'!$Z$5:$Z$1004,$J26+1),1E+9))</f>
        <v/>
      </c>
      <c r="M26" s="35">
        <f>IF($B$3="",1E+9,IFERROR(SMALL('入金消込'!$Q$5:$Q$1004,$K26+1),1E+9))</f>
        <v/>
      </c>
      <c r="N26" s="32">
        <f>IF(MIN($L26,$M26)&gt;=1E+9,"",IF($L26&lt;=$M26,"増","減"))</f>
        <v/>
      </c>
      <c r="O26" s="32">
        <f>IF($N26="","",IF($N26="増",MATCH($L26,'請求台帳'!$Z$5:$Z$1004,0),MATCH($M26,'入金消込'!$Q$5:$Q$1004,0)))</f>
        <v/>
      </c>
      <c r="P26" s="56" t="n"/>
      <c r="Q26" s="56" t="n"/>
    </row>
    <row r="27" ht="18" customHeight="1">
      <c r="A27" s="45">
        <f>IF($N27="","",IF($N27="増",INDEX('請求台帳'!$X$5:$X$1004,$O27),INDEX('入金消込'!$A$5:$A$1004,$O27)))</f>
        <v/>
      </c>
      <c r="B27" s="46">
        <f>IF($N27="","",IF($N27="増","売上","入金"))</f>
        <v/>
      </c>
      <c r="C27" s="46">
        <f>IF($N27="","",IF($N27="増",INDEX('請求台帳'!$A$5:$A$1004,$O27)&amp;"","入金No "&amp;INDEX('入金消込'!$B$5:$B$1004,$O27)))</f>
        <v/>
      </c>
      <c r="D27" s="47">
        <f>IF($N27="","",IF($N27="増",INDEX('請求台帳'!$F$5:$F$1004,$O27)&amp;"",IF(INDEX('入金消込'!$F$5:$F$1004,$O27)="","消込先が未定",INDEX('入金消込'!$F$5:$F$1004,$O27)&amp;" の入金")))</f>
        <v/>
      </c>
      <c r="E27" s="48">
        <f>IF($N27&lt;&gt;"増","",INDEX('請求台帳'!$L$5:$L$1004,$O27))</f>
        <v/>
      </c>
      <c r="F27" s="48">
        <f>IF($N27&lt;&gt;"減","",N(INDEX('入金消込'!$G$5:$G$1004,$O27)))</f>
        <v/>
      </c>
      <c r="G27" s="48">
        <f>IF($N27&lt;&gt;"減","",N(INDEX('入金消込'!$H$5:$H$1004,$O27))+N(INDEX('入金消込'!$I$5:$I$1004,$O27)))</f>
        <v/>
      </c>
      <c r="H27" s="49">
        <f>IF($N27="","",$H26+N($E27)-N($F27)-N($G27))</f>
        <v/>
      </c>
      <c r="I27" s="56" t="n"/>
      <c r="J27" s="32">
        <f>$J26+IF($N26="増",1,0)</f>
        <v/>
      </c>
      <c r="K27" s="32">
        <f>$K26+IF($N26="減",1,0)</f>
        <v/>
      </c>
      <c r="L27" s="35">
        <f>IF($B$3="",1E+9,IFERROR(SMALL('請求台帳'!$Z$5:$Z$1004,$J27+1),1E+9))</f>
        <v/>
      </c>
      <c r="M27" s="35">
        <f>IF($B$3="",1E+9,IFERROR(SMALL('入金消込'!$Q$5:$Q$1004,$K27+1),1E+9))</f>
        <v/>
      </c>
      <c r="N27" s="32">
        <f>IF(MIN($L27,$M27)&gt;=1E+9,"",IF($L27&lt;=$M27,"増","減"))</f>
        <v/>
      </c>
      <c r="O27" s="32">
        <f>IF($N27="","",IF($N27="増",MATCH($L27,'請求台帳'!$Z$5:$Z$1004,0),MATCH($M27,'入金消込'!$Q$5:$Q$1004,0)))</f>
        <v/>
      </c>
      <c r="P27" s="56" t="n"/>
      <c r="Q27" s="56" t="n"/>
    </row>
    <row r="28" ht="18" customHeight="1">
      <c r="A28" s="45">
        <f>IF($N28="","",IF($N28="増",INDEX('請求台帳'!$X$5:$X$1004,$O28),INDEX('入金消込'!$A$5:$A$1004,$O28)))</f>
        <v/>
      </c>
      <c r="B28" s="46">
        <f>IF($N28="","",IF($N28="増","売上","入金"))</f>
        <v/>
      </c>
      <c r="C28" s="46">
        <f>IF($N28="","",IF($N28="増",INDEX('請求台帳'!$A$5:$A$1004,$O28)&amp;"","入金No "&amp;INDEX('入金消込'!$B$5:$B$1004,$O28)))</f>
        <v/>
      </c>
      <c r="D28" s="47">
        <f>IF($N28="","",IF($N28="増",INDEX('請求台帳'!$F$5:$F$1004,$O28)&amp;"",IF(INDEX('入金消込'!$F$5:$F$1004,$O28)="","消込先が未定",INDEX('入金消込'!$F$5:$F$1004,$O28)&amp;" の入金")))</f>
        <v/>
      </c>
      <c r="E28" s="48">
        <f>IF($N28&lt;&gt;"増","",INDEX('請求台帳'!$L$5:$L$1004,$O28))</f>
        <v/>
      </c>
      <c r="F28" s="48">
        <f>IF($N28&lt;&gt;"減","",N(INDEX('入金消込'!$G$5:$G$1004,$O28)))</f>
        <v/>
      </c>
      <c r="G28" s="48">
        <f>IF($N28&lt;&gt;"減","",N(INDEX('入金消込'!$H$5:$H$1004,$O28))+N(INDEX('入金消込'!$I$5:$I$1004,$O28)))</f>
        <v/>
      </c>
      <c r="H28" s="49">
        <f>IF($N28="","",$H27+N($E28)-N($F28)-N($G28))</f>
        <v/>
      </c>
      <c r="I28" s="56" t="n"/>
      <c r="J28" s="32">
        <f>$J27+IF($N27="増",1,0)</f>
        <v/>
      </c>
      <c r="K28" s="32">
        <f>$K27+IF($N27="減",1,0)</f>
        <v/>
      </c>
      <c r="L28" s="35">
        <f>IF($B$3="",1E+9,IFERROR(SMALL('請求台帳'!$Z$5:$Z$1004,$J28+1),1E+9))</f>
        <v/>
      </c>
      <c r="M28" s="35">
        <f>IF($B$3="",1E+9,IFERROR(SMALL('入金消込'!$Q$5:$Q$1004,$K28+1),1E+9))</f>
        <v/>
      </c>
      <c r="N28" s="32">
        <f>IF(MIN($L28,$M28)&gt;=1E+9,"",IF($L28&lt;=$M28,"増","減"))</f>
        <v/>
      </c>
      <c r="O28" s="32">
        <f>IF($N28="","",IF($N28="増",MATCH($L28,'請求台帳'!$Z$5:$Z$1004,0),MATCH($M28,'入金消込'!$Q$5:$Q$1004,0)))</f>
        <v/>
      </c>
      <c r="P28" s="56" t="n"/>
      <c r="Q28" s="56" t="n"/>
    </row>
    <row r="29" ht="18" customHeight="1">
      <c r="A29" s="45">
        <f>IF($N29="","",IF($N29="増",INDEX('請求台帳'!$X$5:$X$1004,$O29),INDEX('入金消込'!$A$5:$A$1004,$O29)))</f>
        <v/>
      </c>
      <c r="B29" s="46">
        <f>IF($N29="","",IF($N29="増","売上","入金"))</f>
        <v/>
      </c>
      <c r="C29" s="46">
        <f>IF($N29="","",IF($N29="増",INDEX('請求台帳'!$A$5:$A$1004,$O29)&amp;"","入金No "&amp;INDEX('入金消込'!$B$5:$B$1004,$O29)))</f>
        <v/>
      </c>
      <c r="D29" s="47">
        <f>IF($N29="","",IF($N29="増",INDEX('請求台帳'!$F$5:$F$1004,$O29)&amp;"",IF(INDEX('入金消込'!$F$5:$F$1004,$O29)="","消込先が未定",INDEX('入金消込'!$F$5:$F$1004,$O29)&amp;" の入金")))</f>
        <v/>
      </c>
      <c r="E29" s="48">
        <f>IF($N29&lt;&gt;"増","",INDEX('請求台帳'!$L$5:$L$1004,$O29))</f>
        <v/>
      </c>
      <c r="F29" s="48">
        <f>IF($N29&lt;&gt;"減","",N(INDEX('入金消込'!$G$5:$G$1004,$O29)))</f>
        <v/>
      </c>
      <c r="G29" s="48">
        <f>IF($N29&lt;&gt;"減","",N(INDEX('入金消込'!$H$5:$H$1004,$O29))+N(INDEX('入金消込'!$I$5:$I$1004,$O29)))</f>
        <v/>
      </c>
      <c r="H29" s="49">
        <f>IF($N29="","",$H28+N($E29)-N($F29)-N($G29))</f>
        <v/>
      </c>
      <c r="I29" s="56" t="n"/>
      <c r="J29" s="32">
        <f>$J28+IF($N28="増",1,0)</f>
        <v/>
      </c>
      <c r="K29" s="32">
        <f>$K28+IF($N28="減",1,0)</f>
        <v/>
      </c>
      <c r="L29" s="35">
        <f>IF($B$3="",1E+9,IFERROR(SMALL('請求台帳'!$Z$5:$Z$1004,$J29+1),1E+9))</f>
        <v/>
      </c>
      <c r="M29" s="35">
        <f>IF($B$3="",1E+9,IFERROR(SMALL('入金消込'!$Q$5:$Q$1004,$K29+1),1E+9))</f>
        <v/>
      </c>
      <c r="N29" s="32">
        <f>IF(MIN($L29,$M29)&gt;=1E+9,"",IF($L29&lt;=$M29,"増","減"))</f>
        <v/>
      </c>
      <c r="O29" s="32">
        <f>IF($N29="","",IF($N29="増",MATCH($L29,'請求台帳'!$Z$5:$Z$1004,0),MATCH($M29,'入金消込'!$Q$5:$Q$1004,0)))</f>
        <v/>
      </c>
      <c r="P29" s="56" t="n"/>
      <c r="Q29" s="56" t="n"/>
    </row>
    <row r="30" ht="18" customHeight="1">
      <c r="A30" s="45">
        <f>IF($N30="","",IF($N30="増",INDEX('請求台帳'!$X$5:$X$1004,$O30),INDEX('入金消込'!$A$5:$A$1004,$O30)))</f>
        <v/>
      </c>
      <c r="B30" s="46">
        <f>IF($N30="","",IF($N30="増","売上","入金"))</f>
        <v/>
      </c>
      <c r="C30" s="46">
        <f>IF($N30="","",IF($N30="増",INDEX('請求台帳'!$A$5:$A$1004,$O30)&amp;"","入金No "&amp;INDEX('入金消込'!$B$5:$B$1004,$O30)))</f>
        <v/>
      </c>
      <c r="D30" s="47">
        <f>IF($N30="","",IF($N30="増",INDEX('請求台帳'!$F$5:$F$1004,$O30)&amp;"",IF(INDEX('入金消込'!$F$5:$F$1004,$O30)="","消込先が未定",INDEX('入金消込'!$F$5:$F$1004,$O30)&amp;" の入金")))</f>
        <v/>
      </c>
      <c r="E30" s="48">
        <f>IF($N30&lt;&gt;"増","",INDEX('請求台帳'!$L$5:$L$1004,$O30))</f>
        <v/>
      </c>
      <c r="F30" s="48">
        <f>IF($N30&lt;&gt;"減","",N(INDEX('入金消込'!$G$5:$G$1004,$O30)))</f>
        <v/>
      </c>
      <c r="G30" s="48">
        <f>IF($N30&lt;&gt;"減","",N(INDEX('入金消込'!$H$5:$H$1004,$O30))+N(INDEX('入金消込'!$I$5:$I$1004,$O30)))</f>
        <v/>
      </c>
      <c r="H30" s="49">
        <f>IF($N30="","",$H29+N($E30)-N($F30)-N($G30))</f>
        <v/>
      </c>
      <c r="I30" s="56" t="n"/>
      <c r="J30" s="32">
        <f>$J29+IF($N29="増",1,0)</f>
        <v/>
      </c>
      <c r="K30" s="32">
        <f>$K29+IF($N29="減",1,0)</f>
        <v/>
      </c>
      <c r="L30" s="35">
        <f>IF($B$3="",1E+9,IFERROR(SMALL('請求台帳'!$Z$5:$Z$1004,$J30+1),1E+9))</f>
        <v/>
      </c>
      <c r="M30" s="35">
        <f>IF($B$3="",1E+9,IFERROR(SMALL('入金消込'!$Q$5:$Q$1004,$K30+1),1E+9))</f>
        <v/>
      </c>
      <c r="N30" s="32">
        <f>IF(MIN($L30,$M30)&gt;=1E+9,"",IF($L30&lt;=$M30,"増","減"))</f>
        <v/>
      </c>
      <c r="O30" s="32">
        <f>IF($N30="","",IF($N30="増",MATCH($L30,'請求台帳'!$Z$5:$Z$1004,0),MATCH($M30,'入金消込'!$Q$5:$Q$1004,0)))</f>
        <v/>
      </c>
      <c r="P30" s="56" t="n"/>
      <c r="Q30" s="56" t="n"/>
    </row>
    <row r="31" ht="18" customHeight="1">
      <c r="A31" s="45">
        <f>IF($N31="","",IF($N31="増",INDEX('請求台帳'!$X$5:$X$1004,$O31),INDEX('入金消込'!$A$5:$A$1004,$O31)))</f>
        <v/>
      </c>
      <c r="B31" s="46">
        <f>IF($N31="","",IF($N31="増","売上","入金"))</f>
        <v/>
      </c>
      <c r="C31" s="46">
        <f>IF($N31="","",IF($N31="増",INDEX('請求台帳'!$A$5:$A$1004,$O31)&amp;"","入金No "&amp;INDEX('入金消込'!$B$5:$B$1004,$O31)))</f>
        <v/>
      </c>
      <c r="D31" s="47">
        <f>IF($N31="","",IF($N31="増",INDEX('請求台帳'!$F$5:$F$1004,$O31)&amp;"",IF(INDEX('入金消込'!$F$5:$F$1004,$O31)="","消込先が未定",INDEX('入金消込'!$F$5:$F$1004,$O31)&amp;" の入金")))</f>
        <v/>
      </c>
      <c r="E31" s="48">
        <f>IF($N31&lt;&gt;"増","",INDEX('請求台帳'!$L$5:$L$1004,$O31))</f>
        <v/>
      </c>
      <c r="F31" s="48">
        <f>IF($N31&lt;&gt;"減","",N(INDEX('入金消込'!$G$5:$G$1004,$O31)))</f>
        <v/>
      </c>
      <c r="G31" s="48">
        <f>IF($N31&lt;&gt;"減","",N(INDEX('入金消込'!$H$5:$H$1004,$O31))+N(INDEX('入金消込'!$I$5:$I$1004,$O31)))</f>
        <v/>
      </c>
      <c r="H31" s="49">
        <f>IF($N31="","",$H30+N($E31)-N($F31)-N($G31))</f>
        <v/>
      </c>
      <c r="I31" s="56" t="n"/>
      <c r="J31" s="32">
        <f>$J30+IF($N30="増",1,0)</f>
        <v/>
      </c>
      <c r="K31" s="32">
        <f>$K30+IF($N30="減",1,0)</f>
        <v/>
      </c>
      <c r="L31" s="35">
        <f>IF($B$3="",1E+9,IFERROR(SMALL('請求台帳'!$Z$5:$Z$1004,$J31+1),1E+9))</f>
        <v/>
      </c>
      <c r="M31" s="35">
        <f>IF($B$3="",1E+9,IFERROR(SMALL('入金消込'!$Q$5:$Q$1004,$K31+1),1E+9))</f>
        <v/>
      </c>
      <c r="N31" s="32">
        <f>IF(MIN($L31,$M31)&gt;=1E+9,"",IF($L31&lt;=$M31,"増","減"))</f>
        <v/>
      </c>
      <c r="O31" s="32">
        <f>IF($N31="","",IF($N31="増",MATCH($L31,'請求台帳'!$Z$5:$Z$1004,0),MATCH($M31,'入金消込'!$Q$5:$Q$1004,0)))</f>
        <v/>
      </c>
      <c r="P31" s="56" t="n"/>
      <c r="Q31" s="56" t="n"/>
    </row>
    <row r="32" ht="18" customHeight="1">
      <c r="A32" s="45">
        <f>IF($N32="","",IF($N32="増",INDEX('請求台帳'!$X$5:$X$1004,$O32),INDEX('入金消込'!$A$5:$A$1004,$O32)))</f>
        <v/>
      </c>
      <c r="B32" s="46">
        <f>IF($N32="","",IF($N32="増","売上","入金"))</f>
        <v/>
      </c>
      <c r="C32" s="46">
        <f>IF($N32="","",IF($N32="増",INDEX('請求台帳'!$A$5:$A$1004,$O32)&amp;"","入金No "&amp;INDEX('入金消込'!$B$5:$B$1004,$O32)))</f>
        <v/>
      </c>
      <c r="D32" s="47">
        <f>IF($N32="","",IF($N32="増",INDEX('請求台帳'!$F$5:$F$1004,$O32)&amp;"",IF(INDEX('入金消込'!$F$5:$F$1004,$O32)="","消込先が未定",INDEX('入金消込'!$F$5:$F$1004,$O32)&amp;" の入金")))</f>
        <v/>
      </c>
      <c r="E32" s="48">
        <f>IF($N32&lt;&gt;"増","",INDEX('請求台帳'!$L$5:$L$1004,$O32))</f>
        <v/>
      </c>
      <c r="F32" s="48">
        <f>IF($N32&lt;&gt;"減","",N(INDEX('入金消込'!$G$5:$G$1004,$O32)))</f>
        <v/>
      </c>
      <c r="G32" s="48">
        <f>IF($N32&lt;&gt;"減","",N(INDEX('入金消込'!$H$5:$H$1004,$O32))+N(INDEX('入金消込'!$I$5:$I$1004,$O32)))</f>
        <v/>
      </c>
      <c r="H32" s="49">
        <f>IF($N32="","",$H31+N($E32)-N($F32)-N($G32))</f>
        <v/>
      </c>
      <c r="I32" s="56" t="n"/>
      <c r="J32" s="32">
        <f>$J31+IF($N31="増",1,0)</f>
        <v/>
      </c>
      <c r="K32" s="32">
        <f>$K31+IF($N31="減",1,0)</f>
        <v/>
      </c>
      <c r="L32" s="35">
        <f>IF($B$3="",1E+9,IFERROR(SMALL('請求台帳'!$Z$5:$Z$1004,$J32+1),1E+9))</f>
        <v/>
      </c>
      <c r="M32" s="35">
        <f>IF($B$3="",1E+9,IFERROR(SMALL('入金消込'!$Q$5:$Q$1004,$K32+1),1E+9))</f>
        <v/>
      </c>
      <c r="N32" s="32">
        <f>IF(MIN($L32,$M32)&gt;=1E+9,"",IF($L32&lt;=$M32,"増","減"))</f>
        <v/>
      </c>
      <c r="O32" s="32">
        <f>IF($N32="","",IF($N32="増",MATCH($L32,'請求台帳'!$Z$5:$Z$1004,0),MATCH($M32,'入金消込'!$Q$5:$Q$1004,0)))</f>
        <v/>
      </c>
      <c r="P32" s="56" t="n"/>
      <c r="Q32" s="56" t="n"/>
    </row>
    <row r="33" ht="18" customHeight="1">
      <c r="A33" s="45">
        <f>IF($N33="","",IF($N33="増",INDEX('請求台帳'!$X$5:$X$1004,$O33),INDEX('入金消込'!$A$5:$A$1004,$O33)))</f>
        <v/>
      </c>
      <c r="B33" s="46">
        <f>IF($N33="","",IF($N33="増","売上","入金"))</f>
        <v/>
      </c>
      <c r="C33" s="46">
        <f>IF($N33="","",IF($N33="増",INDEX('請求台帳'!$A$5:$A$1004,$O33)&amp;"","入金No "&amp;INDEX('入金消込'!$B$5:$B$1004,$O33)))</f>
        <v/>
      </c>
      <c r="D33" s="47">
        <f>IF($N33="","",IF($N33="増",INDEX('請求台帳'!$F$5:$F$1004,$O33)&amp;"",IF(INDEX('入金消込'!$F$5:$F$1004,$O33)="","消込先が未定",INDEX('入金消込'!$F$5:$F$1004,$O33)&amp;" の入金")))</f>
        <v/>
      </c>
      <c r="E33" s="48">
        <f>IF($N33&lt;&gt;"増","",INDEX('請求台帳'!$L$5:$L$1004,$O33))</f>
        <v/>
      </c>
      <c r="F33" s="48">
        <f>IF($N33&lt;&gt;"減","",N(INDEX('入金消込'!$G$5:$G$1004,$O33)))</f>
        <v/>
      </c>
      <c r="G33" s="48">
        <f>IF($N33&lt;&gt;"減","",N(INDEX('入金消込'!$H$5:$H$1004,$O33))+N(INDEX('入金消込'!$I$5:$I$1004,$O33)))</f>
        <v/>
      </c>
      <c r="H33" s="49">
        <f>IF($N33="","",$H32+N($E33)-N($F33)-N($G33))</f>
        <v/>
      </c>
      <c r="I33" s="56" t="n"/>
      <c r="J33" s="32">
        <f>$J32+IF($N32="増",1,0)</f>
        <v/>
      </c>
      <c r="K33" s="32">
        <f>$K32+IF($N32="減",1,0)</f>
        <v/>
      </c>
      <c r="L33" s="35">
        <f>IF($B$3="",1E+9,IFERROR(SMALL('請求台帳'!$Z$5:$Z$1004,$J33+1),1E+9))</f>
        <v/>
      </c>
      <c r="M33" s="35">
        <f>IF($B$3="",1E+9,IFERROR(SMALL('入金消込'!$Q$5:$Q$1004,$K33+1),1E+9))</f>
        <v/>
      </c>
      <c r="N33" s="32">
        <f>IF(MIN($L33,$M33)&gt;=1E+9,"",IF($L33&lt;=$M33,"増","減"))</f>
        <v/>
      </c>
      <c r="O33" s="32">
        <f>IF($N33="","",IF($N33="増",MATCH($L33,'請求台帳'!$Z$5:$Z$1004,0),MATCH($M33,'入金消込'!$Q$5:$Q$1004,0)))</f>
        <v/>
      </c>
      <c r="P33" s="56" t="n"/>
      <c r="Q33" s="56" t="n"/>
    </row>
    <row r="34" ht="18" customHeight="1">
      <c r="A34" s="45">
        <f>IF($N34="","",IF($N34="増",INDEX('請求台帳'!$X$5:$X$1004,$O34),INDEX('入金消込'!$A$5:$A$1004,$O34)))</f>
        <v/>
      </c>
      <c r="B34" s="46">
        <f>IF($N34="","",IF($N34="増","売上","入金"))</f>
        <v/>
      </c>
      <c r="C34" s="46">
        <f>IF($N34="","",IF($N34="増",INDEX('請求台帳'!$A$5:$A$1004,$O34)&amp;"","入金No "&amp;INDEX('入金消込'!$B$5:$B$1004,$O34)))</f>
        <v/>
      </c>
      <c r="D34" s="47">
        <f>IF($N34="","",IF($N34="増",INDEX('請求台帳'!$F$5:$F$1004,$O34)&amp;"",IF(INDEX('入金消込'!$F$5:$F$1004,$O34)="","消込先が未定",INDEX('入金消込'!$F$5:$F$1004,$O34)&amp;" の入金")))</f>
        <v/>
      </c>
      <c r="E34" s="48">
        <f>IF($N34&lt;&gt;"増","",INDEX('請求台帳'!$L$5:$L$1004,$O34))</f>
        <v/>
      </c>
      <c r="F34" s="48">
        <f>IF($N34&lt;&gt;"減","",N(INDEX('入金消込'!$G$5:$G$1004,$O34)))</f>
        <v/>
      </c>
      <c r="G34" s="48">
        <f>IF($N34&lt;&gt;"減","",N(INDEX('入金消込'!$H$5:$H$1004,$O34))+N(INDEX('入金消込'!$I$5:$I$1004,$O34)))</f>
        <v/>
      </c>
      <c r="H34" s="49">
        <f>IF($N34="","",$H33+N($E34)-N($F34)-N($G34))</f>
        <v/>
      </c>
      <c r="I34" s="56" t="n"/>
      <c r="J34" s="32">
        <f>$J33+IF($N33="増",1,0)</f>
        <v/>
      </c>
      <c r="K34" s="32">
        <f>$K33+IF($N33="減",1,0)</f>
        <v/>
      </c>
      <c r="L34" s="35">
        <f>IF($B$3="",1E+9,IFERROR(SMALL('請求台帳'!$Z$5:$Z$1004,$J34+1),1E+9))</f>
        <v/>
      </c>
      <c r="M34" s="35">
        <f>IF($B$3="",1E+9,IFERROR(SMALL('入金消込'!$Q$5:$Q$1004,$K34+1),1E+9))</f>
        <v/>
      </c>
      <c r="N34" s="32">
        <f>IF(MIN($L34,$M34)&gt;=1E+9,"",IF($L34&lt;=$M34,"増","減"))</f>
        <v/>
      </c>
      <c r="O34" s="32">
        <f>IF($N34="","",IF($N34="増",MATCH($L34,'請求台帳'!$Z$5:$Z$1004,0),MATCH($M34,'入金消込'!$Q$5:$Q$1004,0)))</f>
        <v/>
      </c>
      <c r="P34" s="56" t="n"/>
      <c r="Q34" s="56" t="n"/>
    </row>
    <row r="35" ht="18" customHeight="1">
      <c r="A35" s="45">
        <f>IF($N35="","",IF($N35="増",INDEX('請求台帳'!$X$5:$X$1004,$O35),INDEX('入金消込'!$A$5:$A$1004,$O35)))</f>
        <v/>
      </c>
      <c r="B35" s="46">
        <f>IF($N35="","",IF($N35="増","売上","入金"))</f>
        <v/>
      </c>
      <c r="C35" s="46">
        <f>IF($N35="","",IF($N35="増",INDEX('請求台帳'!$A$5:$A$1004,$O35)&amp;"","入金No "&amp;INDEX('入金消込'!$B$5:$B$1004,$O35)))</f>
        <v/>
      </c>
      <c r="D35" s="47">
        <f>IF($N35="","",IF($N35="増",INDEX('請求台帳'!$F$5:$F$1004,$O35)&amp;"",IF(INDEX('入金消込'!$F$5:$F$1004,$O35)="","消込先が未定",INDEX('入金消込'!$F$5:$F$1004,$O35)&amp;" の入金")))</f>
        <v/>
      </c>
      <c r="E35" s="48">
        <f>IF($N35&lt;&gt;"増","",INDEX('請求台帳'!$L$5:$L$1004,$O35))</f>
        <v/>
      </c>
      <c r="F35" s="48">
        <f>IF($N35&lt;&gt;"減","",N(INDEX('入金消込'!$G$5:$G$1004,$O35)))</f>
        <v/>
      </c>
      <c r="G35" s="48">
        <f>IF($N35&lt;&gt;"減","",N(INDEX('入金消込'!$H$5:$H$1004,$O35))+N(INDEX('入金消込'!$I$5:$I$1004,$O35)))</f>
        <v/>
      </c>
      <c r="H35" s="49">
        <f>IF($N35="","",$H34+N($E35)-N($F35)-N($G35))</f>
        <v/>
      </c>
      <c r="I35" s="56" t="n"/>
      <c r="J35" s="32">
        <f>$J34+IF($N34="増",1,0)</f>
        <v/>
      </c>
      <c r="K35" s="32">
        <f>$K34+IF($N34="減",1,0)</f>
        <v/>
      </c>
      <c r="L35" s="35">
        <f>IF($B$3="",1E+9,IFERROR(SMALL('請求台帳'!$Z$5:$Z$1004,$J35+1),1E+9))</f>
        <v/>
      </c>
      <c r="M35" s="35">
        <f>IF($B$3="",1E+9,IFERROR(SMALL('入金消込'!$Q$5:$Q$1004,$K35+1),1E+9))</f>
        <v/>
      </c>
      <c r="N35" s="32">
        <f>IF(MIN($L35,$M35)&gt;=1E+9,"",IF($L35&lt;=$M35,"増","減"))</f>
        <v/>
      </c>
      <c r="O35" s="32">
        <f>IF($N35="","",IF($N35="増",MATCH($L35,'請求台帳'!$Z$5:$Z$1004,0),MATCH($M35,'入金消込'!$Q$5:$Q$1004,0)))</f>
        <v/>
      </c>
      <c r="P35" s="56" t="n"/>
      <c r="Q35" s="56" t="n"/>
    </row>
    <row r="36" ht="18" customHeight="1">
      <c r="A36" s="45">
        <f>IF($N36="","",IF($N36="増",INDEX('請求台帳'!$X$5:$X$1004,$O36),INDEX('入金消込'!$A$5:$A$1004,$O36)))</f>
        <v/>
      </c>
      <c r="B36" s="46">
        <f>IF($N36="","",IF($N36="増","売上","入金"))</f>
        <v/>
      </c>
      <c r="C36" s="46">
        <f>IF($N36="","",IF($N36="増",INDEX('請求台帳'!$A$5:$A$1004,$O36)&amp;"","入金No "&amp;INDEX('入金消込'!$B$5:$B$1004,$O36)))</f>
        <v/>
      </c>
      <c r="D36" s="47">
        <f>IF($N36="","",IF($N36="増",INDEX('請求台帳'!$F$5:$F$1004,$O36)&amp;"",IF(INDEX('入金消込'!$F$5:$F$1004,$O36)="","消込先が未定",INDEX('入金消込'!$F$5:$F$1004,$O36)&amp;" の入金")))</f>
        <v/>
      </c>
      <c r="E36" s="48">
        <f>IF($N36&lt;&gt;"増","",INDEX('請求台帳'!$L$5:$L$1004,$O36))</f>
        <v/>
      </c>
      <c r="F36" s="48">
        <f>IF($N36&lt;&gt;"減","",N(INDEX('入金消込'!$G$5:$G$1004,$O36)))</f>
        <v/>
      </c>
      <c r="G36" s="48">
        <f>IF($N36&lt;&gt;"減","",N(INDEX('入金消込'!$H$5:$H$1004,$O36))+N(INDEX('入金消込'!$I$5:$I$1004,$O36)))</f>
        <v/>
      </c>
      <c r="H36" s="49">
        <f>IF($N36="","",$H35+N($E36)-N($F36)-N($G36))</f>
        <v/>
      </c>
      <c r="I36" s="56" t="n"/>
      <c r="J36" s="32">
        <f>$J35+IF($N35="増",1,0)</f>
        <v/>
      </c>
      <c r="K36" s="32">
        <f>$K35+IF($N35="減",1,0)</f>
        <v/>
      </c>
      <c r="L36" s="35">
        <f>IF($B$3="",1E+9,IFERROR(SMALL('請求台帳'!$Z$5:$Z$1004,$J36+1),1E+9))</f>
        <v/>
      </c>
      <c r="M36" s="35">
        <f>IF($B$3="",1E+9,IFERROR(SMALL('入金消込'!$Q$5:$Q$1004,$K36+1),1E+9))</f>
        <v/>
      </c>
      <c r="N36" s="32">
        <f>IF(MIN($L36,$M36)&gt;=1E+9,"",IF($L36&lt;=$M36,"増","減"))</f>
        <v/>
      </c>
      <c r="O36" s="32">
        <f>IF($N36="","",IF($N36="増",MATCH($L36,'請求台帳'!$Z$5:$Z$1004,0),MATCH($M36,'入金消込'!$Q$5:$Q$1004,0)))</f>
        <v/>
      </c>
      <c r="P36" s="56" t="n"/>
      <c r="Q36" s="56" t="n"/>
    </row>
    <row r="37" ht="18" customHeight="1">
      <c r="A37" s="45">
        <f>IF($N37="","",IF($N37="増",INDEX('請求台帳'!$X$5:$X$1004,$O37),INDEX('入金消込'!$A$5:$A$1004,$O37)))</f>
        <v/>
      </c>
      <c r="B37" s="46">
        <f>IF($N37="","",IF($N37="増","売上","入金"))</f>
        <v/>
      </c>
      <c r="C37" s="46">
        <f>IF($N37="","",IF($N37="増",INDEX('請求台帳'!$A$5:$A$1004,$O37)&amp;"","入金No "&amp;INDEX('入金消込'!$B$5:$B$1004,$O37)))</f>
        <v/>
      </c>
      <c r="D37" s="47">
        <f>IF($N37="","",IF($N37="増",INDEX('請求台帳'!$F$5:$F$1004,$O37)&amp;"",IF(INDEX('入金消込'!$F$5:$F$1004,$O37)="","消込先が未定",INDEX('入金消込'!$F$5:$F$1004,$O37)&amp;" の入金")))</f>
        <v/>
      </c>
      <c r="E37" s="48">
        <f>IF($N37&lt;&gt;"増","",INDEX('請求台帳'!$L$5:$L$1004,$O37))</f>
        <v/>
      </c>
      <c r="F37" s="48">
        <f>IF($N37&lt;&gt;"減","",N(INDEX('入金消込'!$G$5:$G$1004,$O37)))</f>
        <v/>
      </c>
      <c r="G37" s="48">
        <f>IF($N37&lt;&gt;"減","",N(INDEX('入金消込'!$H$5:$H$1004,$O37))+N(INDEX('入金消込'!$I$5:$I$1004,$O37)))</f>
        <v/>
      </c>
      <c r="H37" s="49">
        <f>IF($N37="","",$H36+N($E37)-N($F37)-N($G37))</f>
        <v/>
      </c>
      <c r="I37" s="56" t="n"/>
      <c r="J37" s="32">
        <f>$J36+IF($N36="増",1,0)</f>
        <v/>
      </c>
      <c r="K37" s="32">
        <f>$K36+IF($N36="減",1,0)</f>
        <v/>
      </c>
      <c r="L37" s="35">
        <f>IF($B$3="",1E+9,IFERROR(SMALL('請求台帳'!$Z$5:$Z$1004,$J37+1),1E+9))</f>
        <v/>
      </c>
      <c r="M37" s="35">
        <f>IF($B$3="",1E+9,IFERROR(SMALL('入金消込'!$Q$5:$Q$1004,$K37+1),1E+9))</f>
        <v/>
      </c>
      <c r="N37" s="32">
        <f>IF(MIN($L37,$M37)&gt;=1E+9,"",IF($L37&lt;=$M37,"増","減"))</f>
        <v/>
      </c>
      <c r="O37" s="32">
        <f>IF($N37="","",IF($N37="増",MATCH($L37,'請求台帳'!$Z$5:$Z$1004,0),MATCH($M37,'入金消込'!$Q$5:$Q$1004,0)))</f>
        <v/>
      </c>
      <c r="P37" s="56" t="n"/>
      <c r="Q37" s="56" t="n"/>
    </row>
    <row r="38" ht="18" customHeight="1">
      <c r="A38" s="45">
        <f>IF($N38="","",IF($N38="増",INDEX('請求台帳'!$X$5:$X$1004,$O38),INDEX('入金消込'!$A$5:$A$1004,$O38)))</f>
        <v/>
      </c>
      <c r="B38" s="46">
        <f>IF($N38="","",IF($N38="増","売上","入金"))</f>
        <v/>
      </c>
      <c r="C38" s="46">
        <f>IF($N38="","",IF($N38="増",INDEX('請求台帳'!$A$5:$A$1004,$O38)&amp;"","入金No "&amp;INDEX('入金消込'!$B$5:$B$1004,$O38)))</f>
        <v/>
      </c>
      <c r="D38" s="47">
        <f>IF($N38="","",IF($N38="増",INDEX('請求台帳'!$F$5:$F$1004,$O38)&amp;"",IF(INDEX('入金消込'!$F$5:$F$1004,$O38)="","消込先が未定",INDEX('入金消込'!$F$5:$F$1004,$O38)&amp;" の入金")))</f>
        <v/>
      </c>
      <c r="E38" s="48">
        <f>IF($N38&lt;&gt;"増","",INDEX('請求台帳'!$L$5:$L$1004,$O38))</f>
        <v/>
      </c>
      <c r="F38" s="48">
        <f>IF($N38&lt;&gt;"減","",N(INDEX('入金消込'!$G$5:$G$1004,$O38)))</f>
        <v/>
      </c>
      <c r="G38" s="48">
        <f>IF($N38&lt;&gt;"減","",N(INDEX('入金消込'!$H$5:$H$1004,$O38))+N(INDEX('入金消込'!$I$5:$I$1004,$O38)))</f>
        <v/>
      </c>
      <c r="H38" s="49">
        <f>IF($N38="","",$H37+N($E38)-N($F38)-N($G38))</f>
        <v/>
      </c>
      <c r="I38" s="56" t="n"/>
      <c r="J38" s="32">
        <f>$J37+IF($N37="増",1,0)</f>
        <v/>
      </c>
      <c r="K38" s="32">
        <f>$K37+IF($N37="減",1,0)</f>
        <v/>
      </c>
      <c r="L38" s="35">
        <f>IF($B$3="",1E+9,IFERROR(SMALL('請求台帳'!$Z$5:$Z$1004,$J38+1),1E+9))</f>
        <v/>
      </c>
      <c r="M38" s="35">
        <f>IF($B$3="",1E+9,IFERROR(SMALL('入金消込'!$Q$5:$Q$1004,$K38+1),1E+9))</f>
        <v/>
      </c>
      <c r="N38" s="32">
        <f>IF(MIN($L38,$M38)&gt;=1E+9,"",IF($L38&lt;=$M38,"増","減"))</f>
        <v/>
      </c>
      <c r="O38" s="32">
        <f>IF($N38="","",IF($N38="増",MATCH($L38,'請求台帳'!$Z$5:$Z$1004,0),MATCH($M38,'入金消込'!$Q$5:$Q$1004,0)))</f>
        <v/>
      </c>
      <c r="P38" s="56" t="n"/>
      <c r="Q38" s="56" t="n"/>
    </row>
    <row r="39" ht="18" customHeight="1">
      <c r="A39" s="45">
        <f>IF($N39="","",IF($N39="増",INDEX('請求台帳'!$X$5:$X$1004,$O39),INDEX('入金消込'!$A$5:$A$1004,$O39)))</f>
        <v/>
      </c>
      <c r="B39" s="46">
        <f>IF($N39="","",IF($N39="増","売上","入金"))</f>
        <v/>
      </c>
      <c r="C39" s="46">
        <f>IF($N39="","",IF($N39="増",INDEX('請求台帳'!$A$5:$A$1004,$O39)&amp;"","入金No "&amp;INDEX('入金消込'!$B$5:$B$1004,$O39)))</f>
        <v/>
      </c>
      <c r="D39" s="47">
        <f>IF($N39="","",IF($N39="増",INDEX('請求台帳'!$F$5:$F$1004,$O39)&amp;"",IF(INDEX('入金消込'!$F$5:$F$1004,$O39)="","消込先が未定",INDEX('入金消込'!$F$5:$F$1004,$O39)&amp;" の入金")))</f>
        <v/>
      </c>
      <c r="E39" s="48">
        <f>IF($N39&lt;&gt;"増","",INDEX('請求台帳'!$L$5:$L$1004,$O39))</f>
        <v/>
      </c>
      <c r="F39" s="48">
        <f>IF($N39&lt;&gt;"減","",N(INDEX('入金消込'!$G$5:$G$1004,$O39)))</f>
        <v/>
      </c>
      <c r="G39" s="48">
        <f>IF($N39&lt;&gt;"減","",N(INDEX('入金消込'!$H$5:$H$1004,$O39))+N(INDEX('入金消込'!$I$5:$I$1004,$O39)))</f>
        <v/>
      </c>
      <c r="H39" s="49">
        <f>IF($N39="","",$H38+N($E39)-N($F39)-N($G39))</f>
        <v/>
      </c>
      <c r="I39" s="56" t="n"/>
      <c r="J39" s="32">
        <f>$J38+IF($N38="増",1,0)</f>
        <v/>
      </c>
      <c r="K39" s="32">
        <f>$K38+IF($N38="減",1,0)</f>
        <v/>
      </c>
      <c r="L39" s="35">
        <f>IF($B$3="",1E+9,IFERROR(SMALL('請求台帳'!$Z$5:$Z$1004,$J39+1),1E+9))</f>
        <v/>
      </c>
      <c r="M39" s="35">
        <f>IF($B$3="",1E+9,IFERROR(SMALL('入金消込'!$Q$5:$Q$1004,$K39+1),1E+9))</f>
        <v/>
      </c>
      <c r="N39" s="32">
        <f>IF(MIN($L39,$M39)&gt;=1E+9,"",IF($L39&lt;=$M39,"増","減"))</f>
        <v/>
      </c>
      <c r="O39" s="32">
        <f>IF($N39="","",IF($N39="増",MATCH($L39,'請求台帳'!$Z$5:$Z$1004,0),MATCH($M39,'入金消込'!$Q$5:$Q$1004,0)))</f>
        <v/>
      </c>
      <c r="P39" s="56" t="n"/>
      <c r="Q39" s="56" t="n"/>
    </row>
    <row r="40" ht="18" customHeight="1">
      <c r="A40" s="45">
        <f>IF($N40="","",IF($N40="増",INDEX('請求台帳'!$X$5:$X$1004,$O40),INDEX('入金消込'!$A$5:$A$1004,$O40)))</f>
        <v/>
      </c>
      <c r="B40" s="46">
        <f>IF($N40="","",IF($N40="増","売上","入金"))</f>
        <v/>
      </c>
      <c r="C40" s="46">
        <f>IF($N40="","",IF($N40="増",INDEX('請求台帳'!$A$5:$A$1004,$O40)&amp;"","入金No "&amp;INDEX('入金消込'!$B$5:$B$1004,$O40)))</f>
        <v/>
      </c>
      <c r="D40" s="47">
        <f>IF($N40="","",IF($N40="増",INDEX('請求台帳'!$F$5:$F$1004,$O40)&amp;"",IF(INDEX('入金消込'!$F$5:$F$1004,$O40)="","消込先が未定",INDEX('入金消込'!$F$5:$F$1004,$O40)&amp;" の入金")))</f>
        <v/>
      </c>
      <c r="E40" s="48">
        <f>IF($N40&lt;&gt;"増","",INDEX('請求台帳'!$L$5:$L$1004,$O40))</f>
        <v/>
      </c>
      <c r="F40" s="48">
        <f>IF($N40&lt;&gt;"減","",N(INDEX('入金消込'!$G$5:$G$1004,$O40)))</f>
        <v/>
      </c>
      <c r="G40" s="48">
        <f>IF($N40&lt;&gt;"減","",N(INDEX('入金消込'!$H$5:$H$1004,$O40))+N(INDEX('入金消込'!$I$5:$I$1004,$O40)))</f>
        <v/>
      </c>
      <c r="H40" s="49">
        <f>IF($N40="","",$H39+N($E40)-N($F40)-N($G40))</f>
        <v/>
      </c>
      <c r="I40" s="56" t="n"/>
      <c r="J40" s="32">
        <f>$J39+IF($N39="増",1,0)</f>
        <v/>
      </c>
      <c r="K40" s="32">
        <f>$K39+IF($N39="減",1,0)</f>
        <v/>
      </c>
      <c r="L40" s="35">
        <f>IF($B$3="",1E+9,IFERROR(SMALL('請求台帳'!$Z$5:$Z$1004,$J40+1),1E+9))</f>
        <v/>
      </c>
      <c r="M40" s="35">
        <f>IF($B$3="",1E+9,IFERROR(SMALL('入金消込'!$Q$5:$Q$1004,$K40+1),1E+9))</f>
        <v/>
      </c>
      <c r="N40" s="32">
        <f>IF(MIN($L40,$M40)&gt;=1E+9,"",IF($L40&lt;=$M40,"増","減"))</f>
        <v/>
      </c>
      <c r="O40" s="32">
        <f>IF($N40="","",IF($N40="増",MATCH($L40,'請求台帳'!$Z$5:$Z$1004,0),MATCH($M40,'入金消込'!$Q$5:$Q$1004,0)))</f>
        <v/>
      </c>
      <c r="P40" s="56" t="n"/>
      <c r="Q40" s="56" t="n"/>
    </row>
    <row r="41" ht="18" customHeight="1">
      <c r="A41" s="45">
        <f>IF($N41="","",IF($N41="増",INDEX('請求台帳'!$X$5:$X$1004,$O41),INDEX('入金消込'!$A$5:$A$1004,$O41)))</f>
        <v/>
      </c>
      <c r="B41" s="46">
        <f>IF($N41="","",IF($N41="増","売上","入金"))</f>
        <v/>
      </c>
      <c r="C41" s="46">
        <f>IF($N41="","",IF($N41="増",INDEX('請求台帳'!$A$5:$A$1004,$O41)&amp;"","入金No "&amp;INDEX('入金消込'!$B$5:$B$1004,$O41)))</f>
        <v/>
      </c>
      <c r="D41" s="47">
        <f>IF($N41="","",IF($N41="増",INDEX('請求台帳'!$F$5:$F$1004,$O41)&amp;"",IF(INDEX('入金消込'!$F$5:$F$1004,$O41)="","消込先が未定",INDEX('入金消込'!$F$5:$F$1004,$O41)&amp;" の入金")))</f>
        <v/>
      </c>
      <c r="E41" s="48">
        <f>IF($N41&lt;&gt;"増","",INDEX('請求台帳'!$L$5:$L$1004,$O41))</f>
        <v/>
      </c>
      <c r="F41" s="48">
        <f>IF($N41&lt;&gt;"減","",N(INDEX('入金消込'!$G$5:$G$1004,$O41)))</f>
        <v/>
      </c>
      <c r="G41" s="48">
        <f>IF($N41&lt;&gt;"減","",N(INDEX('入金消込'!$H$5:$H$1004,$O41))+N(INDEX('入金消込'!$I$5:$I$1004,$O41)))</f>
        <v/>
      </c>
      <c r="H41" s="49">
        <f>IF($N41="","",$H40+N($E41)-N($F41)-N($G41))</f>
        <v/>
      </c>
      <c r="I41" s="56" t="n"/>
      <c r="J41" s="32">
        <f>$J40+IF($N40="増",1,0)</f>
        <v/>
      </c>
      <c r="K41" s="32">
        <f>$K40+IF($N40="減",1,0)</f>
        <v/>
      </c>
      <c r="L41" s="35">
        <f>IF($B$3="",1E+9,IFERROR(SMALL('請求台帳'!$Z$5:$Z$1004,$J41+1),1E+9))</f>
        <v/>
      </c>
      <c r="M41" s="35">
        <f>IF($B$3="",1E+9,IFERROR(SMALL('入金消込'!$Q$5:$Q$1004,$K41+1),1E+9))</f>
        <v/>
      </c>
      <c r="N41" s="32">
        <f>IF(MIN($L41,$M41)&gt;=1E+9,"",IF($L41&lt;=$M41,"増","減"))</f>
        <v/>
      </c>
      <c r="O41" s="32">
        <f>IF($N41="","",IF($N41="増",MATCH($L41,'請求台帳'!$Z$5:$Z$1004,0),MATCH($M41,'入金消込'!$Q$5:$Q$1004,0)))</f>
        <v/>
      </c>
      <c r="P41" s="56" t="n"/>
      <c r="Q41" s="56" t="n"/>
    </row>
    <row r="42" ht="18" customHeight="1">
      <c r="A42" s="45">
        <f>IF($N42="","",IF($N42="増",INDEX('請求台帳'!$X$5:$X$1004,$O42),INDEX('入金消込'!$A$5:$A$1004,$O42)))</f>
        <v/>
      </c>
      <c r="B42" s="46">
        <f>IF($N42="","",IF($N42="増","売上","入金"))</f>
        <v/>
      </c>
      <c r="C42" s="46">
        <f>IF($N42="","",IF($N42="増",INDEX('請求台帳'!$A$5:$A$1004,$O42)&amp;"","入金No "&amp;INDEX('入金消込'!$B$5:$B$1004,$O42)))</f>
        <v/>
      </c>
      <c r="D42" s="47">
        <f>IF($N42="","",IF($N42="増",INDEX('請求台帳'!$F$5:$F$1004,$O42)&amp;"",IF(INDEX('入金消込'!$F$5:$F$1004,$O42)="","消込先が未定",INDEX('入金消込'!$F$5:$F$1004,$O42)&amp;" の入金")))</f>
        <v/>
      </c>
      <c r="E42" s="48">
        <f>IF($N42&lt;&gt;"増","",INDEX('請求台帳'!$L$5:$L$1004,$O42))</f>
        <v/>
      </c>
      <c r="F42" s="48">
        <f>IF($N42&lt;&gt;"減","",N(INDEX('入金消込'!$G$5:$G$1004,$O42)))</f>
        <v/>
      </c>
      <c r="G42" s="48">
        <f>IF($N42&lt;&gt;"減","",N(INDEX('入金消込'!$H$5:$H$1004,$O42))+N(INDEX('入金消込'!$I$5:$I$1004,$O42)))</f>
        <v/>
      </c>
      <c r="H42" s="49">
        <f>IF($N42="","",$H41+N($E42)-N($F42)-N($G42))</f>
        <v/>
      </c>
      <c r="I42" s="56" t="n"/>
      <c r="J42" s="32">
        <f>$J41+IF($N41="増",1,0)</f>
        <v/>
      </c>
      <c r="K42" s="32">
        <f>$K41+IF($N41="減",1,0)</f>
        <v/>
      </c>
      <c r="L42" s="35">
        <f>IF($B$3="",1E+9,IFERROR(SMALL('請求台帳'!$Z$5:$Z$1004,$J42+1),1E+9))</f>
        <v/>
      </c>
      <c r="M42" s="35">
        <f>IF($B$3="",1E+9,IFERROR(SMALL('入金消込'!$Q$5:$Q$1004,$K42+1),1E+9))</f>
        <v/>
      </c>
      <c r="N42" s="32">
        <f>IF(MIN($L42,$M42)&gt;=1E+9,"",IF($L42&lt;=$M42,"増","減"))</f>
        <v/>
      </c>
      <c r="O42" s="32">
        <f>IF($N42="","",IF($N42="増",MATCH($L42,'請求台帳'!$Z$5:$Z$1004,0),MATCH($M42,'入金消込'!$Q$5:$Q$1004,0)))</f>
        <v/>
      </c>
      <c r="P42" s="56" t="n"/>
      <c r="Q42" s="56" t="n"/>
    </row>
    <row r="43" ht="18" customHeight="1">
      <c r="A43" s="45">
        <f>IF($N43="","",IF($N43="増",INDEX('請求台帳'!$X$5:$X$1004,$O43),INDEX('入金消込'!$A$5:$A$1004,$O43)))</f>
        <v/>
      </c>
      <c r="B43" s="46">
        <f>IF($N43="","",IF($N43="増","売上","入金"))</f>
        <v/>
      </c>
      <c r="C43" s="46">
        <f>IF($N43="","",IF($N43="増",INDEX('請求台帳'!$A$5:$A$1004,$O43)&amp;"","入金No "&amp;INDEX('入金消込'!$B$5:$B$1004,$O43)))</f>
        <v/>
      </c>
      <c r="D43" s="47">
        <f>IF($N43="","",IF($N43="増",INDEX('請求台帳'!$F$5:$F$1004,$O43)&amp;"",IF(INDEX('入金消込'!$F$5:$F$1004,$O43)="","消込先が未定",INDEX('入金消込'!$F$5:$F$1004,$O43)&amp;" の入金")))</f>
        <v/>
      </c>
      <c r="E43" s="48">
        <f>IF($N43&lt;&gt;"増","",INDEX('請求台帳'!$L$5:$L$1004,$O43))</f>
        <v/>
      </c>
      <c r="F43" s="48">
        <f>IF($N43&lt;&gt;"減","",N(INDEX('入金消込'!$G$5:$G$1004,$O43)))</f>
        <v/>
      </c>
      <c r="G43" s="48">
        <f>IF($N43&lt;&gt;"減","",N(INDEX('入金消込'!$H$5:$H$1004,$O43))+N(INDEX('入金消込'!$I$5:$I$1004,$O43)))</f>
        <v/>
      </c>
      <c r="H43" s="49">
        <f>IF($N43="","",$H42+N($E43)-N($F43)-N($G43))</f>
        <v/>
      </c>
      <c r="I43" s="56" t="n"/>
      <c r="J43" s="32">
        <f>$J42+IF($N42="増",1,0)</f>
        <v/>
      </c>
      <c r="K43" s="32">
        <f>$K42+IF($N42="減",1,0)</f>
        <v/>
      </c>
      <c r="L43" s="35">
        <f>IF($B$3="",1E+9,IFERROR(SMALL('請求台帳'!$Z$5:$Z$1004,$J43+1),1E+9))</f>
        <v/>
      </c>
      <c r="M43" s="35">
        <f>IF($B$3="",1E+9,IFERROR(SMALL('入金消込'!$Q$5:$Q$1004,$K43+1),1E+9))</f>
        <v/>
      </c>
      <c r="N43" s="32">
        <f>IF(MIN($L43,$M43)&gt;=1E+9,"",IF($L43&lt;=$M43,"増","減"))</f>
        <v/>
      </c>
      <c r="O43" s="32">
        <f>IF($N43="","",IF($N43="増",MATCH($L43,'請求台帳'!$Z$5:$Z$1004,0),MATCH($M43,'入金消込'!$Q$5:$Q$1004,0)))</f>
        <v/>
      </c>
      <c r="P43" s="56" t="n"/>
      <c r="Q43" s="56" t="n"/>
    </row>
    <row r="44" ht="18" customHeight="1">
      <c r="A44" s="45">
        <f>IF($N44="","",IF($N44="増",INDEX('請求台帳'!$X$5:$X$1004,$O44),INDEX('入金消込'!$A$5:$A$1004,$O44)))</f>
        <v/>
      </c>
      <c r="B44" s="46">
        <f>IF($N44="","",IF($N44="増","売上","入金"))</f>
        <v/>
      </c>
      <c r="C44" s="46">
        <f>IF($N44="","",IF($N44="増",INDEX('請求台帳'!$A$5:$A$1004,$O44)&amp;"","入金No "&amp;INDEX('入金消込'!$B$5:$B$1004,$O44)))</f>
        <v/>
      </c>
      <c r="D44" s="47">
        <f>IF($N44="","",IF($N44="増",INDEX('請求台帳'!$F$5:$F$1004,$O44)&amp;"",IF(INDEX('入金消込'!$F$5:$F$1004,$O44)="","消込先が未定",INDEX('入金消込'!$F$5:$F$1004,$O44)&amp;" の入金")))</f>
        <v/>
      </c>
      <c r="E44" s="48">
        <f>IF($N44&lt;&gt;"増","",INDEX('請求台帳'!$L$5:$L$1004,$O44))</f>
        <v/>
      </c>
      <c r="F44" s="48">
        <f>IF($N44&lt;&gt;"減","",N(INDEX('入金消込'!$G$5:$G$1004,$O44)))</f>
        <v/>
      </c>
      <c r="G44" s="48">
        <f>IF($N44&lt;&gt;"減","",N(INDEX('入金消込'!$H$5:$H$1004,$O44))+N(INDEX('入金消込'!$I$5:$I$1004,$O44)))</f>
        <v/>
      </c>
      <c r="H44" s="49">
        <f>IF($N44="","",$H43+N($E44)-N($F44)-N($G44))</f>
        <v/>
      </c>
      <c r="I44" s="56" t="n"/>
      <c r="J44" s="32">
        <f>$J43+IF($N43="増",1,0)</f>
        <v/>
      </c>
      <c r="K44" s="32">
        <f>$K43+IF($N43="減",1,0)</f>
        <v/>
      </c>
      <c r="L44" s="35">
        <f>IF($B$3="",1E+9,IFERROR(SMALL('請求台帳'!$Z$5:$Z$1004,$J44+1),1E+9))</f>
        <v/>
      </c>
      <c r="M44" s="35">
        <f>IF($B$3="",1E+9,IFERROR(SMALL('入金消込'!$Q$5:$Q$1004,$K44+1),1E+9))</f>
        <v/>
      </c>
      <c r="N44" s="32">
        <f>IF(MIN($L44,$M44)&gt;=1E+9,"",IF($L44&lt;=$M44,"増","減"))</f>
        <v/>
      </c>
      <c r="O44" s="32">
        <f>IF($N44="","",IF($N44="増",MATCH($L44,'請求台帳'!$Z$5:$Z$1004,0),MATCH($M44,'入金消込'!$Q$5:$Q$1004,0)))</f>
        <v/>
      </c>
      <c r="P44" s="56" t="n"/>
      <c r="Q44" s="56" t="n"/>
    </row>
    <row r="45" ht="18" customHeight="1">
      <c r="A45" s="45">
        <f>IF($N45="","",IF($N45="増",INDEX('請求台帳'!$X$5:$X$1004,$O45),INDEX('入金消込'!$A$5:$A$1004,$O45)))</f>
        <v/>
      </c>
      <c r="B45" s="46">
        <f>IF($N45="","",IF($N45="増","売上","入金"))</f>
        <v/>
      </c>
      <c r="C45" s="46">
        <f>IF($N45="","",IF($N45="増",INDEX('請求台帳'!$A$5:$A$1004,$O45)&amp;"","入金No "&amp;INDEX('入金消込'!$B$5:$B$1004,$O45)))</f>
        <v/>
      </c>
      <c r="D45" s="47">
        <f>IF($N45="","",IF($N45="増",INDEX('請求台帳'!$F$5:$F$1004,$O45)&amp;"",IF(INDEX('入金消込'!$F$5:$F$1004,$O45)="","消込先が未定",INDEX('入金消込'!$F$5:$F$1004,$O45)&amp;" の入金")))</f>
        <v/>
      </c>
      <c r="E45" s="48">
        <f>IF($N45&lt;&gt;"増","",INDEX('請求台帳'!$L$5:$L$1004,$O45))</f>
        <v/>
      </c>
      <c r="F45" s="48">
        <f>IF($N45&lt;&gt;"減","",N(INDEX('入金消込'!$G$5:$G$1004,$O45)))</f>
        <v/>
      </c>
      <c r="G45" s="48">
        <f>IF($N45&lt;&gt;"減","",N(INDEX('入金消込'!$H$5:$H$1004,$O45))+N(INDEX('入金消込'!$I$5:$I$1004,$O45)))</f>
        <v/>
      </c>
      <c r="H45" s="49">
        <f>IF($N45="","",$H44+N($E45)-N($F45)-N($G45))</f>
        <v/>
      </c>
      <c r="I45" s="56" t="n"/>
      <c r="J45" s="32">
        <f>$J44+IF($N44="増",1,0)</f>
        <v/>
      </c>
      <c r="K45" s="32">
        <f>$K44+IF($N44="減",1,0)</f>
        <v/>
      </c>
      <c r="L45" s="35">
        <f>IF($B$3="",1E+9,IFERROR(SMALL('請求台帳'!$Z$5:$Z$1004,$J45+1),1E+9))</f>
        <v/>
      </c>
      <c r="M45" s="35">
        <f>IF($B$3="",1E+9,IFERROR(SMALL('入金消込'!$Q$5:$Q$1004,$K45+1),1E+9))</f>
        <v/>
      </c>
      <c r="N45" s="32">
        <f>IF(MIN($L45,$M45)&gt;=1E+9,"",IF($L45&lt;=$M45,"増","減"))</f>
        <v/>
      </c>
      <c r="O45" s="32">
        <f>IF($N45="","",IF($N45="増",MATCH($L45,'請求台帳'!$Z$5:$Z$1004,0),MATCH($M45,'入金消込'!$Q$5:$Q$1004,0)))</f>
        <v/>
      </c>
      <c r="P45" s="56" t="n"/>
      <c r="Q45" s="56" t="n"/>
    </row>
    <row r="46" ht="18" customHeight="1">
      <c r="A46" s="45">
        <f>IF($N46="","",IF($N46="増",INDEX('請求台帳'!$X$5:$X$1004,$O46),INDEX('入金消込'!$A$5:$A$1004,$O46)))</f>
        <v/>
      </c>
      <c r="B46" s="46">
        <f>IF($N46="","",IF($N46="増","売上","入金"))</f>
        <v/>
      </c>
      <c r="C46" s="46">
        <f>IF($N46="","",IF($N46="増",INDEX('請求台帳'!$A$5:$A$1004,$O46)&amp;"","入金No "&amp;INDEX('入金消込'!$B$5:$B$1004,$O46)))</f>
        <v/>
      </c>
      <c r="D46" s="47">
        <f>IF($N46="","",IF($N46="増",INDEX('請求台帳'!$F$5:$F$1004,$O46)&amp;"",IF(INDEX('入金消込'!$F$5:$F$1004,$O46)="","消込先が未定",INDEX('入金消込'!$F$5:$F$1004,$O46)&amp;" の入金")))</f>
        <v/>
      </c>
      <c r="E46" s="48">
        <f>IF($N46&lt;&gt;"増","",INDEX('請求台帳'!$L$5:$L$1004,$O46))</f>
        <v/>
      </c>
      <c r="F46" s="48">
        <f>IF($N46&lt;&gt;"減","",N(INDEX('入金消込'!$G$5:$G$1004,$O46)))</f>
        <v/>
      </c>
      <c r="G46" s="48">
        <f>IF($N46&lt;&gt;"減","",N(INDEX('入金消込'!$H$5:$H$1004,$O46))+N(INDEX('入金消込'!$I$5:$I$1004,$O46)))</f>
        <v/>
      </c>
      <c r="H46" s="49">
        <f>IF($N46="","",$H45+N($E46)-N($F46)-N($G46))</f>
        <v/>
      </c>
      <c r="I46" s="56" t="n"/>
      <c r="J46" s="32">
        <f>$J45+IF($N45="増",1,0)</f>
        <v/>
      </c>
      <c r="K46" s="32">
        <f>$K45+IF($N45="減",1,0)</f>
        <v/>
      </c>
      <c r="L46" s="35">
        <f>IF($B$3="",1E+9,IFERROR(SMALL('請求台帳'!$Z$5:$Z$1004,$J46+1),1E+9))</f>
        <v/>
      </c>
      <c r="M46" s="35">
        <f>IF($B$3="",1E+9,IFERROR(SMALL('入金消込'!$Q$5:$Q$1004,$K46+1),1E+9))</f>
        <v/>
      </c>
      <c r="N46" s="32">
        <f>IF(MIN($L46,$M46)&gt;=1E+9,"",IF($L46&lt;=$M46,"増","減"))</f>
        <v/>
      </c>
      <c r="O46" s="32">
        <f>IF($N46="","",IF($N46="増",MATCH($L46,'請求台帳'!$Z$5:$Z$1004,0),MATCH($M46,'入金消込'!$Q$5:$Q$1004,0)))</f>
        <v/>
      </c>
      <c r="P46" s="56" t="n"/>
      <c r="Q46" s="56" t="n"/>
    </row>
    <row r="47" ht="18" customHeight="1">
      <c r="A47" s="45">
        <f>IF($N47="","",IF($N47="増",INDEX('請求台帳'!$X$5:$X$1004,$O47),INDEX('入金消込'!$A$5:$A$1004,$O47)))</f>
        <v/>
      </c>
      <c r="B47" s="46">
        <f>IF($N47="","",IF($N47="増","売上","入金"))</f>
        <v/>
      </c>
      <c r="C47" s="46">
        <f>IF($N47="","",IF($N47="増",INDEX('請求台帳'!$A$5:$A$1004,$O47)&amp;"","入金No "&amp;INDEX('入金消込'!$B$5:$B$1004,$O47)))</f>
        <v/>
      </c>
      <c r="D47" s="47">
        <f>IF($N47="","",IF($N47="増",INDEX('請求台帳'!$F$5:$F$1004,$O47)&amp;"",IF(INDEX('入金消込'!$F$5:$F$1004,$O47)="","消込先が未定",INDEX('入金消込'!$F$5:$F$1004,$O47)&amp;" の入金")))</f>
        <v/>
      </c>
      <c r="E47" s="48">
        <f>IF($N47&lt;&gt;"増","",INDEX('請求台帳'!$L$5:$L$1004,$O47))</f>
        <v/>
      </c>
      <c r="F47" s="48">
        <f>IF($N47&lt;&gt;"減","",N(INDEX('入金消込'!$G$5:$G$1004,$O47)))</f>
        <v/>
      </c>
      <c r="G47" s="48">
        <f>IF($N47&lt;&gt;"減","",N(INDEX('入金消込'!$H$5:$H$1004,$O47))+N(INDEX('入金消込'!$I$5:$I$1004,$O47)))</f>
        <v/>
      </c>
      <c r="H47" s="49">
        <f>IF($N47="","",$H46+N($E47)-N($F47)-N($G47))</f>
        <v/>
      </c>
      <c r="I47" s="56" t="n"/>
      <c r="J47" s="32">
        <f>$J46+IF($N46="増",1,0)</f>
        <v/>
      </c>
      <c r="K47" s="32">
        <f>$K46+IF($N46="減",1,0)</f>
        <v/>
      </c>
      <c r="L47" s="35">
        <f>IF($B$3="",1E+9,IFERROR(SMALL('請求台帳'!$Z$5:$Z$1004,$J47+1),1E+9))</f>
        <v/>
      </c>
      <c r="M47" s="35">
        <f>IF($B$3="",1E+9,IFERROR(SMALL('入金消込'!$Q$5:$Q$1004,$K47+1),1E+9))</f>
        <v/>
      </c>
      <c r="N47" s="32">
        <f>IF(MIN($L47,$M47)&gt;=1E+9,"",IF($L47&lt;=$M47,"増","減"))</f>
        <v/>
      </c>
      <c r="O47" s="32">
        <f>IF($N47="","",IF($N47="増",MATCH($L47,'請求台帳'!$Z$5:$Z$1004,0),MATCH($M47,'入金消込'!$Q$5:$Q$1004,0)))</f>
        <v/>
      </c>
      <c r="P47" s="56" t="n"/>
      <c r="Q47" s="56" t="n"/>
    </row>
    <row r="48" ht="18" customHeight="1">
      <c r="A48" s="45">
        <f>IF($N48="","",IF($N48="増",INDEX('請求台帳'!$X$5:$X$1004,$O48),INDEX('入金消込'!$A$5:$A$1004,$O48)))</f>
        <v/>
      </c>
      <c r="B48" s="46">
        <f>IF($N48="","",IF($N48="増","売上","入金"))</f>
        <v/>
      </c>
      <c r="C48" s="46">
        <f>IF($N48="","",IF($N48="増",INDEX('請求台帳'!$A$5:$A$1004,$O48)&amp;"","入金No "&amp;INDEX('入金消込'!$B$5:$B$1004,$O48)))</f>
        <v/>
      </c>
      <c r="D48" s="47">
        <f>IF($N48="","",IF($N48="増",INDEX('請求台帳'!$F$5:$F$1004,$O48)&amp;"",IF(INDEX('入金消込'!$F$5:$F$1004,$O48)="","消込先が未定",INDEX('入金消込'!$F$5:$F$1004,$O48)&amp;" の入金")))</f>
        <v/>
      </c>
      <c r="E48" s="48">
        <f>IF($N48&lt;&gt;"増","",INDEX('請求台帳'!$L$5:$L$1004,$O48))</f>
        <v/>
      </c>
      <c r="F48" s="48">
        <f>IF($N48&lt;&gt;"減","",N(INDEX('入金消込'!$G$5:$G$1004,$O48)))</f>
        <v/>
      </c>
      <c r="G48" s="48">
        <f>IF($N48&lt;&gt;"減","",N(INDEX('入金消込'!$H$5:$H$1004,$O48))+N(INDEX('入金消込'!$I$5:$I$1004,$O48)))</f>
        <v/>
      </c>
      <c r="H48" s="49">
        <f>IF($N48="","",$H47+N($E48)-N($F48)-N($G48))</f>
        <v/>
      </c>
      <c r="I48" s="56" t="n"/>
      <c r="J48" s="32">
        <f>$J47+IF($N47="増",1,0)</f>
        <v/>
      </c>
      <c r="K48" s="32">
        <f>$K47+IF($N47="減",1,0)</f>
        <v/>
      </c>
      <c r="L48" s="35">
        <f>IF($B$3="",1E+9,IFERROR(SMALL('請求台帳'!$Z$5:$Z$1004,$J48+1),1E+9))</f>
        <v/>
      </c>
      <c r="M48" s="35">
        <f>IF($B$3="",1E+9,IFERROR(SMALL('入金消込'!$Q$5:$Q$1004,$K48+1),1E+9))</f>
        <v/>
      </c>
      <c r="N48" s="32">
        <f>IF(MIN($L48,$M48)&gt;=1E+9,"",IF($L48&lt;=$M48,"増","減"))</f>
        <v/>
      </c>
      <c r="O48" s="32">
        <f>IF($N48="","",IF($N48="増",MATCH($L48,'請求台帳'!$Z$5:$Z$1004,0),MATCH($M48,'入金消込'!$Q$5:$Q$1004,0)))</f>
        <v/>
      </c>
      <c r="P48" s="56" t="n"/>
      <c r="Q48" s="56" t="n"/>
    </row>
    <row r="49" ht="18" customHeight="1">
      <c r="A49" s="45">
        <f>IF($N49="","",IF($N49="増",INDEX('請求台帳'!$X$5:$X$1004,$O49),INDEX('入金消込'!$A$5:$A$1004,$O49)))</f>
        <v/>
      </c>
      <c r="B49" s="46">
        <f>IF($N49="","",IF($N49="増","売上","入金"))</f>
        <v/>
      </c>
      <c r="C49" s="46">
        <f>IF($N49="","",IF($N49="増",INDEX('請求台帳'!$A$5:$A$1004,$O49)&amp;"","入金No "&amp;INDEX('入金消込'!$B$5:$B$1004,$O49)))</f>
        <v/>
      </c>
      <c r="D49" s="47">
        <f>IF($N49="","",IF($N49="増",INDEX('請求台帳'!$F$5:$F$1004,$O49)&amp;"",IF(INDEX('入金消込'!$F$5:$F$1004,$O49)="","消込先が未定",INDEX('入金消込'!$F$5:$F$1004,$O49)&amp;" の入金")))</f>
        <v/>
      </c>
      <c r="E49" s="48">
        <f>IF($N49&lt;&gt;"増","",INDEX('請求台帳'!$L$5:$L$1004,$O49))</f>
        <v/>
      </c>
      <c r="F49" s="48">
        <f>IF($N49&lt;&gt;"減","",N(INDEX('入金消込'!$G$5:$G$1004,$O49)))</f>
        <v/>
      </c>
      <c r="G49" s="48">
        <f>IF($N49&lt;&gt;"減","",N(INDEX('入金消込'!$H$5:$H$1004,$O49))+N(INDEX('入金消込'!$I$5:$I$1004,$O49)))</f>
        <v/>
      </c>
      <c r="H49" s="49">
        <f>IF($N49="","",$H48+N($E49)-N($F49)-N($G49))</f>
        <v/>
      </c>
      <c r="I49" s="56" t="n"/>
      <c r="J49" s="32">
        <f>$J48+IF($N48="増",1,0)</f>
        <v/>
      </c>
      <c r="K49" s="32">
        <f>$K48+IF($N48="減",1,0)</f>
        <v/>
      </c>
      <c r="L49" s="35">
        <f>IF($B$3="",1E+9,IFERROR(SMALL('請求台帳'!$Z$5:$Z$1004,$J49+1),1E+9))</f>
        <v/>
      </c>
      <c r="M49" s="35">
        <f>IF($B$3="",1E+9,IFERROR(SMALL('入金消込'!$Q$5:$Q$1004,$K49+1),1E+9))</f>
        <v/>
      </c>
      <c r="N49" s="32">
        <f>IF(MIN($L49,$M49)&gt;=1E+9,"",IF($L49&lt;=$M49,"増","減"))</f>
        <v/>
      </c>
      <c r="O49" s="32">
        <f>IF($N49="","",IF($N49="増",MATCH($L49,'請求台帳'!$Z$5:$Z$1004,0),MATCH($M49,'入金消込'!$Q$5:$Q$1004,0)))</f>
        <v/>
      </c>
      <c r="P49" s="56" t="n"/>
      <c r="Q49" s="56" t="n"/>
    </row>
    <row r="50" ht="18" customHeight="1">
      <c r="A50" s="45">
        <f>IF($N50="","",IF($N50="増",INDEX('請求台帳'!$X$5:$X$1004,$O50),INDEX('入金消込'!$A$5:$A$1004,$O50)))</f>
        <v/>
      </c>
      <c r="B50" s="46">
        <f>IF($N50="","",IF($N50="増","売上","入金"))</f>
        <v/>
      </c>
      <c r="C50" s="46">
        <f>IF($N50="","",IF($N50="増",INDEX('請求台帳'!$A$5:$A$1004,$O50)&amp;"","入金No "&amp;INDEX('入金消込'!$B$5:$B$1004,$O50)))</f>
        <v/>
      </c>
      <c r="D50" s="47">
        <f>IF($N50="","",IF($N50="増",INDEX('請求台帳'!$F$5:$F$1004,$O50)&amp;"",IF(INDEX('入金消込'!$F$5:$F$1004,$O50)="","消込先が未定",INDEX('入金消込'!$F$5:$F$1004,$O50)&amp;" の入金")))</f>
        <v/>
      </c>
      <c r="E50" s="48">
        <f>IF($N50&lt;&gt;"増","",INDEX('請求台帳'!$L$5:$L$1004,$O50))</f>
        <v/>
      </c>
      <c r="F50" s="48">
        <f>IF($N50&lt;&gt;"減","",N(INDEX('入金消込'!$G$5:$G$1004,$O50)))</f>
        <v/>
      </c>
      <c r="G50" s="48">
        <f>IF($N50&lt;&gt;"減","",N(INDEX('入金消込'!$H$5:$H$1004,$O50))+N(INDEX('入金消込'!$I$5:$I$1004,$O50)))</f>
        <v/>
      </c>
      <c r="H50" s="49">
        <f>IF($N50="","",$H49+N($E50)-N($F50)-N($G50))</f>
        <v/>
      </c>
      <c r="I50" s="56" t="n"/>
      <c r="J50" s="32">
        <f>$J49+IF($N49="増",1,0)</f>
        <v/>
      </c>
      <c r="K50" s="32">
        <f>$K49+IF($N49="減",1,0)</f>
        <v/>
      </c>
      <c r="L50" s="35">
        <f>IF($B$3="",1E+9,IFERROR(SMALL('請求台帳'!$Z$5:$Z$1004,$J50+1),1E+9))</f>
        <v/>
      </c>
      <c r="M50" s="35">
        <f>IF($B$3="",1E+9,IFERROR(SMALL('入金消込'!$Q$5:$Q$1004,$K50+1),1E+9))</f>
        <v/>
      </c>
      <c r="N50" s="32">
        <f>IF(MIN($L50,$M50)&gt;=1E+9,"",IF($L50&lt;=$M50,"増","減"))</f>
        <v/>
      </c>
      <c r="O50" s="32">
        <f>IF($N50="","",IF($N50="増",MATCH($L50,'請求台帳'!$Z$5:$Z$1004,0),MATCH($M50,'入金消込'!$Q$5:$Q$1004,0)))</f>
        <v/>
      </c>
      <c r="P50" s="56" t="n"/>
      <c r="Q50" s="56" t="n"/>
    </row>
    <row r="51" ht="18" customHeight="1">
      <c r="A51" s="45">
        <f>IF($N51="","",IF($N51="増",INDEX('請求台帳'!$X$5:$X$1004,$O51),INDEX('入金消込'!$A$5:$A$1004,$O51)))</f>
        <v/>
      </c>
      <c r="B51" s="46">
        <f>IF($N51="","",IF($N51="増","売上","入金"))</f>
        <v/>
      </c>
      <c r="C51" s="46">
        <f>IF($N51="","",IF($N51="増",INDEX('請求台帳'!$A$5:$A$1004,$O51)&amp;"","入金No "&amp;INDEX('入金消込'!$B$5:$B$1004,$O51)))</f>
        <v/>
      </c>
      <c r="D51" s="47">
        <f>IF($N51="","",IF($N51="増",INDEX('請求台帳'!$F$5:$F$1004,$O51)&amp;"",IF(INDEX('入金消込'!$F$5:$F$1004,$O51)="","消込先が未定",INDEX('入金消込'!$F$5:$F$1004,$O51)&amp;" の入金")))</f>
        <v/>
      </c>
      <c r="E51" s="48">
        <f>IF($N51&lt;&gt;"増","",INDEX('請求台帳'!$L$5:$L$1004,$O51))</f>
        <v/>
      </c>
      <c r="F51" s="48">
        <f>IF($N51&lt;&gt;"減","",N(INDEX('入金消込'!$G$5:$G$1004,$O51)))</f>
        <v/>
      </c>
      <c r="G51" s="48">
        <f>IF($N51&lt;&gt;"減","",N(INDEX('入金消込'!$H$5:$H$1004,$O51))+N(INDEX('入金消込'!$I$5:$I$1004,$O51)))</f>
        <v/>
      </c>
      <c r="H51" s="49">
        <f>IF($N51="","",$H50+N($E51)-N($F51)-N($G51))</f>
        <v/>
      </c>
      <c r="I51" s="56" t="n"/>
      <c r="J51" s="32">
        <f>$J50+IF($N50="増",1,0)</f>
        <v/>
      </c>
      <c r="K51" s="32">
        <f>$K50+IF($N50="減",1,0)</f>
        <v/>
      </c>
      <c r="L51" s="35">
        <f>IF($B$3="",1E+9,IFERROR(SMALL('請求台帳'!$Z$5:$Z$1004,$J51+1),1E+9))</f>
        <v/>
      </c>
      <c r="M51" s="35">
        <f>IF($B$3="",1E+9,IFERROR(SMALL('入金消込'!$Q$5:$Q$1004,$K51+1),1E+9))</f>
        <v/>
      </c>
      <c r="N51" s="32">
        <f>IF(MIN($L51,$M51)&gt;=1E+9,"",IF($L51&lt;=$M51,"増","減"))</f>
        <v/>
      </c>
      <c r="O51" s="32">
        <f>IF($N51="","",IF($N51="増",MATCH($L51,'請求台帳'!$Z$5:$Z$1004,0),MATCH($M51,'入金消込'!$Q$5:$Q$1004,0)))</f>
        <v/>
      </c>
      <c r="P51" s="56" t="n"/>
      <c r="Q51" s="56" t="n"/>
    </row>
    <row r="52" ht="18" customHeight="1">
      <c r="A52" s="45">
        <f>IF($N52="","",IF($N52="増",INDEX('請求台帳'!$X$5:$X$1004,$O52),INDEX('入金消込'!$A$5:$A$1004,$O52)))</f>
        <v/>
      </c>
      <c r="B52" s="46">
        <f>IF($N52="","",IF($N52="増","売上","入金"))</f>
        <v/>
      </c>
      <c r="C52" s="46">
        <f>IF($N52="","",IF($N52="増",INDEX('請求台帳'!$A$5:$A$1004,$O52)&amp;"","入金No "&amp;INDEX('入金消込'!$B$5:$B$1004,$O52)))</f>
        <v/>
      </c>
      <c r="D52" s="47">
        <f>IF($N52="","",IF($N52="増",INDEX('請求台帳'!$F$5:$F$1004,$O52)&amp;"",IF(INDEX('入金消込'!$F$5:$F$1004,$O52)="","消込先が未定",INDEX('入金消込'!$F$5:$F$1004,$O52)&amp;" の入金")))</f>
        <v/>
      </c>
      <c r="E52" s="48">
        <f>IF($N52&lt;&gt;"増","",INDEX('請求台帳'!$L$5:$L$1004,$O52))</f>
        <v/>
      </c>
      <c r="F52" s="48">
        <f>IF($N52&lt;&gt;"減","",N(INDEX('入金消込'!$G$5:$G$1004,$O52)))</f>
        <v/>
      </c>
      <c r="G52" s="48">
        <f>IF($N52&lt;&gt;"減","",N(INDEX('入金消込'!$H$5:$H$1004,$O52))+N(INDEX('入金消込'!$I$5:$I$1004,$O52)))</f>
        <v/>
      </c>
      <c r="H52" s="49">
        <f>IF($N52="","",$H51+N($E52)-N($F52)-N($G52))</f>
        <v/>
      </c>
      <c r="I52" s="56" t="n"/>
      <c r="J52" s="32">
        <f>$J51+IF($N51="増",1,0)</f>
        <v/>
      </c>
      <c r="K52" s="32">
        <f>$K51+IF($N51="減",1,0)</f>
        <v/>
      </c>
      <c r="L52" s="35">
        <f>IF($B$3="",1E+9,IFERROR(SMALL('請求台帳'!$Z$5:$Z$1004,$J52+1),1E+9))</f>
        <v/>
      </c>
      <c r="M52" s="35">
        <f>IF($B$3="",1E+9,IFERROR(SMALL('入金消込'!$Q$5:$Q$1004,$K52+1),1E+9))</f>
        <v/>
      </c>
      <c r="N52" s="32">
        <f>IF(MIN($L52,$M52)&gt;=1E+9,"",IF($L52&lt;=$M52,"増","減"))</f>
        <v/>
      </c>
      <c r="O52" s="32">
        <f>IF($N52="","",IF($N52="増",MATCH($L52,'請求台帳'!$Z$5:$Z$1004,0),MATCH($M52,'入金消込'!$Q$5:$Q$1004,0)))</f>
        <v/>
      </c>
      <c r="P52" s="56" t="n"/>
      <c r="Q52" s="56" t="n"/>
    </row>
    <row r="53" ht="18" customHeight="1">
      <c r="A53" s="45">
        <f>IF($N53="","",IF($N53="増",INDEX('請求台帳'!$X$5:$X$1004,$O53),INDEX('入金消込'!$A$5:$A$1004,$O53)))</f>
        <v/>
      </c>
      <c r="B53" s="46">
        <f>IF($N53="","",IF($N53="増","売上","入金"))</f>
        <v/>
      </c>
      <c r="C53" s="46">
        <f>IF($N53="","",IF($N53="増",INDEX('請求台帳'!$A$5:$A$1004,$O53)&amp;"","入金No "&amp;INDEX('入金消込'!$B$5:$B$1004,$O53)))</f>
        <v/>
      </c>
      <c r="D53" s="47">
        <f>IF($N53="","",IF($N53="増",INDEX('請求台帳'!$F$5:$F$1004,$O53)&amp;"",IF(INDEX('入金消込'!$F$5:$F$1004,$O53)="","消込先が未定",INDEX('入金消込'!$F$5:$F$1004,$O53)&amp;" の入金")))</f>
        <v/>
      </c>
      <c r="E53" s="48">
        <f>IF($N53&lt;&gt;"増","",INDEX('請求台帳'!$L$5:$L$1004,$O53))</f>
        <v/>
      </c>
      <c r="F53" s="48">
        <f>IF($N53&lt;&gt;"減","",N(INDEX('入金消込'!$G$5:$G$1004,$O53)))</f>
        <v/>
      </c>
      <c r="G53" s="48">
        <f>IF($N53&lt;&gt;"減","",N(INDEX('入金消込'!$H$5:$H$1004,$O53))+N(INDEX('入金消込'!$I$5:$I$1004,$O53)))</f>
        <v/>
      </c>
      <c r="H53" s="49">
        <f>IF($N53="","",$H52+N($E53)-N($F53)-N($G53))</f>
        <v/>
      </c>
      <c r="I53" s="56" t="n"/>
      <c r="J53" s="32">
        <f>$J52+IF($N52="増",1,0)</f>
        <v/>
      </c>
      <c r="K53" s="32">
        <f>$K52+IF($N52="減",1,0)</f>
        <v/>
      </c>
      <c r="L53" s="35">
        <f>IF($B$3="",1E+9,IFERROR(SMALL('請求台帳'!$Z$5:$Z$1004,$J53+1),1E+9))</f>
        <v/>
      </c>
      <c r="M53" s="35">
        <f>IF($B$3="",1E+9,IFERROR(SMALL('入金消込'!$Q$5:$Q$1004,$K53+1),1E+9))</f>
        <v/>
      </c>
      <c r="N53" s="32">
        <f>IF(MIN($L53,$M53)&gt;=1E+9,"",IF($L53&lt;=$M53,"増","減"))</f>
        <v/>
      </c>
      <c r="O53" s="32">
        <f>IF($N53="","",IF($N53="増",MATCH($L53,'請求台帳'!$Z$5:$Z$1004,0),MATCH($M53,'入金消込'!$Q$5:$Q$1004,0)))</f>
        <v/>
      </c>
      <c r="P53" s="56" t="n"/>
      <c r="Q53" s="56" t="n"/>
    </row>
    <row r="54" ht="18" customHeight="1">
      <c r="A54" s="45">
        <f>IF($N54="","",IF($N54="増",INDEX('請求台帳'!$X$5:$X$1004,$O54),INDEX('入金消込'!$A$5:$A$1004,$O54)))</f>
        <v/>
      </c>
      <c r="B54" s="46">
        <f>IF($N54="","",IF($N54="増","売上","入金"))</f>
        <v/>
      </c>
      <c r="C54" s="46">
        <f>IF($N54="","",IF($N54="増",INDEX('請求台帳'!$A$5:$A$1004,$O54)&amp;"","入金No "&amp;INDEX('入金消込'!$B$5:$B$1004,$O54)))</f>
        <v/>
      </c>
      <c r="D54" s="47">
        <f>IF($N54="","",IF($N54="増",INDEX('請求台帳'!$F$5:$F$1004,$O54)&amp;"",IF(INDEX('入金消込'!$F$5:$F$1004,$O54)="","消込先が未定",INDEX('入金消込'!$F$5:$F$1004,$O54)&amp;" の入金")))</f>
        <v/>
      </c>
      <c r="E54" s="48">
        <f>IF($N54&lt;&gt;"増","",INDEX('請求台帳'!$L$5:$L$1004,$O54))</f>
        <v/>
      </c>
      <c r="F54" s="48">
        <f>IF($N54&lt;&gt;"減","",N(INDEX('入金消込'!$G$5:$G$1004,$O54)))</f>
        <v/>
      </c>
      <c r="G54" s="48">
        <f>IF($N54&lt;&gt;"減","",N(INDEX('入金消込'!$H$5:$H$1004,$O54))+N(INDEX('入金消込'!$I$5:$I$1004,$O54)))</f>
        <v/>
      </c>
      <c r="H54" s="49">
        <f>IF($N54="","",$H53+N($E54)-N($F54)-N($G54))</f>
        <v/>
      </c>
      <c r="I54" s="56" t="n"/>
      <c r="J54" s="32">
        <f>$J53+IF($N53="増",1,0)</f>
        <v/>
      </c>
      <c r="K54" s="32">
        <f>$K53+IF($N53="減",1,0)</f>
        <v/>
      </c>
      <c r="L54" s="35">
        <f>IF($B$3="",1E+9,IFERROR(SMALL('請求台帳'!$Z$5:$Z$1004,$J54+1),1E+9))</f>
        <v/>
      </c>
      <c r="M54" s="35">
        <f>IF($B$3="",1E+9,IFERROR(SMALL('入金消込'!$Q$5:$Q$1004,$K54+1),1E+9))</f>
        <v/>
      </c>
      <c r="N54" s="32">
        <f>IF(MIN($L54,$M54)&gt;=1E+9,"",IF($L54&lt;=$M54,"増","減"))</f>
        <v/>
      </c>
      <c r="O54" s="32">
        <f>IF($N54="","",IF($N54="増",MATCH($L54,'請求台帳'!$Z$5:$Z$1004,0),MATCH($M54,'入金消込'!$Q$5:$Q$1004,0)))</f>
        <v/>
      </c>
      <c r="P54" s="56" t="n"/>
      <c r="Q54" s="56" t="n"/>
    </row>
    <row r="55" ht="18" customHeight="1">
      <c r="A55" s="45">
        <f>IF($N55="","",IF($N55="増",INDEX('請求台帳'!$X$5:$X$1004,$O55),INDEX('入金消込'!$A$5:$A$1004,$O55)))</f>
        <v/>
      </c>
      <c r="B55" s="46">
        <f>IF($N55="","",IF($N55="増","売上","入金"))</f>
        <v/>
      </c>
      <c r="C55" s="46">
        <f>IF($N55="","",IF($N55="増",INDEX('請求台帳'!$A$5:$A$1004,$O55)&amp;"","入金No "&amp;INDEX('入金消込'!$B$5:$B$1004,$O55)))</f>
        <v/>
      </c>
      <c r="D55" s="47">
        <f>IF($N55="","",IF($N55="増",INDEX('請求台帳'!$F$5:$F$1004,$O55)&amp;"",IF(INDEX('入金消込'!$F$5:$F$1004,$O55)="","消込先が未定",INDEX('入金消込'!$F$5:$F$1004,$O55)&amp;" の入金")))</f>
        <v/>
      </c>
      <c r="E55" s="48">
        <f>IF($N55&lt;&gt;"増","",INDEX('請求台帳'!$L$5:$L$1004,$O55))</f>
        <v/>
      </c>
      <c r="F55" s="48">
        <f>IF($N55&lt;&gt;"減","",N(INDEX('入金消込'!$G$5:$G$1004,$O55)))</f>
        <v/>
      </c>
      <c r="G55" s="48">
        <f>IF($N55&lt;&gt;"減","",N(INDEX('入金消込'!$H$5:$H$1004,$O55))+N(INDEX('入金消込'!$I$5:$I$1004,$O55)))</f>
        <v/>
      </c>
      <c r="H55" s="49">
        <f>IF($N55="","",$H54+N($E55)-N($F55)-N($G55))</f>
        <v/>
      </c>
      <c r="I55" s="56" t="n"/>
      <c r="J55" s="32">
        <f>$J54+IF($N54="増",1,0)</f>
        <v/>
      </c>
      <c r="K55" s="32">
        <f>$K54+IF($N54="減",1,0)</f>
        <v/>
      </c>
      <c r="L55" s="35">
        <f>IF($B$3="",1E+9,IFERROR(SMALL('請求台帳'!$Z$5:$Z$1004,$J55+1),1E+9))</f>
        <v/>
      </c>
      <c r="M55" s="35">
        <f>IF($B$3="",1E+9,IFERROR(SMALL('入金消込'!$Q$5:$Q$1004,$K55+1),1E+9))</f>
        <v/>
      </c>
      <c r="N55" s="32">
        <f>IF(MIN($L55,$M55)&gt;=1E+9,"",IF($L55&lt;=$M55,"増","減"))</f>
        <v/>
      </c>
      <c r="O55" s="32">
        <f>IF($N55="","",IF($N55="増",MATCH($L55,'請求台帳'!$Z$5:$Z$1004,0),MATCH($M55,'入金消込'!$Q$5:$Q$1004,0)))</f>
        <v/>
      </c>
      <c r="P55" s="56" t="n"/>
      <c r="Q55" s="56" t="n"/>
    </row>
    <row r="56" ht="18" customHeight="1">
      <c r="A56" s="45">
        <f>IF($N56="","",IF($N56="増",INDEX('請求台帳'!$X$5:$X$1004,$O56),INDEX('入金消込'!$A$5:$A$1004,$O56)))</f>
        <v/>
      </c>
      <c r="B56" s="46">
        <f>IF($N56="","",IF($N56="増","売上","入金"))</f>
        <v/>
      </c>
      <c r="C56" s="46">
        <f>IF($N56="","",IF($N56="増",INDEX('請求台帳'!$A$5:$A$1004,$O56)&amp;"","入金No "&amp;INDEX('入金消込'!$B$5:$B$1004,$O56)))</f>
        <v/>
      </c>
      <c r="D56" s="47">
        <f>IF($N56="","",IF($N56="増",INDEX('請求台帳'!$F$5:$F$1004,$O56)&amp;"",IF(INDEX('入金消込'!$F$5:$F$1004,$O56)="","消込先が未定",INDEX('入金消込'!$F$5:$F$1004,$O56)&amp;" の入金")))</f>
        <v/>
      </c>
      <c r="E56" s="48">
        <f>IF($N56&lt;&gt;"増","",INDEX('請求台帳'!$L$5:$L$1004,$O56))</f>
        <v/>
      </c>
      <c r="F56" s="48">
        <f>IF($N56&lt;&gt;"減","",N(INDEX('入金消込'!$G$5:$G$1004,$O56)))</f>
        <v/>
      </c>
      <c r="G56" s="48">
        <f>IF($N56&lt;&gt;"減","",N(INDEX('入金消込'!$H$5:$H$1004,$O56))+N(INDEX('入金消込'!$I$5:$I$1004,$O56)))</f>
        <v/>
      </c>
      <c r="H56" s="49">
        <f>IF($N56="","",$H55+N($E56)-N($F56)-N($G56))</f>
        <v/>
      </c>
      <c r="I56" s="56" t="n"/>
      <c r="J56" s="32">
        <f>$J55+IF($N55="増",1,0)</f>
        <v/>
      </c>
      <c r="K56" s="32">
        <f>$K55+IF($N55="減",1,0)</f>
        <v/>
      </c>
      <c r="L56" s="35">
        <f>IF($B$3="",1E+9,IFERROR(SMALL('請求台帳'!$Z$5:$Z$1004,$J56+1),1E+9))</f>
        <v/>
      </c>
      <c r="M56" s="35">
        <f>IF($B$3="",1E+9,IFERROR(SMALL('入金消込'!$Q$5:$Q$1004,$K56+1),1E+9))</f>
        <v/>
      </c>
      <c r="N56" s="32">
        <f>IF(MIN($L56,$M56)&gt;=1E+9,"",IF($L56&lt;=$M56,"増","減"))</f>
        <v/>
      </c>
      <c r="O56" s="32">
        <f>IF($N56="","",IF($N56="増",MATCH($L56,'請求台帳'!$Z$5:$Z$1004,0),MATCH($M56,'入金消込'!$Q$5:$Q$1004,0)))</f>
        <v/>
      </c>
      <c r="P56" s="56" t="n"/>
      <c r="Q56" s="56" t="n"/>
    </row>
    <row r="57" ht="18" customHeight="1">
      <c r="A57" s="45">
        <f>IF($N57="","",IF($N57="増",INDEX('請求台帳'!$X$5:$X$1004,$O57),INDEX('入金消込'!$A$5:$A$1004,$O57)))</f>
        <v/>
      </c>
      <c r="B57" s="46">
        <f>IF($N57="","",IF($N57="増","売上","入金"))</f>
        <v/>
      </c>
      <c r="C57" s="46">
        <f>IF($N57="","",IF($N57="増",INDEX('請求台帳'!$A$5:$A$1004,$O57)&amp;"","入金No "&amp;INDEX('入金消込'!$B$5:$B$1004,$O57)))</f>
        <v/>
      </c>
      <c r="D57" s="47">
        <f>IF($N57="","",IF($N57="増",INDEX('請求台帳'!$F$5:$F$1004,$O57)&amp;"",IF(INDEX('入金消込'!$F$5:$F$1004,$O57)="","消込先が未定",INDEX('入金消込'!$F$5:$F$1004,$O57)&amp;" の入金")))</f>
        <v/>
      </c>
      <c r="E57" s="48">
        <f>IF($N57&lt;&gt;"増","",INDEX('請求台帳'!$L$5:$L$1004,$O57))</f>
        <v/>
      </c>
      <c r="F57" s="48">
        <f>IF($N57&lt;&gt;"減","",N(INDEX('入金消込'!$G$5:$G$1004,$O57)))</f>
        <v/>
      </c>
      <c r="G57" s="48">
        <f>IF($N57&lt;&gt;"減","",N(INDEX('入金消込'!$H$5:$H$1004,$O57))+N(INDEX('入金消込'!$I$5:$I$1004,$O57)))</f>
        <v/>
      </c>
      <c r="H57" s="49">
        <f>IF($N57="","",$H56+N($E57)-N($F57)-N($G57))</f>
        <v/>
      </c>
      <c r="I57" s="56" t="n"/>
      <c r="J57" s="32">
        <f>$J56+IF($N56="増",1,0)</f>
        <v/>
      </c>
      <c r="K57" s="32">
        <f>$K56+IF($N56="減",1,0)</f>
        <v/>
      </c>
      <c r="L57" s="35">
        <f>IF($B$3="",1E+9,IFERROR(SMALL('請求台帳'!$Z$5:$Z$1004,$J57+1),1E+9))</f>
        <v/>
      </c>
      <c r="M57" s="35">
        <f>IF($B$3="",1E+9,IFERROR(SMALL('入金消込'!$Q$5:$Q$1004,$K57+1),1E+9))</f>
        <v/>
      </c>
      <c r="N57" s="32">
        <f>IF(MIN($L57,$M57)&gt;=1E+9,"",IF($L57&lt;=$M57,"増","減"))</f>
        <v/>
      </c>
      <c r="O57" s="32">
        <f>IF($N57="","",IF($N57="増",MATCH($L57,'請求台帳'!$Z$5:$Z$1004,0),MATCH($M57,'入金消込'!$Q$5:$Q$1004,0)))</f>
        <v/>
      </c>
      <c r="P57" s="56" t="n"/>
      <c r="Q57" s="56" t="n"/>
    </row>
    <row r="58" ht="18" customHeight="1">
      <c r="A58" s="45">
        <f>IF($N58="","",IF($N58="増",INDEX('請求台帳'!$X$5:$X$1004,$O58),INDEX('入金消込'!$A$5:$A$1004,$O58)))</f>
        <v/>
      </c>
      <c r="B58" s="46">
        <f>IF($N58="","",IF($N58="増","売上","入金"))</f>
        <v/>
      </c>
      <c r="C58" s="46">
        <f>IF($N58="","",IF($N58="増",INDEX('請求台帳'!$A$5:$A$1004,$O58)&amp;"","入金No "&amp;INDEX('入金消込'!$B$5:$B$1004,$O58)))</f>
        <v/>
      </c>
      <c r="D58" s="47">
        <f>IF($N58="","",IF($N58="増",INDEX('請求台帳'!$F$5:$F$1004,$O58)&amp;"",IF(INDEX('入金消込'!$F$5:$F$1004,$O58)="","消込先が未定",INDEX('入金消込'!$F$5:$F$1004,$O58)&amp;" の入金")))</f>
        <v/>
      </c>
      <c r="E58" s="48">
        <f>IF($N58&lt;&gt;"増","",INDEX('請求台帳'!$L$5:$L$1004,$O58))</f>
        <v/>
      </c>
      <c r="F58" s="48">
        <f>IF($N58&lt;&gt;"減","",N(INDEX('入金消込'!$G$5:$G$1004,$O58)))</f>
        <v/>
      </c>
      <c r="G58" s="48">
        <f>IF($N58&lt;&gt;"減","",N(INDEX('入金消込'!$H$5:$H$1004,$O58))+N(INDEX('入金消込'!$I$5:$I$1004,$O58)))</f>
        <v/>
      </c>
      <c r="H58" s="49">
        <f>IF($N58="","",$H57+N($E58)-N($F58)-N($G58))</f>
        <v/>
      </c>
      <c r="I58" s="56" t="n"/>
      <c r="J58" s="32">
        <f>$J57+IF($N57="増",1,0)</f>
        <v/>
      </c>
      <c r="K58" s="32">
        <f>$K57+IF($N57="減",1,0)</f>
        <v/>
      </c>
      <c r="L58" s="35">
        <f>IF($B$3="",1E+9,IFERROR(SMALL('請求台帳'!$Z$5:$Z$1004,$J58+1),1E+9))</f>
        <v/>
      </c>
      <c r="M58" s="35">
        <f>IF($B$3="",1E+9,IFERROR(SMALL('入金消込'!$Q$5:$Q$1004,$K58+1),1E+9))</f>
        <v/>
      </c>
      <c r="N58" s="32">
        <f>IF(MIN($L58,$M58)&gt;=1E+9,"",IF($L58&lt;=$M58,"増","減"))</f>
        <v/>
      </c>
      <c r="O58" s="32">
        <f>IF($N58="","",IF($N58="増",MATCH($L58,'請求台帳'!$Z$5:$Z$1004,0),MATCH($M58,'入金消込'!$Q$5:$Q$1004,0)))</f>
        <v/>
      </c>
      <c r="P58" s="56" t="n"/>
      <c r="Q58" s="56" t="n"/>
    </row>
    <row r="59" ht="18" customHeight="1">
      <c r="A59" s="45">
        <f>IF($N59="","",IF($N59="増",INDEX('請求台帳'!$X$5:$X$1004,$O59),INDEX('入金消込'!$A$5:$A$1004,$O59)))</f>
        <v/>
      </c>
      <c r="B59" s="46">
        <f>IF($N59="","",IF($N59="増","売上","入金"))</f>
        <v/>
      </c>
      <c r="C59" s="46">
        <f>IF($N59="","",IF($N59="増",INDEX('請求台帳'!$A$5:$A$1004,$O59)&amp;"","入金No "&amp;INDEX('入金消込'!$B$5:$B$1004,$O59)))</f>
        <v/>
      </c>
      <c r="D59" s="47">
        <f>IF($N59="","",IF($N59="増",INDEX('請求台帳'!$F$5:$F$1004,$O59)&amp;"",IF(INDEX('入金消込'!$F$5:$F$1004,$O59)="","消込先が未定",INDEX('入金消込'!$F$5:$F$1004,$O59)&amp;" の入金")))</f>
        <v/>
      </c>
      <c r="E59" s="48">
        <f>IF($N59&lt;&gt;"増","",INDEX('請求台帳'!$L$5:$L$1004,$O59))</f>
        <v/>
      </c>
      <c r="F59" s="48">
        <f>IF($N59&lt;&gt;"減","",N(INDEX('入金消込'!$G$5:$G$1004,$O59)))</f>
        <v/>
      </c>
      <c r="G59" s="48">
        <f>IF($N59&lt;&gt;"減","",N(INDEX('入金消込'!$H$5:$H$1004,$O59))+N(INDEX('入金消込'!$I$5:$I$1004,$O59)))</f>
        <v/>
      </c>
      <c r="H59" s="49">
        <f>IF($N59="","",$H58+N($E59)-N($F59)-N($G59))</f>
        <v/>
      </c>
      <c r="I59" s="56" t="n"/>
      <c r="J59" s="32">
        <f>$J58+IF($N58="増",1,0)</f>
        <v/>
      </c>
      <c r="K59" s="32">
        <f>$K58+IF($N58="減",1,0)</f>
        <v/>
      </c>
      <c r="L59" s="35">
        <f>IF($B$3="",1E+9,IFERROR(SMALL('請求台帳'!$Z$5:$Z$1004,$J59+1),1E+9))</f>
        <v/>
      </c>
      <c r="M59" s="35">
        <f>IF($B$3="",1E+9,IFERROR(SMALL('入金消込'!$Q$5:$Q$1004,$K59+1),1E+9))</f>
        <v/>
      </c>
      <c r="N59" s="32">
        <f>IF(MIN($L59,$M59)&gt;=1E+9,"",IF($L59&lt;=$M59,"増","減"))</f>
        <v/>
      </c>
      <c r="O59" s="32">
        <f>IF($N59="","",IF($N59="増",MATCH($L59,'請求台帳'!$Z$5:$Z$1004,0),MATCH($M59,'入金消込'!$Q$5:$Q$1004,0)))</f>
        <v/>
      </c>
      <c r="P59" s="56" t="n"/>
      <c r="Q59" s="56" t="n"/>
    </row>
    <row r="60" ht="18" customHeight="1">
      <c r="A60" s="45">
        <f>IF($N60="","",IF($N60="増",INDEX('請求台帳'!$X$5:$X$1004,$O60),INDEX('入金消込'!$A$5:$A$1004,$O60)))</f>
        <v/>
      </c>
      <c r="B60" s="46">
        <f>IF($N60="","",IF($N60="増","売上","入金"))</f>
        <v/>
      </c>
      <c r="C60" s="46">
        <f>IF($N60="","",IF($N60="増",INDEX('請求台帳'!$A$5:$A$1004,$O60)&amp;"","入金No "&amp;INDEX('入金消込'!$B$5:$B$1004,$O60)))</f>
        <v/>
      </c>
      <c r="D60" s="47">
        <f>IF($N60="","",IF($N60="増",INDEX('請求台帳'!$F$5:$F$1004,$O60)&amp;"",IF(INDEX('入金消込'!$F$5:$F$1004,$O60)="","消込先が未定",INDEX('入金消込'!$F$5:$F$1004,$O60)&amp;" の入金")))</f>
        <v/>
      </c>
      <c r="E60" s="48">
        <f>IF($N60&lt;&gt;"増","",INDEX('請求台帳'!$L$5:$L$1004,$O60))</f>
        <v/>
      </c>
      <c r="F60" s="48">
        <f>IF($N60&lt;&gt;"減","",N(INDEX('入金消込'!$G$5:$G$1004,$O60)))</f>
        <v/>
      </c>
      <c r="G60" s="48">
        <f>IF($N60&lt;&gt;"減","",N(INDEX('入金消込'!$H$5:$H$1004,$O60))+N(INDEX('入金消込'!$I$5:$I$1004,$O60)))</f>
        <v/>
      </c>
      <c r="H60" s="49">
        <f>IF($N60="","",$H59+N($E60)-N($F60)-N($G60))</f>
        <v/>
      </c>
      <c r="I60" s="56" t="n"/>
      <c r="J60" s="32">
        <f>$J59+IF($N59="増",1,0)</f>
        <v/>
      </c>
      <c r="K60" s="32">
        <f>$K59+IF($N59="減",1,0)</f>
        <v/>
      </c>
      <c r="L60" s="35">
        <f>IF($B$3="",1E+9,IFERROR(SMALL('請求台帳'!$Z$5:$Z$1004,$J60+1),1E+9))</f>
        <v/>
      </c>
      <c r="M60" s="35">
        <f>IF($B$3="",1E+9,IFERROR(SMALL('入金消込'!$Q$5:$Q$1004,$K60+1),1E+9))</f>
        <v/>
      </c>
      <c r="N60" s="32">
        <f>IF(MIN($L60,$M60)&gt;=1E+9,"",IF($L60&lt;=$M60,"増","減"))</f>
        <v/>
      </c>
      <c r="O60" s="32">
        <f>IF($N60="","",IF($N60="増",MATCH($L60,'請求台帳'!$Z$5:$Z$1004,0),MATCH($M60,'入金消込'!$Q$5:$Q$1004,0)))</f>
        <v/>
      </c>
      <c r="P60" s="56" t="n"/>
      <c r="Q60" s="56" t="n"/>
    </row>
    <row r="61" ht="18" customHeight="1">
      <c r="A61" s="45">
        <f>IF($N61="","",IF($N61="増",INDEX('請求台帳'!$X$5:$X$1004,$O61),INDEX('入金消込'!$A$5:$A$1004,$O61)))</f>
        <v/>
      </c>
      <c r="B61" s="46">
        <f>IF($N61="","",IF($N61="増","売上","入金"))</f>
        <v/>
      </c>
      <c r="C61" s="46">
        <f>IF($N61="","",IF($N61="増",INDEX('請求台帳'!$A$5:$A$1004,$O61)&amp;"","入金No "&amp;INDEX('入金消込'!$B$5:$B$1004,$O61)))</f>
        <v/>
      </c>
      <c r="D61" s="47">
        <f>IF($N61="","",IF($N61="増",INDEX('請求台帳'!$F$5:$F$1004,$O61)&amp;"",IF(INDEX('入金消込'!$F$5:$F$1004,$O61)="","消込先が未定",INDEX('入金消込'!$F$5:$F$1004,$O61)&amp;" の入金")))</f>
        <v/>
      </c>
      <c r="E61" s="48">
        <f>IF($N61&lt;&gt;"増","",INDEX('請求台帳'!$L$5:$L$1004,$O61))</f>
        <v/>
      </c>
      <c r="F61" s="48">
        <f>IF($N61&lt;&gt;"減","",N(INDEX('入金消込'!$G$5:$G$1004,$O61)))</f>
        <v/>
      </c>
      <c r="G61" s="48">
        <f>IF($N61&lt;&gt;"減","",N(INDEX('入金消込'!$H$5:$H$1004,$O61))+N(INDEX('入金消込'!$I$5:$I$1004,$O61)))</f>
        <v/>
      </c>
      <c r="H61" s="49">
        <f>IF($N61="","",$H60+N($E61)-N($F61)-N($G61))</f>
        <v/>
      </c>
      <c r="I61" s="56" t="n"/>
      <c r="J61" s="32">
        <f>$J60+IF($N60="増",1,0)</f>
        <v/>
      </c>
      <c r="K61" s="32">
        <f>$K60+IF($N60="減",1,0)</f>
        <v/>
      </c>
      <c r="L61" s="35">
        <f>IF($B$3="",1E+9,IFERROR(SMALL('請求台帳'!$Z$5:$Z$1004,$J61+1),1E+9))</f>
        <v/>
      </c>
      <c r="M61" s="35">
        <f>IF($B$3="",1E+9,IFERROR(SMALL('入金消込'!$Q$5:$Q$1004,$K61+1),1E+9))</f>
        <v/>
      </c>
      <c r="N61" s="32">
        <f>IF(MIN($L61,$M61)&gt;=1E+9,"",IF($L61&lt;=$M61,"増","減"))</f>
        <v/>
      </c>
      <c r="O61" s="32">
        <f>IF($N61="","",IF($N61="増",MATCH($L61,'請求台帳'!$Z$5:$Z$1004,0),MATCH($M61,'入金消込'!$Q$5:$Q$1004,0)))</f>
        <v/>
      </c>
      <c r="P61" s="56" t="n"/>
      <c r="Q61" s="56" t="n"/>
    </row>
    <row r="62" ht="18" customHeight="1">
      <c r="A62" s="45">
        <f>IF($N62="","",IF($N62="増",INDEX('請求台帳'!$X$5:$X$1004,$O62),INDEX('入金消込'!$A$5:$A$1004,$O62)))</f>
        <v/>
      </c>
      <c r="B62" s="46">
        <f>IF($N62="","",IF($N62="増","売上","入金"))</f>
        <v/>
      </c>
      <c r="C62" s="46">
        <f>IF($N62="","",IF($N62="増",INDEX('請求台帳'!$A$5:$A$1004,$O62)&amp;"","入金No "&amp;INDEX('入金消込'!$B$5:$B$1004,$O62)))</f>
        <v/>
      </c>
      <c r="D62" s="47">
        <f>IF($N62="","",IF($N62="増",INDEX('請求台帳'!$F$5:$F$1004,$O62)&amp;"",IF(INDEX('入金消込'!$F$5:$F$1004,$O62)="","消込先が未定",INDEX('入金消込'!$F$5:$F$1004,$O62)&amp;" の入金")))</f>
        <v/>
      </c>
      <c r="E62" s="48">
        <f>IF($N62&lt;&gt;"増","",INDEX('請求台帳'!$L$5:$L$1004,$O62))</f>
        <v/>
      </c>
      <c r="F62" s="48">
        <f>IF($N62&lt;&gt;"減","",N(INDEX('入金消込'!$G$5:$G$1004,$O62)))</f>
        <v/>
      </c>
      <c r="G62" s="48">
        <f>IF($N62&lt;&gt;"減","",N(INDEX('入金消込'!$H$5:$H$1004,$O62))+N(INDEX('入金消込'!$I$5:$I$1004,$O62)))</f>
        <v/>
      </c>
      <c r="H62" s="49">
        <f>IF($N62="","",$H61+N($E62)-N($F62)-N($G62))</f>
        <v/>
      </c>
      <c r="I62" s="56" t="n"/>
      <c r="J62" s="32">
        <f>$J61+IF($N61="増",1,0)</f>
        <v/>
      </c>
      <c r="K62" s="32">
        <f>$K61+IF($N61="減",1,0)</f>
        <v/>
      </c>
      <c r="L62" s="35">
        <f>IF($B$3="",1E+9,IFERROR(SMALL('請求台帳'!$Z$5:$Z$1004,$J62+1),1E+9))</f>
        <v/>
      </c>
      <c r="M62" s="35">
        <f>IF($B$3="",1E+9,IFERROR(SMALL('入金消込'!$Q$5:$Q$1004,$K62+1),1E+9))</f>
        <v/>
      </c>
      <c r="N62" s="32">
        <f>IF(MIN($L62,$M62)&gt;=1E+9,"",IF($L62&lt;=$M62,"増","減"))</f>
        <v/>
      </c>
      <c r="O62" s="32">
        <f>IF($N62="","",IF($N62="増",MATCH($L62,'請求台帳'!$Z$5:$Z$1004,0),MATCH($M62,'入金消込'!$Q$5:$Q$1004,0)))</f>
        <v/>
      </c>
      <c r="P62" s="56" t="n"/>
      <c r="Q62" s="56" t="n"/>
    </row>
    <row r="63" ht="18" customHeight="1">
      <c r="A63" s="45">
        <f>IF($N63="","",IF($N63="増",INDEX('請求台帳'!$X$5:$X$1004,$O63),INDEX('入金消込'!$A$5:$A$1004,$O63)))</f>
        <v/>
      </c>
      <c r="B63" s="46">
        <f>IF($N63="","",IF($N63="増","売上","入金"))</f>
        <v/>
      </c>
      <c r="C63" s="46">
        <f>IF($N63="","",IF($N63="増",INDEX('請求台帳'!$A$5:$A$1004,$O63)&amp;"","入金No "&amp;INDEX('入金消込'!$B$5:$B$1004,$O63)))</f>
        <v/>
      </c>
      <c r="D63" s="47">
        <f>IF($N63="","",IF($N63="増",INDEX('請求台帳'!$F$5:$F$1004,$O63)&amp;"",IF(INDEX('入金消込'!$F$5:$F$1004,$O63)="","消込先が未定",INDEX('入金消込'!$F$5:$F$1004,$O63)&amp;" の入金")))</f>
        <v/>
      </c>
      <c r="E63" s="48">
        <f>IF($N63&lt;&gt;"増","",INDEX('請求台帳'!$L$5:$L$1004,$O63))</f>
        <v/>
      </c>
      <c r="F63" s="48">
        <f>IF($N63&lt;&gt;"減","",N(INDEX('入金消込'!$G$5:$G$1004,$O63)))</f>
        <v/>
      </c>
      <c r="G63" s="48">
        <f>IF($N63&lt;&gt;"減","",N(INDEX('入金消込'!$H$5:$H$1004,$O63))+N(INDEX('入金消込'!$I$5:$I$1004,$O63)))</f>
        <v/>
      </c>
      <c r="H63" s="49">
        <f>IF($N63="","",$H62+N($E63)-N($F63)-N($G63))</f>
        <v/>
      </c>
      <c r="I63" s="56" t="n"/>
      <c r="J63" s="32">
        <f>$J62+IF($N62="増",1,0)</f>
        <v/>
      </c>
      <c r="K63" s="32">
        <f>$K62+IF($N62="減",1,0)</f>
        <v/>
      </c>
      <c r="L63" s="35">
        <f>IF($B$3="",1E+9,IFERROR(SMALL('請求台帳'!$Z$5:$Z$1004,$J63+1),1E+9))</f>
        <v/>
      </c>
      <c r="M63" s="35">
        <f>IF($B$3="",1E+9,IFERROR(SMALL('入金消込'!$Q$5:$Q$1004,$K63+1),1E+9))</f>
        <v/>
      </c>
      <c r="N63" s="32">
        <f>IF(MIN($L63,$M63)&gt;=1E+9,"",IF($L63&lt;=$M63,"増","減"))</f>
        <v/>
      </c>
      <c r="O63" s="32">
        <f>IF($N63="","",IF($N63="増",MATCH($L63,'請求台帳'!$Z$5:$Z$1004,0),MATCH($M63,'入金消込'!$Q$5:$Q$1004,0)))</f>
        <v/>
      </c>
      <c r="P63" s="56" t="n"/>
      <c r="Q63" s="56" t="n"/>
    </row>
    <row r="64" ht="18" customHeight="1">
      <c r="A64" s="45">
        <f>IF($N64="","",IF($N64="増",INDEX('請求台帳'!$X$5:$X$1004,$O64),INDEX('入金消込'!$A$5:$A$1004,$O64)))</f>
        <v/>
      </c>
      <c r="B64" s="46">
        <f>IF($N64="","",IF($N64="増","売上","入金"))</f>
        <v/>
      </c>
      <c r="C64" s="46">
        <f>IF($N64="","",IF($N64="増",INDEX('請求台帳'!$A$5:$A$1004,$O64)&amp;"","入金No "&amp;INDEX('入金消込'!$B$5:$B$1004,$O64)))</f>
        <v/>
      </c>
      <c r="D64" s="47">
        <f>IF($N64="","",IF($N64="増",INDEX('請求台帳'!$F$5:$F$1004,$O64)&amp;"",IF(INDEX('入金消込'!$F$5:$F$1004,$O64)="","消込先が未定",INDEX('入金消込'!$F$5:$F$1004,$O64)&amp;" の入金")))</f>
        <v/>
      </c>
      <c r="E64" s="48">
        <f>IF($N64&lt;&gt;"増","",INDEX('請求台帳'!$L$5:$L$1004,$O64))</f>
        <v/>
      </c>
      <c r="F64" s="48">
        <f>IF($N64&lt;&gt;"減","",N(INDEX('入金消込'!$G$5:$G$1004,$O64)))</f>
        <v/>
      </c>
      <c r="G64" s="48">
        <f>IF($N64&lt;&gt;"減","",N(INDEX('入金消込'!$H$5:$H$1004,$O64))+N(INDEX('入金消込'!$I$5:$I$1004,$O64)))</f>
        <v/>
      </c>
      <c r="H64" s="49">
        <f>IF($N64="","",$H63+N($E64)-N($F64)-N($G64))</f>
        <v/>
      </c>
      <c r="I64" s="56" t="n"/>
      <c r="J64" s="32">
        <f>$J63+IF($N63="増",1,0)</f>
        <v/>
      </c>
      <c r="K64" s="32">
        <f>$K63+IF($N63="減",1,0)</f>
        <v/>
      </c>
      <c r="L64" s="35">
        <f>IF($B$3="",1E+9,IFERROR(SMALL('請求台帳'!$Z$5:$Z$1004,$J64+1),1E+9))</f>
        <v/>
      </c>
      <c r="M64" s="35">
        <f>IF($B$3="",1E+9,IFERROR(SMALL('入金消込'!$Q$5:$Q$1004,$K64+1),1E+9))</f>
        <v/>
      </c>
      <c r="N64" s="32">
        <f>IF(MIN($L64,$M64)&gt;=1E+9,"",IF($L64&lt;=$M64,"増","減"))</f>
        <v/>
      </c>
      <c r="O64" s="32">
        <f>IF($N64="","",IF($N64="増",MATCH($L64,'請求台帳'!$Z$5:$Z$1004,0),MATCH($M64,'入金消込'!$Q$5:$Q$1004,0)))</f>
        <v/>
      </c>
      <c r="P64" s="56" t="n"/>
      <c r="Q64" s="56" t="n"/>
    </row>
    <row r="65" ht="18" customHeight="1">
      <c r="A65" s="45">
        <f>IF($N65="","",IF($N65="増",INDEX('請求台帳'!$X$5:$X$1004,$O65),INDEX('入金消込'!$A$5:$A$1004,$O65)))</f>
        <v/>
      </c>
      <c r="B65" s="46">
        <f>IF($N65="","",IF($N65="増","売上","入金"))</f>
        <v/>
      </c>
      <c r="C65" s="46">
        <f>IF($N65="","",IF($N65="増",INDEX('請求台帳'!$A$5:$A$1004,$O65)&amp;"","入金No "&amp;INDEX('入金消込'!$B$5:$B$1004,$O65)))</f>
        <v/>
      </c>
      <c r="D65" s="47">
        <f>IF($N65="","",IF($N65="増",INDEX('請求台帳'!$F$5:$F$1004,$O65)&amp;"",IF(INDEX('入金消込'!$F$5:$F$1004,$O65)="","消込先が未定",INDEX('入金消込'!$F$5:$F$1004,$O65)&amp;" の入金")))</f>
        <v/>
      </c>
      <c r="E65" s="48">
        <f>IF($N65&lt;&gt;"増","",INDEX('請求台帳'!$L$5:$L$1004,$O65))</f>
        <v/>
      </c>
      <c r="F65" s="48">
        <f>IF($N65&lt;&gt;"減","",N(INDEX('入金消込'!$G$5:$G$1004,$O65)))</f>
        <v/>
      </c>
      <c r="G65" s="48">
        <f>IF($N65&lt;&gt;"減","",N(INDEX('入金消込'!$H$5:$H$1004,$O65))+N(INDEX('入金消込'!$I$5:$I$1004,$O65)))</f>
        <v/>
      </c>
      <c r="H65" s="49">
        <f>IF($N65="","",$H64+N($E65)-N($F65)-N($G65))</f>
        <v/>
      </c>
      <c r="I65" s="56" t="n"/>
      <c r="J65" s="32">
        <f>$J64+IF($N64="増",1,0)</f>
        <v/>
      </c>
      <c r="K65" s="32">
        <f>$K64+IF($N64="減",1,0)</f>
        <v/>
      </c>
      <c r="L65" s="35">
        <f>IF($B$3="",1E+9,IFERROR(SMALL('請求台帳'!$Z$5:$Z$1004,$J65+1),1E+9))</f>
        <v/>
      </c>
      <c r="M65" s="35">
        <f>IF($B$3="",1E+9,IFERROR(SMALL('入金消込'!$Q$5:$Q$1004,$K65+1),1E+9))</f>
        <v/>
      </c>
      <c r="N65" s="32">
        <f>IF(MIN($L65,$M65)&gt;=1E+9,"",IF($L65&lt;=$M65,"増","減"))</f>
        <v/>
      </c>
      <c r="O65" s="32">
        <f>IF($N65="","",IF($N65="増",MATCH($L65,'請求台帳'!$Z$5:$Z$1004,0),MATCH($M65,'入金消込'!$Q$5:$Q$1004,0)))</f>
        <v/>
      </c>
      <c r="P65" s="56" t="n"/>
      <c r="Q65" s="56" t="n"/>
    </row>
    <row r="66" ht="18" customHeight="1">
      <c r="A66" s="45">
        <f>IF($N66="","",IF($N66="増",INDEX('請求台帳'!$X$5:$X$1004,$O66),INDEX('入金消込'!$A$5:$A$1004,$O66)))</f>
        <v/>
      </c>
      <c r="B66" s="46">
        <f>IF($N66="","",IF($N66="増","売上","入金"))</f>
        <v/>
      </c>
      <c r="C66" s="46">
        <f>IF($N66="","",IF($N66="増",INDEX('請求台帳'!$A$5:$A$1004,$O66)&amp;"","入金No "&amp;INDEX('入金消込'!$B$5:$B$1004,$O66)))</f>
        <v/>
      </c>
      <c r="D66" s="47">
        <f>IF($N66="","",IF($N66="増",INDEX('請求台帳'!$F$5:$F$1004,$O66)&amp;"",IF(INDEX('入金消込'!$F$5:$F$1004,$O66)="","消込先が未定",INDEX('入金消込'!$F$5:$F$1004,$O66)&amp;" の入金")))</f>
        <v/>
      </c>
      <c r="E66" s="48">
        <f>IF($N66&lt;&gt;"増","",INDEX('請求台帳'!$L$5:$L$1004,$O66))</f>
        <v/>
      </c>
      <c r="F66" s="48">
        <f>IF($N66&lt;&gt;"減","",N(INDEX('入金消込'!$G$5:$G$1004,$O66)))</f>
        <v/>
      </c>
      <c r="G66" s="48">
        <f>IF($N66&lt;&gt;"減","",N(INDEX('入金消込'!$H$5:$H$1004,$O66))+N(INDEX('入金消込'!$I$5:$I$1004,$O66)))</f>
        <v/>
      </c>
      <c r="H66" s="49">
        <f>IF($N66="","",$H65+N($E66)-N($F66)-N($G66))</f>
        <v/>
      </c>
      <c r="I66" s="56" t="n"/>
      <c r="J66" s="32">
        <f>$J65+IF($N65="増",1,0)</f>
        <v/>
      </c>
      <c r="K66" s="32">
        <f>$K65+IF($N65="減",1,0)</f>
        <v/>
      </c>
      <c r="L66" s="35">
        <f>IF($B$3="",1E+9,IFERROR(SMALL('請求台帳'!$Z$5:$Z$1004,$J66+1),1E+9))</f>
        <v/>
      </c>
      <c r="M66" s="35">
        <f>IF($B$3="",1E+9,IFERROR(SMALL('入金消込'!$Q$5:$Q$1004,$K66+1),1E+9))</f>
        <v/>
      </c>
      <c r="N66" s="32">
        <f>IF(MIN($L66,$M66)&gt;=1E+9,"",IF($L66&lt;=$M66,"増","減"))</f>
        <v/>
      </c>
      <c r="O66" s="32">
        <f>IF($N66="","",IF($N66="増",MATCH($L66,'請求台帳'!$Z$5:$Z$1004,0),MATCH($M66,'入金消込'!$Q$5:$Q$1004,0)))</f>
        <v/>
      </c>
      <c r="P66" s="56" t="n"/>
      <c r="Q66" s="56" t="n"/>
    </row>
    <row r="67" ht="18" customHeight="1">
      <c r="A67" s="45">
        <f>IF($N67="","",IF($N67="増",INDEX('請求台帳'!$X$5:$X$1004,$O67),INDEX('入金消込'!$A$5:$A$1004,$O67)))</f>
        <v/>
      </c>
      <c r="B67" s="46">
        <f>IF($N67="","",IF($N67="増","売上","入金"))</f>
        <v/>
      </c>
      <c r="C67" s="46">
        <f>IF($N67="","",IF($N67="増",INDEX('請求台帳'!$A$5:$A$1004,$O67)&amp;"","入金No "&amp;INDEX('入金消込'!$B$5:$B$1004,$O67)))</f>
        <v/>
      </c>
      <c r="D67" s="47">
        <f>IF($N67="","",IF($N67="増",INDEX('請求台帳'!$F$5:$F$1004,$O67)&amp;"",IF(INDEX('入金消込'!$F$5:$F$1004,$O67)="","消込先が未定",INDEX('入金消込'!$F$5:$F$1004,$O67)&amp;" の入金")))</f>
        <v/>
      </c>
      <c r="E67" s="48">
        <f>IF($N67&lt;&gt;"増","",INDEX('請求台帳'!$L$5:$L$1004,$O67))</f>
        <v/>
      </c>
      <c r="F67" s="48">
        <f>IF($N67&lt;&gt;"減","",N(INDEX('入金消込'!$G$5:$G$1004,$O67)))</f>
        <v/>
      </c>
      <c r="G67" s="48">
        <f>IF($N67&lt;&gt;"減","",N(INDEX('入金消込'!$H$5:$H$1004,$O67))+N(INDEX('入金消込'!$I$5:$I$1004,$O67)))</f>
        <v/>
      </c>
      <c r="H67" s="49">
        <f>IF($N67="","",$H66+N($E67)-N($F67)-N($G67))</f>
        <v/>
      </c>
      <c r="I67" s="56" t="n"/>
      <c r="J67" s="32">
        <f>$J66+IF($N66="増",1,0)</f>
        <v/>
      </c>
      <c r="K67" s="32">
        <f>$K66+IF($N66="減",1,0)</f>
        <v/>
      </c>
      <c r="L67" s="35">
        <f>IF($B$3="",1E+9,IFERROR(SMALL('請求台帳'!$Z$5:$Z$1004,$J67+1),1E+9))</f>
        <v/>
      </c>
      <c r="M67" s="35">
        <f>IF($B$3="",1E+9,IFERROR(SMALL('入金消込'!$Q$5:$Q$1004,$K67+1),1E+9))</f>
        <v/>
      </c>
      <c r="N67" s="32">
        <f>IF(MIN($L67,$M67)&gt;=1E+9,"",IF($L67&lt;=$M67,"増","減"))</f>
        <v/>
      </c>
      <c r="O67" s="32">
        <f>IF($N67="","",IF($N67="増",MATCH($L67,'請求台帳'!$Z$5:$Z$1004,0),MATCH($M67,'入金消込'!$Q$5:$Q$1004,0)))</f>
        <v/>
      </c>
      <c r="P67" s="56" t="n"/>
      <c r="Q67" s="56" t="n"/>
    </row>
    <row r="68" ht="18" customHeight="1">
      <c r="A68" s="45">
        <f>IF($N68="","",IF($N68="増",INDEX('請求台帳'!$X$5:$X$1004,$O68),INDEX('入金消込'!$A$5:$A$1004,$O68)))</f>
        <v/>
      </c>
      <c r="B68" s="46">
        <f>IF($N68="","",IF($N68="増","売上","入金"))</f>
        <v/>
      </c>
      <c r="C68" s="46">
        <f>IF($N68="","",IF($N68="増",INDEX('請求台帳'!$A$5:$A$1004,$O68)&amp;"","入金No "&amp;INDEX('入金消込'!$B$5:$B$1004,$O68)))</f>
        <v/>
      </c>
      <c r="D68" s="47">
        <f>IF($N68="","",IF($N68="増",INDEX('請求台帳'!$F$5:$F$1004,$O68)&amp;"",IF(INDEX('入金消込'!$F$5:$F$1004,$O68)="","消込先が未定",INDEX('入金消込'!$F$5:$F$1004,$O68)&amp;" の入金")))</f>
        <v/>
      </c>
      <c r="E68" s="48">
        <f>IF($N68&lt;&gt;"増","",INDEX('請求台帳'!$L$5:$L$1004,$O68))</f>
        <v/>
      </c>
      <c r="F68" s="48">
        <f>IF($N68&lt;&gt;"減","",N(INDEX('入金消込'!$G$5:$G$1004,$O68)))</f>
        <v/>
      </c>
      <c r="G68" s="48">
        <f>IF($N68&lt;&gt;"減","",N(INDEX('入金消込'!$H$5:$H$1004,$O68))+N(INDEX('入金消込'!$I$5:$I$1004,$O68)))</f>
        <v/>
      </c>
      <c r="H68" s="49">
        <f>IF($N68="","",$H67+N($E68)-N($F68)-N($G68))</f>
        <v/>
      </c>
      <c r="I68" s="56" t="n"/>
      <c r="J68" s="32">
        <f>$J67+IF($N67="増",1,0)</f>
        <v/>
      </c>
      <c r="K68" s="32">
        <f>$K67+IF($N67="減",1,0)</f>
        <v/>
      </c>
      <c r="L68" s="35">
        <f>IF($B$3="",1E+9,IFERROR(SMALL('請求台帳'!$Z$5:$Z$1004,$J68+1),1E+9))</f>
        <v/>
      </c>
      <c r="M68" s="35">
        <f>IF($B$3="",1E+9,IFERROR(SMALL('入金消込'!$Q$5:$Q$1004,$K68+1),1E+9))</f>
        <v/>
      </c>
      <c r="N68" s="32">
        <f>IF(MIN($L68,$M68)&gt;=1E+9,"",IF($L68&lt;=$M68,"増","減"))</f>
        <v/>
      </c>
      <c r="O68" s="32">
        <f>IF($N68="","",IF($N68="増",MATCH($L68,'請求台帳'!$Z$5:$Z$1004,0),MATCH($M68,'入金消込'!$Q$5:$Q$1004,0)))</f>
        <v/>
      </c>
      <c r="P68" s="56" t="n"/>
      <c r="Q68" s="56" t="n"/>
    </row>
    <row r="69" ht="18" customHeight="1">
      <c r="A69" s="45">
        <f>IF($N69="","",IF($N69="増",INDEX('請求台帳'!$X$5:$X$1004,$O69),INDEX('入金消込'!$A$5:$A$1004,$O69)))</f>
        <v/>
      </c>
      <c r="B69" s="46">
        <f>IF($N69="","",IF($N69="増","売上","入金"))</f>
        <v/>
      </c>
      <c r="C69" s="46">
        <f>IF($N69="","",IF($N69="増",INDEX('請求台帳'!$A$5:$A$1004,$O69)&amp;"","入金No "&amp;INDEX('入金消込'!$B$5:$B$1004,$O69)))</f>
        <v/>
      </c>
      <c r="D69" s="47">
        <f>IF($N69="","",IF($N69="増",INDEX('請求台帳'!$F$5:$F$1004,$O69)&amp;"",IF(INDEX('入金消込'!$F$5:$F$1004,$O69)="","消込先が未定",INDEX('入金消込'!$F$5:$F$1004,$O69)&amp;" の入金")))</f>
        <v/>
      </c>
      <c r="E69" s="48">
        <f>IF($N69&lt;&gt;"増","",INDEX('請求台帳'!$L$5:$L$1004,$O69))</f>
        <v/>
      </c>
      <c r="F69" s="48">
        <f>IF($N69&lt;&gt;"減","",N(INDEX('入金消込'!$G$5:$G$1004,$O69)))</f>
        <v/>
      </c>
      <c r="G69" s="48">
        <f>IF($N69&lt;&gt;"減","",N(INDEX('入金消込'!$H$5:$H$1004,$O69))+N(INDEX('入金消込'!$I$5:$I$1004,$O69)))</f>
        <v/>
      </c>
      <c r="H69" s="49">
        <f>IF($N69="","",$H68+N($E69)-N($F69)-N($G69))</f>
        <v/>
      </c>
      <c r="I69" s="56" t="n"/>
      <c r="J69" s="32">
        <f>$J68+IF($N68="増",1,0)</f>
        <v/>
      </c>
      <c r="K69" s="32">
        <f>$K68+IF($N68="減",1,0)</f>
        <v/>
      </c>
      <c r="L69" s="35">
        <f>IF($B$3="",1E+9,IFERROR(SMALL('請求台帳'!$Z$5:$Z$1004,$J69+1),1E+9))</f>
        <v/>
      </c>
      <c r="M69" s="35">
        <f>IF($B$3="",1E+9,IFERROR(SMALL('入金消込'!$Q$5:$Q$1004,$K69+1),1E+9))</f>
        <v/>
      </c>
      <c r="N69" s="32">
        <f>IF(MIN($L69,$M69)&gt;=1E+9,"",IF($L69&lt;=$M69,"増","減"))</f>
        <v/>
      </c>
      <c r="O69" s="32">
        <f>IF($N69="","",IF($N69="増",MATCH($L69,'請求台帳'!$Z$5:$Z$1004,0),MATCH($M69,'入金消込'!$Q$5:$Q$1004,0)))</f>
        <v/>
      </c>
      <c r="P69" s="56" t="n"/>
      <c r="Q69" s="56" t="n"/>
    </row>
    <row r="70" ht="18" customHeight="1">
      <c r="A70" s="45">
        <f>IF($N70="","",IF($N70="増",INDEX('請求台帳'!$X$5:$X$1004,$O70),INDEX('入金消込'!$A$5:$A$1004,$O70)))</f>
        <v/>
      </c>
      <c r="B70" s="46">
        <f>IF($N70="","",IF($N70="増","売上","入金"))</f>
        <v/>
      </c>
      <c r="C70" s="46">
        <f>IF($N70="","",IF($N70="増",INDEX('請求台帳'!$A$5:$A$1004,$O70)&amp;"","入金No "&amp;INDEX('入金消込'!$B$5:$B$1004,$O70)))</f>
        <v/>
      </c>
      <c r="D70" s="47">
        <f>IF($N70="","",IF($N70="増",INDEX('請求台帳'!$F$5:$F$1004,$O70)&amp;"",IF(INDEX('入金消込'!$F$5:$F$1004,$O70)="","消込先が未定",INDEX('入金消込'!$F$5:$F$1004,$O70)&amp;" の入金")))</f>
        <v/>
      </c>
      <c r="E70" s="48">
        <f>IF($N70&lt;&gt;"増","",INDEX('請求台帳'!$L$5:$L$1004,$O70))</f>
        <v/>
      </c>
      <c r="F70" s="48">
        <f>IF($N70&lt;&gt;"減","",N(INDEX('入金消込'!$G$5:$G$1004,$O70)))</f>
        <v/>
      </c>
      <c r="G70" s="48">
        <f>IF($N70&lt;&gt;"減","",N(INDEX('入金消込'!$H$5:$H$1004,$O70))+N(INDEX('入金消込'!$I$5:$I$1004,$O70)))</f>
        <v/>
      </c>
      <c r="H70" s="49">
        <f>IF($N70="","",$H69+N($E70)-N($F70)-N($G70))</f>
        <v/>
      </c>
      <c r="I70" s="56" t="n"/>
      <c r="J70" s="32">
        <f>$J69+IF($N69="増",1,0)</f>
        <v/>
      </c>
      <c r="K70" s="32">
        <f>$K69+IF($N69="減",1,0)</f>
        <v/>
      </c>
      <c r="L70" s="35">
        <f>IF($B$3="",1E+9,IFERROR(SMALL('請求台帳'!$Z$5:$Z$1004,$J70+1),1E+9))</f>
        <v/>
      </c>
      <c r="M70" s="35">
        <f>IF($B$3="",1E+9,IFERROR(SMALL('入金消込'!$Q$5:$Q$1004,$K70+1),1E+9))</f>
        <v/>
      </c>
      <c r="N70" s="32">
        <f>IF(MIN($L70,$M70)&gt;=1E+9,"",IF($L70&lt;=$M70,"増","減"))</f>
        <v/>
      </c>
      <c r="O70" s="32">
        <f>IF($N70="","",IF($N70="増",MATCH($L70,'請求台帳'!$Z$5:$Z$1004,0),MATCH($M70,'入金消込'!$Q$5:$Q$1004,0)))</f>
        <v/>
      </c>
      <c r="P70" s="56" t="n"/>
      <c r="Q70" s="56" t="n"/>
    </row>
    <row r="71" ht="18" customHeight="1">
      <c r="A71" s="45">
        <f>IF($N71="","",IF($N71="増",INDEX('請求台帳'!$X$5:$X$1004,$O71),INDEX('入金消込'!$A$5:$A$1004,$O71)))</f>
        <v/>
      </c>
      <c r="B71" s="46">
        <f>IF($N71="","",IF($N71="増","売上","入金"))</f>
        <v/>
      </c>
      <c r="C71" s="46">
        <f>IF($N71="","",IF($N71="増",INDEX('請求台帳'!$A$5:$A$1004,$O71)&amp;"","入金No "&amp;INDEX('入金消込'!$B$5:$B$1004,$O71)))</f>
        <v/>
      </c>
      <c r="D71" s="47">
        <f>IF($N71="","",IF($N71="増",INDEX('請求台帳'!$F$5:$F$1004,$O71)&amp;"",IF(INDEX('入金消込'!$F$5:$F$1004,$O71)="","消込先が未定",INDEX('入金消込'!$F$5:$F$1004,$O71)&amp;" の入金")))</f>
        <v/>
      </c>
      <c r="E71" s="48">
        <f>IF($N71&lt;&gt;"増","",INDEX('請求台帳'!$L$5:$L$1004,$O71))</f>
        <v/>
      </c>
      <c r="F71" s="48">
        <f>IF($N71&lt;&gt;"減","",N(INDEX('入金消込'!$G$5:$G$1004,$O71)))</f>
        <v/>
      </c>
      <c r="G71" s="48">
        <f>IF($N71&lt;&gt;"減","",N(INDEX('入金消込'!$H$5:$H$1004,$O71))+N(INDEX('入金消込'!$I$5:$I$1004,$O71)))</f>
        <v/>
      </c>
      <c r="H71" s="49">
        <f>IF($N71="","",$H70+N($E71)-N($F71)-N($G71))</f>
        <v/>
      </c>
      <c r="I71" s="56" t="n"/>
      <c r="J71" s="32">
        <f>$J70+IF($N70="増",1,0)</f>
        <v/>
      </c>
      <c r="K71" s="32">
        <f>$K70+IF($N70="減",1,0)</f>
        <v/>
      </c>
      <c r="L71" s="35">
        <f>IF($B$3="",1E+9,IFERROR(SMALL('請求台帳'!$Z$5:$Z$1004,$J71+1),1E+9))</f>
        <v/>
      </c>
      <c r="M71" s="35">
        <f>IF($B$3="",1E+9,IFERROR(SMALL('入金消込'!$Q$5:$Q$1004,$K71+1),1E+9))</f>
        <v/>
      </c>
      <c r="N71" s="32">
        <f>IF(MIN($L71,$M71)&gt;=1E+9,"",IF($L71&lt;=$M71,"増","減"))</f>
        <v/>
      </c>
      <c r="O71" s="32">
        <f>IF($N71="","",IF($N71="増",MATCH($L71,'請求台帳'!$Z$5:$Z$1004,0),MATCH($M71,'入金消込'!$Q$5:$Q$1004,0)))</f>
        <v/>
      </c>
      <c r="P71" s="56" t="n"/>
      <c r="Q71" s="56" t="n"/>
    </row>
    <row r="72" ht="18" customHeight="1">
      <c r="A72" s="45">
        <f>IF($N72="","",IF($N72="増",INDEX('請求台帳'!$X$5:$X$1004,$O72),INDEX('入金消込'!$A$5:$A$1004,$O72)))</f>
        <v/>
      </c>
      <c r="B72" s="46">
        <f>IF($N72="","",IF($N72="増","売上","入金"))</f>
        <v/>
      </c>
      <c r="C72" s="46">
        <f>IF($N72="","",IF($N72="増",INDEX('請求台帳'!$A$5:$A$1004,$O72)&amp;"","入金No "&amp;INDEX('入金消込'!$B$5:$B$1004,$O72)))</f>
        <v/>
      </c>
      <c r="D72" s="47">
        <f>IF($N72="","",IF($N72="増",INDEX('請求台帳'!$F$5:$F$1004,$O72)&amp;"",IF(INDEX('入金消込'!$F$5:$F$1004,$O72)="","消込先が未定",INDEX('入金消込'!$F$5:$F$1004,$O72)&amp;" の入金")))</f>
        <v/>
      </c>
      <c r="E72" s="48">
        <f>IF($N72&lt;&gt;"増","",INDEX('請求台帳'!$L$5:$L$1004,$O72))</f>
        <v/>
      </c>
      <c r="F72" s="48">
        <f>IF($N72&lt;&gt;"減","",N(INDEX('入金消込'!$G$5:$G$1004,$O72)))</f>
        <v/>
      </c>
      <c r="G72" s="48">
        <f>IF($N72&lt;&gt;"減","",N(INDEX('入金消込'!$H$5:$H$1004,$O72))+N(INDEX('入金消込'!$I$5:$I$1004,$O72)))</f>
        <v/>
      </c>
      <c r="H72" s="49">
        <f>IF($N72="","",$H71+N($E72)-N($F72)-N($G72))</f>
        <v/>
      </c>
      <c r="I72" s="56" t="n"/>
      <c r="J72" s="32">
        <f>$J71+IF($N71="増",1,0)</f>
        <v/>
      </c>
      <c r="K72" s="32">
        <f>$K71+IF($N71="減",1,0)</f>
        <v/>
      </c>
      <c r="L72" s="35">
        <f>IF($B$3="",1E+9,IFERROR(SMALL('請求台帳'!$Z$5:$Z$1004,$J72+1),1E+9))</f>
        <v/>
      </c>
      <c r="M72" s="35">
        <f>IF($B$3="",1E+9,IFERROR(SMALL('入金消込'!$Q$5:$Q$1004,$K72+1),1E+9))</f>
        <v/>
      </c>
      <c r="N72" s="32">
        <f>IF(MIN($L72,$M72)&gt;=1E+9,"",IF($L72&lt;=$M72,"増","減"))</f>
        <v/>
      </c>
      <c r="O72" s="32">
        <f>IF($N72="","",IF($N72="増",MATCH($L72,'請求台帳'!$Z$5:$Z$1004,0),MATCH($M72,'入金消込'!$Q$5:$Q$1004,0)))</f>
        <v/>
      </c>
      <c r="P72" s="56" t="n"/>
      <c r="Q72" s="56" t="n"/>
    </row>
    <row r="73" ht="18" customHeight="1">
      <c r="A73" s="45">
        <f>IF($N73="","",IF($N73="増",INDEX('請求台帳'!$X$5:$X$1004,$O73),INDEX('入金消込'!$A$5:$A$1004,$O73)))</f>
        <v/>
      </c>
      <c r="B73" s="46">
        <f>IF($N73="","",IF($N73="増","売上","入金"))</f>
        <v/>
      </c>
      <c r="C73" s="46">
        <f>IF($N73="","",IF($N73="増",INDEX('請求台帳'!$A$5:$A$1004,$O73)&amp;"","入金No "&amp;INDEX('入金消込'!$B$5:$B$1004,$O73)))</f>
        <v/>
      </c>
      <c r="D73" s="47">
        <f>IF($N73="","",IF($N73="増",INDEX('請求台帳'!$F$5:$F$1004,$O73)&amp;"",IF(INDEX('入金消込'!$F$5:$F$1004,$O73)="","消込先が未定",INDEX('入金消込'!$F$5:$F$1004,$O73)&amp;" の入金")))</f>
        <v/>
      </c>
      <c r="E73" s="48">
        <f>IF($N73&lt;&gt;"増","",INDEX('請求台帳'!$L$5:$L$1004,$O73))</f>
        <v/>
      </c>
      <c r="F73" s="48">
        <f>IF($N73&lt;&gt;"減","",N(INDEX('入金消込'!$G$5:$G$1004,$O73)))</f>
        <v/>
      </c>
      <c r="G73" s="48">
        <f>IF($N73&lt;&gt;"減","",N(INDEX('入金消込'!$H$5:$H$1004,$O73))+N(INDEX('入金消込'!$I$5:$I$1004,$O73)))</f>
        <v/>
      </c>
      <c r="H73" s="49">
        <f>IF($N73="","",$H72+N($E73)-N($F73)-N($G73))</f>
        <v/>
      </c>
      <c r="I73" s="56" t="n"/>
      <c r="J73" s="32">
        <f>$J72+IF($N72="増",1,0)</f>
        <v/>
      </c>
      <c r="K73" s="32">
        <f>$K72+IF($N72="減",1,0)</f>
        <v/>
      </c>
      <c r="L73" s="35">
        <f>IF($B$3="",1E+9,IFERROR(SMALL('請求台帳'!$Z$5:$Z$1004,$J73+1),1E+9))</f>
        <v/>
      </c>
      <c r="M73" s="35">
        <f>IF($B$3="",1E+9,IFERROR(SMALL('入金消込'!$Q$5:$Q$1004,$K73+1),1E+9))</f>
        <v/>
      </c>
      <c r="N73" s="32">
        <f>IF(MIN($L73,$M73)&gt;=1E+9,"",IF($L73&lt;=$M73,"増","減"))</f>
        <v/>
      </c>
      <c r="O73" s="32">
        <f>IF($N73="","",IF($N73="増",MATCH($L73,'請求台帳'!$Z$5:$Z$1004,0),MATCH($M73,'入金消込'!$Q$5:$Q$1004,0)))</f>
        <v/>
      </c>
      <c r="P73" s="56" t="n"/>
      <c r="Q73" s="56" t="n"/>
    </row>
    <row r="74" ht="18" customHeight="1">
      <c r="A74" s="45">
        <f>IF($N74="","",IF($N74="増",INDEX('請求台帳'!$X$5:$X$1004,$O74),INDEX('入金消込'!$A$5:$A$1004,$O74)))</f>
        <v/>
      </c>
      <c r="B74" s="46">
        <f>IF($N74="","",IF($N74="増","売上","入金"))</f>
        <v/>
      </c>
      <c r="C74" s="46">
        <f>IF($N74="","",IF($N74="増",INDEX('請求台帳'!$A$5:$A$1004,$O74)&amp;"","入金No "&amp;INDEX('入金消込'!$B$5:$B$1004,$O74)))</f>
        <v/>
      </c>
      <c r="D74" s="47">
        <f>IF($N74="","",IF($N74="増",INDEX('請求台帳'!$F$5:$F$1004,$O74)&amp;"",IF(INDEX('入金消込'!$F$5:$F$1004,$O74)="","消込先が未定",INDEX('入金消込'!$F$5:$F$1004,$O74)&amp;" の入金")))</f>
        <v/>
      </c>
      <c r="E74" s="48">
        <f>IF($N74&lt;&gt;"増","",INDEX('請求台帳'!$L$5:$L$1004,$O74))</f>
        <v/>
      </c>
      <c r="F74" s="48">
        <f>IF($N74&lt;&gt;"減","",N(INDEX('入金消込'!$G$5:$G$1004,$O74)))</f>
        <v/>
      </c>
      <c r="G74" s="48">
        <f>IF($N74&lt;&gt;"減","",N(INDEX('入金消込'!$H$5:$H$1004,$O74))+N(INDEX('入金消込'!$I$5:$I$1004,$O74)))</f>
        <v/>
      </c>
      <c r="H74" s="49">
        <f>IF($N74="","",$H73+N($E74)-N($F74)-N($G74))</f>
        <v/>
      </c>
      <c r="I74" s="56" t="n"/>
      <c r="J74" s="32">
        <f>$J73+IF($N73="増",1,0)</f>
        <v/>
      </c>
      <c r="K74" s="32">
        <f>$K73+IF($N73="減",1,0)</f>
        <v/>
      </c>
      <c r="L74" s="35">
        <f>IF($B$3="",1E+9,IFERROR(SMALL('請求台帳'!$Z$5:$Z$1004,$J74+1),1E+9))</f>
        <v/>
      </c>
      <c r="M74" s="35">
        <f>IF($B$3="",1E+9,IFERROR(SMALL('入金消込'!$Q$5:$Q$1004,$K74+1),1E+9))</f>
        <v/>
      </c>
      <c r="N74" s="32">
        <f>IF(MIN($L74,$M74)&gt;=1E+9,"",IF($L74&lt;=$M74,"増","減"))</f>
        <v/>
      </c>
      <c r="O74" s="32">
        <f>IF($N74="","",IF($N74="増",MATCH($L74,'請求台帳'!$Z$5:$Z$1004,0),MATCH($M74,'入金消込'!$Q$5:$Q$1004,0)))</f>
        <v/>
      </c>
      <c r="P74" s="56" t="n"/>
      <c r="Q74" s="56" t="n"/>
    </row>
    <row r="75" ht="18" customHeight="1">
      <c r="A75" s="45">
        <f>IF($N75="","",IF($N75="増",INDEX('請求台帳'!$X$5:$X$1004,$O75),INDEX('入金消込'!$A$5:$A$1004,$O75)))</f>
        <v/>
      </c>
      <c r="B75" s="46">
        <f>IF($N75="","",IF($N75="増","売上","入金"))</f>
        <v/>
      </c>
      <c r="C75" s="46">
        <f>IF($N75="","",IF($N75="増",INDEX('請求台帳'!$A$5:$A$1004,$O75)&amp;"","入金No "&amp;INDEX('入金消込'!$B$5:$B$1004,$O75)))</f>
        <v/>
      </c>
      <c r="D75" s="47">
        <f>IF($N75="","",IF($N75="増",INDEX('請求台帳'!$F$5:$F$1004,$O75)&amp;"",IF(INDEX('入金消込'!$F$5:$F$1004,$O75)="","消込先が未定",INDEX('入金消込'!$F$5:$F$1004,$O75)&amp;" の入金")))</f>
        <v/>
      </c>
      <c r="E75" s="48">
        <f>IF($N75&lt;&gt;"増","",INDEX('請求台帳'!$L$5:$L$1004,$O75))</f>
        <v/>
      </c>
      <c r="F75" s="48">
        <f>IF($N75&lt;&gt;"減","",N(INDEX('入金消込'!$G$5:$G$1004,$O75)))</f>
        <v/>
      </c>
      <c r="G75" s="48">
        <f>IF($N75&lt;&gt;"減","",N(INDEX('入金消込'!$H$5:$H$1004,$O75))+N(INDEX('入金消込'!$I$5:$I$1004,$O75)))</f>
        <v/>
      </c>
      <c r="H75" s="49">
        <f>IF($N75="","",$H74+N($E75)-N($F75)-N($G75))</f>
        <v/>
      </c>
      <c r="I75" s="56" t="n"/>
      <c r="J75" s="32">
        <f>$J74+IF($N74="増",1,0)</f>
        <v/>
      </c>
      <c r="K75" s="32">
        <f>$K74+IF($N74="減",1,0)</f>
        <v/>
      </c>
      <c r="L75" s="35">
        <f>IF($B$3="",1E+9,IFERROR(SMALL('請求台帳'!$Z$5:$Z$1004,$J75+1),1E+9))</f>
        <v/>
      </c>
      <c r="M75" s="35">
        <f>IF($B$3="",1E+9,IFERROR(SMALL('入金消込'!$Q$5:$Q$1004,$K75+1),1E+9))</f>
        <v/>
      </c>
      <c r="N75" s="32">
        <f>IF(MIN($L75,$M75)&gt;=1E+9,"",IF($L75&lt;=$M75,"増","減"))</f>
        <v/>
      </c>
      <c r="O75" s="32">
        <f>IF($N75="","",IF($N75="増",MATCH($L75,'請求台帳'!$Z$5:$Z$1004,0),MATCH($M75,'入金消込'!$Q$5:$Q$1004,0)))</f>
        <v/>
      </c>
      <c r="P75" s="56" t="n"/>
      <c r="Q75" s="56" t="n"/>
    </row>
    <row r="76" ht="18" customHeight="1">
      <c r="A76" s="45">
        <f>IF($N76="","",IF($N76="増",INDEX('請求台帳'!$X$5:$X$1004,$O76),INDEX('入金消込'!$A$5:$A$1004,$O76)))</f>
        <v/>
      </c>
      <c r="B76" s="46">
        <f>IF($N76="","",IF($N76="増","売上","入金"))</f>
        <v/>
      </c>
      <c r="C76" s="46">
        <f>IF($N76="","",IF($N76="増",INDEX('請求台帳'!$A$5:$A$1004,$O76)&amp;"","入金No "&amp;INDEX('入金消込'!$B$5:$B$1004,$O76)))</f>
        <v/>
      </c>
      <c r="D76" s="47">
        <f>IF($N76="","",IF($N76="増",INDEX('請求台帳'!$F$5:$F$1004,$O76)&amp;"",IF(INDEX('入金消込'!$F$5:$F$1004,$O76)="","消込先が未定",INDEX('入金消込'!$F$5:$F$1004,$O76)&amp;" の入金")))</f>
        <v/>
      </c>
      <c r="E76" s="48">
        <f>IF($N76&lt;&gt;"増","",INDEX('請求台帳'!$L$5:$L$1004,$O76))</f>
        <v/>
      </c>
      <c r="F76" s="48">
        <f>IF($N76&lt;&gt;"減","",N(INDEX('入金消込'!$G$5:$G$1004,$O76)))</f>
        <v/>
      </c>
      <c r="G76" s="48">
        <f>IF($N76&lt;&gt;"減","",N(INDEX('入金消込'!$H$5:$H$1004,$O76))+N(INDEX('入金消込'!$I$5:$I$1004,$O76)))</f>
        <v/>
      </c>
      <c r="H76" s="49">
        <f>IF($N76="","",$H75+N($E76)-N($F76)-N($G76))</f>
        <v/>
      </c>
      <c r="I76" s="56" t="n"/>
      <c r="J76" s="32">
        <f>$J75+IF($N75="増",1,0)</f>
        <v/>
      </c>
      <c r="K76" s="32">
        <f>$K75+IF($N75="減",1,0)</f>
        <v/>
      </c>
      <c r="L76" s="35">
        <f>IF($B$3="",1E+9,IFERROR(SMALL('請求台帳'!$Z$5:$Z$1004,$J76+1),1E+9))</f>
        <v/>
      </c>
      <c r="M76" s="35">
        <f>IF($B$3="",1E+9,IFERROR(SMALL('入金消込'!$Q$5:$Q$1004,$K76+1),1E+9))</f>
        <v/>
      </c>
      <c r="N76" s="32">
        <f>IF(MIN($L76,$M76)&gt;=1E+9,"",IF($L76&lt;=$M76,"増","減"))</f>
        <v/>
      </c>
      <c r="O76" s="32">
        <f>IF($N76="","",IF($N76="増",MATCH($L76,'請求台帳'!$Z$5:$Z$1004,0),MATCH($M76,'入金消込'!$Q$5:$Q$1004,0)))</f>
        <v/>
      </c>
      <c r="P76" s="56" t="n"/>
      <c r="Q76" s="56" t="n"/>
    </row>
    <row r="77" ht="18" customHeight="1">
      <c r="A77" s="45">
        <f>IF($N77="","",IF($N77="増",INDEX('請求台帳'!$X$5:$X$1004,$O77),INDEX('入金消込'!$A$5:$A$1004,$O77)))</f>
        <v/>
      </c>
      <c r="B77" s="46">
        <f>IF($N77="","",IF($N77="増","売上","入金"))</f>
        <v/>
      </c>
      <c r="C77" s="46">
        <f>IF($N77="","",IF($N77="増",INDEX('請求台帳'!$A$5:$A$1004,$O77)&amp;"","入金No "&amp;INDEX('入金消込'!$B$5:$B$1004,$O77)))</f>
        <v/>
      </c>
      <c r="D77" s="47">
        <f>IF($N77="","",IF($N77="増",INDEX('請求台帳'!$F$5:$F$1004,$O77)&amp;"",IF(INDEX('入金消込'!$F$5:$F$1004,$O77)="","消込先が未定",INDEX('入金消込'!$F$5:$F$1004,$O77)&amp;" の入金")))</f>
        <v/>
      </c>
      <c r="E77" s="48">
        <f>IF($N77&lt;&gt;"増","",INDEX('請求台帳'!$L$5:$L$1004,$O77))</f>
        <v/>
      </c>
      <c r="F77" s="48">
        <f>IF($N77&lt;&gt;"減","",N(INDEX('入金消込'!$G$5:$G$1004,$O77)))</f>
        <v/>
      </c>
      <c r="G77" s="48">
        <f>IF($N77&lt;&gt;"減","",N(INDEX('入金消込'!$H$5:$H$1004,$O77))+N(INDEX('入金消込'!$I$5:$I$1004,$O77)))</f>
        <v/>
      </c>
      <c r="H77" s="49">
        <f>IF($N77="","",$H76+N($E77)-N($F77)-N($G77))</f>
        <v/>
      </c>
      <c r="I77" s="56" t="n"/>
      <c r="J77" s="32">
        <f>$J76+IF($N76="増",1,0)</f>
        <v/>
      </c>
      <c r="K77" s="32">
        <f>$K76+IF($N76="減",1,0)</f>
        <v/>
      </c>
      <c r="L77" s="35">
        <f>IF($B$3="",1E+9,IFERROR(SMALL('請求台帳'!$Z$5:$Z$1004,$J77+1),1E+9))</f>
        <v/>
      </c>
      <c r="M77" s="35">
        <f>IF($B$3="",1E+9,IFERROR(SMALL('入金消込'!$Q$5:$Q$1004,$K77+1),1E+9))</f>
        <v/>
      </c>
      <c r="N77" s="32">
        <f>IF(MIN($L77,$M77)&gt;=1E+9,"",IF($L77&lt;=$M77,"増","減"))</f>
        <v/>
      </c>
      <c r="O77" s="32">
        <f>IF($N77="","",IF($N77="増",MATCH($L77,'請求台帳'!$Z$5:$Z$1004,0),MATCH($M77,'入金消込'!$Q$5:$Q$1004,0)))</f>
        <v/>
      </c>
      <c r="P77" s="56" t="n"/>
      <c r="Q77" s="56" t="n"/>
    </row>
    <row r="78" ht="18" customHeight="1">
      <c r="A78" s="45">
        <f>IF($N78="","",IF($N78="増",INDEX('請求台帳'!$X$5:$X$1004,$O78),INDEX('入金消込'!$A$5:$A$1004,$O78)))</f>
        <v/>
      </c>
      <c r="B78" s="46">
        <f>IF($N78="","",IF($N78="増","売上","入金"))</f>
        <v/>
      </c>
      <c r="C78" s="46">
        <f>IF($N78="","",IF($N78="増",INDEX('請求台帳'!$A$5:$A$1004,$O78)&amp;"","入金No "&amp;INDEX('入金消込'!$B$5:$B$1004,$O78)))</f>
        <v/>
      </c>
      <c r="D78" s="47">
        <f>IF($N78="","",IF($N78="増",INDEX('請求台帳'!$F$5:$F$1004,$O78)&amp;"",IF(INDEX('入金消込'!$F$5:$F$1004,$O78)="","消込先が未定",INDEX('入金消込'!$F$5:$F$1004,$O78)&amp;" の入金")))</f>
        <v/>
      </c>
      <c r="E78" s="48">
        <f>IF($N78&lt;&gt;"増","",INDEX('請求台帳'!$L$5:$L$1004,$O78))</f>
        <v/>
      </c>
      <c r="F78" s="48">
        <f>IF($N78&lt;&gt;"減","",N(INDEX('入金消込'!$G$5:$G$1004,$O78)))</f>
        <v/>
      </c>
      <c r="G78" s="48">
        <f>IF($N78&lt;&gt;"減","",N(INDEX('入金消込'!$H$5:$H$1004,$O78))+N(INDEX('入金消込'!$I$5:$I$1004,$O78)))</f>
        <v/>
      </c>
      <c r="H78" s="49">
        <f>IF($N78="","",$H77+N($E78)-N($F78)-N($G78))</f>
        <v/>
      </c>
      <c r="I78" s="56" t="n"/>
      <c r="J78" s="32">
        <f>$J77+IF($N77="増",1,0)</f>
        <v/>
      </c>
      <c r="K78" s="32">
        <f>$K77+IF($N77="減",1,0)</f>
        <v/>
      </c>
      <c r="L78" s="35">
        <f>IF($B$3="",1E+9,IFERROR(SMALL('請求台帳'!$Z$5:$Z$1004,$J78+1),1E+9))</f>
        <v/>
      </c>
      <c r="M78" s="35">
        <f>IF($B$3="",1E+9,IFERROR(SMALL('入金消込'!$Q$5:$Q$1004,$K78+1),1E+9))</f>
        <v/>
      </c>
      <c r="N78" s="32">
        <f>IF(MIN($L78,$M78)&gt;=1E+9,"",IF($L78&lt;=$M78,"増","減"))</f>
        <v/>
      </c>
      <c r="O78" s="32">
        <f>IF($N78="","",IF($N78="増",MATCH($L78,'請求台帳'!$Z$5:$Z$1004,0),MATCH($M78,'入金消込'!$Q$5:$Q$1004,0)))</f>
        <v/>
      </c>
      <c r="P78" s="56" t="n"/>
      <c r="Q78" s="56" t="n"/>
    </row>
    <row r="79" ht="18" customHeight="1">
      <c r="A79" s="45">
        <f>IF($N79="","",IF($N79="増",INDEX('請求台帳'!$X$5:$X$1004,$O79),INDEX('入金消込'!$A$5:$A$1004,$O79)))</f>
        <v/>
      </c>
      <c r="B79" s="46">
        <f>IF($N79="","",IF($N79="増","売上","入金"))</f>
        <v/>
      </c>
      <c r="C79" s="46">
        <f>IF($N79="","",IF($N79="増",INDEX('請求台帳'!$A$5:$A$1004,$O79)&amp;"","入金No "&amp;INDEX('入金消込'!$B$5:$B$1004,$O79)))</f>
        <v/>
      </c>
      <c r="D79" s="47">
        <f>IF($N79="","",IF($N79="増",INDEX('請求台帳'!$F$5:$F$1004,$O79)&amp;"",IF(INDEX('入金消込'!$F$5:$F$1004,$O79)="","消込先が未定",INDEX('入金消込'!$F$5:$F$1004,$O79)&amp;" の入金")))</f>
        <v/>
      </c>
      <c r="E79" s="48">
        <f>IF($N79&lt;&gt;"増","",INDEX('請求台帳'!$L$5:$L$1004,$O79))</f>
        <v/>
      </c>
      <c r="F79" s="48">
        <f>IF($N79&lt;&gt;"減","",N(INDEX('入金消込'!$G$5:$G$1004,$O79)))</f>
        <v/>
      </c>
      <c r="G79" s="48">
        <f>IF($N79&lt;&gt;"減","",N(INDEX('入金消込'!$H$5:$H$1004,$O79))+N(INDEX('入金消込'!$I$5:$I$1004,$O79)))</f>
        <v/>
      </c>
      <c r="H79" s="49">
        <f>IF($N79="","",$H78+N($E79)-N($F79)-N($G79))</f>
        <v/>
      </c>
      <c r="I79" s="56" t="n"/>
      <c r="J79" s="32">
        <f>$J78+IF($N78="増",1,0)</f>
        <v/>
      </c>
      <c r="K79" s="32">
        <f>$K78+IF($N78="減",1,0)</f>
        <v/>
      </c>
      <c r="L79" s="35">
        <f>IF($B$3="",1E+9,IFERROR(SMALL('請求台帳'!$Z$5:$Z$1004,$J79+1),1E+9))</f>
        <v/>
      </c>
      <c r="M79" s="35">
        <f>IF($B$3="",1E+9,IFERROR(SMALL('入金消込'!$Q$5:$Q$1004,$K79+1),1E+9))</f>
        <v/>
      </c>
      <c r="N79" s="32">
        <f>IF(MIN($L79,$M79)&gt;=1E+9,"",IF($L79&lt;=$M79,"増","減"))</f>
        <v/>
      </c>
      <c r="O79" s="32">
        <f>IF($N79="","",IF($N79="増",MATCH($L79,'請求台帳'!$Z$5:$Z$1004,0),MATCH($M79,'入金消込'!$Q$5:$Q$1004,0)))</f>
        <v/>
      </c>
      <c r="P79" s="56" t="n"/>
      <c r="Q79" s="56" t="n"/>
    </row>
    <row r="80" ht="18" customHeight="1">
      <c r="A80" s="45">
        <f>IF($N80="","",IF($N80="増",INDEX('請求台帳'!$X$5:$X$1004,$O80),INDEX('入金消込'!$A$5:$A$1004,$O80)))</f>
        <v/>
      </c>
      <c r="B80" s="46">
        <f>IF($N80="","",IF($N80="増","売上","入金"))</f>
        <v/>
      </c>
      <c r="C80" s="46">
        <f>IF($N80="","",IF($N80="増",INDEX('請求台帳'!$A$5:$A$1004,$O80)&amp;"","入金No "&amp;INDEX('入金消込'!$B$5:$B$1004,$O80)))</f>
        <v/>
      </c>
      <c r="D80" s="47">
        <f>IF($N80="","",IF($N80="増",INDEX('請求台帳'!$F$5:$F$1004,$O80)&amp;"",IF(INDEX('入金消込'!$F$5:$F$1004,$O80)="","消込先が未定",INDEX('入金消込'!$F$5:$F$1004,$O80)&amp;" の入金")))</f>
        <v/>
      </c>
      <c r="E80" s="48">
        <f>IF($N80&lt;&gt;"増","",INDEX('請求台帳'!$L$5:$L$1004,$O80))</f>
        <v/>
      </c>
      <c r="F80" s="48">
        <f>IF($N80&lt;&gt;"減","",N(INDEX('入金消込'!$G$5:$G$1004,$O80)))</f>
        <v/>
      </c>
      <c r="G80" s="48">
        <f>IF($N80&lt;&gt;"減","",N(INDEX('入金消込'!$H$5:$H$1004,$O80))+N(INDEX('入金消込'!$I$5:$I$1004,$O80)))</f>
        <v/>
      </c>
      <c r="H80" s="49">
        <f>IF($N80="","",$H79+N($E80)-N($F80)-N($G80))</f>
        <v/>
      </c>
      <c r="I80" s="56" t="n"/>
      <c r="J80" s="32">
        <f>$J79+IF($N79="増",1,0)</f>
        <v/>
      </c>
      <c r="K80" s="32">
        <f>$K79+IF($N79="減",1,0)</f>
        <v/>
      </c>
      <c r="L80" s="35">
        <f>IF($B$3="",1E+9,IFERROR(SMALL('請求台帳'!$Z$5:$Z$1004,$J80+1),1E+9))</f>
        <v/>
      </c>
      <c r="M80" s="35">
        <f>IF($B$3="",1E+9,IFERROR(SMALL('入金消込'!$Q$5:$Q$1004,$K80+1),1E+9))</f>
        <v/>
      </c>
      <c r="N80" s="32">
        <f>IF(MIN($L80,$M80)&gt;=1E+9,"",IF($L80&lt;=$M80,"増","減"))</f>
        <v/>
      </c>
      <c r="O80" s="32">
        <f>IF($N80="","",IF($N80="増",MATCH($L80,'請求台帳'!$Z$5:$Z$1004,0),MATCH($M80,'入金消込'!$Q$5:$Q$1004,0)))</f>
        <v/>
      </c>
      <c r="P80" s="56" t="n"/>
      <c r="Q80" s="56" t="n"/>
    </row>
    <row r="81" ht="18" customHeight="1">
      <c r="A81" s="45">
        <f>IF($N81="","",IF($N81="増",INDEX('請求台帳'!$X$5:$X$1004,$O81),INDEX('入金消込'!$A$5:$A$1004,$O81)))</f>
        <v/>
      </c>
      <c r="B81" s="46">
        <f>IF($N81="","",IF($N81="増","売上","入金"))</f>
        <v/>
      </c>
      <c r="C81" s="46">
        <f>IF($N81="","",IF($N81="増",INDEX('請求台帳'!$A$5:$A$1004,$O81)&amp;"","入金No "&amp;INDEX('入金消込'!$B$5:$B$1004,$O81)))</f>
        <v/>
      </c>
      <c r="D81" s="47">
        <f>IF($N81="","",IF($N81="増",INDEX('請求台帳'!$F$5:$F$1004,$O81)&amp;"",IF(INDEX('入金消込'!$F$5:$F$1004,$O81)="","消込先が未定",INDEX('入金消込'!$F$5:$F$1004,$O81)&amp;" の入金")))</f>
        <v/>
      </c>
      <c r="E81" s="48">
        <f>IF($N81&lt;&gt;"増","",INDEX('請求台帳'!$L$5:$L$1004,$O81))</f>
        <v/>
      </c>
      <c r="F81" s="48">
        <f>IF($N81&lt;&gt;"減","",N(INDEX('入金消込'!$G$5:$G$1004,$O81)))</f>
        <v/>
      </c>
      <c r="G81" s="48">
        <f>IF($N81&lt;&gt;"減","",N(INDEX('入金消込'!$H$5:$H$1004,$O81))+N(INDEX('入金消込'!$I$5:$I$1004,$O81)))</f>
        <v/>
      </c>
      <c r="H81" s="49">
        <f>IF($N81="","",$H80+N($E81)-N($F81)-N($G81))</f>
        <v/>
      </c>
      <c r="I81" s="56" t="n"/>
      <c r="J81" s="32">
        <f>$J80+IF($N80="増",1,0)</f>
        <v/>
      </c>
      <c r="K81" s="32">
        <f>$K80+IF($N80="減",1,0)</f>
        <v/>
      </c>
      <c r="L81" s="35">
        <f>IF($B$3="",1E+9,IFERROR(SMALL('請求台帳'!$Z$5:$Z$1004,$J81+1),1E+9))</f>
        <v/>
      </c>
      <c r="M81" s="35">
        <f>IF($B$3="",1E+9,IFERROR(SMALL('入金消込'!$Q$5:$Q$1004,$K81+1),1E+9))</f>
        <v/>
      </c>
      <c r="N81" s="32">
        <f>IF(MIN($L81,$M81)&gt;=1E+9,"",IF($L81&lt;=$M81,"増","減"))</f>
        <v/>
      </c>
      <c r="O81" s="32">
        <f>IF($N81="","",IF($N81="増",MATCH($L81,'請求台帳'!$Z$5:$Z$1004,0),MATCH($M81,'入金消込'!$Q$5:$Q$1004,0)))</f>
        <v/>
      </c>
      <c r="P81" s="56" t="n"/>
      <c r="Q81" s="56" t="n"/>
    </row>
    <row r="82" ht="18" customHeight="1">
      <c r="A82" s="45">
        <f>IF($N82="","",IF($N82="増",INDEX('請求台帳'!$X$5:$X$1004,$O82),INDEX('入金消込'!$A$5:$A$1004,$O82)))</f>
        <v/>
      </c>
      <c r="B82" s="46">
        <f>IF($N82="","",IF($N82="増","売上","入金"))</f>
        <v/>
      </c>
      <c r="C82" s="46">
        <f>IF($N82="","",IF($N82="増",INDEX('請求台帳'!$A$5:$A$1004,$O82)&amp;"","入金No "&amp;INDEX('入金消込'!$B$5:$B$1004,$O82)))</f>
        <v/>
      </c>
      <c r="D82" s="47">
        <f>IF($N82="","",IF($N82="増",INDEX('請求台帳'!$F$5:$F$1004,$O82)&amp;"",IF(INDEX('入金消込'!$F$5:$F$1004,$O82)="","消込先が未定",INDEX('入金消込'!$F$5:$F$1004,$O82)&amp;" の入金")))</f>
        <v/>
      </c>
      <c r="E82" s="48">
        <f>IF($N82&lt;&gt;"増","",INDEX('請求台帳'!$L$5:$L$1004,$O82))</f>
        <v/>
      </c>
      <c r="F82" s="48">
        <f>IF($N82&lt;&gt;"減","",N(INDEX('入金消込'!$G$5:$G$1004,$O82)))</f>
        <v/>
      </c>
      <c r="G82" s="48">
        <f>IF($N82&lt;&gt;"減","",N(INDEX('入金消込'!$H$5:$H$1004,$O82))+N(INDEX('入金消込'!$I$5:$I$1004,$O82)))</f>
        <v/>
      </c>
      <c r="H82" s="49">
        <f>IF($N82="","",$H81+N($E82)-N($F82)-N($G82))</f>
        <v/>
      </c>
      <c r="I82" s="56" t="n"/>
      <c r="J82" s="32">
        <f>$J81+IF($N81="増",1,0)</f>
        <v/>
      </c>
      <c r="K82" s="32">
        <f>$K81+IF($N81="減",1,0)</f>
        <v/>
      </c>
      <c r="L82" s="35">
        <f>IF($B$3="",1E+9,IFERROR(SMALL('請求台帳'!$Z$5:$Z$1004,$J82+1),1E+9))</f>
        <v/>
      </c>
      <c r="M82" s="35">
        <f>IF($B$3="",1E+9,IFERROR(SMALL('入金消込'!$Q$5:$Q$1004,$K82+1),1E+9))</f>
        <v/>
      </c>
      <c r="N82" s="32">
        <f>IF(MIN($L82,$M82)&gt;=1E+9,"",IF($L82&lt;=$M82,"増","減"))</f>
        <v/>
      </c>
      <c r="O82" s="32">
        <f>IF($N82="","",IF($N82="増",MATCH($L82,'請求台帳'!$Z$5:$Z$1004,0),MATCH($M82,'入金消込'!$Q$5:$Q$1004,0)))</f>
        <v/>
      </c>
      <c r="P82" s="56" t="n"/>
      <c r="Q82" s="56" t="n"/>
    </row>
    <row r="83" ht="18" customHeight="1">
      <c r="A83" s="45">
        <f>IF($N83="","",IF($N83="増",INDEX('請求台帳'!$X$5:$X$1004,$O83),INDEX('入金消込'!$A$5:$A$1004,$O83)))</f>
        <v/>
      </c>
      <c r="B83" s="46">
        <f>IF($N83="","",IF($N83="増","売上","入金"))</f>
        <v/>
      </c>
      <c r="C83" s="46">
        <f>IF($N83="","",IF($N83="増",INDEX('請求台帳'!$A$5:$A$1004,$O83)&amp;"","入金No "&amp;INDEX('入金消込'!$B$5:$B$1004,$O83)))</f>
        <v/>
      </c>
      <c r="D83" s="47">
        <f>IF($N83="","",IF($N83="増",INDEX('請求台帳'!$F$5:$F$1004,$O83)&amp;"",IF(INDEX('入金消込'!$F$5:$F$1004,$O83)="","消込先が未定",INDEX('入金消込'!$F$5:$F$1004,$O83)&amp;" の入金")))</f>
        <v/>
      </c>
      <c r="E83" s="48">
        <f>IF($N83&lt;&gt;"増","",INDEX('請求台帳'!$L$5:$L$1004,$O83))</f>
        <v/>
      </c>
      <c r="F83" s="48">
        <f>IF($N83&lt;&gt;"減","",N(INDEX('入金消込'!$G$5:$G$1004,$O83)))</f>
        <v/>
      </c>
      <c r="G83" s="48">
        <f>IF($N83&lt;&gt;"減","",N(INDEX('入金消込'!$H$5:$H$1004,$O83))+N(INDEX('入金消込'!$I$5:$I$1004,$O83)))</f>
        <v/>
      </c>
      <c r="H83" s="49">
        <f>IF($N83="","",$H82+N($E83)-N($F83)-N($G83))</f>
        <v/>
      </c>
      <c r="I83" s="56" t="n"/>
      <c r="J83" s="32">
        <f>$J82+IF($N82="増",1,0)</f>
        <v/>
      </c>
      <c r="K83" s="32">
        <f>$K82+IF($N82="減",1,0)</f>
        <v/>
      </c>
      <c r="L83" s="35">
        <f>IF($B$3="",1E+9,IFERROR(SMALL('請求台帳'!$Z$5:$Z$1004,$J83+1),1E+9))</f>
        <v/>
      </c>
      <c r="M83" s="35">
        <f>IF($B$3="",1E+9,IFERROR(SMALL('入金消込'!$Q$5:$Q$1004,$K83+1),1E+9))</f>
        <v/>
      </c>
      <c r="N83" s="32">
        <f>IF(MIN($L83,$M83)&gt;=1E+9,"",IF($L83&lt;=$M83,"増","減"))</f>
        <v/>
      </c>
      <c r="O83" s="32">
        <f>IF($N83="","",IF($N83="増",MATCH($L83,'請求台帳'!$Z$5:$Z$1004,0),MATCH($M83,'入金消込'!$Q$5:$Q$1004,0)))</f>
        <v/>
      </c>
      <c r="P83" s="56" t="n"/>
      <c r="Q83" s="56" t="n"/>
    </row>
    <row r="84" ht="18" customHeight="1">
      <c r="A84" s="45">
        <f>IF($N84="","",IF($N84="増",INDEX('請求台帳'!$X$5:$X$1004,$O84),INDEX('入金消込'!$A$5:$A$1004,$O84)))</f>
        <v/>
      </c>
      <c r="B84" s="46">
        <f>IF($N84="","",IF($N84="増","売上","入金"))</f>
        <v/>
      </c>
      <c r="C84" s="46">
        <f>IF($N84="","",IF($N84="増",INDEX('請求台帳'!$A$5:$A$1004,$O84)&amp;"","入金No "&amp;INDEX('入金消込'!$B$5:$B$1004,$O84)))</f>
        <v/>
      </c>
      <c r="D84" s="47">
        <f>IF($N84="","",IF($N84="増",INDEX('請求台帳'!$F$5:$F$1004,$O84)&amp;"",IF(INDEX('入金消込'!$F$5:$F$1004,$O84)="","消込先が未定",INDEX('入金消込'!$F$5:$F$1004,$O84)&amp;" の入金")))</f>
        <v/>
      </c>
      <c r="E84" s="48">
        <f>IF($N84&lt;&gt;"増","",INDEX('請求台帳'!$L$5:$L$1004,$O84))</f>
        <v/>
      </c>
      <c r="F84" s="48">
        <f>IF($N84&lt;&gt;"減","",N(INDEX('入金消込'!$G$5:$G$1004,$O84)))</f>
        <v/>
      </c>
      <c r="G84" s="48">
        <f>IF($N84&lt;&gt;"減","",N(INDEX('入金消込'!$H$5:$H$1004,$O84))+N(INDEX('入金消込'!$I$5:$I$1004,$O84)))</f>
        <v/>
      </c>
      <c r="H84" s="49">
        <f>IF($N84="","",$H83+N($E84)-N($F84)-N($G84))</f>
        <v/>
      </c>
      <c r="I84" s="56" t="n"/>
      <c r="J84" s="32">
        <f>$J83+IF($N83="増",1,0)</f>
        <v/>
      </c>
      <c r="K84" s="32">
        <f>$K83+IF($N83="減",1,0)</f>
        <v/>
      </c>
      <c r="L84" s="35">
        <f>IF($B$3="",1E+9,IFERROR(SMALL('請求台帳'!$Z$5:$Z$1004,$J84+1),1E+9))</f>
        <v/>
      </c>
      <c r="M84" s="35">
        <f>IF($B$3="",1E+9,IFERROR(SMALL('入金消込'!$Q$5:$Q$1004,$K84+1),1E+9))</f>
        <v/>
      </c>
      <c r="N84" s="32">
        <f>IF(MIN($L84,$M84)&gt;=1E+9,"",IF($L84&lt;=$M84,"増","減"))</f>
        <v/>
      </c>
      <c r="O84" s="32">
        <f>IF($N84="","",IF($N84="増",MATCH($L84,'請求台帳'!$Z$5:$Z$1004,0),MATCH($M84,'入金消込'!$Q$5:$Q$1004,0)))</f>
        <v/>
      </c>
      <c r="P84" s="56" t="n"/>
      <c r="Q84" s="56" t="n"/>
    </row>
    <row r="85" ht="18" customHeight="1">
      <c r="A85" s="45">
        <f>IF($N85="","",IF($N85="増",INDEX('請求台帳'!$X$5:$X$1004,$O85),INDEX('入金消込'!$A$5:$A$1004,$O85)))</f>
        <v/>
      </c>
      <c r="B85" s="46">
        <f>IF($N85="","",IF($N85="増","売上","入金"))</f>
        <v/>
      </c>
      <c r="C85" s="46">
        <f>IF($N85="","",IF($N85="増",INDEX('請求台帳'!$A$5:$A$1004,$O85)&amp;"","入金No "&amp;INDEX('入金消込'!$B$5:$B$1004,$O85)))</f>
        <v/>
      </c>
      <c r="D85" s="47">
        <f>IF($N85="","",IF($N85="増",INDEX('請求台帳'!$F$5:$F$1004,$O85)&amp;"",IF(INDEX('入金消込'!$F$5:$F$1004,$O85)="","消込先が未定",INDEX('入金消込'!$F$5:$F$1004,$O85)&amp;" の入金")))</f>
        <v/>
      </c>
      <c r="E85" s="48">
        <f>IF($N85&lt;&gt;"増","",INDEX('請求台帳'!$L$5:$L$1004,$O85))</f>
        <v/>
      </c>
      <c r="F85" s="48">
        <f>IF($N85&lt;&gt;"減","",N(INDEX('入金消込'!$G$5:$G$1004,$O85)))</f>
        <v/>
      </c>
      <c r="G85" s="48">
        <f>IF($N85&lt;&gt;"減","",N(INDEX('入金消込'!$H$5:$H$1004,$O85))+N(INDEX('入金消込'!$I$5:$I$1004,$O85)))</f>
        <v/>
      </c>
      <c r="H85" s="49">
        <f>IF($N85="","",$H84+N($E85)-N($F85)-N($G85))</f>
        <v/>
      </c>
      <c r="I85" s="56" t="n"/>
      <c r="J85" s="32">
        <f>$J84+IF($N84="増",1,0)</f>
        <v/>
      </c>
      <c r="K85" s="32">
        <f>$K84+IF($N84="減",1,0)</f>
        <v/>
      </c>
      <c r="L85" s="35">
        <f>IF($B$3="",1E+9,IFERROR(SMALL('請求台帳'!$Z$5:$Z$1004,$J85+1),1E+9))</f>
        <v/>
      </c>
      <c r="M85" s="35">
        <f>IF($B$3="",1E+9,IFERROR(SMALL('入金消込'!$Q$5:$Q$1004,$K85+1),1E+9))</f>
        <v/>
      </c>
      <c r="N85" s="32">
        <f>IF(MIN($L85,$M85)&gt;=1E+9,"",IF($L85&lt;=$M85,"増","減"))</f>
        <v/>
      </c>
      <c r="O85" s="32">
        <f>IF($N85="","",IF($N85="増",MATCH($L85,'請求台帳'!$Z$5:$Z$1004,0),MATCH($M85,'入金消込'!$Q$5:$Q$1004,0)))</f>
        <v/>
      </c>
      <c r="P85" s="56" t="n"/>
      <c r="Q85" s="56" t="n"/>
    </row>
    <row r="86" ht="18" customHeight="1">
      <c r="A86" s="45">
        <f>IF($N86="","",IF($N86="増",INDEX('請求台帳'!$X$5:$X$1004,$O86),INDEX('入金消込'!$A$5:$A$1004,$O86)))</f>
        <v/>
      </c>
      <c r="B86" s="46">
        <f>IF($N86="","",IF($N86="増","売上","入金"))</f>
        <v/>
      </c>
      <c r="C86" s="46">
        <f>IF($N86="","",IF($N86="増",INDEX('請求台帳'!$A$5:$A$1004,$O86)&amp;"","入金No "&amp;INDEX('入金消込'!$B$5:$B$1004,$O86)))</f>
        <v/>
      </c>
      <c r="D86" s="47">
        <f>IF($N86="","",IF($N86="増",INDEX('請求台帳'!$F$5:$F$1004,$O86)&amp;"",IF(INDEX('入金消込'!$F$5:$F$1004,$O86)="","消込先が未定",INDEX('入金消込'!$F$5:$F$1004,$O86)&amp;" の入金")))</f>
        <v/>
      </c>
      <c r="E86" s="48">
        <f>IF($N86&lt;&gt;"増","",INDEX('請求台帳'!$L$5:$L$1004,$O86))</f>
        <v/>
      </c>
      <c r="F86" s="48">
        <f>IF($N86&lt;&gt;"減","",N(INDEX('入金消込'!$G$5:$G$1004,$O86)))</f>
        <v/>
      </c>
      <c r="G86" s="48">
        <f>IF($N86&lt;&gt;"減","",N(INDEX('入金消込'!$H$5:$H$1004,$O86))+N(INDEX('入金消込'!$I$5:$I$1004,$O86)))</f>
        <v/>
      </c>
      <c r="H86" s="49">
        <f>IF($N86="","",$H85+N($E86)-N($F86)-N($G86))</f>
        <v/>
      </c>
      <c r="I86" s="56" t="n"/>
      <c r="J86" s="32">
        <f>$J85+IF($N85="増",1,0)</f>
        <v/>
      </c>
      <c r="K86" s="32">
        <f>$K85+IF($N85="減",1,0)</f>
        <v/>
      </c>
      <c r="L86" s="35">
        <f>IF($B$3="",1E+9,IFERROR(SMALL('請求台帳'!$Z$5:$Z$1004,$J86+1),1E+9))</f>
        <v/>
      </c>
      <c r="M86" s="35">
        <f>IF($B$3="",1E+9,IFERROR(SMALL('入金消込'!$Q$5:$Q$1004,$K86+1),1E+9))</f>
        <v/>
      </c>
      <c r="N86" s="32">
        <f>IF(MIN($L86,$M86)&gt;=1E+9,"",IF($L86&lt;=$M86,"増","減"))</f>
        <v/>
      </c>
      <c r="O86" s="32">
        <f>IF($N86="","",IF($N86="増",MATCH($L86,'請求台帳'!$Z$5:$Z$1004,0),MATCH($M86,'入金消込'!$Q$5:$Q$1004,0)))</f>
        <v/>
      </c>
      <c r="P86" s="56" t="n"/>
      <c r="Q86" s="56" t="n"/>
    </row>
    <row r="87" ht="18" customHeight="1">
      <c r="A87" s="45">
        <f>IF($N87="","",IF($N87="増",INDEX('請求台帳'!$X$5:$X$1004,$O87),INDEX('入金消込'!$A$5:$A$1004,$O87)))</f>
        <v/>
      </c>
      <c r="B87" s="46">
        <f>IF($N87="","",IF($N87="増","売上","入金"))</f>
        <v/>
      </c>
      <c r="C87" s="46">
        <f>IF($N87="","",IF($N87="増",INDEX('請求台帳'!$A$5:$A$1004,$O87)&amp;"","入金No "&amp;INDEX('入金消込'!$B$5:$B$1004,$O87)))</f>
        <v/>
      </c>
      <c r="D87" s="47">
        <f>IF($N87="","",IF($N87="増",INDEX('請求台帳'!$F$5:$F$1004,$O87)&amp;"",IF(INDEX('入金消込'!$F$5:$F$1004,$O87)="","消込先が未定",INDEX('入金消込'!$F$5:$F$1004,$O87)&amp;" の入金")))</f>
        <v/>
      </c>
      <c r="E87" s="48">
        <f>IF($N87&lt;&gt;"増","",INDEX('請求台帳'!$L$5:$L$1004,$O87))</f>
        <v/>
      </c>
      <c r="F87" s="48">
        <f>IF($N87&lt;&gt;"減","",N(INDEX('入金消込'!$G$5:$G$1004,$O87)))</f>
        <v/>
      </c>
      <c r="G87" s="48">
        <f>IF($N87&lt;&gt;"減","",N(INDEX('入金消込'!$H$5:$H$1004,$O87))+N(INDEX('入金消込'!$I$5:$I$1004,$O87)))</f>
        <v/>
      </c>
      <c r="H87" s="49">
        <f>IF($N87="","",$H86+N($E87)-N($F87)-N($G87))</f>
        <v/>
      </c>
      <c r="I87" s="56" t="n"/>
      <c r="J87" s="32">
        <f>$J86+IF($N86="増",1,0)</f>
        <v/>
      </c>
      <c r="K87" s="32">
        <f>$K86+IF($N86="減",1,0)</f>
        <v/>
      </c>
      <c r="L87" s="35">
        <f>IF($B$3="",1E+9,IFERROR(SMALL('請求台帳'!$Z$5:$Z$1004,$J87+1),1E+9))</f>
        <v/>
      </c>
      <c r="M87" s="35">
        <f>IF($B$3="",1E+9,IFERROR(SMALL('入金消込'!$Q$5:$Q$1004,$K87+1),1E+9))</f>
        <v/>
      </c>
      <c r="N87" s="32">
        <f>IF(MIN($L87,$M87)&gt;=1E+9,"",IF($L87&lt;=$M87,"増","減"))</f>
        <v/>
      </c>
      <c r="O87" s="32">
        <f>IF($N87="","",IF($N87="増",MATCH($L87,'請求台帳'!$Z$5:$Z$1004,0),MATCH($M87,'入金消込'!$Q$5:$Q$1004,0)))</f>
        <v/>
      </c>
      <c r="P87" s="56" t="n"/>
      <c r="Q87" s="56" t="n"/>
    </row>
    <row r="88" ht="18" customHeight="1">
      <c r="A88" s="45">
        <f>IF($N88="","",IF($N88="増",INDEX('請求台帳'!$X$5:$X$1004,$O88),INDEX('入金消込'!$A$5:$A$1004,$O88)))</f>
        <v/>
      </c>
      <c r="B88" s="46">
        <f>IF($N88="","",IF($N88="増","売上","入金"))</f>
        <v/>
      </c>
      <c r="C88" s="46">
        <f>IF($N88="","",IF($N88="増",INDEX('請求台帳'!$A$5:$A$1004,$O88)&amp;"","入金No "&amp;INDEX('入金消込'!$B$5:$B$1004,$O88)))</f>
        <v/>
      </c>
      <c r="D88" s="47">
        <f>IF($N88="","",IF($N88="増",INDEX('請求台帳'!$F$5:$F$1004,$O88)&amp;"",IF(INDEX('入金消込'!$F$5:$F$1004,$O88)="","消込先が未定",INDEX('入金消込'!$F$5:$F$1004,$O88)&amp;" の入金")))</f>
        <v/>
      </c>
      <c r="E88" s="48">
        <f>IF($N88&lt;&gt;"増","",INDEX('請求台帳'!$L$5:$L$1004,$O88))</f>
        <v/>
      </c>
      <c r="F88" s="48">
        <f>IF($N88&lt;&gt;"減","",N(INDEX('入金消込'!$G$5:$G$1004,$O88)))</f>
        <v/>
      </c>
      <c r="G88" s="48">
        <f>IF($N88&lt;&gt;"減","",N(INDEX('入金消込'!$H$5:$H$1004,$O88))+N(INDEX('入金消込'!$I$5:$I$1004,$O88)))</f>
        <v/>
      </c>
      <c r="H88" s="49">
        <f>IF($N88="","",$H87+N($E88)-N($F88)-N($G88))</f>
        <v/>
      </c>
      <c r="I88" s="56" t="n"/>
      <c r="J88" s="32">
        <f>$J87+IF($N87="増",1,0)</f>
        <v/>
      </c>
      <c r="K88" s="32">
        <f>$K87+IF($N87="減",1,0)</f>
        <v/>
      </c>
      <c r="L88" s="35">
        <f>IF($B$3="",1E+9,IFERROR(SMALL('請求台帳'!$Z$5:$Z$1004,$J88+1),1E+9))</f>
        <v/>
      </c>
      <c r="M88" s="35">
        <f>IF($B$3="",1E+9,IFERROR(SMALL('入金消込'!$Q$5:$Q$1004,$K88+1),1E+9))</f>
        <v/>
      </c>
      <c r="N88" s="32">
        <f>IF(MIN($L88,$M88)&gt;=1E+9,"",IF($L88&lt;=$M88,"増","減"))</f>
        <v/>
      </c>
      <c r="O88" s="32">
        <f>IF($N88="","",IF($N88="増",MATCH($L88,'請求台帳'!$Z$5:$Z$1004,0),MATCH($M88,'入金消込'!$Q$5:$Q$1004,0)))</f>
        <v/>
      </c>
      <c r="P88" s="56" t="n"/>
      <c r="Q88" s="56" t="n"/>
    </row>
    <row r="89" ht="18" customHeight="1">
      <c r="A89" s="45">
        <f>IF($N89="","",IF($N89="増",INDEX('請求台帳'!$X$5:$X$1004,$O89),INDEX('入金消込'!$A$5:$A$1004,$O89)))</f>
        <v/>
      </c>
      <c r="B89" s="46">
        <f>IF($N89="","",IF($N89="増","売上","入金"))</f>
        <v/>
      </c>
      <c r="C89" s="46">
        <f>IF($N89="","",IF($N89="増",INDEX('請求台帳'!$A$5:$A$1004,$O89)&amp;"","入金No "&amp;INDEX('入金消込'!$B$5:$B$1004,$O89)))</f>
        <v/>
      </c>
      <c r="D89" s="47">
        <f>IF($N89="","",IF($N89="増",INDEX('請求台帳'!$F$5:$F$1004,$O89)&amp;"",IF(INDEX('入金消込'!$F$5:$F$1004,$O89)="","消込先が未定",INDEX('入金消込'!$F$5:$F$1004,$O89)&amp;" の入金")))</f>
        <v/>
      </c>
      <c r="E89" s="48">
        <f>IF($N89&lt;&gt;"増","",INDEX('請求台帳'!$L$5:$L$1004,$O89))</f>
        <v/>
      </c>
      <c r="F89" s="48">
        <f>IF($N89&lt;&gt;"減","",N(INDEX('入金消込'!$G$5:$G$1004,$O89)))</f>
        <v/>
      </c>
      <c r="G89" s="48">
        <f>IF($N89&lt;&gt;"減","",N(INDEX('入金消込'!$H$5:$H$1004,$O89))+N(INDEX('入金消込'!$I$5:$I$1004,$O89)))</f>
        <v/>
      </c>
      <c r="H89" s="49">
        <f>IF($N89="","",$H88+N($E89)-N($F89)-N($G89))</f>
        <v/>
      </c>
      <c r="I89" s="56" t="n"/>
      <c r="J89" s="32">
        <f>$J88+IF($N88="増",1,0)</f>
        <v/>
      </c>
      <c r="K89" s="32">
        <f>$K88+IF($N88="減",1,0)</f>
        <v/>
      </c>
      <c r="L89" s="35">
        <f>IF($B$3="",1E+9,IFERROR(SMALL('請求台帳'!$Z$5:$Z$1004,$J89+1),1E+9))</f>
        <v/>
      </c>
      <c r="M89" s="35">
        <f>IF($B$3="",1E+9,IFERROR(SMALL('入金消込'!$Q$5:$Q$1004,$K89+1),1E+9))</f>
        <v/>
      </c>
      <c r="N89" s="32">
        <f>IF(MIN($L89,$M89)&gt;=1E+9,"",IF($L89&lt;=$M89,"増","減"))</f>
        <v/>
      </c>
      <c r="O89" s="32">
        <f>IF($N89="","",IF($N89="増",MATCH($L89,'請求台帳'!$Z$5:$Z$1004,0),MATCH($M89,'入金消込'!$Q$5:$Q$1004,0)))</f>
        <v/>
      </c>
      <c r="P89" s="56" t="n"/>
      <c r="Q89" s="56" t="n"/>
    </row>
    <row r="90" ht="18" customHeight="1">
      <c r="A90" s="45">
        <f>IF($N90="","",IF($N90="増",INDEX('請求台帳'!$X$5:$X$1004,$O90),INDEX('入金消込'!$A$5:$A$1004,$O90)))</f>
        <v/>
      </c>
      <c r="B90" s="46">
        <f>IF($N90="","",IF($N90="増","売上","入金"))</f>
        <v/>
      </c>
      <c r="C90" s="46">
        <f>IF($N90="","",IF($N90="増",INDEX('請求台帳'!$A$5:$A$1004,$O90)&amp;"","入金No "&amp;INDEX('入金消込'!$B$5:$B$1004,$O90)))</f>
        <v/>
      </c>
      <c r="D90" s="47">
        <f>IF($N90="","",IF($N90="増",INDEX('請求台帳'!$F$5:$F$1004,$O90)&amp;"",IF(INDEX('入金消込'!$F$5:$F$1004,$O90)="","消込先が未定",INDEX('入金消込'!$F$5:$F$1004,$O90)&amp;" の入金")))</f>
        <v/>
      </c>
      <c r="E90" s="48">
        <f>IF($N90&lt;&gt;"増","",INDEX('請求台帳'!$L$5:$L$1004,$O90))</f>
        <v/>
      </c>
      <c r="F90" s="48">
        <f>IF($N90&lt;&gt;"減","",N(INDEX('入金消込'!$G$5:$G$1004,$O90)))</f>
        <v/>
      </c>
      <c r="G90" s="48">
        <f>IF($N90&lt;&gt;"減","",N(INDEX('入金消込'!$H$5:$H$1004,$O90))+N(INDEX('入金消込'!$I$5:$I$1004,$O90)))</f>
        <v/>
      </c>
      <c r="H90" s="49">
        <f>IF($N90="","",$H89+N($E90)-N($F90)-N($G90))</f>
        <v/>
      </c>
      <c r="I90" s="56" t="n"/>
      <c r="J90" s="32">
        <f>$J89+IF($N89="増",1,0)</f>
        <v/>
      </c>
      <c r="K90" s="32">
        <f>$K89+IF($N89="減",1,0)</f>
        <v/>
      </c>
      <c r="L90" s="35">
        <f>IF($B$3="",1E+9,IFERROR(SMALL('請求台帳'!$Z$5:$Z$1004,$J90+1),1E+9))</f>
        <v/>
      </c>
      <c r="M90" s="35">
        <f>IF($B$3="",1E+9,IFERROR(SMALL('入金消込'!$Q$5:$Q$1004,$K90+1),1E+9))</f>
        <v/>
      </c>
      <c r="N90" s="32">
        <f>IF(MIN($L90,$M90)&gt;=1E+9,"",IF($L90&lt;=$M90,"増","減"))</f>
        <v/>
      </c>
      <c r="O90" s="32">
        <f>IF($N90="","",IF($N90="増",MATCH($L90,'請求台帳'!$Z$5:$Z$1004,0),MATCH($M90,'入金消込'!$Q$5:$Q$1004,0)))</f>
        <v/>
      </c>
      <c r="P90" s="56" t="n"/>
      <c r="Q90" s="56" t="n"/>
    </row>
    <row r="91" ht="18" customHeight="1">
      <c r="A91" s="45">
        <f>IF($N91="","",IF($N91="増",INDEX('請求台帳'!$X$5:$X$1004,$O91),INDEX('入金消込'!$A$5:$A$1004,$O91)))</f>
        <v/>
      </c>
      <c r="B91" s="46">
        <f>IF($N91="","",IF($N91="増","売上","入金"))</f>
        <v/>
      </c>
      <c r="C91" s="46">
        <f>IF($N91="","",IF($N91="増",INDEX('請求台帳'!$A$5:$A$1004,$O91)&amp;"","入金No "&amp;INDEX('入金消込'!$B$5:$B$1004,$O91)))</f>
        <v/>
      </c>
      <c r="D91" s="47">
        <f>IF($N91="","",IF($N91="増",INDEX('請求台帳'!$F$5:$F$1004,$O91)&amp;"",IF(INDEX('入金消込'!$F$5:$F$1004,$O91)="","消込先が未定",INDEX('入金消込'!$F$5:$F$1004,$O91)&amp;" の入金")))</f>
        <v/>
      </c>
      <c r="E91" s="48">
        <f>IF($N91&lt;&gt;"増","",INDEX('請求台帳'!$L$5:$L$1004,$O91))</f>
        <v/>
      </c>
      <c r="F91" s="48">
        <f>IF($N91&lt;&gt;"減","",N(INDEX('入金消込'!$G$5:$G$1004,$O91)))</f>
        <v/>
      </c>
      <c r="G91" s="48">
        <f>IF($N91&lt;&gt;"減","",N(INDEX('入金消込'!$H$5:$H$1004,$O91))+N(INDEX('入金消込'!$I$5:$I$1004,$O91)))</f>
        <v/>
      </c>
      <c r="H91" s="49">
        <f>IF($N91="","",$H90+N($E91)-N($F91)-N($G91))</f>
        <v/>
      </c>
      <c r="I91" s="56" t="n"/>
      <c r="J91" s="32">
        <f>$J90+IF($N90="増",1,0)</f>
        <v/>
      </c>
      <c r="K91" s="32">
        <f>$K90+IF($N90="減",1,0)</f>
        <v/>
      </c>
      <c r="L91" s="35">
        <f>IF($B$3="",1E+9,IFERROR(SMALL('請求台帳'!$Z$5:$Z$1004,$J91+1),1E+9))</f>
        <v/>
      </c>
      <c r="M91" s="35">
        <f>IF($B$3="",1E+9,IFERROR(SMALL('入金消込'!$Q$5:$Q$1004,$K91+1),1E+9))</f>
        <v/>
      </c>
      <c r="N91" s="32">
        <f>IF(MIN($L91,$M91)&gt;=1E+9,"",IF($L91&lt;=$M91,"増","減"))</f>
        <v/>
      </c>
      <c r="O91" s="32">
        <f>IF($N91="","",IF($N91="増",MATCH($L91,'請求台帳'!$Z$5:$Z$1004,0),MATCH($M91,'入金消込'!$Q$5:$Q$1004,0)))</f>
        <v/>
      </c>
      <c r="P91" s="56" t="n"/>
      <c r="Q91" s="56" t="n"/>
    </row>
    <row r="92" ht="18" customHeight="1">
      <c r="A92" s="45">
        <f>IF($N92="","",IF($N92="増",INDEX('請求台帳'!$X$5:$X$1004,$O92),INDEX('入金消込'!$A$5:$A$1004,$O92)))</f>
        <v/>
      </c>
      <c r="B92" s="46">
        <f>IF($N92="","",IF($N92="増","売上","入金"))</f>
        <v/>
      </c>
      <c r="C92" s="46">
        <f>IF($N92="","",IF($N92="増",INDEX('請求台帳'!$A$5:$A$1004,$O92)&amp;"","入金No "&amp;INDEX('入金消込'!$B$5:$B$1004,$O92)))</f>
        <v/>
      </c>
      <c r="D92" s="47">
        <f>IF($N92="","",IF($N92="増",INDEX('請求台帳'!$F$5:$F$1004,$O92)&amp;"",IF(INDEX('入金消込'!$F$5:$F$1004,$O92)="","消込先が未定",INDEX('入金消込'!$F$5:$F$1004,$O92)&amp;" の入金")))</f>
        <v/>
      </c>
      <c r="E92" s="48">
        <f>IF($N92&lt;&gt;"増","",INDEX('請求台帳'!$L$5:$L$1004,$O92))</f>
        <v/>
      </c>
      <c r="F92" s="48">
        <f>IF($N92&lt;&gt;"減","",N(INDEX('入金消込'!$G$5:$G$1004,$O92)))</f>
        <v/>
      </c>
      <c r="G92" s="48">
        <f>IF($N92&lt;&gt;"減","",N(INDEX('入金消込'!$H$5:$H$1004,$O92))+N(INDEX('入金消込'!$I$5:$I$1004,$O92)))</f>
        <v/>
      </c>
      <c r="H92" s="49">
        <f>IF($N92="","",$H91+N($E92)-N($F92)-N($G92))</f>
        <v/>
      </c>
      <c r="I92" s="56" t="n"/>
      <c r="J92" s="32">
        <f>$J91+IF($N91="増",1,0)</f>
        <v/>
      </c>
      <c r="K92" s="32">
        <f>$K91+IF($N91="減",1,0)</f>
        <v/>
      </c>
      <c r="L92" s="35">
        <f>IF($B$3="",1E+9,IFERROR(SMALL('請求台帳'!$Z$5:$Z$1004,$J92+1),1E+9))</f>
        <v/>
      </c>
      <c r="M92" s="35">
        <f>IF($B$3="",1E+9,IFERROR(SMALL('入金消込'!$Q$5:$Q$1004,$K92+1),1E+9))</f>
        <v/>
      </c>
      <c r="N92" s="32">
        <f>IF(MIN($L92,$M92)&gt;=1E+9,"",IF($L92&lt;=$M92,"増","減"))</f>
        <v/>
      </c>
      <c r="O92" s="32">
        <f>IF($N92="","",IF($N92="増",MATCH($L92,'請求台帳'!$Z$5:$Z$1004,0),MATCH($M92,'入金消込'!$Q$5:$Q$1004,0)))</f>
        <v/>
      </c>
      <c r="P92" s="56" t="n"/>
      <c r="Q92" s="56" t="n"/>
    </row>
    <row r="93" ht="18" customHeight="1">
      <c r="A93" s="45">
        <f>IF($N93="","",IF($N93="増",INDEX('請求台帳'!$X$5:$X$1004,$O93),INDEX('入金消込'!$A$5:$A$1004,$O93)))</f>
        <v/>
      </c>
      <c r="B93" s="46">
        <f>IF($N93="","",IF($N93="増","売上","入金"))</f>
        <v/>
      </c>
      <c r="C93" s="46">
        <f>IF($N93="","",IF($N93="増",INDEX('請求台帳'!$A$5:$A$1004,$O93)&amp;"","入金No "&amp;INDEX('入金消込'!$B$5:$B$1004,$O93)))</f>
        <v/>
      </c>
      <c r="D93" s="47">
        <f>IF($N93="","",IF($N93="増",INDEX('請求台帳'!$F$5:$F$1004,$O93)&amp;"",IF(INDEX('入金消込'!$F$5:$F$1004,$O93)="","消込先が未定",INDEX('入金消込'!$F$5:$F$1004,$O93)&amp;" の入金")))</f>
        <v/>
      </c>
      <c r="E93" s="48">
        <f>IF($N93&lt;&gt;"増","",INDEX('請求台帳'!$L$5:$L$1004,$O93))</f>
        <v/>
      </c>
      <c r="F93" s="48">
        <f>IF($N93&lt;&gt;"減","",N(INDEX('入金消込'!$G$5:$G$1004,$O93)))</f>
        <v/>
      </c>
      <c r="G93" s="48">
        <f>IF($N93&lt;&gt;"減","",N(INDEX('入金消込'!$H$5:$H$1004,$O93))+N(INDEX('入金消込'!$I$5:$I$1004,$O93)))</f>
        <v/>
      </c>
      <c r="H93" s="49">
        <f>IF($N93="","",$H92+N($E93)-N($F93)-N($G93))</f>
        <v/>
      </c>
      <c r="I93" s="56" t="n"/>
      <c r="J93" s="32">
        <f>$J92+IF($N92="増",1,0)</f>
        <v/>
      </c>
      <c r="K93" s="32">
        <f>$K92+IF($N92="減",1,0)</f>
        <v/>
      </c>
      <c r="L93" s="35">
        <f>IF($B$3="",1E+9,IFERROR(SMALL('請求台帳'!$Z$5:$Z$1004,$J93+1),1E+9))</f>
        <v/>
      </c>
      <c r="M93" s="35">
        <f>IF($B$3="",1E+9,IFERROR(SMALL('入金消込'!$Q$5:$Q$1004,$K93+1),1E+9))</f>
        <v/>
      </c>
      <c r="N93" s="32">
        <f>IF(MIN($L93,$M93)&gt;=1E+9,"",IF($L93&lt;=$M93,"増","減"))</f>
        <v/>
      </c>
      <c r="O93" s="32">
        <f>IF($N93="","",IF($N93="増",MATCH($L93,'請求台帳'!$Z$5:$Z$1004,0),MATCH($M93,'入金消込'!$Q$5:$Q$1004,0)))</f>
        <v/>
      </c>
      <c r="P93" s="56" t="n"/>
      <c r="Q93" s="56" t="n"/>
    </row>
    <row r="94" ht="18" customHeight="1">
      <c r="A94" s="45">
        <f>IF($N94="","",IF($N94="増",INDEX('請求台帳'!$X$5:$X$1004,$O94),INDEX('入金消込'!$A$5:$A$1004,$O94)))</f>
        <v/>
      </c>
      <c r="B94" s="46">
        <f>IF($N94="","",IF($N94="増","売上","入金"))</f>
        <v/>
      </c>
      <c r="C94" s="46">
        <f>IF($N94="","",IF($N94="増",INDEX('請求台帳'!$A$5:$A$1004,$O94)&amp;"","入金No "&amp;INDEX('入金消込'!$B$5:$B$1004,$O94)))</f>
        <v/>
      </c>
      <c r="D94" s="47">
        <f>IF($N94="","",IF($N94="増",INDEX('請求台帳'!$F$5:$F$1004,$O94)&amp;"",IF(INDEX('入金消込'!$F$5:$F$1004,$O94)="","消込先が未定",INDEX('入金消込'!$F$5:$F$1004,$O94)&amp;" の入金")))</f>
        <v/>
      </c>
      <c r="E94" s="48">
        <f>IF($N94&lt;&gt;"増","",INDEX('請求台帳'!$L$5:$L$1004,$O94))</f>
        <v/>
      </c>
      <c r="F94" s="48">
        <f>IF($N94&lt;&gt;"減","",N(INDEX('入金消込'!$G$5:$G$1004,$O94)))</f>
        <v/>
      </c>
      <c r="G94" s="48">
        <f>IF($N94&lt;&gt;"減","",N(INDEX('入金消込'!$H$5:$H$1004,$O94))+N(INDEX('入金消込'!$I$5:$I$1004,$O94)))</f>
        <v/>
      </c>
      <c r="H94" s="49">
        <f>IF($N94="","",$H93+N($E94)-N($F94)-N($G94))</f>
        <v/>
      </c>
      <c r="I94" s="56" t="n"/>
      <c r="J94" s="32">
        <f>$J93+IF($N93="増",1,0)</f>
        <v/>
      </c>
      <c r="K94" s="32">
        <f>$K93+IF($N93="減",1,0)</f>
        <v/>
      </c>
      <c r="L94" s="35">
        <f>IF($B$3="",1E+9,IFERROR(SMALL('請求台帳'!$Z$5:$Z$1004,$J94+1),1E+9))</f>
        <v/>
      </c>
      <c r="M94" s="35">
        <f>IF($B$3="",1E+9,IFERROR(SMALL('入金消込'!$Q$5:$Q$1004,$K94+1),1E+9))</f>
        <v/>
      </c>
      <c r="N94" s="32">
        <f>IF(MIN($L94,$M94)&gt;=1E+9,"",IF($L94&lt;=$M94,"増","減"))</f>
        <v/>
      </c>
      <c r="O94" s="32">
        <f>IF($N94="","",IF($N94="増",MATCH($L94,'請求台帳'!$Z$5:$Z$1004,0),MATCH($M94,'入金消込'!$Q$5:$Q$1004,0)))</f>
        <v/>
      </c>
      <c r="P94" s="56" t="n"/>
      <c r="Q94" s="56" t="n"/>
    </row>
    <row r="95" ht="18" customHeight="1">
      <c r="A95" s="45">
        <f>IF($N95="","",IF($N95="増",INDEX('請求台帳'!$X$5:$X$1004,$O95),INDEX('入金消込'!$A$5:$A$1004,$O95)))</f>
        <v/>
      </c>
      <c r="B95" s="46">
        <f>IF($N95="","",IF($N95="増","売上","入金"))</f>
        <v/>
      </c>
      <c r="C95" s="46">
        <f>IF($N95="","",IF($N95="増",INDEX('請求台帳'!$A$5:$A$1004,$O95)&amp;"","入金No "&amp;INDEX('入金消込'!$B$5:$B$1004,$O95)))</f>
        <v/>
      </c>
      <c r="D95" s="47">
        <f>IF($N95="","",IF($N95="増",INDEX('請求台帳'!$F$5:$F$1004,$O95)&amp;"",IF(INDEX('入金消込'!$F$5:$F$1004,$O95)="","消込先が未定",INDEX('入金消込'!$F$5:$F$1004,$O95)&amp;" の入金")))</f>
        <v/>
      </c>
      <c r="E95" s="48">
        <f>IF($N95&lt;&gt;"増","",INDEX('請求台帳'!$L$5:$L$1004,$O95))</f>
        <v/>
      </c>
      <c r="F95" s="48">
        <f>IF($N95&lt;&gt;"減","",N(INDEX('入金消込'!$G$5:$G$1004,$O95)))</f>
        <v/>
      </c>
      <c r="G95" s="48">
        <f>IF($N95&lt;&gt;"減","",N(INDEX('入金消込'!$H$5:$H$1004,$O95))+N(INDEX('入金消込'!$I$5:$I$1004,$O95)))</f>
        <v/>
      </c>
      <c r="H95" s="49">
        <f>IF($N95="","",$H94+N($E95)-N($F95)-N($G95))</f>
        <v/>
      </c>
      <c r="I95" s="56" t="n"/>
      <c r="J95" s="32">
        <f>$J94+IF($N94="増",1,0)</f>
        <v/>
      </c>
      <c r="K95" s="32">
        <f>$K94+IF($N94="減",1,0)</f>
        <v/>
      </c>
      <c r="L95" s="35">
        <f>IF($B$3="",1E+9,IFERROR(SMALL('請求台帳'!$Z$5:$Z$1004,$J95+1),1E+9))</f>
        <v/>
      </c>
      <c r="M95" s="35">
        <f>IF($B$3="",1E+9,IFERROR(SMALL('入金消込'!$Q$5:$Q$1004,$K95+1),1E+9))</f>
        <v/>
      </c>
      <c r="N95" s="32">
        <f>IF(MIN($L95,$M95)&gt;=1E+9,"",IF($L95&lt;=$M95,"増","減"))</f>
        <v/>
      </c>
      <c r="O95" s="32">
        <f>IF($N95="","",IF($N95="増",MATCH($L95,'請求台帳'!$Z$5:$Z$1004,0),MATCH($M95,'入金消込'!$Q$5:$Q$1004,0)))</f>
        <v/>
      </c>
      <c r="P95" s="56" t="n"/>
      <c r="Q95" s="56" t="n"/>
    </row>
    <row r="96" ht="18" customHeight="1">
      <c r="A96" s="45">
        <f>IF($N96="","",IF($N96="増",INDEX('請求台帳'!$X$5:$X$1004,$O96),INDEX('入金消込'!$A$5:$A$1004,$O96)))</f>
        <v/>
      </c>
      <c r="B96" s="46">
        <f>IF($N96="","",IF($N96="増","売上","入金"))</f>
        <v/>
      </c>
      <c r="C96" s="46">
        <f>IF($N96="","",IF($N96="増",INDEX('請求台帳'!$A$5:$A$1004,$O96)&amp;"","入金No "&amp;INDEX('入金消込'!$B$5:$B$1004,$O96)))</f>
        <v/>
      </c>
      <c r="D96" s="47">
        <f>IF($N96="","",IF($N96="増",INDEX('請求台帳'!$F$5:$F$1004,$O96)&amp;"",IF(INDEX('入金消込'!$F$5:$F$1004,$O96)="","消込先が未定",INDEX('入金消込'!$F$5:$F$1004,$O96)&amp;" の入金")))</f>
        <v/>
      </c>
      <c r="E96" s="48">
        <f>IF($N96&lt;&gt;"増","",INDEX('請求台帳'!$L$5:$L$1004,$O96))</f>
        <v/>
      </c>
      <c r="F96" s="48">
        <f>IF($N96&lt;&gt;"減","",N(INDEX('入金消込'!$G$5:$G$1004,$O96)))</f>
        <v/>
      </c>
      <c r="G96" s="48">
        <f>IF($N96&lt;&gt;"減","",N(INDEX('入金消込'!$H$5:$H$1004,$O96))+N(INDEX('入金消込'!$I$5:$I$1004,$O96)))</f>
        <v/>
      </c>
      <c r="H96" s="49">
        <f>IF($N96="","",$H95+N($E96)-N($F96)-N($G96))</f>
        <v/>
      </c>
      <c r="I96" s="56" t="n"/>
      <c r="J96" s="32">
        <f>$J95+IF($N95="増",1,0)</f>
        <v/>
      </c>
      <c r="K96" s="32">
        <f>$K95+IF($N95="減",1,0)</f>
        <v/>
      </c>
      <c r="L96" s="35">
        <f>IF($B$3="",1E+9,IFERROR(SMALL('請求台帳'!$Z$5:$Z$1004,$J96+1),1E+9))</f>
        <v/>
      </c>
      <c r="M96" s="35">
        <f>IF($B$3="",1E+9,IFERROR(SMALL('入金消込'!$Q$5:$Q$1004,$K96+1),1E+9))</f>
        <v/>
      </c>
      <c r="N96" s="32">
        <f>IF(MIN($L96,$M96)&gt;=1E+9,"",IF($L96&lt;=$M96,"増","減"))</f>
        <v/>
      </c>
      <c r="O96" s="32">
        <f>IF($N96="","",IF($N96="増",MATCH($L96,'請求台帳'!$Z$5:$Z$1004,0),MATCH($M96,'入金消込'!$Q$5:$Q$1004,0)))</f>
        <v/>
      </c>
      <c r="P96" s="56" t="n"/>
      <c r="Q96" s="56" t="n"/>
    </row>
    <row r="97" ht="18" customHeight="1">
      <c r="A97" s="45">
        <f>IF($N97="","",IF($N97="増",INDEX('請求台帳'!$X$5:$X$1004,$O97),INDEX('入金消込'!$A$5:$A$1004,$O97)))</f>
        <v/>
      </c>
      <c r="B97" s="46">
        <f>IF($N97="","",IF($N97="増","売上","入金"))</f>
        <v/>
      </c>
      <c r="C97" s="46">
        <f>IF($N97="","",IF($N97="増",INDEX('請求台帳'!$A$5:$A$1004,$O97)&amp;"","入金No "&amp;INDEX('入金消込'!$B$5:$B$1004,$O97)))</f>
        <v/>
      </c>
      <c r="D97" s="47">
        <f>IF($N97="","",IF($N97="増",INDEX('請求台帳'!$F$5:$F$1004,$O97)&amp;"",IF(INDEX('入金消込'!$F$5:$F$1004,$O97)="","消込先が未定",INDEX('入金消込'!$F$5:$F$1004,$O97)&amp;" の入金")))</f>
        <v/>
      </c>
      <c r="E97" s="48">
        <f>IF($N97&lt;&gt;"増","",INDEX('請求台帳'!$L$5:$L$1004,$O97))</f>
        <v/>
      </c>
      <c r="F97" s="48">
        <f>IF($N97&lt;&gt;"減","",N(INDEX('入金消込'!$G$5:$G$1004,$O97)))</f>
        <v/>
      </c>
      <c r="G97" s="48">
        <f>IF($N97&lt;&gt;"減","",N(INDEX('入金消込'!$H$5:$H$1004,$O97))+N(INDEX('入金消込'!$I$5:$I$1004,$O97)))</f>
        <v/>
      </c>
      <c r="H97" s="49">
        <f>IF($N97="","",$H96+N($E97)-N($F97)-N($G97))</f>
        <v/>
      </c>
      <c r="I97" s="56" t="n"/>
      <c r="J97" s="32">
        <f>$J96+IF($N96="増",1,0)</f>
        <v/>
      </c>
      <c r="K97" s="32">
        <f>$K96+IF($N96="減",1,0)</f>
        <v/>
      </c>
      <c r="L97" s="35">
        <f>IF($B$3="",1E+9,IFERROR(SMALL('請求台帳'!$Z$5:$Z$1004,$J97+1),1E+9))</f>
        <v/>
      </c>
      <c r="M97" s="35">
        <f>IF($B$3="",1E+9,IFERROR(SMALL('入金消込'!$Q$5:$Q$1004,$K97+1),1E+9))</f>
        <v/>
      </c>
      <c r="N97" s="32">
        <f>IF(MIN($L97,$M97)&gt;=1E+9,"",IF($L97&lt;=$M97,"増","減"))</f>
        <v/>
      </c>
      <c r="O97" s="32">
        <f>IF($N97="","",IF($N97="増",MATCH($L97,'請求台帳'!$Z$5:$Z$1004,0),MATCH($M97,'入金消込'!$Q$5:$Q$1004,0)))</f>
        <v/>
      </c>
      <c r="P97" s="56" t="n"/>
      <c r="Q97" s="56" t="n"/>
    </row>
    <row r="98" ht="18" customHeight="1">
      <c r="A98" s="45">
        <f>IF($N98="","",IF($N98="増",INDEX('請求台帳'!$X$5:$X$1004,$O98),INDEX('入金消込'!$A$5:$A$1004,$O98)))</f>
        <v/>
      </c>
      <c r="B98" s="46">
        <f>IF($N98="","",IF($N98="増","売上","入金"))</f>
        <v/>
      </c>
      <c r="C98" s="46">
        <f>IF($N98="","",IF($N98="増",INDEX('請求台帳'!$A$5:$A$1004,$O98)&amp;"","入金No "&amp;INDEX('入金消込'!$B$5:$B$1004,$O98)))</f>
        <v/>
      </c>
      <c r="D98" s="47">
        <f>IF($N98="","",IF($N98="増",INDEX('請求台帳'!$F$5:$F$1004,$O98)&amp;"",IF(INDEX('入金消込'!$F$5:$F$1004,$O98)="","消込先が未定",INDEX('入金消込'!$F$5:$F$1004,$O98)&amp;" の入金")))</f>
        <v/>
      </c>
      <c r="E98" s="48">
        <f>IF($N98&lt;&gt;"増","",INDEX('請求台帳'!$L$5:$L$1004,$O98))</f>
        <v/>
      </c>
      <c r="F98" s="48">
        <f>IF($N98&lt;&gt;"減","",N(INDEX('入金消込'!$G$5:$G$1004,$O98)))</f>
        <v/>
      </c>
      <c r="G98" s="48">
        <f>IF($N98&lt;&gt;"減","",N(INDEX('入金消込'!$H$5:$H$1004,$O98))+N(INDEX('入金消込'!$I$5:$I$1004,$O98)))</f>
        <v/>
      </c>
      <c r="H98" s="49">
        <f>IF($N98="","",$H97+N($E98)-N($F98)-N($G98))</f>
        <v/>
      </c>
      <c r="I98" s="56" t="n"/>
      <c r="J98" s="32">
        <f>$J97+IF($N97="増",1,0)</f>
        <v/>
      </c>
      <c r="K98" s="32">
        <f>$K97+IF($N97="減",1,0)</f>
        <v/>
      </c>
      <c r="L98" s="35">
        <f>IF($B$3="",1E+9,IFERROR(SMALL('請求台帳'!$Z$5:$Z$1004,$J98+1),1E+9))</f>
        <v/>
      </c>
      <c r="M98" s="35">
        <f>IF($B$3="",1E+9,IFERROR(SMALL('入金消込'!$Q$5:$Q$1004,$K98+1),1E+9))</f>
        <v/>
      </c>
      <c r="N98" s="32">
        <f>IF(MIN($L98,$M98)&gt;=1E+9,"",IF($L98&lt;=$M98,"増","減"))</f>
        <v/>
      </c>
      <c r="O98" s="32">
        <f>IF($N98="","",IF($N98="増",MATCH($L98,'請求台帳'!$Z$5:$Z$1004,0),MATCH($M98,'入金消込'!$Q$5:$Q$1004,0)))</f>
        <v/>
      </c>
      <c r="P98" s="56" t="n"/>
      <c r="Q98" s="56" t="n"/>
    </row>
    <row r="99" ht="18" customHeight="1">
      <c r="A99" s="45">
        <f>IF($N99="","",IF($N99="増",INDEX('請求台帳'!$X$5:$X$1004,$O99),INDEX('入金消込'!$A$5:$A$1004,$O99)))</f>
        <v/>
      </c>
      <c r="B99" s="46">
        <f>IF($N99="","",IF($N99="増","売上","入金"))</f>
        <v/>
      </c>
      <c r="C99" s="46">
        <f>IF($N99="","",IF($N99="増",INDEX('請求台帳'!$A$5:$A$1004,$O99)&amp;"","入金No "&amp;INDEX('入金消込'!$B$5:$B$1004,$O99)))</f>
        <v/>
      </c>
      <c r="D99" s="47">
        <f>IF($N99="","",IF($N99="増",INDEX('請求台帳'!$F$5:$F$1004,$O99)&amp;"",IF(INDEX('入金消込'!$F$5:$F$1004,$O99)="","消込先が未定",INDEX('入金消込'!$F$5:$F$1004,$O99)&amp;" の入金")))</f>
        <v/>
      </c>
      <c r="E99" s="48">
        <f>IF($N99&lt;&gt;"増","",INDEX('請求台帳'!$L$5:$L$1004,$O99))</f>
        <v/>
      </c>
      <c r="F99" s="48">
        <f>IF($N99&lt;&gt;"減","",N(INDEX('入金消込'!$G$5:$G$1004,$O99)))</f>
        <v/>
      </c>
      <c r="G99" s="48">
        <f>IF($N99&lt;&gt;"減","",N(INDEX('入金消込'!$H$5:$H$1004,$O99))+N(INDEX('入金消込'!$I$5:$I$1004,$O99)))</f>
        <v/>
      </c>
      <c r="H99" s="49">
        <f>IF($N99="","",$H98+N($E99)-N($F99)-N($G99))</f>
        <v/>
      </c>
      <c r="I99" s="56" t="n"/>
      <c r="J99" s="32">
        <f>$J98+IF($N98="増",1,0)</f>
        <v/>
      </c>
      <c r="K99" s="32">
        <f>$K98+IF($N98="減",1,0)</f>
        <v/>
      </c>
      <c r="L99" s="35">
        <f>IF($B$3="",1E+9,IFERROR(SMALL('請求台帳'!$Z$5:$Z$1004,$J99+1),1E+9))</f>
        <v/>
      </c>
      <c r="M99" s="35">
        <f>IF($B$3="",1E+9,IFERROR(SMALL('入金消込'!$Q$5:$Q$1004,$K99+1),1E+9))</f>
        <v/>
      </c>
      <c r="N99" s="32">
        <f>IF(MIN($L99,$M99)&gt;=1E+9,"",IF($L99&lt;=$M99,"増","減"))</f>
        <v/>
      </c>
      <c r="O99" s="32">
        <f>IF($N99="","",IF($N99="増",MATCH($L99,'請求台帳'!$Z$5:$Z$1004,0),MATCH($M99,'入金消込'!$Q$5:$Q$1004,0)))</f>
        <v/>
      </c>
      <c r="P99" s="56" t="n"/>
      <c r="Q99" s="56" t="n"/>
    </row>
    <row r="100" ht="18" customHeight="1">
      <c r="A100" s="45">
        <f>IF($N100="","",IF($N100="増",INDEX('請求台帳'!$X$5:$X$1004,$O100),INDEX('入金消込'!$A$5:$A$1004,$O100)))</f>
        <v/>
      </c>
      <c r="B100" s="46">
        <f>IF($N100="","",IF($N100="増","売上","入金"))</f>
        <v/>
      </c>
      <c r="C100" s="46">
        <f>IF($N100="","",IF($N100="増",INDEX('請求台帳'!$A$5:$A$1004,$O100)&amp;"","入金No "&amp;INDEX('入金消込'!$B$5:$B$1004,$O100)))</f>
        <v/>
      </c>
      <c r="D100" s="47">
        <f>IF($N100="","",IF($N100="増",INDEX('請求台帳'!$F$5:$F$1004,$O100)&amp;"",IF(INDEX('入金消込'!$F$5:$F$1004,$O100)="","消込先が未定",INDEX('入金消込'!$F$5:$F$1004,$O100)&amp;" の入金")))</f>
        <v/>
      </c>
      <c r="E100" s="48">
        <f>IF($N100&lt;&gt;"増","",INDEX('請求台帳'!$L$5:$L$1004,$O100))</f>
        <v/>
      </c>
      <c r="F100" s="48">
        <f>IF($N100&lt;&gt;"減","",N(INDEX('入金消込'!$G$5:$G$1004,$O100)))</f>
        <v/>
      </c>
      <c r="G100" s="48">
        <f>IF($N100&lt;&gt;"減","",N(INDEX('入金消込'!$H$5:$H$1004,$O100))+N(INDEX('入金消込'!$I$5:$I$1004,$O100)))</f>
        <v/>
      </c>
      <c r="H100" s="49">
        <f>IF($N100="","",$H99+N($E100)-N($F100)-N($G100))</f>
        <v/>
      </c>
      <c r="I100" s="56" t="n"/>
      <c r="J100" s="32">
        <f>$J99+IF($N99="増",1,0)</f>
        <v/>
      </c>
      <c r="K100" s="32">
        <f>$K99+IF($N99="減",1,0)</f>
        <v/>
      </c>
      <c r="L100" s="35">
        <f>IF($B$3="",1E+9,IFERROR(SMALL('請求台帳'!$Z$5:$Z$1004,$J100+1),1E+9))</f>
        <v/>
      </c>
      <c r="M100" s="35">
        <f>IF($B$3="",1E+9,IFERROR(SMALL('入金消込'!$Q$5:$Q$1004,$K100+1),1E+9))</f>
        <v/>
      </c>
      <c r="N100" s="32">
        <f>IF(MIN($L100,$M100)&gt;=1E+9,"",IF($L100&lt;=$M100,"増","減"))</f>
        <v/>
      </c>
      <c r="O100" s="32">
        <f>IF($N100="","",IF($N100="増",MATCH($L100,'請求台帳'!$Z$5:$Z$1004,0),MATCH($M100,'入金消込'!$Q$5:$Q$1004,0)))</f>
        <v/>
      </c>
      <c r="P100" s="56" t="n"/>
      <c r="Q100" s="56" t="n"/>
    </row>
    <row r="101" ht="18" customHeight="1">
      <c r="A101" s="45">
        <f>IF($N101="","",IF($N101="増",INDEX('請求台帳'!$X$5:$X$1004,$O101),INDEX('入金消込'!$A$5:$A$1004,$O101)))</f>
        <v/>
      </c>
      <c r="B101" s="46">
        <f>IF($N101="","",IF($N101="増","売上","入金"))</f>
        <v/>
      </c>
      <c r="C101" s="46">
        <f>IF($N101="","",IF($N101="増",INDEX('請求台帳'!$A$5:$A$1004,$O101)&amp;"","入金No "&amp;INDEX('入金消込'!$B$5:$B$1004,$O101)))</f>
        <v/>
      </c>
      <c r="D101" s="47">
        <f>IF($N101="","",IF($N101="増",INDEX('請求台帳'!$F$5:$F$1004,$O101)&amp;"",IF(INDEX('入金消込'!$F$5:$F$1004,$O101)="","消込先が未定",INDEX('入金消込'!$F$5:$F$1004,$O101)&amp;" の入金")))</f>
        <v/>
      </c>
      <c r="E101" s="48">
        <f>IF($N101&lt;&gt;"増","",INDEX('請求台帳'!$L$5:$L$1004,$O101))</f>
        <v/>
      </c>
      <c r="F101" s="48">
        <f>IF($N101&lt;&gt;"減","",N(INDEX('入金消込'!$G$5:$G$1004,$O101)))</f>
        <v/>
      </c>
      <c r="G101" s="48">
        <f>IF($N101&lt;&gt;"減","",N(INDEX('入金消込'!$H$5:$H$1004,$O101))+N(INDEX('入金消込'!$I$5:$I$1004,$O101)))</f>
        <v/>
      </c>
      <c r="H101" s="49">
        <f>IF($N101="","",$H100+N($E101)-N($F101)-N($G101))</f>
        <v/>
      </c>
      <c r="I101" s="56" t="n"/>
      <c r="J101" s="32">
        <f>$J100+IF($N100="増",1,0)</f>
        <v/>
      </c>
      <c r="K101" s="32">
        <f>$K100+IF($N100="減",1,0)</f>
        <v/>
      </c>
      <c r="L101" s="35">
        <f>IF($B$3="",1E+9,IFERROR(SMALL('請求台帳'!$Z$5:$Z$1004,$J101+1),1E+9))</f>
        <v/>
      </c>
      <c r="M101" s="35">
        <f>IF($B$3="",1E+9,IFERROR(SMALL('入金消込'!$Q$5:$Q$1004,$K101+1),1E+9))</f>
        <v/>
      </c>
      <c r="N101" s="32">
        <f>IF(MIN($L101,$M101)&gt;=1E+9,"",IF($L101&lt;=$M101,"増","減"))</f>
        <v/>
      </c>
      <c r="O101" s="32">
        <f>IF($N101="","",IF($N101="増",MATCH($L101,'請求台帳'!$Z$5:$Z$1004,0),MATCH($M101,'入金消込'!$Q$5:$Q$1004,0)))</f>
        <v/>
      </c>
      <c r="P101" s="56" t="n"/>
      <c r="Q101" s="56" t="n"/>
    </row>
    <row r="102" ht="18" customHeight="1">
      <c r="A102" s="45">
        <f>IF($N102="","",IF($N102="増",INDEX('請求台帳'!$X$5:$X$1004,$O102),INDEX('入金消込'!$A$5:$A$1004,$O102)))</f>
        <v/>
      </c>
      <c r="B102" s="46">
        <f>IF($N102="","",IF($N102="増","売上","入金"))</f>
        <v/>
      </c>
      <c r="C102" s="46">
        <f>IF($N102="","",IF($N102="増",INDEX('請求台帳'!$A$5:$A$1004,$O102)&amp;"","入金No "&amp;INDEX('入金消込'!$B$5:$B$1004,$O102)))</f>
        <v/>
      </c>
      <c r="D102" s="47">
        <f>IF($N102="","",IF($N102="増",INDEX('請求台帳'!$F$5:$F$1004,$O102)&amp;"",IF(INDEX('入金消込'!$F$5:$F$1004,$O102)="","消込先が未定",INDEX('入金消込'!$F$5:$F$1004,$O102)&amp;" の入金")))</f>
        <v/>
      </c>
      <c r="E102" s="48">
        <f>IF($N102&lt;&gt;"増","",INDEX('請求台帳'!$L$5:$L$1004,$O102))</f>
        <v/>
      </c>
      <c r="F102" s="48">
        <f>IF($N102&lt;&gt;"減","",N(INDEX('入金消込'!$G$5:$G$1004,$O102)))</f>
        <v/>
      </c>
      <c r="G102" s="48">
        <f>IF($N102&lt;&gt;"減","",N(INDEX('入金消込'!$H$5:$H$1004,$O102))+N(INDEX('入金消込'!$I$5:$I$1004,$O102)))</f>
        <v/>
      </c>
      <c r="H102" s="49">
        <f>IF($N102="","",$H101+N($E102)-N($F102)-N($G102))</f>
        <v/>
      </c>
      <c r="I102" s="56" t="n"/>
      <c r="J102" s="32">
        <f>$J101+IF($N101="増",1,0)</f>
        <v/>
      </c>
      <c r="K102" s="32">
        <f>$K101+IF($N101="減",1,0)</f>
        <v/>
      </c>
      <c r="L102" s="35">
        <f>IF($B$3="",1E+9,IFERROR(SMALL('請求台帳'!$Z$5:$Z$1004,$J102+1),1E+9))</f>
        <v/>
      </c>
      <c r="M102" s="35">
        <f>IF($B$3="",1E+9,IFERROR(SMALL('入金消込'!$Q$5:$Q$1004,$K102+1),1E+9))</f>
        <v/>
      </c>
      <c r="N102" s="32">
        <f>IF(MIN($L102,$M102)&gt;=1E+9,"",IF($L102&lt;=$M102,"増","減"))</f>
        <v/>
      </c>
      <c r="O102" s="32">
        <f>IF($N102="","",IF($N102="増",MATCH($L102,'請求台帳'!$Z$5:$Z$1004,0),MATCH($M102,'入金消込'!$Q$5:$Q$1004,0)))</f>
        <v/>
      </c>
      <c r="P102" s="56" t="n"/>
      <c r="Q102" s="56" t="n"/>
    </row>
    <row r="103" ht="18" customHeight="1">
      <c r="A103" s="45">
        <f>IF($N103="","",IF($N103="増",INDEX('請求台帳'!$X$5:$X$1004,$O103),INDEX('入金消込'!$A$5:$A$1004,$O103)))</f>
        <v/>
      </c>
      <c r="B103" s="46">
        <f>IF($N103="","",IF($N103="増","売上","入金"))</f>
        <v/>
      </c>
      <c r="C103" s="46">
        <f>IF($N103="","",IF($N103="増",INDEX('請求台帳'!$A$5:$A$1004,$O103)&amp;"","入金No "&amp;INDEX('入金消込'!$B$5:$B$1004,$O103)))</f>
        <v/>
      </c>
      <c r="D103" s="47">
        <f>IF($N103="","",IF($N103="増",INDEX('請求台帳'!$F$5:$F$1004,$O103)&amp;"",IF(INDEX('入金消込'!$F$5:$F$1004,$O103)="","消込先が未定",INDEX('入金消込'!$F$5:$F$1004,$O103)&amp;" の入金")))</f>
        <v/>
      </c>
      <c r="E103" s="48">
        <f>IF($N103&lt;&gt;"増","",INDEX('請求台帳'!$L$5:$L$1004,$O103))</f>
        <v/>
      </c>
      <c r="F103" s="48">
        <f>IF($N103&lt;&gt;"減","",N(INDEX('入金消込'!$G$5:$G$1004,$O103)))</f>
        <v/>
      </c>
      <c r="G103" s="48">
        <f>IF($N103&lt;&gt;"減","",N(INDEX('入金消込'!$H$5:$H$1004,$O103))+N(INDEX('入金消込'!$I$5:$I$1004,$O103)))</f>
        <v/>
      </c>
      <c r="H103" s="49">
        <f>IF($N103="","",$H102+N($E103)-N($F103)-N($G103))</f>
        <v/>
      </c>
      <c r="I103" s="56" t="n"/>
      <c r="J103" s="32">
        <f>$J102+IF($N102="増",1,0)</f>
        <v/>
      </c>
      <c r="K103" s="32">
        <f>$K102+IF($N102="減",1,0)</f>
        <v/>
      </c>
      <c r="L103" s="35">
        <f>IF($B$3="",1E+9,IFERROR(SMALL('請求台帳'!$Z$5:$Z$1004,$J103+1),1E+9))</f>
        <v/>
      </c>
      <c r="M103" s="35">
        <f>IF($B$3="",1E+9,IFERROR(SMALL('入金消込'!$Q$5:$Q$1004,$K103+1),1E+9))</f>
        <v/>
      </c>
      <c r="N103" s="32">
        <f>IF(MIN($L103,$M103)&gt;=1E+9,"",IF($L103&lt;=$M103,"増","減"))</f>
        <v/>
      </c>
      <c r="O103" s="32">
        <f>IF($N103="","",IF($N103="増",MATCH($L103,'請求台帳'!$Z$5:$Z$1004,0),MATCH($M103,'入金消込'!$Q$5:$Q$1004,0)))</f>
        <v/>
      </c>
      <c r="P103" s="56" t="n"/>
      <c r="Q103" s="56" t="n"/>
    </row>
    <row r="104" ht="18" customHeight="1">
      <c r="A104" s="45">
        <f>IF($N104="","",IF($N104="増",INDEX('請求台帳'!$X$5:$X$1004,$O104),INDEX('入金消込'!$A$5:$A$1004,$O104)))</f>
        <v/>
      </c>
      <c r="B104" s="46">
        <f>IF($N104="","",IF($N104="増","売上","入金"))</f>
        <v/>
      </c>
      <c r="C104" s="46">
        <f>IF($N104="","",IF($N104="増",INDEX('請求台帳'!$A$5:$A$1004,$O104)&amp;"","入金No "&amp;INDEX('入金消込'!$B$5:$B$1004,$O104)))</f>
        <v/>
      </c>
      <c r="D104" s="47">
        <f>IF($N104="","",IF($N104="増",INDEX('請求台帳'!$F$5:$F$1004,$O104)&amp;"",IF(INDEX('入金消込'!$F$5:$F$1004,$O104)="","消込先が未定",INDEX('入金消込'!$F$5:$F$1004,$O104)&amp;" の入金")))</f>
        <v/>
      </c>
      <c r="E104" s="48">
        <f>IF($N104&lt;&gt;"増","",INDEX('請求台帳'!$L$5:$L$1004,$O104))</f>
        <v/>
      </c>
      <c r="F104" s="48">
        <f>IF($N104&lt;&gt;"減","",N(INDEX('入金消込'!$G$5:$G$1004,$O104)))</f>
        <v/>
      </c>
      <c r="G104" s="48">
        <f>IF($N104&lt;&gt;"減","",N(INDEX('入金消込'!$H$5:$H$1004,$O104))+N(INDEX('入金消込'!$I$5:$I$1004,$O104)))</f>
        <v/>
      </c>
      <c r="H104" s="49">
        <f>IF($N104="","",$H103+N($E104)-N($F104)-N($G104))</f>
        <v/>
      </c>
      <c r="I104" s="56" t="n"/>
      <c r="J104" s="32">
        <f>$J103+IF($N103="増",1,0)</f>
        <v/>
      </c>
      <c r="K104" s="32">
        <f>$K103+IF($N103="減",1,0)</f>
        <v/>
      </c>
      <c r="L104" s="35">
        <f>IF($B$3="",1E+9,IFERROR(SMALL('請求台帳'!$Z$5:$Z$1004,$J104+1),1E+9))</f>
        <v/>
      </c>
      <c r="M104" s="35">
        <f>IF($B$3="",1E+9,IFERROR(SMALL('入金消込'!$Q$5:$Q$1004,$K104+1),1E+9))</f>
        <v/>
      </c>
      <c r="N104" s="32">
        <f>IF(MIN($L104,$M104)&gt;=1E+9,"",IF($L104&lt;=$M104,"増","減"))</f>
        <v/>
      </c>
      <c r="O104" s="32">
        <f>IF($N104="","",IF($N104="増",MATCH($L104,'請求台帳'!$Z$5:$Z$1004,0),MATCH($M104,'入金消込'!$Q$5:$Q$1004,0)))</f>
        <v/>
      </c>
      <c r="P104" s="56" t="n"/>
      <c r="Q104" s="56" t="n"/>
    </row>
    <row r="105" ht="18" customHeight="1">
      <c r="A105" s="45">
        <f>IF($N105="","",IF($N105="増",INDEX('請求台帳'!$X$5:$X$1004,$O105),INDEX('入金消込'!$A$5:$A$1004,$O105)))</f>
        <v/>
      </c>
      <c r="B105" s="46">
        <f>IF($N105="","",IF($N105="増","売上","入金"))</f>
        <v/>
      </c>
      <c r="C105" s="46">
        <f>IF($N105="","",IF($N105="増",INDEX('請求台帳'!$A$5:$A$1004,$O105)&amp;"","入金No "&amp;INDEX('入金消込'!$B$5:$B$1004,$O105)))</f>
        <v/>
      </c>
      <c r="D105" s="47">
        <f>IF($N105="","",IF($N105="増",INDEX('請求台帳'!$F$5:$F$1004,$O105)&amp;"",IF(INDEX('入金消込'!$F$5:$F$1004,$O105)="","消込先が未定",INDEX('入金消込'!$F$5:$F$1004,$O105)&amp;" の入金")))</f>
        <v/>
      </c>
      <c r="E105" s="48">
        <f>IF($N105&lt;&gt;"増","",INDEX('請求台帳'!$L$5:$L$1004,$O105))</f>
        <v/>
      </c>
      <c r="F105" s="48">
        <f>IF($N105&lt;&gt;"減","",N(INDEX('入金消込'!$G$5:$G$1004,$O105)))</f>
        <v/>
      </c>
      <c r="G105" s="48">
        <f>IF($N105&lt;&gt;"減","",N(INDEX('入金消込'!$H$5:$H$1004,$O105))+N(INDEX('入金消込'!$I$5:$I$1004,$O105)))</f>
        <v/>
      </c>
      <c r="H105" s="49">
        <f>IF($N105="","",$H104+N($E105)-N($F105)-N($G105))</f>
        <v/>
      </c>
      <c r="I105" s="56" t="n"/>
      <c r="J105" s="32">
        <f>$J104+IF($N104="増",1,0)</f>
        <v/>
      </c>
      <c r="K105" s="32">
        <f>$K104+IF($N104="減",1,0)</f>
        <v/>
      </c>
      <c r="L105" s="35">
        <f>IF($B$3="",1E+9,IFERROR(SMALL('請求台帳'!$Z$5:$Z$1004,$J105+1),1E+9))</f>
        <v/>
      </c>
      <c r="M105" s="35">
        <f>IF($B$3="",1E+9,IFERROR(SMALL('入金消込'!$Q$5:$Q$1004,$K105+1),1E+9))</f>
        <v/>
      </c>
      <c r="N105" s="32">
        <f>IF(MIN($L105,$M105)&gt;=1E+9,"",IF($L105&lt;=$M105,"増","減"))</f>
        <v/>
      </c>
      <c r="O105" s="32">
        <f>IF($N105="","",IF($N105="増",MATCH($L105,'請求台帳'!$Z$5:$Z$1004,0),MATCH($M105,'入金消込'!$Q$5:$Q$1004,0)))</f>
        <v/>
      </c>
      <c r="P105" s="56" t="n"/>
      <c r="Q105" s="56" t="n"/>
    </row>
    <row r="106" ht="18" customHeight="1">
      <c r="A106" s="45">
        <f>IF($N106="","",IF($N106="増",INDEX('請求台帳'!$X$5:$X$1004,$O106),INDEX('入金消込'!$A$5:$A$1004,$O106)))</f>
        <v/>
      </c>
      <c r="B106" s="46">
        <f>IF($N106="","",IF($N106="増","売上","入金"))</f>
        <v/>
      </c>
      <c r="C106" s="46">
        <f>IF($N106="","",IF($N106="増",INDEX('請求台帳'!$A$5:$A$1004,$O106)&amp;"","入金No "&amp;INDEX('入金消込'!$B$5:$B$1004,$O106)))</f>
        <v/>
      </c>
      <c r="D106" s="47">
        <f>IF($N106="","",IF($N106="増",INDEX('請求台帳'!$F$5:$F$1004,$O106)&amp;"",IF(INDEX('入金消込'!$F$5:$F$1004,$O106)="","消込先が未定",INDEX('入金消込'!$F$5:$F$1004,$O106)&amp;" の入金")))</f>
        <v/>
      </c>
      <c r="E106" s="48">
        <f>IF($N106&lt;&gt;"増","",INDEX('請求台帳'!$L$5:$L$1004,$O106))</f>
        <v/>
      </c>
      <c r="F106" s="48">
        <f>IF($N106&lt;&gt;"減","",N(INDEX('入金消込'!$G$5:$G$1004,$O106)))</f>
        <v/>
      </c>
      <c r="G106" s="48">
        <f>IF($N106&lt;&gt;"減","",N(INDEX('入金消込'!$H$5:$H$1004,$O106))+N(INDEX('入金消込'!$I$5:$I$1004,$O106)))</f>
        <v/>
      </c>
      <c r="H106" s="49">
        <f>IF($N106="","",$H105+N($E106)-N($F106)-N($G106))</f>
        <v/>
      </c>
      <c r="I106" s="56" t="n"/>
      <c r="J106" s="32">
        <f>$J105+IF($N105="増",1,0)</f>
        <v/>
      </c>
      <c r="K106" s="32">
        <f>$K105+IF($N105="減",1,0)</f>
        <v/>
      </c>
      <c r="L106" s="35">
        <f>IF($B$3="",1E+9,IFERROR(SMALL('請求台帳'!$Z$5:$Z$1004,$J106+1),1E+9))</f>
        <v/>
      </c>
      <c r="M106" s="35">
        <f>IF($B$3="",1E+9,IFERROR(SMALL('入金消込'!$Q$5:$Q$1004,$K106+1),1E+9))</f>
        <v/>
      </c>
      <c r="N106" s="32">
        <f>IF(MIN($L106,$M106)&gt;=1E+9,"",IF($L106&lt;=$M106,"増","減"))</f>
        <v/>
      </c>
      <c r="O106" s="32">
        <f>IF($N106="","",IF($N106="増",MATCH($L106,'請求台帳'!$Z$5:$Z$1004,0),MATCH($M106,'入金消込'!$Q$5:$Q$1004,0)))</f>
        <v/>
      </c>
      <c r="P106" s="56" t="n"/>
      <c r="Q106" s="56" t="n"/>
    </row>
    <row r="107" ht="18" customHeight="1">
      <c r="A107" s="45">
        <f>IF($N107="","",IF($N107="増",INDEX('請求台帳'!$X$5:$X$1004,$O107),INDEX('入金消込'!$A$5:$A$1004,$O107)))</f>
        <v/>
      </c>
      <c r="B107" s="46">
        <f>IF($N107="","",IF($N107="増","売上","入金"))</f>
        <v/>
      </c>
      <c r="C107" s="46">
        <f>IF($N107="","",IF($N107="増",INDEX('請求台帳'!$A$5:$A$1004,$O107)&amp;"","入金No "&amp;INDEX('入金消込'!$B$5:$B$1004,$O107)))</f>
        <v/>
      </c>
      <c r="D107" s="47">
        <f>IF($N107="","",IF($N107="増",INDEX('請求台帳'!$F$5:$F$1004,$O107)&amp;"",IF(INDEX('入金消込'!$F$5:$F$1004,$O107)="","消込先が未定",INDEX('入金消込'!$F$5:$F$1004,$O107)&amp;" の入金")))</f>
        <v/>
      </c>
      <c r="E107" s="48">
        <f>IF($N107&lt;&gt;"増","",INDEX('請求台帳'!$L$5:$L$1004,$O107))</f>
        <v/>
      </c>
      <c r="F107" s="48">
        <f>IF($N107&lt;&gt;"減","",N(INDEX('入金消込'!$G$5:$G$1004,$O107)))</f>
        <v/>
      </c>
      <c r="G107" s="48">
        <f>IF($N107&lt;&gt;"減","",N(INDEX('入金消込'!$H$5:$H$1004,$O107))+N(INDEX('入金消込'!$I$5:$I$1004,$O107)))</f>
        <v/>
      </c>
      <c r="H107" s="49">
        <f>IF($N107="","",$H106+N($E107)-N($F107)-N($G107))</f>
        <v/>
      </c>
      <c r="I107" s="56" t="n"/>
      <c r="J107" s="32">
        <f>$J106+IF($N106="増",1,0)</f>
        <v/>
      </c>
      <c r="K107" s="32">
        <f>$K106+IF($N106="減",1,0)</f>
        <v/>
      </c>
      <c r="L107" s="35">
        <f>IF($B$3="",1E+9,IFERROR(SMALL('請求台帳'!$Z$5:$Z$1004,$J107+1),1E+9))</f>
        <v/>
      </c>
      <c r="M107" s="35">
        <f>IF($B$3="",1E+9,IFERROR(SMALL('入金消込'!$Q$5:$Q$1004,$K107+1),1E+9))</f>
        <v/>
      </c>
      <c r="N107" s="32">
        <f>IF(MIN($L107,$M107)&gt;=1E+9,"",IF($L107&lt;=$M107,"増","減"))</f>
        <v/>
      </c>
      <c r="O107" s="32">
        <f>IF($N107="","",IF($N107="増",MATCH($L107,'請求台帳'!$Z$5:$Z$1004,0),MATCH($M107,'入金消込'!$Q$5:$Q$1004,0)))</f>
        <v/>
      </c>
      <c r="P107" s="56" t="n"/>
      <c r="Q107" s="56" t="n"/>
    </row>
    <row r="108" ht="18" customHeight="1">
      <c r="A108" s="45">
        <f>IF($N108="","",IF($N108="増",INDEX('請求台帳'!$X$5:$X$1004,$O108),INDEX('入金消込'!$A$5:$A$1004,$O108)))</f>
        <v/>
      </c>
      <c r="B108" s="46">
        <f>IF($N108="","",IF($N108="増","売上","入金"))</f>
        <v/>
      </c>
      <c r="C108" s="46">
        <f>IF($N108="","",IF($N108="増",INDEX('請求台帳'!$A$5:$A$1004,$O108)&amp;"","入金No "&amp;INDEX('入金消込'!$B$5:$B$1004,$O108)))</f>
        <v/>
      </c>
      <c r="D108" s="47">
        <f>IF($N108="","",IF($N108="増",INDEX('請求台帳'!$F$5:$F$1004,$O108)&amp;"",IF(INDEX('入金消込'!$F$5:$F$1004,$O108)="","消込先が未定",INDEX('入金消込'!$F$5:$F$1004,$O108)&amp;" の入金")))</f>
        <v/>
      </c>
      <c r="E108" s="48">
        <f>IF($N108&lt;&gt;"増","",INDEX('請求台帳'!$L$5:$L$1004,$O108))</f>
        <v/>
      </c>
      <c r="F108" s="48">
        <f>IF($N108&lt;&gt;"減","",N(INDEX('入金消込'!$G$5:$G$1004,$O108)))</f>
        <v/>
      </c>
      <c r="G108" s="48">
        <f>IF($N108&lt;&gt;"減","",N(INDEX('入金消込'!$H$5:$H$1004,$O108))+N(INDEX('入金消込'!$I$5:$I$1004,$O108)))</f>
        <v/>
      </c>
      <c r="H108" s="49">
        <f>IF($N108="","",$H107+N($E108)-N($F108)-N($G108))</f>
        <v/>
      </c>
      <c r="I108" s="56" t="n"/>
      <c r="J108" s="32">
        <f>$J107+IF($N107="増",1,0)</f>
        <v/>
      </c>
      <c r="K108" s="32">
        <f>$K107+IF($N107="減",1,0)</f>
        <v/>
      </c>
      <c r="L108" s="35">
        <f>IF($B$3="",1E+9,IFERROR(SMALL('請求台帳'!$Z$5:$Z$1004,$J108+1),1E+9))</f>
        <v/>
      </c>
      <c r="M108" s="35">
        <f>IF($B$3="",1E+9,IFERROR(SMALL('入金消込'!$Q$5:$Q$1004,$K108+1),1E+9))</f>
        <v/>
      </c>
      <c r="N108" s="32">
        <f>IF(MIN($L108,$M108)&gt;=1E+9,"",IF($L108&lt;=$M108,"増","減"))</f>
        <v/>
      </c>
      <c r="O108" s="32">
        <f>IF($N108="","",IF($N108="増",MATCH($L108,'請求台帳'!$Z$5:$Z$1004,0),MATCH($M108,'入金消込'!$Q$5:$Q$1004,0)))</f>
        <v/>
      </c>
      <c r="P108" s="56" t="n"/>
      <c r="Q108" s="56" t="n"/>
    </row>
    <row r="109" ht="18" customHeight="1">
      <c r="A109" s="45">
        <f>IF($N109="","",IF($N109="増",INDEX('請求台帳'!$X$5:$X$1004,$O109),INDEX('入金消込'!$A$5:$A$1004,$O109)))</f>
        <v/>
      </c>
      <c r="B109" s="46">
        <f>IF($N109="","",IF($N109="増","売上","入金"))</f>
        <v/>
      </c>
      <c r="C109" s="46">
        <f>IF($N109="","",IF($N109="増",INDEX('請求台帳'!$A$5:$A$1004,$O109)&amp;"","入金No "&amp;INDEX('入金消込'!$B$5:$B$1004,$O109)))</f>
        <v/>
      </c>
      <c r="D109" s="47">
        <f>IF($N109="","",IF($N109="増",INDEX('請求台帳'!$F$5:$F$1004,$O109)&amp;"",IF(INDEX('入金消込'!$F$5:$F$1004,$O109)="","消込先が未定",INDEX('入金消込'!$F$5:$F$1004,$O109)&amp;" の入金")))</f>
        <v/>
      </c>
      <c r="E109" s="48">
        <f>IF($N109&lt;&gt;"増","",INDEX('請求台帳'!$L$5:$L$1004,$O109))</f>
        <v/>
      </c>
      <c r="F109" s="48">
        <f>IF($N109&lt;&gt;"減","",N(INDEX('入金消込'!$G$5:$G$1004,$O109)))</f>
        <v/>
      </c>
      <c r="G109" s="48">
        <f>IF($N109&lt;&gt;"減","",N(INDEX('入金消込'!$H$5:$H$1004,$O109))+N(INDEX('入金消込'!$I$5:$I$1004,$O109)))</f>
        <v/>
      </c>
      <c r="H109" s="49">
        <f>IF($N109="","",$H108+N($E109)-N($F109)-N($G109))</f>
        <v/>
      </c>
      <c r="I109" s="56" t="n"/>
      <c r="J109" s="32">
        <f>$J108+IF($N108="増",1,0)</f>
        <v/>
      </c>
      <c r="K109" s="32">
        <f>$K108+IF($N108="減",1,0)</f>
        <v/>
      </c>
      <c r="L109" s="35">
        <f>IF($B$3="",1E+9,IFERROR(SMALL('請求台帳'!$Z$5:$Z$1004,$J109+1),1E+9))</f>
        <v/>
      </c>
      <c r="M109" s="35">
        <f>IF($B$3="",1E+9,IFERROR(SMALL('入金消込'!$Q$5:$Q$1004,$K109+1),1E+9))</f>
        <v/>
      </c>
      <c r="N109" s="32">
        <f>IF(MIN($L109,$M109)&gt;=1E+9,"",IF($L109&lt;=$M109,"増","減"))</f>
        <v/>
      </c>
      <c r="O109" s="32">
        <f>IF($N109="","",IF($N109="増",MATCH($L109,'請求台帳'!$Z$5:$Z$1004,0),MATCH($M109,'入金消込'!$Q$5:$Q$1004,0)))</f>
        <v/>
      </c>
      <c r="P109" s="56" t="n"/>
      <c r="Q109" s="56" t="n"/>
    </row>
    <row r="110" ht="18" customHeight="1">
      <c r="A110" s="45">
        <f>IF($N110="","",IF($N110="増",INDEX('請求台帳'!$X$5:$X$1004,$O110),INDEX('入金消込'!$A$5:$A$1004,$O110)))</f>
        <v/>
      </c>
      <c r="B110" s="46">
        <f>IF($N110="","",IF($N110="増","売上","入金"))</f>
        <v/>
      </c>
      <c r="C110" s="46">
        <f>IF($N110="","",IF($N110="増",INDEX('請求台帳'!$A$5:$A$1004,$O110)&amp;"","入金No "&amp;INDEX('入金消込'!$B$5:$B$1004,$O110)))</f>
        <v/>
      </c>
      <c r="D110" s="47">
        <f>IF($N110="","",IF($N110="増",INDEX('請求台帳'!$F$5:$F$1004,$O110)&amp;"",IF(INDEX('入金消込'!$F$5:$F$1004,$O110)="","消込先が未定",INDEX('入金消込'!$F$5:$F$1004,$O110)&amp;" の入金")))</f>
        <v/>
      </c>
      <c r="E110" s="48">
        <f>IF($N110&lt;&gt;"増","",INDEX('請求台帳'!$L$5:$L$1004,$O110))</f>
        <v/>
      </c>
      <c r="F110" s="48">
        <f>IF($N110&lt;&gt;"減","",N(INDEX('入金消込'!$G$5:$G$1004,$O110)))</f>
        <v/>
      </c>
      <c r="G110" s="48">
        <f>IF($N110&lt;&gt;"減","",N(INDEX('入金消込'!$H$5:$H$1004,$O110))+N(INDEX('入金消込'!$I$5:$I$1004,$O110)))</f>
        <v/>
      </c>
      <c r="H110" s="49">
        <f>IF($N110="","",$H109+N($E110)-N($F110)-N($G110))</f>
        <v/>
      </c>
      <c r="I110" s="56" t="n"/>
      <c r="J110" s="32">
        <f>$J109+IF($N109="増",1,0)</f>
        <v/>
      </c>
      <c r="K110" s="32">
        <f>$K109+IF($N109="減",1,0)</f>
        <v/>
      </c>
      <c r="L110" s="35">
        <f>IF($B$3="",1E+9,IFERROR(SMALL('請求台帳'!$Z$5:$Z$1004,$J110+1),1E+9))</f>
        <v/>
      </c>
      <c r="M110" s="35">
        <f>IF($B$3="",1E+9,IFERROR(SMALL('入金消込'!$Q$5:$Q$1004,$K110+1),1E+9))</f>
        <v/>
      </c>
      <c r="N110" s="32">
        <f>IF(MIN($L110,$M110)&gt;=1E+9,"",IF($L110&lt;=$M110,"増","減"))</f>
        <v/>
      </c>
      <c r="O110" s="32">
        <f>IF($N110="","",IF($N110="増",MATCH($L110,'請求台帳'!$Z$5:$Z$1004,0),MATCH($M110,'入金消込'!$Q$5:$Q$1004,0)))</f>
        <v/>
      </c>
      <c r="P110" s="56" t="n"/>
      <c r="Q110" s="56" t="n"/>
    </row>
    <row r="111" ht="18" customHeight="1">
      <c r="A111" s="45">
        <f>IF($N111="","",IF($N111="増",INDEX('請求台帳'!$X$5:$X$1004,$O111),INDEX('入金消込'!$A$5:$A$1004,$O111)))</f>
        <v/>
      </c>
      <c r="B111" s="46">
        <f>IF($N111="","",IF($N111="増","売上","入金"))</f>
        <v/>
      </c>
      <c r="C111" s="46">
        <f>IF($N111="","",IF($N111="増",INDEX('請求台帳'!$A$5:$A$1004,$O111)&amp;"","入金No "&amp;INDEX('入金消込'!$B$5:$B$1004,$O111)))</f>
        <v/>
      </c>
      <c r="D111" s="47">
        <f>IF($N111="","",IF($N111="増",INDEX('請求台帳'!$F$5:$F$1004,$O111)&amp;"",IF(INDEX('入金消込'!$F$5:$F$1004,$O111)="","消込先が未定",INDEX('入金消込'!$F$5:$F$1004,$O111)&amp;" の入金")))</f>
        <v/>
      </c>
      <c r="E111" s="48">
        <f>IF($N111&lt;&gt;"増","",INDEX('請求台帳'!$L$5:$L$1004,$O111))</f>
        <v/>
      </c>
      <c r="F111" s="48">
        <f>IF($N111&lt;&gt;"減","",N(INDEX('入金消込'!$G$5:$G$1004,$O111)))</f>
        <v/>
      </c>
      <c r="G111" s="48">
        <f>IF($N111&lt;&gt;"減","",N(INDEX('入金消込'!$H$5:$H$1004,$O111))+N(INDEX('入金消込'!$I$5:$I$1004,$O111)))</f>
        <v/>
      </c>
      <c r="H111" s="49">
        <f>IF($N111="","",$H110+N($E111)-N($F111)-N($G111))</f>
        <v/>
      </c>
      <c r="I111" s="56" t="n"/>
      <c r="J111" s="32">
        <f>$J110+IF($N110="増",1,0)</f>
        <v/>
      </c>
      <c r="K111" s="32">
        <f>$K110+IF($N110="減",1,0)</f>
        <v/>
      </c>
      <c r="L111" s="35">
        <f>IF($B$3="",1E+9,IFERROR(SMALL('請求台帳'!$Z$5:$Z$1004,$J111+1),1E+9))</f>
        <v/>
      </c>
      <c r="M111" s="35">
        <f>IF($B$3="",1E+9,IFERROR(SMALL('入金消込'!$Q$5:$Q$1004,$K111+1),1E+9))</f>
        <v/>
      </c>
      <c r="N111" s="32">
        <f>IF(MIN($L111,$M111)&gt;=1E+9,"",IF($L111&lt;=$M111,"増","減"))</f>
        <v/>
      </c>
      <c r="O111" s="32">
        <f>IF($N111="","",IF($N111="増",MATCH($L111,'請求台帳'!$Z$5:$Z$1004,0),MATCH($M111,'入金消込'!$Q$5:$Q$1004,0)))</f>
        <v/>
      </c>
      <c r="P111" s="56" t="n"/>
      <c r="Q111" s="56" t="n"/>
    </row>
    <row r="112" ht="18" customHeight="1">
      <c r="A112" s="45">
        <f>IF($N112="","",IF($N112="増",INDEX('請求台帳'!$X$5:$X$1004,$O112),INDEX('入金消込'!$A$5:$A$1004,$O112)))</f>
        <v/>
      </c>
      <c r="B112" s="46">
        <f>IF($N112="","",IF($N112="増","売上","入金"))</f>
        <v/>
      </c>
      <c r="C112" s="46">
        <f>IF($N112="","",IF($N112="増",INDEX('請求台帳'!$A$5:$A$1004,$O112)&amp;"","入金No "&amp;INDEX('入金消込'!$B$5:$B$1004,$O112)))</f>
        <v/>
      </c>
      <c r="D112" s="47">
        <f>IF($N112="","",IF($N112="増",INDEX('請求台帳'!$F$5:$F$1004,$O112)&amp;"",IF(INDEX('入金消込'!$F$5:$F$1004,$O112)="","消込先が未定",INDEX('入金消込'!$F$5:$F$1004,$O112)&amp;" の入金")))</f>
        <v/>
      </c>
      <c r="E112" s="48">
        <f>IF($N112&lt;&gt;"増","",INDEX('請求台帳'!$L$5:$L$1004,$O112))</f>
        <v/>
      </c>
      <c r="F112" s="48">
        <f>IF($N112&lt;&gt;"減","",N(INDEX('入金消込'!$G$5:$G$1004,$O112)))</f>
        <v/>
      </c>
      <c r="G112" s="48">
        <f>IF($N112&lt;&gt;"減","",N(INDEX('入金消込'!$H$5:$H$1004,$O112))+N(INDEX('入金消込'!$I$5:$I$1004,$O112)))</f>
        <v/>
      </c>
      <c r="H112" s="49">
        <f>IF($N112="","",$H111+N($E112)-N($F112)-N($G112))</f>
        <v/>
      </c>
      <c r="I112" s="56" t="n"/>
      <c r="J112" s="32">
        <f>$J111+IF($N111="増",1,0)</f>
        <v/>
      </c>
      <c r="K112" s="32">
        <f>$K111+IF($N111="減",1,0)</f>
        <v/>
      </c>
      <c r="L112" s="35">
        <f>IF($B$3="",1E+9,IFERROR(SMALL('請求台帳'!$Z$5:$Z$1004,$J112+1),1E+9))</f>
        <v/>
      </c>
      <c r="M112" s="35">
        <f>IF($B$3="",1E+9,IFERROR(SMALL('入金消込'!$Q$5:$Q$1004,$K112+1),1E+9))</f>
        <v/>
      </c>
      <c r="N112" s="32">
        <f>IF(MIN($L112,$M112)&gt;=1E+9,"",IF($L112&lt;=$M112,"増","減"))</f>
        <v/>
      </c>
      <c r="O112" s="32">
        <f>IF($N112="","",IF($N112="増",MATCH($L112,'請求台帳'!$Z$5:$Z$1004,0),MATCH($M112,'入金消込'!$Q$5:$Q$1004,0)))</f>
        <v/>
      </c>
      <c r="P112" s="56" t="n"/>
      <c r="Q112" s="56" t="n"/>
    </row>
    <row r="113" ht="18" customHeight="1">
      <c r="A113" s="45">
        <f>IF($N113="","",IF($N113="増",INDEX('請求台帳'!$X$5:$X$1004,$O113),INDEX('入金消込'!$A$5:$A$1004,$O113)))</f>
        <v/>
      </c>
      <c r="B113" s="46">
        <f>IF($N113="","",IF($N113="増","売上","入金"))</f>
        <v/>
      </c>
      <c r="C113" s="46">
        <f>IF($N113="","",IF($N113="増",INDEX('請求台帳'!$A$5:$A$1004,$O113)&amp;"","入金No "&amp;INDEX('入金消込'!$B$5:$B$1004,$O113)))</f>
        <v/>
      </c>
      <c r="D113" s="47">
        <f>IF($N113="","",IF($N113="増",INDEX('請求台帳'!$F$5:$F$1004,$O113)&amp;"",IF(INDEX('入金消込'!$F$5:$F$1004,$O113)="","消込先が未定",INDEX('入金消込'!$F$5:$F$1004,$O113)&amp;" の入金")))</f>
        <v/>
      </c>
      <c r="E113" s="48">
        <f>IF($N113&lt;&gt;"増","",INDEX('請求台帳'!$L$5:$L$1004,$O113))</f>
        <v/>
      </c>
      <c r="F113" s="48">
        <f>IF($N113&lt;&gt;"減","",N(INDEX('入金消込'!$G$5:$G$1004,$O113)))</f>
        <v/>
      </c>
      <c r="G113" s="48">
        <f>IF($N113&lt;&gt;"減","",N(INDEX('入金消込'!$H$5:$H$1004,$O113))+N(INDEX('入金消込'!$I$5:$I$1004,$O113)))</f>
        <v/>
      </c>
      <c r="H113" s="49">
        <f>IF($N113="","",$H112+N($E113)-N($F113)-N($G113))</f>
        <v/>
      </c>
      <c r="I113" s="56" t="n"/>
      <c r="J113" s="32">
        <f>$J112+IF($N112="増",1,0)</f>
        <v/>
      </c>
      <c r="K113" s="32">
        <f>$K112+IF($N112="減",1,0)</f>
        <v/>
      </c>
      <c r="L113" s="35">
        <f>IF($B$3="",1E+9,IFERROR(SMALL('請求台帳'!$Z$5:$Z$1004,$J113+1),1E+9))</f>
        <v/>
      </c>
      <c r="M113" s="35">
        <f>IF($B$3="",1E+9,IFERROR(SMALL('入金消込'!$Q$5:$Q$1004,$K113+1),1E+9))</f>
        <v/>
      </c>
      <c r="N113" s="32">
        <f>IF(MIN($L113,$M113)&gt;=1E+9,"",IF($L113&lt;=$M113,"増","減"))</f>
        <v/>
      </c>
      <c r="O113" s="32">
        <f>IF($N113="","",IF($N113="増",MATCH($L113,'請求台帳'!$Z$5:$Z$1004,0),MATCH($M113,'入金消込'!$Q$5:$Q$1004,0)))</f>
        <v/>
      </c>
      <c r="P113" s="56" t="n"/>
      <c r="Q113" s="56" t="n"/>
    </row>
    <row r="114" ht="18" customHeight="1">
      <c r="A114" s="45">
        <f>IF($N114="","",IF($N114="増",INDEX('請求台帳'!$X$5:$X$1004,$O114),INDEX('入金消込'!$A$5:$A$1004,$O114)))</f>
        <v/>
      </c>
      <c r="B114" s="46">
        <f>IF($N114="","",IF($N114="増","売上","入金"))</f>
        <v/>
      </c>
      <c r="C114" s="46">
        <f>IF($N114="","",IF($N114="増",INDEX('請求台帳'!$A$5:$A$1004,$O114)&amp;"","入金No "&amp;INDEX('入金消込'!$B$5:$B$1004,$O114)))</f>
        <v/>
      </c>
      <c r="D114" s="47">
        <f>IF($N114="","",IF($N114="増",INDEX('請求台帳'!$F$5:$F$1004,$O114)&amp;"",IF(INDEX('入金消込'!$F$5:$F$1004,$O114)="","消込先が未定",INDEX('入金消込'!$F$5:$F$1004,$O114)&amp;" の入金")))</f>
        <v/>
      </c>
      <c r="E114" s="48">
        <f>IF($N114&lt;&gt;"増","",INDEX('請求台帳'!$L$5:$L$1004,$O114))</f>
        <v/>
      </c>
      <c r="F114" s="48">
        <f>IF($N114&lt;&gt;"減","",N(INDEX('入金消込'!$G$5:$G$1004,$O114)))</f>
        <v/>
      </c>
      <c r="G114" s="48">
        <f>IF($N114&lt;&gt;"減","",N(INDEX('入金消込'!$H$5:$H$1004,$O114))+N(INDEX('入金消込'!$I$5:$I$1004,$O114)))</f>
        <v/>
      </c>
      <c r="H114" s="49">
        <f>IF($N114="","",$H113+N($E114)-N($F114)-N($G114))</f>
        <v/>
      </c>
      <c r="I114" s="56" t="n"/>
      <c r="J114" s="32">
        <f>$J113+IF($N113="増",1,0)</f>
        <v/>
      </c>
      <c r="K114" s="32">
        <f>$K113+IF($N113="減",1,0)</f>
        <v/>
      </c>
      <c r="L114" s="35">
        <f>IF($B$3="",1E+9,IFERROR(SMALL('請求台帳'!$Z$5:$Z$1004,$J114+1),1E+9))</f>
        <v/>
      </c>
      <c r="M114" s="35">
        <f>IF($B$3="",1E+9,IFERROR(SMALL('入金消込'!$Q$5:$Q$1004,$K114+1),1E+9))</f>
        <v/>
      </c>
      <c r="N114" s="32">
        <f>IF(MIN($L114,$M114)&gt;=1E+9,"",IF($L114&lt;=$M114,"増","減"))</f>
        <v/>
      </c>
      <c r="O114" s="32">
        <f>IF($N114="","",IF($N114="増",MATCH($L114,'請求台帳'!$Z$5:$Z$1004,0),MATCH($M114,'入金消込'!$Q$5:$Q$1004,0)))</f>
        <v/>
      </c>
      <c r="P114" s="56" t="n"/>
      <c r="Q114" s="56" t="n"/>
    </row>
    <row r="115" ht="18" customHeight="1">
      <c r="A115" s="45">
        <f>IF($N115="","",IF($N115="増",INDEX('請求台帳'!$X$5:$X$1004,$O115),INDEX('入金消込'!$A$5:$A$1004,$O115)))</f>
        <v/>
      </c>
      <c r="B115" s="46">
        <f>IF($N115="","",IF($N115="増","売上","入金"))</f>
        <v/>
      </c>
      <c r="C115" s="46">
        <f>IF($N115="","",IF($N115="増",INDEX('請求台帳'!$A$5:$A$1004,$O115)&amp;"","入金No "&amp;INDEX('入金消込'!$B$5:$B$1004,$O115)))</f>
        <v/>
      </c>
      <c r="D115" s="47">
        <f>IF($N115="","",IF($N115="増",INDEX('請求台帳'!$F$5:$F$1004,$O115)&amp;"",IF(INDEX('入金消込'!$F$5:$F$1004,$O115)="","消込先が未定",INDEX('入金消込'!$F$5:$F$1004,$O115)&amp;" の入金")))</f>
        <v/>
      </c>
      <c r="E115" s="48">
        <f>IF($N115&lt;&gt;"増","",INDEX('請求台帳'!$L$5:$L$1004,$O115))</f>
        <v/>
      </c>
      <c r="F115" s="48">
        <f>IF($N115&lt;&gt;"減","",N(INDEX('入金消込'!$G$5:$G$1004,$O115)))</f>
        <v/>
      </c>
      <c r="G115" s="48">
        <f>IF($N115&lt;&gt;"減","",N(INDEX('入金消込'!$H$5:$H$1004,$O115))+N(INDEX('入金消込'!$I$5:$I$1004,$O115)))</f>
        <v/>
      </c>
      <c r="H115" s="49">
        <f>IF($N115="","",$H114+N($E115)-N($F115)-N($G115))</f>
        <v/>
      </c>
      <c r="I115" s="56" t="n"/>
      <c r="J115" s="32">
        <f>$J114+IF($N114="増",1,0)</f>
        <v/>
      </c>
      <c r="K115" s="32">
        <f>$K114+IF($N114="減",1,0)</f>
        <v/>
      </c>
      <c r="L115" s="35">
        <f>IF($B$3="",1E+9,IFERROR(SMALL('請求台帳'!$Z$5:$Z$1004,$J115+1),1E+9))</f>
        <v/>
      </c>
      <c r="M115" s="35">
        <f>IF($B$3="",1E+9,IFERROR(SMALL('入金消込'!$Q$5:$Q$1004,$K115+1),1E+9))</f>
        <v/>
      </c>
      <c r="N115" s="32">
        <f>IF(MIN($L115,$M115)&gt;=1E+9,"",IF($L115&lt;=$M115,"増","減"))</f>
        <v/>
      </c>
      <c r="O115" s="32">
        <f>IF($N115="","",IF($N115="増",MATCH($L115,'請求台帳'!$Z$5:$Z$1004,0),MATCH($M115,'入金消込'!$Q$5:$Q$1004,0)))</f>
        <v/>
      </c>
      <c r="P115" s="56" t="n"/>
      <c r="Q115" s="56" t="n"/>
    </row>
    <row r="116" ht="18" customHeight="1">
      <c r="A116" s="45">
        <f>IF($N116="","",IF($N116="増",INDEX('請求台帳'!$X$5:$X$1004,$O116),INDEX('入金消込'!$A$5:$A$1004,$O116)))</f>
        <v/>
      </c>
      <c r="B116" s="46">
        <f>IF($N116="","",IF($N116="増","売上","入金"))</f>
        <v/>
      </c>
      <c r="C116" s="46">
        <f>IF($N116="","",IF($N116="増",INDEX('請求台帳'!$A$5:$A$1004,$O116)&amp;"","入金No "&amp;INDEX('入金消込'!$B$5:$B$1004,$O116)))</f>
        <v/>
      </c>
      <c r="D116" s="47">
        <f>IF($N116="","",IF($N116="増",INDEX('請求台帳'!$F$5:$F$1004,$O116)&amp;"",IF(INDEX('入金消込'!$F$5:$F$1004,$O116)="","消込先が未定",INDEX('入金消込'!$F$5:$F$1004,$O116)&amp;" の入金")))</f>
        <v/>
      </c>
      <c r="E116" s="48">
        <f>IF($N116&lt;&gt;"増","",INDEX('請求台帳'!$L$5:$L$1004,$O116))</f>
        <v/>
      </c>
      <c r="F116" s="48">
        <f>IF($N116&lt;&gt;"減","",N(INDEX('入金消込'!$G$5:$G$1004,$O116)))</f>
        <v/>
      </c>
      <c r="G116" s="48">
        <f>IF($N116&lt;&gt;"減","",N(INDEX('入金消込'!$H$5:$H$1004,$O116))+N(INDEX('入金消込'!$I$5:$I$1004,$O116)))</f>
        <v/>
      </c>
      <c r="H116" s="49">
        <f>IF($N116="","",$H115+N($E116)-N($F116)-N($G116))</f>
        <v/>
      </c>
      <c r="I116" s="56" t="n"/>
      <c r="J116" s="32">
        <f>$J115+IF($N115="増",1,0)</f>
        <v/>
      </c>
      <c r="K116" s="32">
        <f>$K115+IF($N115="減",1,0)</f>
        <v/>
      </c>
      <c r="L116" s="35">
        <f>IF($B$3="",1E+9,IFERROR(SMALL('請求台帳'!$Z$5:$Z$1004,$J116+1),1E+9))</f>
        <v/>
      </c>
      <c r="M116" s="35">
        <f>IF($B$3="",1E+9,IFERROR(SMALL('入金消込'!$Q$5:$Q$1004,$K116+1),1E+9))</f>
        <v/>
      </c>
      <c r="N116" s="32">
        <f>IF(MIN($L116,$M116)&gt;=1E+9,"",IF($L116&lt;=$M116,"増","減"))</f>
        <v/>
      </c>
      <c r="O116" s="32">
        <f>IF($N116="","",IF($N116="増",MATCH($L116,'請求台帳'!$Z$5:$Z$1004,0),MATCH($M116,'入金消込'!$Q$5:$Q$1004,0)))</f>
        <v/>
      </c>
      <c r="P116" s="56" t="n"/>
      <c r="Q116" s="56" t="n"/>
    </row>
    <row r="117" ht="18" customHeight="1">
      <c r="A117" s="45">
        <f>IF($N117="","",IF($N117="増",INDEX('請求台帳'!$X$5:$X$1004,$O117),INDEX('入金消込'!$A$5:$A$1004,$O117)))</f>
        <v/>
      </c>
      <c r="B117" s="46">
        <f>IF($N117="","",IF($N117="増","売上","入金"))</f>
        <v/>
      </c>
      <c r="C117" s="46">
        <f>IF($N117="","",IF($N117="増",INDEX('請求台帳'!$A$5:$A$1004,$O117)&amp;"","入金No "&amp;INDEX('入金消込'!$B$5:$B$1004,$O117)))</f>
        <v/>
      </c>
      <c r="D117" s="47">
        <f>IF($N117="","",IF($N117="増",INDEX('請求台帳'!$F$5:$F$1004,$O117)&amp;"",IF(INDEX('入金消込'!$F$5:$F$1004,$O117)="","消込先が未定",INDEX('入金消込'!$F$5:$F$1004,$O117)&amp;" の入金")))</f>
        <v/>
      </c>
      <c r="E117" s="48">
        <f>IF($N117&lt;&gt;"増","",INDEX('請求台帳'!$L$5:$L$1004,$O117))</f>
        <v/>
      </c>
      <c r="F117" s="48">
        <f>IF($N117&lt;&gt;"減","",N(INDEX('入金消込'!$G$5:$G$1004,$O117)))</f>
        <v/>
      </c>
      <c r="G117" s="48">
        <f>IF($N117&lt;&gt;"減","",N(INDEX('入金消込'!$H$5:$H$1004,$O117))+N(INDEX('入金消込'!$I$5:$I$1004,$O117)))</f>
        <v/>
      </c>
      <c r="H117" s="49">
        <f>IF($N117="","",$H116+N($E117)-N($F117)-N($G117))</f>
        <v/>
      </c>
      <c r="I117" s="56" t="n"/>
      <c r="J117" s="32">
        <f>$J116+IF($N116="増",1,0)</f>
        <v/>
      </c>
      <c r="K117" s="32">
        <f>$K116+IF($N116="減",1,0)</f>
        <v/>
      </c>
      <c r="L117" s="35">
        <f>IF($B$3="",1E+9,IFERROR(SMALL('請求台帳'!$Z$5:$Z$1004,$J117+1),1E+9))</f>
        <v/>
      </c>
      <c r="M117" s="35">
        <f>IF($B$3="",1E+9,IFERROR(SMALL('入金消込'!$Q$5:$Q$1004,$K117+1),1E+9))</f>
        <v/>
      </c>
      <c r="N117" s="32">
        <f>IF(MIN($L117,$M117)&gt;=1E+9,"",IF($L117&lt;=$M117,"増","減"))</f>
        <v/>
      </c>
      <c r="O117" s="32">
        <f>IF($N117="","",IF($N117="増",MATCH($L117,'請求台帳'!$Z$5:$Z$1004,0),MATCH($M117,'入金消込'!$Q$5:$Q$1004,0)))</f>
        <v/>
      </c>
      <c r="P117" s="56" t="n"/>
      <c r="Q117" s="56" t="n"/>
    </row>
    <row r="118" ht="18" customHeight="1">
      <c r="A118" s="45">
        <f>IF($N118="","",IF($N118="増",INDEX('請求台帳'!$X$5:$X$1004,$O118),INDEX('入金消込'!$A$5:$A$1004,$O118)))</f>
        <v/>
      </c>
      <c r="B118" s="46">
        <f>IF($N118="","",IF($N118="増","売上","入金"))</f>
        <v/>
      </c>
      <c r="C118" s="46">
        <f>IF($N118="","",IF($N118="増",INDEX('請求台帳'!$A$5:$A$1004,$O118)&amp;"","入金No "&amp;INDEX('入金消込'!$B$5:$B$1004,$O118)))</f>
        <v/>
      </c>
      <c r="D118" s="47">
        <f>IF($N118="","",IF($N118="増",INDEX('請求台帳'!$F$5:$F$1004,$O118)&amp;"",IF(INDEX('入金消込'!$F$5:$F$1004,$O118)="","消込先が未定",INDEX('入金消込'!$F$5:$F$1004,$O118)&amp;" の入金")))</f>
        <v/>
      </c>
      <c r="E118" s="48">
        <f>IF($N118&lt;&gt;"増","",INDEX('請求台帳'!$L$5:$L$1004,$O118))</f>
        <v/>
      </c>
      <c r="F118" s="48">
        <f>IF($N118&lt;&gt;"減","",N(INDEX('入金消込'!$G$5:$G$1004,$O118)))</f>
        <v/>
      </c>
      <c r="G118" s="48">
        <f>IF($N118&lt;&gt;"減","",N(INDEX('入金消込'!$H$5:$H$1004,$O118))+N(INDEX('入金消込'!$I$5:$I$1004,$O118)))</f>
        <v/>
      </c>
      <c r="H118" s="49">
        <f>IF($N118="","",$H117+N($E118)-N($F118)-N($G118))</f>
        <v/>
      </c>
      <c r="I118" s="56" t="n"/>
      <c r="J118" s="32">
        <f>$J117+IF($N117="増",1,0)</f>
        <v/>
      </c>
      <c r="K118" s="32">
        <f>$K117+IF($N117="減",1,0)</f>
        <v/>
      </c>
      <c r="L118" s="35">
        <f>IF($B$3="",1E+9,IFERROR(SMALL('請求台帳'!$Z$5:$Z$1004,$J118+1),1E+9))</f>
        <v/>
      </c>
      <c r="M118" s="35">
        <f>IF($B$3="",1E+9,IFERROR(SMALL('入金消込'!$Q$5:$Q$1004,$K118+1),1E+9))</f>
        <v/>
      </c>
      <c r="N118" s="32">
        <f>IF(MIN($L118,$M118)&gt;=1E+9,"",IF($L118&lt;=$M118,"増","減"))</f>
        <v/>
      </c>
      <c r="O118" s="32">
        <f>IF($N118="","",IF($N118="増",MATCH($L118,'請求台帳'!$Z$5:$Z$1004,0),MATCH($M118,'入金消込'!$Q$5:$Q$1004,0)))</f>
        <v/>
      </c>
      <c r="P118" s="56" t="n"/>
      <c r="Q118" s="56" t="n"/>
    </row>
    <row r="119" ht="18" customHeight="1">
      <c r="A119" s="45">
        <f>IF($N119="","",IF($N119="増",INDEX('請求台帳'!$X$5:$X$1004,$O119),INDEX('入金消込'!$A$5:$A$1004,$O119)))</f>
        <v/>
      </c>
      <c r="B119" s="46">
        <f>IF($N119="","",IF($N119="増","売上","入金"))</f>
        <v/>
      </c>
      <c r="C119" s="46">
        <f>IF($N119="","",IF($N119="増",INDEX('請求台帳'!$A$5:$A$1004,$O119)&amp;"","入金No "&amp;INDEX('入金消込'!$B$5:$B$1004,$O119)))</f>
        <v/>
      </c>
      <c r="D119" s="47">
        <f>IF($N119="","",IF($N119="増",INDEX('請求台帳'!$F$5:$F$1004,$O119)&amp;"",IF(INDEX('入金消込'!$F$5:$F$1004,$O119)="","消込先が未定",INDEX('入金消込'!$F$5:$F$1004,$O119)&amp;" の入金")))</f>
        <v/>
      </c>
      <c r="E119" s="48">
        <f>IF($N119&lt;&gt;"増","",INDEX('請求台帳'!$L$5:$L$1004,$O119))</f>
        <v/>
      </c>
      <c r="F119" s="48">
        <f>IF($N119&lt;&gt;"減","",N(INDEX('入金消込'!$G$5:$G$1004,$O119)))</f>
        <v/>
      </c>
      <c r="G119" s="48">
        <f>IF($N119&lt;&gt;"減","",N(INDEX('入金消込'!$H$5:$H$1004,$O119))+N(INDEX('入金消込'!$I$5:$I$1004,$O119)))</f>
        <v/>
      </c>
      <c r="H119" s="49">
        <f>IF($N119="","",$H118+N($E119)-N($F119)-N($G119))</f>
        <v/>
      </c>
      <c r="I119" s="56" t="n"/>
      <c r="J119" s="32">
        <f>$J118+IF($N118="増",1,0)</f>
        <v/>
      </c>
      <c r="K119" s="32">
        <f>$K118+IF($N118="減",1,0)</f>
        <v/>
      </c>
      <c r="L119" s="35">
        <f>IF($B$3="",1E+9,IFERROR(SMALL('請求台帳'!$Z$5:$Z$1004,$J119+1),1E+9))</f>
        <v/>
      </c>
      <c r="M119" s="35">
        <f>IF($B$3="",1E+9,IFERROR(SMALL('入金消込'!$Q$5:$Q$1004,$K119+1),1E+9))</f>
        <v/>
      </c>
      <c r="N119" s="32">
        <f>IF(MIN($L119,$M119)&gt;=1E+9,"",IF($L119&lt;=$M119,"増","減"))</f>
        <v/>
      </c>
      <c r="O119" s="32">
        <f>IF($N119="","",IF($N119="増",MATCH($L119,'請求台帳'!$Z$5:$Z$1004,0),MATCH($M119,'入金消込'!$Q$5:$Q$1004,0)))</f>
        <v/>
      </c>
      <c r="P119" s="56" t="n"/>
      <c r="Q119" s="56" t="n"/>
    </row>
    <row r="120" ht="18" customHeight="1">
      <c r="A120" s="45">
        <f>IF($N120="","",IF($N120="増",INDEX('請求台帳'!$X$5:$X$1004,$O120),INDEX('入金消込'!$A$5:$A$1004,$O120)))</f>
        <v/>
      </c>
      <c r="B120" s="46">
        <f>IF($N120="","",IF($N120="増","売上","入金"))</f>
        <v/>
      </c>
      <c r="C120" s="46">
        <f>IF($N120="","",IF($N120="増",INDEX('請求台帳'!$A$5:$A$1004,$O120)&amp;"","入金No "&amp;INDEX('入金消込'!$B$5:$B$1004,$O120)))</f>
        <v/>
      </c>
      <c r="D120" s="47">
        <f>IF($N120="","",IF($N120="増",INDEX('請求台帳'!$F$5:$F$1004,$O120)&amp;"",IF(INDEX('入金消込'!$F$5:$F$1004,$O120)="","消込先が未定",INDEX('入金消込'!$F$5:$F$1004,$O120)&amp;" の入金")))</f>
        <v/>
      </c>
      <c r="E120" s="48">
        <f>IF($N120&lt;&gt;"増","",INDEX('請求台帳'!$L$5:$L$1004,$O120))</f>
        <v/>
      </c>
      <c r="F120" s="48">
        <f>IF($N120&lt;&gt;"減","",N(INDEX('入金消込'!$G$5:$G$1004,$O120)))</f>
        <v/>
      </c>
      <c r="G120" s="48">
        <f>IF($N120&lt;&gt;"減","",N(INDEX('入金消込'!$H$5:$H$1004,$O120))+N(INDEX('入金消込'!$I$5:$I$1004,$O120)))</f>
        <v/>
      </c>
      <c r="H120" s="49">
        <f>IF($N120="","",$H119+N($E120)-N($F120)-N($G120))</f>
        <v/>
      </c>
      <c r="I120" s="56" t="n"/>
      <c r="J120" s="32">
        <f>$J119+IF($N119="増",1,0)</f>
        <v/>
      </c>
      <c r="K120" s="32">
        <f>$K119+IF($N119="減",1,0)</f>
        <v/>
      </c>
      <c r="L120" s="35">
        <f>IF($B$3="",1E+9,IFERROR(SMALL('請求台帳'!$Z$5:$Z$1004,$J120+1),1E+9))</f>
        <v/>
      </c>
      <c r="M120" s="35">
        <f>IF($B$3="",1E+9,IFERROR(SMALL('入金消込'!$Q$5:$Q$1004,$K120+1),1E+9))</f>
        <v/>
      </c>
      <c r="N120" s="32">
        <f>IF(MIN($L120,$M120)&gt;=1E+9,"",IF($L120&lt;=$M120,"増","減"))</f>
        <v/>
      </c>
      <c r="O120" s="32">
        <f>IF($N120="","",IF($N120="増",MATCH($L120,'請求台帳'!$Z$5:$Z$1004,0),MATCH($M120,'入金消込'!$Q$5:$Q$1004,0)))</f>
        <v/>
      </c>
      <c r="P120" s="56" t="n"/>
      <c r="Q120" s="56" t="n"/>
    </row>
    <row r="121" ht="18" customHeight="1">
      <c r="A121" s="45">
        <f>IF($N121="","",IF($N121="増",INDEX('請求台帳'!$X$5:$X$1004,$O121),INDEX('入金消込'!$A$5:$A$1004,$O121)))</f>
        <v/>
      </c>
      <c r="B121" s="46">
        <f>IF($N121="","",IF($N121="増","売上","入金"))</f>
        <v/>
      </c>
      <c r="C121" s="46">
        <f>IF($N121="","",IF($N121="増",INDEX('請求台帳'!$A$5:$A$1004,$O121)&amp;"","入金No "&amp;INDEX('入金消込'!$B$5:$B$1004,$O121)))</f>
        <v/>
      </c>
      <c r="D121" s="47">
        <f>IF($N121="","",IF($N121="増",INDEX('請求台帳'!$F$5:$F$1004,$O121)&amp;"",IF(INDEX('入金消込'!$F$5:$F$1004,$O121)="","消込先が未定",INDEX('入金消込'!$F$5:$F$1004,$O121)&amp;" の入金")))</f>
        <v/>
      </c>
      <c r="E121" s="48">
        <f>IF($N121&lt;&gt;"増","",INDEX('請求台帳'!$L$5:$L$1004,$O121))</f>
        <v/>
      </c>
      <c r="F121" s="48">
        <f>IF($N121&lt;&gt;"減","",N(INDEX('入金消込'!$G$5:$G$1004,$O121)))</f>
        <v/>
      </c>
      <c r="G121" s="48">
        <f>IF($N121&lt;&gt;"減","",N(INDEX('入金消込'!$H$5:$H$1004,$O121))+N(INDEX('入金消込'!$I$5:$I$1004,$O121)))</f>
        <v/>
      </c>
      <c r="H121" s="49">
        <f>IF($N121="","",$H120+N($E121)-N($F121)-N($G121))</f>
        <v/>
      </c>
      <c r="I121" s="56" t="n"/>
      <c r="J121" s="32">
        <f>$J120+IF($N120="増",1,0)</f>
        <v/>
      </c>
      <c r="K121" s="32">
        <f>$K120+IF($N120="減",1,0)</f>
        <v/>
      </c>
      <c r="L121" s="35">
        <f>IF($B$3="",1E+9,IFERROR(SMALL('請求台帳'!$Z$5:$Z$1004,$J121+1),1E+9))</f>
        <v/>
      </c>
      <c r="M121" s="35">
        <f>IF($B$3="",1E+9,IFERROR(SMALL('入金消込'!$Q$5:$Q$1004,$K121+1),1E+9))</f>
        <v/>
      </c>
      <c r="N121" s="32">
        <f>IF(MIN($L121,$M121)&gt;=1E+9,"",IF($L121&lt;=$M121,"増","減"))</f>
        <v/>
      </c>
      <c r="O121" s="32">
        <f>IF($N121="","",IF($N121="増",MATCH($L121,'請求台帳'!$Z$5:$Z$1004,0),MATCH($M121,'入金消込'!$Q$5:$Q$1004,0)))</f>
        <v/>
      </c>
      <c r="P121" s="56" t="n"/>
      <c r="Q121" s="56" t="n"/>
    </row>
    <row r="122" ht="18" customHeight="1">
      <c r="A122" s="45">
        <f>IF($N122="","",IF($N122="増",INDEX('請求台帳'!$X$5:$X$1004,$O122),INDEX('入金消込'!$A$5:$A$1004,$O122)))</f>
        <v/>
      </c>
      <c r="B122" s="46">
        <f>IF($N122="","",IF($N122="増","売上","入金"))</f>
        <v/>
      </c>
      <c r="C122" s="46">
        <f>IF($N122="","",IF($N122="増",INDEX('請求台帳'!$A$5:$A$1004,$O122)&amp;"","入金No "&amp;INDEX('入金消込'!$B$5:$B$1004,$O122)))</f>
        <v/>
      </c>
      <c r="D122" s="47">
        <f>IF($N122="","",IF($N122="増",INDEX('請求台帳'!$F$5:$F$1004,$O122)&amp;"",IF(INDEX('入金消込'!$F$5:$F$1004,$O122)="","消込先が未定",INDEX('入金消込'!$F$5:$F$1004,$O122)&amp;" の入金")))</f>
        <v/>
      </c>
      <c r="E122" s="48">
        <f>IF($N122&lt;&gt;"増","",INDEX('請求台帳'!$L$5:$L$1004,$O122))</f>
        <v/>
      </c>
      <c r="F122" s="48">
        <f>IF($N122&lt;&gt;"減","",N(INDEX('入金消込'!$G$5:$G$1004,$O122)))</f>
        <v/>
      </c>
      <c r="G122" s="48">
        <f>IF($N122&lt;&gt;"減","",N(INDEX('入金消込'!$H$5:$H$1004,$O122))+N(INDEX('入金消込'!$I$5:$I$1004,$O122)))</f>
        <v/>
      </c>
      <c r="H122" s="49">
        <f>IF($N122="","",$H121+N($E122)-N($F122)-N($G122))</f>
        <v/>
      </c>
      <c r="I122" s="56" t="n"/>
      <c r="J122" s="32">
        <f>$J121+IF($N121="増",1,0)</f>
        <v/>
      </c>
      <c r="K122" s="32">
        <f>$K121+IF($N121="減",1,0)</f>
        <v/>
      </c>
      <c r="L122" s="35">
        <f>IF($B$3="",1E+9,IFERROR(SMALL('請求台帳'!$Z$5:$Z$1004,$J122+1),1E+9))</f>
        <v/>
      </c>
      <c r="M122" s="35">
        <f>IF($B$3="",1E+9,IFERROR(SMALL('入金消込'!$Q$5:$Q$1004,$K122+1),1E+9))</f>
        <v/>
      </c>
      <c r="N122" s="32">
        <f>IF(MIN($L122,$M122)&gt;=1E+9,"",IF($L122&lt;=$M122,"増","減"))</f>
        <v/>
      </c>
      <c r="O122" s="32">
        <f>IF($N122="","",IF($N122="増",MATCH($L122,'請求台帳'!$Z$5:$Z$1004,0),MATCH($M122,'入金消込'!$Q$5:$Q$1004,0)))</f>
        <v/>
      </c>
      <c r="P122" s="56" t="n"/>
      <c r="Q122" s="56" t="n"/>
    </row>
    <row r="123" ht="18" customHeight="1">
      <c r="A123" s="45">
        <f>IF($N123="","",IF($N123="増",INDEX('請求台帳'!$X$5:$X$1004,$O123),INDEX('入金消込'!$A$5:$A$1004,$O123)))</f>
        <v/>
      </c>
      <c r="B123" s="46">
        <f>IF($N123="","",IF($N123="増","売上","入金"))</f>
        <v/>
      </c>
      <c r="C123" s="46">
        <f>IF($N123="","",IF($N123="増",INDEX('請求台帳'!$A$5:$A$1004,$O123)&amp;"","入金No "&amp;INDEX('入金消込'!$B$5:$B$1004,$O123)))</f>
        <v/>
      </c>
      <c r="D123" s="47">
        <f>IF($N123="","",IF($N123="増",INDEX('請求台帳'!$F$5:$F$1004,$O123)&amp;"",IF(INDEX('入金消込'!$F$5:$F$1004,$O123)="","消込先が未定",INDEX('入金消込'!$F$5:$F$1004,$O123)&amp;" の入金")))</f>
        <v/>
      </c>
      <c r="E123" s="48">
        <f>IF($N123&lt;&gt;"増","",INDEX('請求台帳'!$L$5:$L$1004,$O123))</f>
        <v/>
      </c>
      <c r="F123" s="48">
        <f>IF($N123&lt;&gt;"減","",N(INDEX('入金消込'!$G$5:$G$1004,$O123)))</f>
        <v/>
      </c>
      <c r="G123" s="48">
        <f>IF($N123&lt;&gt;"減","",N(INDEX('入金消込'!$H$5:$H$1004,$O123))+N(INDEX('入金消込'!$I$5:$I$1004,$O123)))</f>
        <v/>
      </c>
      <c r="H123" s="49">
        <f>IF($N123="","",$H122+N($E123)-N($F123)-N($G123))</f>
        <v/>
      </c>
      <c r="I123" s="56" t="n"/>
      <c r="J123" s="32">
        <f>$J122+IF($N122="増",1,0)</f>
        <v/>
      </c>
      <c r="K123" s="32">
        <f>$K122+IF($N122="減",1,0)</f>
        <v/>
      </c>
      <c r="L123" s="35">
        <f>IF($B$3="",1E+9,IFERROR(SMALL('請求台帳'!$Z$5:$Z$1004,$J123+1),1E+9))</f>
        <v/>
      </c>
      <c r="M123" s="35">
        <f>IF($B$3="",1E+9,IFERROR(SMALL('入金消込'!$Q$5:$Q$1004,$K123+1),1E+9))</f>
        <v/>
      </c>
      <c r="N123" s="32">
        <f>IF(MIN($L123,$M123)&gt;=1E+9,"",IF($L123&lt;=$M123,"増","減"))</f>
        <v/>
      </c>
      <c r="O123" s="32">
        <f>IF($N123="","",IF($N123="増",MATCH($L123,'請求台帳'!$Z$5:$Z$1004,0),MATCH($M123,'入金消込'!$Q$5:$Q$1004,0)))</f>
        <v/>
      </c>
      <c r="P123" s="56" t="n"/>
      <c r="Q123" s="56" t="n"/>
    </row>
    <row r="124" ht="18" customHeight="1">
      <c r="A124" s="45">
        <f>IF($N124="","",IF($N124="増",INDEX('請求台帳'!$X$5:$X$1004,$O124),INDEX('入金消込'!$A$5:$A$1004,$O124)))</f>
        <v/>
      </c>
      <c r="B124" s="46">
        <f>IF($N124="","",IF($N124="増","売上","入金"))</f>
        <v/>
      </c>
      <c r="C124" s="46">
        <f>IF($N124="","",IF($N124="増",INDEX('請求台帳'!$A$5:$A$1004,$O124)&amp;"","入金No "&amp;INDEX('入金消込'!$B$5:$B$1004,$O124)))</f>
        <v/>
      </c>
      <c r="D124" s="47">
        <f>IF($N124="","",IF($N124="増",INDEX('請求台帳'!$F$5:$F$1004,$O124)&amp;"",IF(INDEX('入金消込'!$F$5:$F$1004,$O124)="","消込先が未定",INDEX('入金消込'!$F$5:$F$1004,$O124)&amp;" の入金")))</f>
        <v/>
      </c>
      <c r="E124" s="48">
        <f>IF($N124&lt;&gt;"増","",INDEX('請求台帳'!$L$5:$L$1004,$O124))</f>
        <v/>
      </c>
      <c r="F124" s="48">
        <f>IF($N124&lt;&gt;"減","",N(INDEX('入金消込'!$G$5:$G$1004,$O124)))</f>
        <v/>
      </c>
      <c r="G124" s="48">
        <f>IF($N124&lt;&gt;"減","",N(INDEX('入金消込'!$H$5:$H$1004,$O124))+N(INDEX('入金消込'!$I$5:$I$1004,$O124)))</f>
        <v/>
      </c>
      <c r="H124" s="49">
        <f>IF($N124="","",$H123+N($E124)-N($F124)-N($G124))</f>
        <v/>
      </c>
      <c r="I124" s="56" t="n"/>
      <c r="J124" s="32">
        <f>$J123+IF($N123="増",1,0)</f>
        <v/>
      </c>
      <c r="K124" s="32">
        <f>$K123+IF($N123="減",1,0)</f>
        <v/>
      </c>
      <c r="L124" s="35">
        <f>IF($B$3="",1E+9,IFERROR(SMALL('請求台帳'!$Z$5:$Z$1004,$J124+1),1E+9))</f>
        <v/>
      </c>
      <c r="M124" s="35">
        <f>IF($B$3="",1E+9,IFERROR(SMALL('入金消込'!$Q$5:$Q$1004,$K124+1),1E+9))</f>
        <v/>
      </c>
      <c r="N124" s="32">
        <f>IF(MIN($L124,$M124)&gt;=1E+9,"",IF($L124&lt;=$M124,"増","減"))</f>
        <v/>
      </c>
      <c r="O124" s="32">
        <f>IF($N124="","",IF($N124="増",MATCH($L124,'請求台帳'!$Z$5:$Z$1004,0),MATCH($M124,'入金消込'!$Q$5:$Q$1004,0)))</f>
        <v/>
      </c>
      <c r="P124" s="56" t="n"/>
      <c r="Q124" s="56" t="n"/>
    </row>
    <row r="125" ht="18" customHeight="1">
      <c r="A125" s="45">
        <f>IF($N125="","",IF($N125="増",INDEX('請求台帳'!$X$5:$X$1004,$O125),INDEX('入金消込'!$A$5:$A$1004,$O125)))</f>
        <v/>
      </c>
      <c r="B125" s="46">
        <f>IF($N125="","",IF($N125="増","売上","入金"))</f>
        <v/>
      </c>
      <c r="C125" s="46">
        <f>IF($N125="","",IF($N125="増",INDEX('請求台帳'!$A$5:$A$1004,$O125)&amp;"","入金No "&amp;INDEX('入金消込'!$B$5:$B$1004,$O125)))</f>
        <v/>
      </c>
      <c r="D125" s="47">
        <f>IF($N125="","",IF($N125="増",INDEX('請求台帳'!$F$5:$F$1004,$O125)&amp;"",IF(INDEX('入金消込'!$F$5:$F$1004,$O125)="","消込先が未定",INDEX('入金消込'!$F$5:$F$1004,$O125)&amp;" の入金")))</f>
        <v/>
      </c>
      <c r="E125" s="48">
        <f>IF($N125&lt;&gt;"増","",INDEX('請求台帳'!$L$5:$L$1004,$O125))</f>
        <v/>
      </c>
      <c r="F125" s="48">
        <f>IF($N125&lt;&gt;"減","",N(INDEX('入金消込'!$G$5:$G$1004,$O125)))</f>
        <v/>
      </c>
      <c r="G125" s="48">
        <f>IF($N125&lt;&gt;"減","",N(INDEX('入金消込'!$H$5:$H$1004,$O125))+N(INDEX('入金消込'!$I$5:$I$1004,$O125)))</f>
        <v/>
      </c>
      <c r="H125" s="49">
        <f>IF($N125="","",$H124+N($E125)-N($F125)-N($G125))</f>
        <v/>
      </c>
      <c r="I125" s="56" t="n"/>
      <c r="J125" s="32">
        <f>$J124+IF($N124="増",1,0)</f>
        <v/>
      </c>
      <c r="K125" s="32">
        <f>$K124+IF($N124="減",1,0)</f>
        <v/>
      </c>
      <c r="L125" s="35">
        <f>IF($B$3="",1E+9,IFERROR(SMALL('請求台帳'!$Z$5:$Z$1004,$J125+1),1E+9))</f>
        <v/>
      </c>
      <c r="M125" s="35">
        <f>IF($B$3="",1E+9,IFERROR(SMALL('入金消込'!$Q$5:$Q$1004,$K125+1),1E+9))</f>
        <v/>
      </c>
      <c r="N125" s="32">
        <f>IF(MIN($L125,$M125)&gt;=1E+9,"",IF($L125&lt;=$M125,"増","減"))</f>
        <v/>
      </c>
      <c r="O125" s="32">
        <f>IF($N125="","",IF($N125="増",MATCH($L125,'請求台帳'!$Z$5:$Z$1004,0),MATCH($M125,'入金消込'!$Q$5:$Q$1004,0)))</f>
        <v/>
      </c>
      <c r="P125" s="56" t="n"/>
      <c r="Q125" s="56" t="n"/>
    </row>
    <row r="126" ht="18" customHeight="1">
      <c r="A126" s="45">
        <f>IF($N126="","",IF($N126="増",INDEX('請求台帳'!$X$5:$X$1004,$O126),INDEX('入金消込'!$A$5:$A$1004,$O126)))</f>
        <v/>
      </c>
      <c r="B126" s="46">
        <f>IF($N126="","",IF($N126="増","売上","入金"))</f>
        <v/>
      </c>
      <c r="C126" s="46">
        <f>IF($N126="","",IF($N126="増",INDEX('請求台帳'!$A$5:$A$1004,$O126)&amp;"","入金No "&amp;INDEX('入金消込'!$B$5:$B$1004,$O126)))</f>
        <v/>
      </c>
      <c r="D126" s="47">
        <f>IF($N126="","",IF($N126="増",INDEX('請求台帳'!$F$5:$F$1004,$O126)&amp;"",IF(INDEX('入金消込'!$F$5:$F$1004,$O126)="","消込先が未定",INDEX('入金消込'!$F$5:$F$1004,$O126)&amp;" の入金")))</f>
        <v/>
      </c>
      <c r="E126" s="48">
        <f>IF($N126&lt;&gt;"増","",INDEX('請求台帳'!$L$5:$L$1004,$O126))</f>
        <v/>
      </c>
      <c r="F126" s="48">
        <f>IF($N126&lt;&gt;"減","",N(INDEX('入金消込'!$G$5:$G$1004,$O126)))</f>
        <v/>
      </c>
      <c r="G126" s="48">
        <f>IF($N126&lt;&gt;"減","",N(INDEX('入金消込'!$H$5:$H$1004,$O126))+N(INDEX('入金消込'!$I$5:$I$1004,$O126)))</f>
        <v/>
      </c>
      <c r="H126" s="49">
        <f>IF($N126="","",$H125+N($E126)-N($F126)-N($G126))</f>
        <v/>
      </c>
      <c r="I126" s="56" t="n"/>
      <c r="J126" s="32">
        <f>$J125+IF($N125="増",1,0)</f>
        <v/>
      </c>
      <c r="K126" s="32">
        <f>$K125+IF($N125="減",1,0)</f>
        <v/>
      </c>
      <c r="L126" s="35">
        <f>IF($B$3="",1E+9,IFERROR(SMALL('請求台帳'!$Z$5:$Z$1004,$J126+1),1E+9))</f>
        <v/>
      </c>
      <c r="M126" s="35">
        <f>IF($B$3="",1E+9,IFERROR(SMALL('入金消込'!$Q$5:$Q$1004,$K126+1),1E+9))</f>
        <v/>
      </c>
      <c r="N126" s="32">
        <f>IF(MIN($L126,$M126)&gt;=1E+9,"",IF($L126&lt;=$M126,"増","減"))</f>
        <v/>
      </c>
      <c r="O126" s="32">
        <f>IF($N126="","",IF($N126="増",MATCH($L126,'請求台帳'!$Z$5:$Z$1004,0),MATCH($M126,'入金消込'!$Q$5:$Q$1004,0)))</f>
        <v/>
      </c>
      <c r="P126" s="56" t="n"/>
      <c r="Q126" s="56" t="n"/>
    </row>
    <row r="127" ht="18" customHeight="1">
      <c r="A127" s="45">
        <f>IF($N127="","",IF($N127="増",INDEX('請求台帳'!$X$5:$X$1004,$O127),INDEX('入金消込'!$A$5:$A$1004,$O127)))</f>
        <v/>
      </c>
      <c r="B127" s="46">
        <f>IF($N127="","",IF($N127="増","売上","入金"))</f>
        <v/>
      </c>
      <c r="C127" s="46">
        <f>IF($N127="","",IF($N127="増",INDEX('請求台帳'!$A$5:$A$1004,$O127)&amp;"","入金No "&amp;INDEX('入金消込'!$B$5:$B$1004,$O127)))</f>
        <v/>
      </c>
      <c r="D127" s="47">
        <f>IF($N127="","",IF($N127="増",INDEX('請求台帳'!$F$5:$F$1004,$O127)&amp;"",IF(INDEX('入金消込'!$F$5:$F$1004,$O127)="","消込先が未定",INDEX('入金消込'!$F$5:$F$1004,$O127)&amp;" の入金")))</f>
        <v/>
      </c>
      <c r="E127" s="48">
        <f>IF($N127&lt;&gt;"増","",INDEX('請求台帳'!$L$5:$L$1004,$O127))</f>
        <v/>
      </c>
      <c r="F127" s="48">
        <f>IF($N127&lt;&gt;"減","",N(INDEX('入金消込'!$G$5:$G$1004,$O127)))</f>
        <v/>
      </c>
      <c r="G127" s="48">
        <f>IF($N127&lt;&gt;"減","",N(INDEX('入金消込'!$H$5:$H$1004,$O127))+N(INDEX('入金消込'!$I$5:$I$1004,$O127)))</f>
        <v/>
      </c>
      <c r="H127" s="49">
        <f>IF($N127="","",$H126+N($E127)-N($F127)-N($G127))</f>
        <v/>
      </c>
      <c r="I127" s="56" t="n"/>
      <c r="J127" s="32">
        <f>$J126+IF($N126="増",1,0)</f>
        <v/>
      </c>
      <c r="K127" s="32">
        <f>$K126+IF($N126="減",1,0)</f>
        <v/>
      </c>
      <c r="L127" s="35">
        <f>IF($B$3="",1E+9,IFERROR(SMALL('請求台帳'!$Z$5:$Z$1004,$J127+1),1E+9))</f>
        <v/>
      </c>
      <c r="M127" s="35">
        <f>IF($B$3="",1E+9,IFERROR(SMALL('入金消込'!$Q$5:$Q$1004,$K127+1),1E+9))</f>
        <v/>
      </c>
      <c r="N127" s="32">
        <f>IF(MIN($L127,$M127)&gt;=1E+9,"",IF($L127&lt;=$M127,"増","減"))</f>
        <v/>
      </c>
      <c r="O127" s="32">
        <f>IF($N127="","",IF($N127="増",MATCH($L127,'請求台帳'!$Z$5:$Z$1004,0),MATCH($M127,'入金消込'!$Q$5:$Q$1004,0)))</f>
        <v/>
      </c>
      <c r="P127" s="56" t="n"/>
      <c r="Q127" s="56" t="n"/>
    </row>
    <row r="128" ht="18" customHeight="1">
      <c r="A128" s="45">
        <f>IF($N128="","",IF($N128="増",INDEX('請求台帳'!$X$5:$X$1004,$O128),INDEX('入金消込'!$A$5:$A$1004,$O128)))</f>
        <v/>
      </c>
      <c r="B128" s="46">
        <f>IF($N128="","",IF($N128="増","売上","入金"))</f>
        <v/>
      </c>
      <c r="C128" s="46">
        <f>IF($N128="","",IF($N128="増",INDEX('請求台帳'!$A$5:$A$1004,$O128)&amp;"","入金No "&amp;INDEX('入金消込'!$B$5:$B$1004,$O128)))</f>
        <v/>
      </c>
      <c r="D128" s="47">
        <f>IF($N128="","",IF($N128="増",INDEX('請求台帳'!$F$5:$F$1004,$O128)&amp;"",IF(INDEX('入金消込'!$F$5:$F$1004,$O128)="","消込先が未定",INDEX('入金消込'!$F$5:$F$1004,$O128)&amp;" の入金")))</f>
        <v/>
      </c>
      <c r="E128" s="48">
        <f>IF($N128&lt;&gt;"増","",INDEX('請求台帳'!$L$5:$L$1004,$O128))</f>
        <v/>
      </c>
      <c r="F128" s="48">
        <f>IF($N128&lt;&gt;"減","",N(INDEX('入金消込'!$G$5:$G$1004,$O128)))</f>
        <v/>
      </c>
      <c r="G128" s="48">
        <f>IF($N128&lt;&gt;"減","",N(INDEX('入金消込'!$H$5:$H$1004,$O128))+N(INDEX('入金消込'!$I$5:$I$1004,$O128)))</f>
        <v/>
      </c>
      <c r="H128" s="49">
        <f>IF($N128="","",$H127+N($E128)-N($F128)-N($G128))</f>
        <v/>
      </c>
      <c r="I128" s="56" t="n"/>
      <c r="J128" s="32">
        <f>$J127+IF($N127="増",1,0)</f>
        <v/>
      </c>
      <c r="K128" s="32">
        <f>$K127+IF($N127="減",1,0)</f>
        <v/>
      </c>
      <c r="L128" s="35">
        <f>IF($B$3="",1E+9,IFERROR(SMALL('請求台帳'!$Z$5:$Z$1004,$J128+1),1E+9))</f>
        <v/>
      </c>
      <c r="M128" s="35">
        <f>IF($B$3="",1E+9,IFERROR(SMALL('入金消込'!$Q$5:$Q$1004,$K128+1),1E+9))</f>
        <v/>
      </c>
      <c r="N128" s="32">
        <f>IF(MIN($L128,$M128)&gt;=1E+9,"",IF($L128&lt;=$M128,"増","減"))</f>
        <v/>
      </c>
      <c r="O128" s="32">
        <f>IF($N128="","",IF($N128="増",MATCH($L128,'請求台帳'!$Z$5:$Z$1004,0),MATCH($M128,'入金消込'!$Q$5:$Q$1004,0)))</f>
        <v/>
      </c>
      <c r="P128" s="56" t="n"/>
      <c r="Q128" s="56" t="n"/>
    </row>
    <row r="129" ht="18" customHeight="1">
      <c r="A129" s="45">
        <f>IF($N129="","",IF($N129="増",INDEX('請求台帳'!$X$5:$X$1004,$O129),INDEX('入金消込'!$A$5:$A$1004,$O129)))</f>
        <v/>
      </c>
      <c r="B129" s="46">
        <f>IF($N129="","",IF($N129="増","売上","入金"))</f>
        <v/>
      </c>
      <c r="C129" s="46">
        <f>IF($N129="","",IF($N129="増",INDEX('請求台帳'!$A$5:$A$1004,$O129)&amp;"","入金No "&amp;INDEX('入金消込'!$B$5:$B$1004,$O129)))</f>
        <v/>
      </c>
      <c r="D129" s="47">
        <f>IF($N129="","",IF($N129="増",INDEX('請求台帳'!$F$5:$F$1004,$O129)&amp;"",IF(INDEX('入金消込'!$F$5:$F$1004,$O129)="","消込先が未定",INDEX('入金消込'!$F$5:$F$1004,$O129)&amp;" の入金")))</f>
        <v/>
      </c>
      <c r="E129" s="48">
        <f>IF($N129&lt;&gt;"増","",INDEX('請求台帳'!$L$5:$L$1004,$O129))</f>
        <v/>
      </c>
      <c r="F129" s="48">
        <f>IF($N129&lt;&gt;"減","",N(INDEX('入金消込'!$G$5:$G$1004,$O129)))</f>
        <v/>
      </c>
      <c r="G129" s="48">
        <f>IF($N129&lt;&gt;"減","",N(INDEX('入金消込'!$H$5:$H$1004,$O129))+N(INDEX('入金消込'!$I$5:$I$1004,$O129)))</f>
        <v/>
      </c>
      <c r="H129" s="49">
        <f>IF($N129="","",$H128+N($E129)-N($F129)-N($G129))</f>
        <v/>
      </c>
      <c r="I129" s="56" t="n"/>
      <c r="J129" s="32">
        <f>$J128+IF($N128="増",1,0)</f>
        <v/>
      </c>
      <c r="K129" s="32">
        <f>$K128+IF($N128="減",1,0)</f>
        <v/>
      </c>
      <c r="L129" s="35">
        <f>IF($B$3="",1E+9,IFERROR(SMALL('請求台帳'!$Z$5:$Z$1004,$J129+1),1E+9))</f>
        <v/>
      </c>
      <c r="M129" s="35">
        <f>IF($B$3="",1E+9,IFERROR(SMALL('入金消込'!$Q$5:$Q$1004,$K129+1),1E+9))</f>
        <v/>
      </c>
      <c r="N129" s="32">
        <f>IF(MIN($L129,$M129)&gt;=1E+9,"",IF($L129&lt;=$M129,"増","減"))</f>
        <v/>
      </c>
      <c r="O129" s="32">
        <f>IF($N129="","",IF($N129="増",MATCH($L129,'請求台帳'!$Z$5:$Z$1004,0),MATCH($M129,'入金消込'!$Q$5:$Q$1004,0)))</f>
        <v/>
      </c>
      <c r="P129" s="56" t="n"/>
      <c r="Q129" s="56" t="n"/>
    </row>
    <row r="130" ht="18" customHeight="1">
      <c r="A130" s="45">
        <f>IF($N130="","",IF($N130="増",INDEX('請求台帳'!$X$5:$X$1004,$O130),INDEX('入金消込'!$A$5:$A$1004,$O130)))</f>
        <v/>
      </c>
      <c r="B130" s="46">
        <f>IF($N130="","",IF($N130="増","売上","入金"))</f>
        <v/>
      </c>
      <c r="C130" s="46">
        <f>IF($N130="","",IF($N130="増",INDEX('請求台帳'!$A$5:$A$1004,$O130)&amp;"","入金No "&amp;INDEX('入金消込'!$B$5:$B$1004,$O130)))</f>
        <v/>
      </c>
      <c r="D130" s="47">
        <f>IF($N130="","",IF($N130="増",INDEX('請求台帳'!$F$5:$F$1004,$O130)&amp;"",IF(INDEX('入金消込'!$F$5:$F$1004,$O130)="","消込先が未定",INDEX('入金消込'!$F$5:$F$1004,$O130)&amp;" の入金")))</f>
        <v/>
      </c>
      <c r="E130" s="48">
        <f>IF($N130&lt;&gt;"増","",INDEX('請求台帳'!$L$5:$L$1004,$O130))</f>
        <v/>
      </c>
      <c r="F130" s="48">
        <f>IF($N130&lt;&gt;"減","",N(INDEX('入金消込'!$G$5:$G$1004,$O130)))</f>
        <v/>
      </c>
      <c r="G130" s="48">
        <f>IF($N130&lt;&gt;"減","",N(INDEX('入金消込'!$H$5:$H$1004,$O130))+N(INDEX('入金消込'!$I$5:$I$1004,$O130)))</f>
        <v/>
      </c>
      <c r="H130" s="49">
        <f>IF($N130="","",$H129+N($E130)-N($F130)-N($G130))</f>
        <v/>
      </c>
      <c r="I130" s="56" t="n"/>
      <c r="J130" s="32">
        <f>$J129+IF($N129="増",1,0)</f>
        <v/>
      </c>
      <c r="K130" s="32">
        <f>$K129+IF($N129="減",1,0)</f>
        <v/>
      </c>
      <c r="L130" s="35">
        <f>IF($B$3="",1E+9,IFERROR(SMALL('請求台帳'!$Z$5:$Z$1004,$J130+1),1E+9))</f>
        <v/>
      </c>
      <c r="M130" s="35">
        <f>IF($B$3="",1E+9,IFERROR(SMALL('入金消込'!$Q$5:$Q$1004,$K130+1),1E+9))</f>
        <v/>
      </c>
      <c r="N130" s="32">
        <f>IF(MIN($L130,$M130)&gt;=1E+9,"",IF($L130&lt;=$M130,"増","減"))</f>
        <v/>
      </c>
      <c r="O130" s="32">
        <f>IF($N130="","",IF($N130="増",MATCH($L130,'請求台帳'!$Z$5:$Z$1004,0),MATCH($M130,'入金消込'!$Q$5:$Q$1004,0)))</f>
        <v/>
      </c>
      <c r="P130" s="56" t="n"/>
      <c r="Q130" s="56" t="n"/>
    </row>
    <row r="131" ht="18" customHeight="1">
      <c r="A131" s="45">
        <f>IF($N131="","",IF($N131="増",INDEX('請求台帳'!$X$5:$X$1004,$O131),INDEX('入金消込'!$A$5:$A$1004,$O131)))</f>
        <v/>
      </c>
      <c r="B131" s="46">
        <f>IF($N131="","",IF($N131="増","売上","入金"))</f>
        <v/>
      </c>
      <c r="C131" s="46">
        <f>IF($N131="","",IF($N131="増",INDEX('請求台帳'!$A$5:$A$1004,$O131)&amp;"","入金No "&amp;INDEX('入金消込'!$B$5:$B$1004,$O131)))</f>
        <v/>
      </c>
      <c r="D131" s="47">
        <f>IF($N131="","",IF($N131="増",INDEX('請求台帳'!$F$5:$F$1004,$O131)&amp;"",IF(INDEX('入金消込'!$F$5:$F$1004,$O131)="","消込先が未定",INDEX('入金消込'!$F$5:$F$1004,$O131)&amp;" の入金")))</f>
        <v/>
      </c>
      <c r="E131" s="48">
        <f>IF($N131&lt;&gt;"増","",INDEX('請求台帳'!$L$5:$L$1004,$O131))</f>
        <v/>
      </c>
      <c r="F131" s="48">
        <f>IF($N131&lt;&gt;"減","",N(INDEX('入金消込'!$G$5:$G$1004,$O131)))</f>
        <v/>
      </c>
      <c r="G131" s="48">
        <f>IF($N131&lt;&gt;"減","",N(INDEX('入金消込'!$H$5:$H$1004,$O131))+N(INDEX('入金消込'!$I$5:$I$1004,$O131)))</f>
        <v/>
      </c>
      <c r="H131" s="49">
        <f>IF($N131="","",$H130+N($E131)-N($F131)-N($G131))</f>
        <v/>
      </c>
      <c r="I131" s="56" t="n"/>
      <c r="J131" s="32">
        <f>$J130+IF($N130="増",1,0)</f>
        <v/>
      </c>
      <c r="K131" s="32">
        <f>$K130+IF($N130="減",1,0)</f>
        <v/>
      </c>
      <c r="L131" s="35">
        <f>IF($B$3="",1E+9,IFERROR(SMALL('請求台帳'!$Z$5:$Z$1004,$J131+1),1E+9))</f>
        <v/>
      </c>
      <c r="M131" s="35">
        <f>IF($B$3="",1E+9,IFERROR(SMALL('入金消込'!$Q$5:$Q$1004,$K131+1),1E+9))</f>
        <v/>
      </c>
      <c r="N131" s="32">
        <f>IF(MIN($L131,$M131)&gt;=1E+9,"",IF($L131&lt;=$M131,"増","減"))</f>
        <v/>
      </c>
      <c r="O131" s="32">
        <f>IF($N131="","",IF($N131="増",MATCH($L131,'請求台帳'!$Z$5:$Z$1004,0),MATCH($M131,'入金消込'!$Q$5:$Q$1004,0)))</f>
        <v/>
      </c>
      <c r="P131" s="56" t="n"/>
      <c r="Q131" s="56" t="n"/>
    </row>
    <row r="132" ht="18" customHeight="1">
      <c r="A132" s="45">
        <f>IF($N132="","",IF($N132="増",INDEX('請求台帳'!$X$5:$X$1004,$O132),INDEX('入金消込'!$A$5:$A$1004,$O132)))</f>
        <v/>
      </c>
      <c r="B132" s="46">
        <f>IF($N132="","",IF($N132="増","売上","入金"))</f>
        <v/>
      </c>
      <c r="C132" s="46">
        <f>IF($N132="","",IF($N132="増",INDEX('請求台帳'!$A$5:$A$1004,$O132)&amp;"","入金No "&amp;INDEX('入金消込'!$B$5:$B$1004,$O132)))</f>
        <v/>
      </c>
      <c r="D132" s="47">
        <f>IF($N132="","",IF($N132="増",INDEX('請求台帳'!$F$5:$F$1004,$O132)&amp;"",IF(INDEX('入金消込'!$F$5:$F$1004,$O132)="","消込先が未定",INDEX('入金消込'!$F$5:$F$1004,$O132)&amp;" の入金")))</f>
        <v/>
      </c>
      <c r="E132" s="48">
        <f>IF($N132&lt;&gt;"増","",INDEX('請求台帳'!$L$5:$L$1004,$O132))</f>
        <v/>
      </c>
      <c r="F132" s="48">
        <f>IF($N132&lt;&gt;"減","",N(INDEX('入金消込'!$G$5:$G$1004,$O132)))</f>
        <v/>
      </c>
      <c r="G132" s="48">
        <f>IF($N132&lt;&gt;"減","",N(INDEX('入金消込'!$H$5:$H$1004,$O132))+N(INDEX('入金消込'!$I$5:$I$1004,$O132)))</f>
        <v/>
      </c>
      <c r="H132" s="49">
        <f>IF($N132="","",$H131+N($E132)-N($F132)-N($G132))</f>
        <v/>
      </c>
      <c r="I132" s="56" t="n"/>
      <c r="J132" s="32">
        <f>$J131+IF($N131="増",1,0)</f>
        <v/>
      </c>
      <c r="K132" s="32">
        <f>$K131+IF($N131="減",1,0)</f>
        <v/>
      </c>
      <c r="L132" s="35">
        <f>IF($B$3="",1E+9,IFERROR(SMALL('請求台帳'!$Z$5:$Z$1004,$J132+1),1E+9))</f>
        <v/>
      </c>
      <c r="M132" s="35">
        <f>IF($B$3="",1E+9,IFERROR(SMALL('入金消込'!$Q$5:$Q$1004,$K132+1),1E+9))</f>
        <v/>
      </c>
      <c r="N132" s="32">
        <f>IF(MIN($L132,$M132)&gt;=1E+9,"",IF($L132&lt;=$M132,"増","減"))</f>
        <v/>
      </c>
      <c r="O132" s="32">
        <f>IF($N132="","",IF($N132="増",MATCH($L132,'請求台帳'!$Z$5:$Z$1004,0),MATCH($M132,'入金消込'!$Q$5:$Q$1004,0)))</f>
        <v/>
      </c>
      <c r="P132" s="56" t="n"/>
      <c r="Q132" s="56" t="n"/>
    </row>
    <row r="133" ht="18" customHeight="1">
      <c r="A133" s="45">
        <f>IF($N133="","",IF($N133="増",INDEX('請求台帳'!$X$5:$X$1004,$O133),INDEX('入金消込'!$A$5:$A$1004,$O133)))</f>
        <v/>
      </c>
      <c r="B133" s="46">
        <f>IF($N133="","",IF($N133="増","売上","入金"))</f>
        <v/>
      </c>
      <c r="C133" s="46">
        <f>IF($N133="","",IF($N133="増",INDEX('請求台帳'!$A$5:$A$1004,$O133)&amp;"","入金No "&amp;INDEX('入金消込'!$B$5:$B$1004,$O133)))</f>
        <v/>
      </c>
      <c r="D133" s="47">
        <f>IF($N133="","",IF($N133="増",INDEX('請求台帳'!$F$5:$F$1004,$O133)&amp;"",IF(INDEX('入金消込'!$F$5:$F$1004,$O133)="","消込先が未定",INDEX('入金消込'!$F$5:$F$1004,$O133)&amp;" の入金")))</f>
        <v/>
      </c>
      <c r="E133" s="48">
        <f>IF($N133&lt;&gt;"増","",INDEX('請求台帳'!$L$5:$L$1004,$O133))</f>
        <v/>
      </c>
      <c r="F133" s="48">
        <f>IF($N133&lt;&gt;"減","",N(INDEX('入金消込'!$G$5:$G$1004,$O133)))</f>
        <v/>
      </c>
      <c r="G133" s="48">
        <f>IF($N133&lt;&gt;"減","",N(INDEX('入金消込'!$H$5:$H$1004,$O133))+N(INDEX('入金消込'!$I$5:$I$1004,$O133)))</f>
        <v/>
      </c>
      <c r="H133" s="49">
        <f>IF($N133="","",$H132+N($E133)-N($F133)-N($G133))</f>
        <v/>
      </c>
      <c r="I133" s="56" t="n"/>
      <c r="J133" s="32">
        <f>$J132+IF($N132="増",1,0)</f>
        <v/>
      </c>
      <c r="K133" s="32">
        <f>$K132+IF($N132="減",1,0)</f>
        <v/>
      </c>
      <c r="L133" s="35">
        <f>IF($B$3="",1E+9,IFERROR(SMALL('請求台帳'!$Z$5:$Z$1004,$J133+1),1E+9))</f>
        <v/>
      </c>
      <c r="M133" s="35">
        <f>IF($B$3="",1E+9,IFERROR(SMALL('入金消込'!$Q$5:$Q$1004,$K133+1),1E+9))</f>
        <v/>
      </c>
      <c r="N133" s="32">
        <f>IF(MIN($L133,$M133)&gt;=1E+9,"",IF($L133&lt;=$M133,"増","減"))</f>
        <v/>
      </c>
      <c r="O133" s="32">
        <f>IF($N133="","",IF($N133="増",MATCH($L133,'請求台帳'!$Z$5:$Z$1004,0),MATCH($M133,'入金消込'!$Q$5:$Q$1004,0)))</f>
        <v/>
      </c>
      <c r="P133" s="56" t="n"/>
      <c r="Q133" s="56" t="n"/>
    </row>
    <row r="134" ht="18" customHeight="1">
      <c r="A134" s="45">
        <f>IF($N134="","",IF($N134="増",INDEX('請求台帳'!$X$5:$X$1004,$O134),INDEX('入金消込'!$A$5:$A$1004,$O134)))</f>
        <v/>
      </c>
      <c r="B134" s="46">
        <f>IF($N134="","",IF($N134="増","売上","入金"))</f>
        <v/>
      </c>
      <c r="C134" s="46">
        <f>IF($N134="","",IF($N134="増",INDEX('請求台帳'!$A$5:$A$1004,$O134)&amp;"","入金No "&amp;INDEX('入金消込'!$B$5:$B$1004,$O134)))</f>
        <v/>
      </c>
      <c r="D134" s="47">
        <f>IF($N134="","",IF($N134="増",INDEX('請求台帳'!$F$5:$F$1004,$O134)&amp;"",IF(INDEX('入金消込'!$F$5:$F$1004,$O134)="","消込先が未定",INDEX('入金消込'!$F$5:$F$1004,$O134)&amp;" の入金")))</f>
        <v/>
      </c>
      <c r="E134" s="48">
        <f>IF($N134&lt;&gt;"増","",INDEX('請求台帳'!$L$5:$L$1004,$O134))</f>
        <v/>
      </c>
      <c r="F134" s="48">
        <f>IF($N134&lt;&gt;"減","",N(INDEX('入金消込'!$G$5:$G$1004,$O134)))</f>
        <v/>
      </c>
      <c r="G134" s="48">
        <f>IF($N134&lt;&gt;"減","",N(INDEX('入金消込'!$H$5:$H$1004,$O134))+N(INDEX('入金消込'!$I$5:$I$1004,$O134)))</f>
        <v/>
      </c>
      <c r="H134" s="49">
        <f>IF($N134="","",$H133+N($E134)-N($F134)-N($G134))</f>
        <v/>
      </c>
      <c r="I134" s="56" t="n"/>
      <c r="J134" s="32">
        <f>$J133+IF($N133="増",1,0)</f>
        <v/>
      </c>
      <c r="K134" s="32">
        <f>$K133+IF($N133="減",1,0)</f>
        <v/>
      </c>
      <c r="L134" s="35">
        <f>IF($B$3="",1E+9,IFERROR(SMALL('請求台帳'!$Z$5:$Z$1004,$J134+1),1E+9))</f>
        <v/>
      </c>
      <c r="M134" s="35">
        <f>IF($B$3="",1E+9,IFERROR(SMALL('入金消込'!$Q$5:$Q$1004,$K134+1),1E+9))</f>
        <v/>
      </c>
      <c r="N134" s="32">
        <f>IF(MIN($L134,$M134)&gt;=1E+9,"",IF($L134&lt;=$M134,"増","減"))</f>
        <v/>
      </c>
      <c r="O134" s="32">
        <f>IF($N134="","",IF($N134="増",MATCH($L134,'請求台帳'!$Z$5:$Z$1004,0),MATCH($M134,'入金消込'!$Q$5:$Q$1004,0)))</f>
        <v/>
      </c>
      <c r="P134" s="56" t="n"/>
      <c r="Q134" s="56" t="n"/>
    </row>
    <row r="135" ht="18" customHeight="1">
      <c r="A135" s="45">
        <f>IF($N135="","",IF($N135="増",INDEX('請求台帳'!$X$5:$X$1004,$O135),INDEX('入金消込'!$A$5:$A$1004,$O135)))</f>
        <v/>
      </c>
      <c r="B135" s="46">
        <f>IF($N135="","",IF($N135="増","売上","入金"))</f>
        <v/>
      </c>
      <c r="C135" s="46">
        <f>IF($N135="","",IF($N135="増",INDEX('請求台帳'!$A$5:$A$1004,$O135)&amp;"","入金No "&amp;INDEX('入金消込'!$B$5:$B$1004,$O135)))</f>
        <v/>
      </c>
      <c r="D135" s="47">
        <f>IF($N135="","",IF($N135="増",INDEX('請求台帳'!$F$5:$F$1004,$O135)&amp;"",IF(INDEX('入金消込'!$F$5:$F$1004,$O135)="","消込先が未定",INDEX('入金消込'!$F$5:$F$1004,$O135)&amp;" の入金")))</f>
        <v/>
      </c>
      <c r="E135" s="48">
        <f>IF($N135&lt;&gt;"増","",INDEX('請求台帳'!$L$5:$L$1004,$O135))</f>
        <v/>
      </c>
      <c r="F135" s="48">
        <f>IF($N135&lt;&gt;"減","",N(INDEX('入金消込'!$G$5:$G$1004,$O135)))</f>
        <v/>
      </c>
      <c r="G135" s="48">
        <f>IF($N135&lt;&gt;"減","",N(INDEX('入金消込'!$H$5:$H$1004,$O135))+N(INDEX('入金消込'!$I$5:$I$1004,$O135)))</f>
        <v/>
      </c>
      <c r="H135" s="49">
        <f>IF($N135="","",$H134+N($E135)-N($F135)-N($G135))</f>
        <v/>
      </c>
      <c r="I135" s="56" t="n"/>
      <c r="J135" s="32">
        <f>$J134+IF($N134="増",1,0)</f>
        <v/>
      </c>
      <c r="K135" s="32">
        <f>$K134+IF($N134="減",1,0)</f>
        <v/>
      </c>
      <c r="L135" s="35">
        <f>IF($B$3="",1E+9,IFERROR(SMALL('請求台帳'!$Z$5:$Z$1004,$J135+1),1E+9))</f>
        <v/>
      </c>
      <c r="M135" s="35">
        <f>IF($B$3="",1E+9,IFERROR(SMALL('入金消込'!$Q$5:$Q$1004,$K135+1),1E+9))</f>
        <v/>
      </c>
      <c r="N135" s="32">
        <f>IF(MIN($L135,$M135)&gt;=1E+9,"",IF($L135&lt;=$M135,"増","減"))</f>
        <v/>
      </c>
      <c r="O135" s="32">
        <f>IF($N135="","",IF($N135="増",MATCH($L135,'請求台帳'!$Z$5:$Z$1004,0),MATCH($M135,'入金消込'!$Q$5:$Q$1004,0)))</f>
        <v/>
      </c>
      <c r="P135" s="56" t="n"/>
      <c r="Q135" s="56" t="n"/>
    </row>
    <row r="136" ht="18" customHeight="1">
      <c r="A136" s="45">
        <f>IF($N136="","",IF($N136="増",INDEX('請求台帳'!$X$5:$X$1004,$O136),INDEX('入金消込'!$A$5:$A$1004,$O136)))</f>
        <v/>
      </c>
      <c r="B136" s="46">
        <f>IF($N136="","",IF($N136="増","売上","入金"))</f>
        <v/>
      </c>
      <c r="C136" s="46">
        <f>IF($N136="","",IF($N136="増",INDEX('請求台帳'!$A$5:$A$1004,$O136)&amp;"","入金No "&amp;INDEX('入金消込'!$B$5:$B$1004,$O136)))</f>
        <v/>
      </c>
      <c r="D136" s="47">
        <f>IF($N136="","",IF($N136="増",INDEX('請求台帳'!$F$5:$F$1004,$O136)&amp;"",IF(INDEX('入金消込'!$F$5:$F$1004,$O136)="","消込先が未定",INDEX('入金消込'!$F$5:$F$1004,$O136)&amp;" の入金")))</f>
        <v/>
      </c>
      <c r="E136" s="48">
        <f>IF($N136&lt;&gt;"増","",INDEX('請求台帳'!$L$5:$L$1004,$O136))</f>
        <v/>
      </c>
      <c r="F136" s="48">
        <f>IF($N136&lt;&gt;"減","",N(INDEX('入金消込'!$G$5:$G$1004,$O136)))</f>
        <v/>
      </c>
      <c r="G136" s="48">
        <f>IF($N136&lt;&gt;"減","",N(INDEX('入金消込'!$H$5:$H$1004,$O136))+N(INDEX('入金消込'!$I$5:$I$1004,$O136)))</f>
        <v/>
      </c>
      <c r="H136" s="49">
        <f>IF($N136="","",$H135+N($E136)-N($F136)-N($G136))</f>
        <v/>
      </c>
      <c r="I136" s="56" t="n"/>
      <c r="J136" s="32">
        <f>$J135+IF($N135="増",1,0)</f>
        <v/>
      </c>
      <c r="K136" s="32">
        <f>$K135+IF($N135="減",1,0)</f>
        <v/>
      </c>
      <c r="L136" s="35">
        <f>IF($B$3="",1E+9,IFERROR(SMALL('請求台帳'!$Z$5:$Z$1004,$J136+1),1E+9))</f>
        <v/>
      </c>
      <c r="M136" s="35">
        <f>IF($B$3="",1E+9,IFERROR(SMALL('入金消込'!$Q$5:$Q$1004,$K136+1),1E+9))</f>
        <v/>
      </c>
      <c r="N136" s="32">
        <f>IF(MIN($L136,$M136)&gt;=1E+9,"",IF($L136&lt;=$M136,"増","減"))</f>
        <v/>
      </c>
      <c r="O136" s="32">
        <f>IF($N136="","",IF($N136="増",MATCH($L136,'請求台帳'!$Z$5:$Z$1004,0),MATCH($M136,'入金消込'!$Q$5:$Q$1004,0)))</f>
        <v/>
      </c>
      <c r="P136" s="56" t="n"/>
      <c r="Q136" s="56" t="n"/>
    </row>
    <row r="137" ht="18" customHeight="1">
      <c r="A137" s="45">
        <f>IF($N137="","",IF($N137="増",INDEX('請求台帳'!$X$5:$X$1004,$O137),INDEX('入金消込'!$A$5:$A$1004,$O137)))</f>
        <v/>
      </c>
      <c r="B137" s="46">
        <f>IF($N137="","",IF($N137="増","売上","入金"))</f>
        <v/>
      </c>
      <c r="C137" s="46">
        <f>IF($N137="","",IF($N137="増",INDEX('請求台帳'!$A$5:$A$1004,$O137)&amp;"","入金No "&amp;INDEX('入金消込'!$B$5:$B$1004,$O137)))</f>
        <v/>
      </c>
      <c r="D137" s="47">
        <f>IF($N137="","",IF($N137="増",INDEX('請求台帳'!$F$5:$F$1004,$O137)&amp;"",IF(INDEX('入金消込'!$F$5:$F$1004,$O137)="","消込先が未定",INDEX('入金消込'!$F$5:$F$1004,$O137)&amp;" の入金")))</f>
        <v/>
      </c>
      <c r="E137" s="48">
        <f>IF($N137&lt;&gt;"増","",INDEX('請求台帳'!$L$5:$L$1004,$O137))</f>
        <v/>
      </c>
      <c r="F137" s="48">
        <f>IF($N137&lt;&gt;"減","",N(INDEX('入金消込'!$G$5:$G$1004,$O137)))</f>
        <v/>
      </c>
      <c r="G137" s="48">
        <f>IF($N137&lt;&gt;"減","",N(INDEX('入金消込'!$H$5:$H$1004,$O137))+N(INDEX('入金消込'!$I$5:$I$1004,$O137)))</f>
        <v/>
      </c>
      <c r="H137" s="49">
        <f>IF($N137="","",$H136+N($E137)-N($F137)-N($G137))</f>
        <v/>
      </c>
      <c r="I137" s="56" t="n"/>
      <c r="J137" s="32">
        <f>$J136+IF($N136="増",1,0)</f>
        <v/>
      </c>
      <c r="K137" s="32">
        <f>$K136+IF($N136="減",1,0)</f>
        <v/>
      </c>
      <c r="L137" s="35">
        <f>IF($B$3="",1E+9,IFERROR(SMALL('請求台帳'!$Z$5:$Z$1004,$J137+1),1E+9))</f>
        <v/>
      </c>
      <c r="M137" s="35">
        <f>IF($B$3="",1E+9,IFERROR(SMALL('入金消込'!$Q$5:$Q$1004,$K137+1),1E+9))</f>
        <v/>
      </c>
      <c r="N137" s="32">
        <f>IF(MIN($L137,$M137)&gt;=1E+9,"",IF($L137&lt;=$M137,"増","減"))</f>
        <v/>
      </c>
      <c r="O137" s="32">
        <f>IF($N137="","",IF($N137="増",MATCH($L137,'請求台帳'!$Z$5:$Z$1004,0),MATCH($M137,'入金消込'!$Q$5:$Q$1004,0)))</f>
        <v/>
      </c>
      <c r="P137" s="56" t="n"/>
      <c r="Q137" s="56" t="n"/>
    </row>
    <row r="138" ht="18" customHeight="1">
      <c r="A138" s="45">
        <f>IF($N138="","",IF($N138="増",INDEX('請求台帳'!$X$5:$X$1004,$O138),INDEX('入金消込'!$A$5:$A$1004,$O138)))</f>
        <v/>
      </c>
      <c r="B138" s="46">
        <f>IF($N138="","",IF($N138="増","売上","入金"))</f>
        <v/>
      </c>
      <c r="C138" s="46">
        <f>IF($N138="","",IF($N138="増",INDEX('請求台帳'!$A$5:$A$1004,$O138)&amp;"","入金No "&amp;INDEX('入金消込'!$B$5:$B$1004,$O138)))</f>
        <v/>
      </c>
      <c r="D138" s="47">
        <f>IF($N138="","",IF($N138="増",INDEX('請求台帳'!$F$5:$F$1004,$O138)&amp;"",IF(INDEX('入金消込'!$F$5:$F$1004,$O138)="","消込先が未定",INDEX('入金消込'!$F$5:$F$1004,$O138)&amp;" の入金")))</f>
        <v/>
      </c>
      <c r="E138" s="48">
        <f>IF($N138&lt;&gt;"増","",INDEX('請求台帳'!$L$5:$L$1004,$O138))</f>
        <v/>
      </c>
      <c r="F138" s="48">
        <f>IF($N138&lt;&gt;"減","",N(INDEX('入金消込'!$G$5:$G$1004,$O138)))</f>
        <v/>
      </c>
      <c r="G138" s="48">
        <f>IF($N138&lt;&gt;"減","",N(INDEX('入金消込'!$H$5:$H$1004,$O138))+N(INDEX('入金消込'!$I$5:$I$1004,$O138)))</f>
        <v/>
      </c>
      <c r="H138" s="49">
        <f>IF($N138="","",$H137+N($E138)-N($F138)-N($G138))</f>
        <v/>
      </c>
      <c r="I138" s="56" t="n"/>
      <c r="J138" s="32">
        <f>$J137+IF($N137="増",1,0)</f>
        <v/>
      </c>
      <c r="K138" s="32">
        <f>$K137+IF($N137="減",1,0)</f>
        <v/>
      </c>
      <c r="L138" s="35">
        <f>IF($B$3="",1E+9,IFERROR(SMALL('請求台帳'!$Z$5:$Z$1004,$J138+1),1E+9))</f>
        <v/>
      </c>
      <c r="M138" s="35">
        <f>IF($B$3="",1E+9,IFERROR(SMALL('入金消込'!$Q$5:$Q$1004,$K138+1),1E+9))</f>
        <v/>
      </c>
      <c r="N138" s="32">
        <f>IF(MIN($L138,$M138)&gt;=1E+9,"",IF($L138&lt;=$M138,"増","減"))</f>
        <v/>
      </c>
      <c r="O138" s="32">
        <f>IF($N138="","",IF($N138="増",MATCH($L138,'請求台帳'!$Z$5:$Z$1004,0),MATCH($M138,'入金消込'!$Q$5:$Q$1004,0)))</f>
        <v/>
      </c>
      <c r="P138" s="56" t="n"/>
      <c r="Q138" s="56" t="n"/>
    </row>
    <row r="139" ht="18" customHeight="1">
      <c r="A139" s="45">
        <f>IF($N139="","",IF($N139="増",INDEX('請求台帳'!$X$5:$X$1004,$O139),INDEX('入金消込'!$A$5:$A$1004,$O139)))</f>
        <v/>
      </c>
      <c r="B139" s="46">
        <f>IF($N139="","",IF($N139="増","売上","入金"))</f>
        <v/>
      </c>
      <c r="C139" s="46">
        <f>IF($N139="","",IF($N139="増",INDEX('請求台帳'!$A$5:$A$1004,$O139)&amp;"","入金No "&amp;INDEX('入金消込'!$B$5:$B$1004,$O139)))</f>
        <v/>
      </c>
      <c r="D139" s="47">
        <f>IF($N139="","",IF($N139="増",INDEX('請求台帳'!$F$5:$F$1004,$O139)&amp;"",IF(INDEX('入金消込'!$F$5:$F$1004,$O139)="","消込先が未定",INDEX('入金消込'!$F$5:$F$1004,$O139)&amp;" の入金")))</f>
        <v/>
      </c>
      <c r="E139" s="48">
        <f>IF($N139&lt;&gt;"増","",INDEX('請求台帳'!$L$5:$L$1004,$O139))</f>
        <v/>
      </c>
      <c r="F139" s="48">
        <f>IF($N139&lt;&gt;"減","",N(INDEX('入金消込'!$G$5:$G$1004,$O139)))</f>
        <v/>
      </c>
      <c r="G139" s="48">
        <f>IF($N139&lt;&gt;"減","",N(INDEX('入金消込'!$H$5:$H$1004,$O139))+N(INDEX('入金消込'!$I$5:$I$1004,$O139)))</f>
        <v/>
      </c>
      <c r="H139" s="49">
        <f>IF($N139="","",$H138+N($E139)-N($F139)-N($G139))</f>
        <v/>
      </c>
      <c r="I139" s="56" t="n"/>
      <c r="J139" s="32">
        <f>$J138+IF($N138="増",1,0)</f>
        <v/>
      </c>
      <c r="K139" s="32">
        <f>$K138+IF($N138="減",1,0)</f>
        <v/>
      </c>
      <c r="L139" s="35">
        <f>IF($B$3="",1E+9,IFERROR(SMALL('請求台帳'!$Z$5:$Z$1004,$J139+1),1E+9))</f>
        <v/>
      </c>
      <c r="M139" s="35">
        <f>IF($B$3="",1E+9,IFERROR(SMALL('入金消込'!$Q$5:$Q$1004,$K139+1),1E+9))</f>
        <v/>
      </c>
      <c r="N139" s="32">
        <f>IF(MIN($L139,$M139)&gt;=1E+9,"",IF($L139&lt;=$M139,"増","減"))</f>
        <v/>
      </c>
      <c r="O139" s="32">
        <f>IF($N139="","",IF($N139="増",MATCH($L139,'請求台帳'!$Z$5:$Z$1004,0),MATCH($M139,'入金消込'!$Q$5:$Q$1004,0)))</f>
        <v/>
      </c>
      <c r="P139" s="56" t="n"/>
      <c r="Q139" s="56" t="n"/>
    </row>
    <row r="140" ht="18" customHeight="1">
      <c r="A140" s="45">
        <f>IF($N140="","",IF($N140="増",INDEX('請求台帳'!$X$5:$X$1004,$O140),INDEX('入金消込'!$A$5:$A$1004,$O140)))</f>
        <v/>
      </c>
      <c r="B140" s="46">
        <f>IF($N140="","",IF($N140="増","売上","入金"))</f>
        <v/>
      </c>
      <c r="C140" s="46">
        <f>IF($N140="","",IF($N140="増",INDEX('請求台帳'!$A$5:$A$1004,$O140)&amp;"","入金No "&amp;INDEX('入金消込'!$B$5:$B$1004,$O140)))</f>
        <v/>
      </c>
      <c r="D140" s="47">
        <f>IF($N140="","",IF($N140="増",INDEX('請求台帳'!$F$5:$F$1004,$O140)&amp;"",IF(INDEX('入金消込'!$F$5:$F$1004,$O140)="","消込先が未定",INDEX('入金消込'!$F$5:$F$1004,$O140)&amp;" の入金")))</f>
        <v/>
      </c>
      <c r="E140" s="48">
        <f>IF($N140&lt;&gt;"増","",INDEX('請求台帳'!$L$5:$L$1004,$O140))</f>
        <v/>
      </c>
      <c r="F140" s="48">
        <f>IF($N140&lt;&gt;"減","",N(INDEX('入金消込'!$G$5:$G$1004,$O140)))</f>
        <v/>
      </c>
      <c r="G140" s="48">
        <f>IF($N140&lt;&gt;"減","",N(INDEX('入金消込'!$H$5:$H$1004,$O140))+N(INDEX('入金消込'!$I$5:$I$1004,$O140)))</f>
        <v/>
      </c>
      <c r="H140" s="49">
        <f>IF($N140="","",$H139+N($E140)-N($F140)-N($G140))</f>
        <v/>
      </c>
      <c r="I140" s="56" t="n"/>
      <c r="J140" s="32">
        <f>$J139+IF($N139="増",1,0)</f>
        <v/>
      </c>
      <c r="K140" s="32">
        <f>$K139+IF($N139="減",1,0)</f>
        <v/>
      </c>
      <c r="L140" s="35">
        <f>IF($B$3="",1E+9,IFERROR(SMALL('請求台帳'!$Z$5:$Z$1004,$J140+1),1E+9))</f>
        <v/>
      </c>
      <c r="M140" s="35">
        <f>IF($B$3="",1E+9,IFERROR(SMALL('入金消込'!$Q$5:$Q$1004,$K140+1),1E+9))</f>
        <v/>
      </c>
      <c r="N140" s="32">
        <f>IF(MIN($L140,$M140)&gt;=1E+9,"",IF($L140&lt;=$M140,"増","減"))</f>
        <v/>
      </c>
      <c r="O140" s="32">
        <f>IF($N140="","",IF($N140="増",MATCH($L140,'請求台帳'!$Z$5:$Z$1004,0),MATCH($M140,'入金消込'!$Q$5:$Q$1004,0)))</f>
        <v/>
      </c>
      <c r="P140" s="56" t="n"/>
      <c r="Q140" s="56" t="n"/>
    </row>
    <row r="141" ht="18" customHeight="1">
      <c r="A141" s="45">
        <f>IF($N141="","",IF($N141="増",INDEX('請求台帳'!$X$5:$X$1004,$O141),INDEX('入金消込'!$A$5:$A$1004,$O141)))</f>
        <v/>
      </c>
      <c r="B141" s="46">
        <f>IF($N141="","",IF($N141="増","売上","入金"))</f>
        <v/>
      </c>
      <c r="C141" s="46">
        <f>IF($N141="","",IF($N141="増",INDEX('請求台帳'!$A$5:$A$1004,$O141)&amp;"","入金No "&amp;INDEX('入金消込'!$B$5:$B$1004,$O141)))</f>
        <v/>
      </c>
      <c r="D141" s="47">
        <f>IF($N141="","",IF($N141="増",INDEX('請求台帳'!$F$5:$F$1004,$O141)&amp;"",IF(INDEX('入金消込'!$F$5:$F$1004,$O141)="","消込先が未定",INDEX('入金消込'!$F$5:$F$1004,$O141)&amp;" の入金")))</f>
        <v/>
      </c>
      <c r="E141" s="48">
        <f>IF($N141&lt;&gt;"増","",INDEX('請求台帳'!$L$5:$L$1004,$O141))</f>
        <v/>
      </c>
      <c r="F141" s="48">
        <f>IF($N141&lt;&gt;"減","",N(INDEX('入金消込'!$G$5:$G$1004,$O141)))</f>
        <v/>
      </c>
      <c r="G141" s="48">
        <f>IF($N141&lt;&gt;"減","",N(INDEX('入金消込'!$H$5:$H$1004,$O141))+N(INDEX('入金消込'!$I$5:$I$1004,$O141)))</f>
        <v/>
      </c>
      <c r="H141" s="49">
        <f>IF($N141="","",$H140+N($E141)-N($F141)-N($G141))</f>
        <v/>
      </c>
      <c r="I141" s="56" t="n"/>
      <c r="J141" s="32">
        <f>$J140+IF($N140="増",1,0)</f>
        <v/>
      </c>
      <c r="K141" s="32">
        <f>$K140+IF($N140="減",1,0)</f>
        <v/>
      </c>
      <c r="L141" s="35">
        <f>IF($B$3="",1E+9,IFERROR(SMALL('請求台帳'!$Z$5:$Z$1004,$J141+1),1E+9))</f>
        <v/>
      </c>
      <c r="M141" s="35">
        <f>IF($B$3="",1E+9,IFERROR(SMALL('入金消込'!$Q$5:$Q$1004,$K141+1),1E+9))</f>
        <v/>
      </c>
      <c r="N141" s="32">
        <f>IF(MIN($L141,$M141)&gt;=1E+9,"",IF($L141&lt;=$M141,"増","減"))</f>
        <v/>
      </c>
      <c r="O141" s="32">
        <f>IF($N141="","",IF($N141="増",MATCH($L141,'請求台帳'!$Z$5:$Z$1004,0),MATCH($M141,'入金消込'!$Q$5:$Q$1004,0)))</f>
        <v/>
      </c>
      <c r="P141" s="56" t="n"/>
      <c r="Q141" s="56" t="n"/>
    </row>
    <row r="142" ht="18" customHeight="1">
      <c r="A142" s="45">
        <f>IF($N142="","",IF($N142="増",INDEX('請求台帳'!$X$5:$X$1004,$O142),INDEX('入金消込'!$A$5:$A$1004,$O142)))</f>
        <v/>
      </c>
      <c r="B142" s="46">
        <f>IF($N142="","",IF($N142="増","売上","入金"))</f>
        <v/>
      </c>
      <c r="C142" s="46">
        <f>IF($N142="","",IF($N142="増",INDEX('請求台帳'!$A$5:$A$1004,$O142)&amp;"","入金No "&amp;INDEX('入金消込'!$B$5:$B$1004,$O142)))</f>
        <v/>
      </c>
      <c r="D142" s="47">
        <f>IF($N142="","",IF($N142="増",INDEX('請求台帳'!$F$5:$F$1004,$O142)&amp;"",IF(INDEX('入金消込'!$F$5:$F$1004,$O142)="","消込先が未定",INDEX('入金消込'!$F$5:$F$1004,$O142)&amp;" の入金")))</f>
        <v/>
      </c>
      <c r="E142" s="48">
        <f>IF($N142&lt;&gt;"増","",INDEX('請求台帳'!$L$5:$L$1004,$O142))</f>
        <v/>
      </c>
      <c r="F142" s="48">
        <f>IF($N142&lt;&gt;"減","",N(INDEX('入金消込'!$G$5:$G$1004,$O142)))</f>
        <v/>
      </c>
      <c r="G142" s="48">
        <f>IF($N142&lt;&gt;"減","",N(INDEX('入金消込'!$H$5:$H$1004,$O142))+N(INDEX('入金消込'!$I$5:$I$1004,$O142)))</f>
        <v/>
      </c>
      <c r="H142" s="49">
        <f>IF($N142="","",$H141+N($E142)-N($F142)-N($G142))</f>
        <v/>
      </c>
      <c r="I142" s="56" t="n"/>
      <c r="J142" s="32">
        <f>$J141+IF($N141="増",1,0)</f>
        <v/>
      </c>
      <c r="K142" s="32">
        <f>$K141+IF($N141="減",1,0)</f>
        <v/>
      </c>
      <c r="L142" s="35">
        <f>IF($B$3="",1E+9,IFERROR(SMALL('請求台帳'!$Z$5:$Z$1004,$J142+1),1E+9))</f>
        <v/>
      </c>
      <c r="M142" s="35">
        <f>IF($B$3="",1E+9,IFERROR(SMALL('入金消込'!$Q$5:$Q$1004,$K142+1),1E+9))</f>
        <v/>
      </c>
      <c r="N142" s="32">
        <f>IF(MIN($L142,$M142)&gt;=1E+9,"",IF($L142&lt;=$M142,"増","減"))</f>
        <v/>
      </c>
      <c r="O142" s="32">
        <f>IF($N142="","",IF($N142="増",MATCH($L142,'請求台帳'!$Z$5:$Z$1004,0),MATCH($M142,'入金消込'!$Q$5:$Q$1004,0)))</f>
        <v/>
      </c>
      <c r="P142" s="56" t="n"/>
      <c r="Q142" s="56" t="n"/>
    </row>
    <row r="143" ht="18" customHeight="1">
      <c r="A143" s="45">
        <f>IF($N143="","",IF($N143="増",INDEX('請求台帳'!$X$5:$X$1004,$O143),INDEX('入金消込'!$A$5:$A$1004,$O143)))</f>
        <v/>
      </c>
      <c r="B143" s="46">
        <f>IF($N143="","",IF($N143="増","売上","入金"))</f>
        <v/>
      </c>
      <c r="C143" s="46">
        <f>IF($N143="","",IF($N143="増",INDEX('請求台帳'!$A$5:$A$1004,$O143)&amp;"","入金No "&amp;INDEX('入金消込'!$B$5:$B$1004,$O143)))</f>
        <v/>
      </c>
      <c r="D143" s="47">
        <f>IF($N143="","",IF($N143="増",INDEX('請求台帳'!$F$5:$F$1004,$O143)&amp;"",IF(INDEX('入金消込'!$F$5:$F$1004,$O143)="","消込先が未定",INDEX('入金消込'!$F$5:$F$1004,$O143)&amp;" の入金")))</f>
        <v/>
      </c>
      <c r="E143" s="48">
        <f>IF($N143&lt;&gt;"増","",INDEX('請求台帳'!$L$5:$L$1004,$O143))</f>
        <v/>
      </c>
      <c r="F143" s="48">
        <f>IF($N143&lt;&gt;"減","",N(INDEX('入金消込'!$G$5:$G$1004,$O143)))</f>
        <v/>
      </c>
      <c r="G143" s="48">
        <f>IF($N143&lt;&gt;"減","",N(INDEX('入金消込'!$H$5:$H$1004,$O143))+N(INDEX('入金消込'!$I$5:$I$1004,$O143)))</f>
        <v/>
      </c>
      <c r="H143" s="49">
        <f>IF($N143="","",$H142+N($E143)-N($F143)-N($G143))</f>
        <v/>
      </c>
      <c r="I143" s="56" t="n"/>
      <c r="J143" s="32">
        <f>$J142+IF($N142="増",1,0)</f>
        <v/>
      </c>
      <c r="K143" s="32">
        <f>$K142+IF($N142="減",1,0)</f>
        <v/>
      </c>
      <c r="L143" s="35">
        <f>IF($B$3="",1E+9,IFERROR(SMALL('請求台帳'!$Z$5:$Z$1004,$J143+1),1E+9))</f>
        <v/>
      </c>
      <c r="M143" s="35">
        <f>IF($B$3="",1E+9,IFERROR(SMALL('入金消込'!$Q$5:$Q$1004,$K143+1),1E+9))</f>
        <v/>
      </c>
      <c r="N143" s="32">
        <f>IF(MIN($L143,$M143)&gt;=1E+9,"",IF($L143&lt;=$M143,"増","減"))</f>
        <v/>
      </c>
      <c r="O143" s="32">
        <f>IF($N143="","",IF($N143="増",MATCH($L143,'請求台帳'!$Z$5:$Z$1004,0),MATCH($M143,'入金消込'!$Q$5:$Q$1004,0)))</f>
        <v/>
      </c>
      <c r="P143" s="56" t="n"/>
      <c r="Q143" s="56" t="n"/>
    </row>
    <row r="144" ht="18" customHeight="1">
      <c r="A144" s="45">
        <f>IF($N144="","",IF($N144="増",INDEX('請求台帳'!$X$5:$X$1004,$O144),INDEX('入金消込'!$A$5:$A$1004,$O144)))</f>
        <v/>
      </c>
      <c r="B144" s="46">
        <f>IF($N144="","",IF($N144="増","売上","入金"))</f>
        <v/>
      </c>
      <c r="C144" s="46">
        <f>IF($N144="","",IF($N144="増",INDEX('請求台帳'!$A$5:$A$1004,$O144)&amp;"","入金No "&amp;INDEX('入金消込'!$B$5:$B$1004,$O144)))</f>
        <v/>
      </c>
      <c r="D144" s="47">
        <f>IF($N144="","",IF($N144="増",INDEX('請求台帳'!$F$5:$F$1004,$O144)&amp;"",IF(INDEX('入金消込'!$F$5:$F$1004,$O144)="","消込先が未定",INDEX('入金消込'!$F$5:$F$1004,$O144)&amp;" の入金")))</f>
        <v/>
      </c>
      <c r="E144" s="48">
        <f>IF($N144&lt;&gt;"増","",INDEX('請求台帳'!$L$5:$L$1004,$O144))</f>
        <v/>
      </c>
      <c r="F144" s="48">
        <f>IF($N144&lt;&gt;"減","",N(INDEX('入金消込'!$G$5:$G$1004,$O144)))</f>
        <v/>
      </c>
      <c r="G144" s="48">
        <f>IF($N144&lt;&gt;"減","",N(INDEX('入金消込'!$H$5:$H$1004,$O144))+N(INDEX('入金消込'!$I$5:$I$1004,$O144)))</f>
        <v/>
      </c>
      <c r="H144" s="49">
        <f>IF($N144="","",$H143+N($E144)-N($F144)-N($G144))</f>
        <v/>
      </c>
      <c r="I144" s="56" t="n"/>
      <c r="J144" s="32">
        <f>$J143+IF($N143="増",1,0)</f>
        <v/>
      </c>
      <c r="K144" s="32">
        <f>$K143+IF($N143="減",1,0)</f>
        <v/>
      </c>
      <c r="L144" s="35">
        <f>IF($B$3="",1E+9,IFERROR(SMALL('請求台帳'!$Z$5:$Z$1004,$J144+1),1E+9))</f>
        <v/>
      </c>
      <c r="M144" s="35">
        <f>IF($B$3="",1E+9,IFERROR(SMALL('入金消込'!$Q$5:$Q$1004,$K144+1),1E+9))</f>
        <v/>
      </c>
      <c r="N144" s="32">
        <f>IF(MIN($L144,$M144)&gt;=1E+9,"",IF($L144&lt;=$M144,"増","減"))</f>
        <v/>
      </c>
      <c r="O144" s="32">
        <f>IF($N144="","",IF($N144="増",MATCH($L144,'請求台帳'!$Z$5:$Z$1004,0),MATCH($M144,'入金消込'!$Q$5:$Q$1004,0)))</f>
        <v/>
      </c>
      <c r="P144" s="56" t="n"/>
      <c r="Q144" s="56" t="n"/>
    </row>
    <row r="145" ht="18" customHeight="1">
      <c r="A145" s="45">
        <f>IF($N145="","",IF($N145="増",INDEX('請求台帳'!$X$5:$X$1004,$O145),INDEX('入金消込'!$A$5:$A$1004,$O145)))</f>
        <v/>
      </c>
      <c r="B145" s="46">
        <f>IF($N145="","",IF($N145="増","売上","入金"))</f>
        <v/>
      </c>
      <c r="C145" s="46">
        <f>IF($N145="","",IF($N145="増",INDEX('請求台帳'!$A$5:$A$1004,$O145)&amp;"","入金No "&amp;INDEX('入金消込'!$B$5:$B$1004,$O145)))</f>
        <v/>
      </c>
      <c r="D145" s="47">
        <f>IF($N145="","",IF($N145="増",INDEX('請求台帳'!$F$5:$F$1004,$O145)&amp;"",IF(INDEX('入金消込'!$F$5:$F$1004,$O145)="","消込先が未定",INDEX('入金消込'!$F$5:$F$1004,$O145)&amp;" の入金")))</f>
        <v/>
      </c>
      <c r="E145" s="48">
        <f>IF($N145&lt;&gt;"増","",INDEX('請求台帳'!$L$5:$L$1004,$O145))</f>
        <v/>
      </c>
      <c r="F145" s="48">
        <f>IF($N145&lt;&gt;"減","",N(INDEX('入金消込'!$G$5:$G$1004,$O145)))</f>
        <v/>
      </c>
      <c r="G145" s="48">
        <f>IF($N145&lt;&gt;"減","",N(INDEX('入金消込'!$H$5:$H$1004,$O145))+N(INDEX('入金消込'!$I$5:$I$1004,$O145)))</f>
        <v/>
      </c>
      <c r="H145" s="49">
        <f>IF($N145="","",$H144+N($E145)-N($F145)-N($G145))</f>
        <v/>
      </c>
      <c r="I145" s="56" t="n"/>
      <c r="J145" s="32">
        <f>$J144+IF($N144="増",1,0)</f>
        <v/>
      </c>
      <c r="K145" s="32">
        <f>$K144+IF($N144="減",1,0)</f>
        <v/>
      </c>
      <c r="L145" s="35">
        <f>IF($B$3="",1E+9,IFERROR(SMALL('請求台帳'!$Z$5:$Z$1004,$J145+1),1E+9))</f>
        <v/>
      </c>
      <c r="M145" s="35">
        <f>IF($B$3="",1E+9,IFERROR(SMALL('入金消込'!$Q$5:$Q$1004,$K145+1),1E+9))</f>
        <v/>
      </c>
      <c r="N145" s="32">
        <f>IF(MIN($L145,$M145)&gt;=1E+9,"",IF($L145&lt;=$M145,"増","減"))</f>
        <v/>
      </c>
      <c r="O145" s="32">
        <f>IF($N145="","",IF($N145="増",MATCH($L145,'請求台帳'!$Z$5:$Z$1004,0),MATCH($M145,'入金消込'!$Q$5:$Q$1004,0)))</f>
        <v/>
      </c>
      <c r="P145" s="56" t="n"/>
      <c r="Q145" s="56" t="n"/>
    </row>
    <row r="146" ht="18" customHeight="1">
      <c r="A146" s="45">
        <f>IF($N146="","",IF($N146="増",INDEX('請求台帳'!$X$5:$X$1004,$O146),INDEX('入金消込'!$A$5:$A$1004,$O146)))</f>
        <v/>
      </c>
      <c r="B146" s="46">
        <f>IF($N146="","",IF($N146="増","売上","入金"))</f>
        <v/>
      </c>
      <c r="C146" s="46">
        <f>IF($N146="","",IF($N146="増",INDEX('請求台帳'!$A$5:$A$1004,$O146)&amp;"","入金No "&amp;INDEX('入金消込'!$B$5:$B$1004,$O146)))</f>
        <v/>
      </c>
      <c r="D146" s="47">
        <f>IF($N146="","",IF($N146="増",INDEX('請求台帳'!$F$5:$F$1004,$O146)&amp;"",IF(INDEX('入金消込'!$F$5:$F$1004,$O146)="","消込先が未定",INDEX('入金消込'!$F$5:$F$1004,$O146)&amp;" の入金")))</f>
        <v/>
      </c>
      <c r="E146" s="48">
        <f>IF($N146&lt;&gt;"増","",INDEX('請求台帳'!$L$5:$L$1004,$O146))</f>
        <v/>
      </c>
      <c r="F146" s="48">
        <f>IF($N146&lt;&gt;"減","",N(INDEX('入金消込'!$G$5:$G$1004,$O146)))</f>
        <v/>
      </c>
      <c r="G146" s="48">
        <f>IF($N146&lt;&gt;"減","",N(INDEX('入金消込'!$H$5:$H$1004,$O146))+N(INDEX('入金消込'!$I$5:$I$1004,$O146)))</f>
        <v/>
      </c>
      <c r="H146" s="49">
        <f>IF($N146="","",$H145+N($E146)-N($F146)-N($G146))</f>
        <v/>
      </c>
      <c r="I146" s="56" t="n"/>
      <c r="J146" s="32">
        <f>$J145+IF($N145="増",1,0)</f>
        <v/>
      </c>
      <c r="K146" s="32">
        <f>$K145+IF($N145="減",1,0)</f>
        <v/>
      </c>
      <c r="L146" s="35">
        <f>IF($B$3="",1E+9,IFERROR(SMALL('請求台帳'!$Z$5:$Z$1004,$J146+1),1E+9))</f>
        <v/>
      </c>
      <c r="M146" s="35">
        <f>IF($B$3="",1E+9,IFERROR(SMALL('入金消込'!$Q$5:$Q$1004,$K146+1),1E+9))</f>
        <v/>
      </c>
      <c r="N146" s="32">
        <f>IF(MIN($L146,$M146)&gt;=1E+9,"",IF($L146&lt;=$M146,"増","減"))</f>
        <v/>
      </c>
      <c r="O146" s="32">
        <f>IF($N146="","",IF($N146="増",MATCH($L146,'請求台帳'!$Z$5:$Z$1004,0),MATCH($M146,'入金消込'!$Q$5:$Q$1004,0)))</f>
        <v/>
      </c>
      <c r="P146" s="56" t="n"/>
      <c r="Q146" s="56" t="n"/>
    </row>
    <row r="147" ht="18" customHeight="1">
      <c r="A147" s="45">
        <f>IF($N147="","",IF($N147="増",INDEX('請求台帳'!$X$5:$X$1004,$O147),INDEX('入金消込'!$A$5:$A$1004,$O147)))</f>
        <v/>
      </c>
      <c r="B147" s="46">
        <f>IF($N147="","",IF($N147="増","売上","入金"))</f>
        <v/>
      </c>
      <c r="C147" s="46">
        <f>IF($N147="","",IF($N147="増",INDEX('請求台帳'!$A$5:$A$1004,$O147)&amp;"","入金No "&amp;INDEX('入金消込'!$B$5:$B$1004,$O147)))</f>
        <v/>
      </c>
      <c r="D147" s="47">
        <f>IF($N147="","",IF($N147="増",INDEX('請求台帳'!$F$5:$F$1004,$O147)&amp;"",IF(INDEX('入金消込'!$F$5:$F$1004,$O147)="","消込先が未定",INDEX('入金消込'!$F$5:$F$1004,$O147)&amp;" の入金")))</f>
        <v/>
      </c>
      <c r="E147" s="48">
        <f>IF($N147&lt;&gt;"増","",INDEX('請求台帳'!$L$5:$L$1004,$O147))</f>
        <v/>
      </c>
      <c r="F147" s="48">
        <f>IF($N147&lt;&gt;"減","",N(INDEX('入金消込'!$G$5:$G$1004,$O147)))</f>
        <v/>
      </c>
      <c r="G147" s="48">
        <f>IF($N147&lt;&gt;"減","",N(INDEX('入金消込'!$H$5:$H$1004,$O147))+N(INDEX('入金消込'!$I$5:$I$1004,$O147)))</f>
        <v/>
      </c>
      <c r="H147" s="49">
        <f>IF($N147="","",$H146+N($E147)-N($F147)-N($G147))</f>
        <v/>
      </c>
      <c r="I147" s="56" t="n"/>
      <c r="J147" s="32">
        <f>$J146+IF($N146="増",1,0)</f>
        <v/>
      </c>
      <c r="K147" s="32">
        <f>$K146+IF($N146="減",1,0)</f>
        <v/>
      </c>
      <c r="L147" s="35">
        <f>IF($B$3="",1E+9,IFERROR(SMALL('請求台帳'!$Z$5:$Z$1004,$J147+1),1E+9))</f>
        <v/>
      </c>
      <c r="M147" s="35">
        <f>IF($B$3="",1E+9,IFERROR(SMALL('入金消込'!$Q$5:$Q$1004,$K147+1),1E+9))</f>
        <v/>
      </c>
      <c r="N147" s="32">
        <f>IF(MIN($L147,$M147)&gt;=1E+9,"",IF($L147&lt;=$M147,"増","減"))</f>
        <v/>
      </c>
      <c r="O147" s="32">
        <f>IF($N147="","",IF($N147="増",MATCH($L147,'請求台帳'!$Z$5:$Z$1004,0),MATCH($M147,'入金消込'!$Q$5:$Q$1004,0)))</f>
        <v/>
      </c>
      <c r="P147" s="56" t="n"/>
      <c r="Q147" s="56" t="n"/>
    </row>
    <row r="148" ht="18" customHeight="1">
      <c r="A148" s="45">
        <f>IF($N148="","",IF($N148="増",INDEX('請求台帳'!$X$5:$X$1004,$O148),INDEX('入金消込'!$A$5:$A$1004,$O148)))</f>
        <v/>
      </c>
      <c r="B148" s="46">
        <f>IF($N148="","",IF($N148="増","売上","入金"))</f>
        <v/>
      </c>
      <c r="C148" s="46">
        <f>IF($N148="","",IF($N148="増",INDEX('請求台帳'!$A$5:$A$1004,$O148)&amp;"","入金No "&amp;INDEX('入金消込'!$B$5:$B$1004,$O148)))</f>
        <v/>
      </c>
      <c r="D148" s="47">
        <f>IF($N148="","",IF($N148="増",INDEX('請求台帳'!$F$5:$F$1004,$O148)&amp;"",IF(INDEX('入金消込'!$F$5:$F$1004,$O148)="","消込先が未定",INDEX('入金消込'!$F$5:$F$1004,$O148)&amp;" の入金")))</f>
        <v/>
      </c>
      <c r="E148" s="48">
        <f>IF($N148&lt;&gt;"増","",INDEX('請求台帳'!$L$5:$L$1004,$O148))</f>
        <v/>
      </c>
      <c r="F148" s="48">
        <f>IF($N148&lt;&gt;"減","",N(INDEX('入金消込'!$G$5:$G$1004,$O148)))</f>
        <v/>
      </c>
      <c r="G148" s="48">
        <f>IF($N148&lt;&gt;"減","",N(INDEX('入金消込'!$H$5:$H$1004,$O148))+N(INDEX('入金消込'!$I$5:$I$1004,$O148)))</f>
        <v/>
      </c>
      <c r="H148" s="49">
        <f>IF($N148="","",$H147+N($E148)-N($F148)-N($G148))</f>
        <v/>
      </c>
      <c r="I148" s="56" t="n"/>
      <c r="J148" s="32">
        <f>$J147+IF($N147="増",1,0)</f>
        <v/>
      </c>
      <c r="K148" s="32">
        <f>$K147+IF($N147="減",1,0)</f>
        <v/>
      </c>
      <c r="L148" s="35">
        <f>IF($B$3="",1E+9,IFERROR(SMALL('請求台帳'!$Z$5:$Z$1004,$J148+1),1E+9))</f>
        <v/>
      </c>
      <c r="M148" s="35">
        <f>IF($B$3="",1E+9,IFERROR(SMALL('入金消込'!$Q$5:$Q$1004,$K148+1),1E+9))</f>
        <v/>
      </c>
      <c r="N148" s="32">
        <f>IF(MIN($L148,$M148)&gt;=1E+9,"",IF($L148&lt;=$M148,"増","減"))</f>
        <v/>
      </c>
      <c r="O148" s="32">
        <f>IF($N148="","",IF($N148="増",MATCH($L148,'請求台帳'!$Z$5:$Z$1004,0),MATCH($M148,'入金消込'!$Q$5:$Q$1004,0)))</f>
        <v/>
      </c>
      <c r="P148" s="56" t="n"/>
      <c r="Q148" s="56" t="n"/>
    </row>
    <row r="149" ht="18" customHeight="1">
      <c r="A149" s="45">
        <f>IF($N149="","",IF($N149="増",INDEX('請求台帳'!$X$5:$X$1004,$O149),INDEX('入金消込'!$A$5:$A$1004,$O149)))</f>
        <v/>
      </c>
      <c r="B149" s="46">
        <f>IF($N149="","",IF($N149="増","売上","入金"))</f>
        <v/>
      </c>
      <c r="C149" s="46">
        <f>IF($N149="","",IF($N149="増",INDEX('請求台帳'!$A$5:$A$1004,$O149)&amp;"","入金No "&amp;INDEX('入金消込'!$B$5:$B$1004,$O149)))</f>
        <v/>
      </c>
      <c r="D149" s="47">
        <f>IF($N149="","",IF($N149="増",INDEX('請求台帳'!$F$5:$F$1004,$O149)&amp;"",IF(INDEX('入金消込'!$F$5:$F$1004,$O149)="","消込先が未定",INDEX('入金消込'!$F$5:$F$1004,$O149)&amp;" の入金")))</f>
        <v/>
      </c>
      <c r="E149" s="48">
        <f>IF($N149&lt;&gt;"増","",INDEX('請求台帳'!$L$5:$L$1004,$O149))</f>
        <v/>
      </c>
      <c r="F149" s="48">
        <f>IF($N149&lt;&gt;"減","",N(INDEX('入金消込'!$G$5:$G$1004,$O149)))</f>
        <v/>
      </c>
      <c r="G149" s="48">
        <f>IF($N149&lt;&gt;"減","",N(INDEX('入金消込'!$H$5:$H$1004,$O149))+N(INDEX('入金消込'!$I$5:$I$1004,$O149)))</f>
        <v/>
      </c>
      <c r="H149" s="49">
        <f>IF($N149="","",$H148+N($E149)-N($F149)-N($G149))</f>
        <v/>
      </c>
      <c r="I149" s="56" t="n"/>
      <c r="J149" s="32">
        <f>$J148+IF($N148="増",1,0)</f>
        <v/>
      </c>
      <c r="K149" s="32">
        <f>$K148+IF($N148="減",1,0)</f>
        <v/>
      </c>
      <c r="L149" s="35">
        <f>IF($B$3="",1E+9,IFERROR(SMALL('請求台帳'!$Z$5:$Z$1004,$J149+1),1E+9))</f>
        <v/>
      </c>
      <c r="M149" s="35">
        <f>IF($B$3="",1E+9,IFERROR(SMALL('入金消込'!$Q$5:$Q$1004,$K149+1),1E+9))</f>
        <v/>
      </c>
      <c r="N149" s="32">
        <f>IF(MIN($L149,$M149)&gt;=1E+9,"",IF($L149&lt;=$M149,"増","減"))</f>
        <v/>
      </c>
      <c r="O149" s="32">
        <f>IF($N149="","",IF($N149="増",MATCH($L149,'請求台帳'!$Z$5:$Z$1004,0),MATCH($M149,'入金消込'!$Q$5:$Q$1004,0)))</f>
        <v/>
      </c>
      <c r="P149" s="56" t="n"/>
      <c r="Q149" s="56" t="n"/>
    </row>
    <row r="150" ht="18" customHeight="1">
      <c r="A150" s="45">
        <f>IF($N150="","",IF($N150="増",INDEX('請求台帳'!$X$5:$X$1004,$O150),INDEX('入金消込'!$A$5:$A$1004,$O150)))</f>
        <v/>
      </c>
      <c r="B150" s="46">
        <f>IF($N150="","",IF($N150="増","売上","入金"))</f>
        <v/>
      </c>
      <c r="C150" s="46">
        <f>IF($N150="","",IF($N150="増",INDEX('請求台帳'!$A$5:$A$1004,$O150)&amp;"","入金No "&amp;INDEX('入金消込'!$B$5:$B$1004,$O150)))</f>
        <v/>
      </c>
      <c r="D150" s="47">
        <f>IF($N150="","",IF($N150="増",INDEX('請求台帳'!$F$5:$F$1004,$O150)&amp;"",IF(INDEX('入金消込'!$F$5:$F$1004,$O150)="","消込先が未定",INDEX('入金消込'!$F$5:$F$1004,$O150)&amp;" の入金")))</f>
        <v/>
      </c>
      <c r="E150" s="48">
        <f>IF($N150&lt;&gt;"増","",INDEX('請求台帳'!$L$5:$L$1004,$O150))</f>
        <v/>
      </c>
      <c r="F150" s="48">
        <f>IF($N150&lt;&gt;"減","",N(INDEX('入金消込'!$G$5:$G$1004,$O150)))</f>
        <v/>
      </c>
      <c r="G150" s="48">
        <f>IF($N150&lt;&gt;"減","",N(INDEX('入金消込'!$H$5:$H$1004,$O150))+N(INDEX('入金消込'!$I$5:$I$1004,$O150)))</f>
        <v/>
      </c>
      <c r="H150" s="49">
        <f>IF($N150="","",$H149+N($E150)-N($F150)-N($G150))</f>
        <v/>
      </c>
      <c r="I150" s="56" t="n"/>
      <c r="J150" s="32">
        <f>$J149+IF($N149="増",1,0)</f>
        <v/>
      </c>
      <c r="K150" s="32">
        <f>$K149+IF($N149="減",1,0)</f>
        <v/>
      </c>
      <c r="L150" s="35">
        <f>IF($B$3="",1E+9,IFERROR(SMALL('請求台帳'!$Z$5:$Z$1004,$J150+1),1E+9))</f>
        <v/>
      </c>
      <c r="M150" s="35">
        <f>IF($B$3="",1E+9,IFERROR(SMALL('入金消込'!$Q$5:$Q$1004,$K150+1),1E+9))</f>
        <v/>
      </c>
      <c r="N150" s="32">
        <f>IF(MIN($L150,$M150)&gt;=1E+9,"",IF($L150&lt;=$M150,"増","減"))</f>
        <v/>
      </c>
      <c r="O150" s="32">
        <f>IF($N150="","",IF($N150="増",MATCH($L150,'請求台帳'!$Z$5:$Z$1004,0),MATCH($M150,'入金消込'!$Q$5:$Q$1004,0)))</f>
        <v/>
      </c>
      <c r="P150" s="56" t="n"/>
      <c r="Q150" s="56" t="n"/>
    </row>
    <row r="151" ht="18" customHeight="1">
      <c r="A151" s="45">
        <f>IF($N151="","",IF($N151="増",INDEX('請求台帳'!$X$5:$X$1004,$O151),INDEX('入金消込'!$A$5:$A$1004,$O151)))</f>
        <v/>
      </c>
      <c r="B151" s="46">
        <f>IF($N151="","",IF($N151="増","売上","入金"))</f>
        <v/>
      </c>
      <c r="C151" s="46">
        <f>IF($N151="","",IF($N151="増",INDEX('請求台帳'!$A$5:$A$1004,$O151)&amp;"","入金No "&amp;INDEX('入金消込'!$B$5:$B$1004,$O151)))</f>
        <v/>
      </c>
      <c r="D151" s="47">
        <f>IF($N151="","",IF($N151="増",INDEX('請求台帳'!$F$5:$F$1004,$O151)&amp;"",IF(INDEX('入金消込'!$F$5:$F$1004,$O151)="","消込先が未定",INDEX('入金消込'!$F$5:$F$1004,$O151)&amp;" の入金")))</f>
        <v/>
      </c>
      <c r="E151" s="48">
        <f>IF($N151&lt;&gt;"増","",INDEX('請求台帳'!$L$5:$L$1004,$O151))</f>
        <v/>
      </c>
      <c r="F151" s="48">
        <f>IF($N151&lt;&gt;"減","",N(INDEX('入金消込'!$G$5:$G$1004,$O151)))</f>
        <v/>
      </c>
      <c r="G151" s="48">
        <f>IF($N151&lt;&gt;"減","",N(INDEX('入金消込'!$H$5:$H$1004,$O151))+N(INDEX('入金消込'!$I$5:$I$1004,$O151)))</f>
        <v/>
      </c>
      <c r="H151" s="49">
        <f>IF($N151="","",$H150+N($E151)-N($F151)-N($G151))</f>
        <v/>
      </c>
      <c r="I151" s="56" t="n"/>
      <c r="J151" s="32">
        <f>$J150+IF($N150="増",1,0)</f>
        <v/>
      </c>
      <c r="K151" s="32">
        <f>$K150+IF($N150="減",1,0)</f>
        <v/>
      </c>
      <c r="L151" s="35">
        <f>IF($B$3="",1E+9,IFERROR(SMALL('請求台帳'!$Z$5:$Z$1004,$J151+1),1E+9))</f>
        <v/>
      </c>
      <c r="M151" s="35">
        <f>IF($B$3="",1E+9,IFERROR(SMALL('入金消込'!$Q$5:$Q$1004,$K151+1),1E+9))</f>
        <v/>
      </c>
      <c r="N151" s="32">
        <f>IF(MIN($L151,$M151)&gt;=1E+9,"",IF($L151&lt;=$M151,"増","減"))</f>
        <v/>
      </c>
      <c r="O151" s="32">
        <f>IF($N151="","",IF($N151="増",MATCH($L151,'請求台帳'!$Z$5:$Z$1004,0),MATCH($M151,'入金消込'!$Q$5:$Q$1004,0)))</f>
        <v/>
      </c>
      <c r="P151" s="56" t="n"/>
      <c r="Q151" s="56" t="n"/>
    </row>
    <row r="152" ht="18" customHeight="1">
      <c r="A152" s="45">
        <f>IF($N152="","",IF($N152="増",INDEX('請求台帳'!$X$5:$X$1004,$O152),INDEX('入金消込'!$A$5:$A$1004,$O152)))</f>
        <v/>
      </c>
      <c r="B152" s="46">
        <f>IF($N152="","",IF($N152="増","売上","入金"))</f>
        <v/>
      </c>
      <c r="C152" s="46">
        <f>IF($N152="","",IF($N152="増",INDEX('請求台帳'!$A$5:$A$1004,$O152)&amp;"","入金No "&amp;INDEX('入金消込'!$B$5:$B$1004,$O152)))</f>
        <v/>
      </c>
      <c r="D152" s="47">
        <f>IF($N152="","",IF($N152="増",INDEX('請求台帳'!$F$5:$F$1004,$O152)&amp;"",IF(INDEX('入金消込'!$F$5:$F$1004,$O152)="","消込先が未定",INDEX('入金消込'!$F$5:$F$1004,$O152)&amp;" の入金")))</f>
        <v/>
      </c>
      <c r="E152" s="48">
        <f>IF($N152&lt;&gt;"増","",INDEX('請求台帳'!$L$5:$L$1004,$O152))</f>
        <v/>
      </c>
      <c r="F152" s="48">
        <f>IF($N152&lt;&gt;"減","",N(INDEX('入金消込'!$G$5:$G$1004,$O152)))</f>
        <v/>
      </c>
      <c r="G152" s="48">
        <f>IF($N152&lt;&gt;"減","",N(INDEX('入金消込'!$H$5:$H$1004,$O152))+N(INDEX('入金消込'!$I$5:$I$1004,$O152)))</f>
        <v/>
      </c>
      <c r="H152" s="49">
        <f>IF($N152="","",$H151+N($E152)-N($F152)-N($G152))</f>
        <v/>
      </c>
      <c r="I152" s="56" t="n"/>
      <c r="J152" s="32">
        <f>$J151+IF($N151="増",1,0)</f>
        <v/>
      </c>
      <c r="K152" s="32">
        <f>$K151+IF($N151="減",1,0)</f>
        <v/>
      </c>
      <c r="L152" s="35">
        <f>IF($B$3="",1E+9,IFERROR(SMALL('請求台帳'!$Z$5:$Z$1004,$J152+1),1E+9))</f>
        <v/>
      </c>
      <c r="M152" s="35">
        <f>IF($B$3="",1E+9,IFERROR(SMALL('入金消込'!$Q$5:$Q$1004,$K152+1),1E+9))</f>
        <v/>
      </c>
      <c r="N152" s="32">
        <f>IF(MIN($L152,$M152)&gt;=1E+9,"",IF($L152&lt;=$M152,"増","減"))</f>
        <v/>
      </c>
      <c r="O152" s="32">
        <f>IF($N152="","",IF($N152="増",MATCH($L152,'請求台帳'!$Z$5:$Z$1004,0),MATCH($M152,'入金消込'!$Q$5:$Q$1004,0)))</f>
        <v/>
      </c>
      <c r="P152" s="56" t="n"/>
      <c r="Q152" s="56" t="n"/>
    </row>
    <row r="153" ht="18" customHeight="1">
      <c r="A153" s="45">
        <f>IF($N153="","",IF($N153="増",INDEX('請求台帳'!$X$5:$X$1004,$O153),INDEX('入金消込'!$A$5:$A$1004,$O153)))</f>
        <v/>
      </c>
      <c r="B153" s="46">
        <f>IF($N153="","",IF($N153="増","売上","入金"))</f>
        <v/>
      </c>
      <c r="C153" s="46">
        <f>IF($N153="","",IF($N153="増",INDEX('請求台帳'!$A$5:$A$1004,$O153)&amp;"","入金No "&amp;INDEX('入金消込'!$B$5:$B$1004,$O153)))</f>
        <v/>
      </c>
      <c r="D153" s="47">
        <f>IF($N153="","",IF($N153="増",INDEX('請求台帳'!$F$5:$F$1004,$O153)&amp;"",IF(INDEX('入金消込'!$F$5:$F$1004,$O153)="","消込先が未定",INDEX('入金消込'!$F$5:$F$1004,$O153)&amp;" の入金")))</f>
        <v/>
      </c>
      <c r="E153" s="48">
        <f>IF($N153&lt;&gt;"増","",INDEX('請求台帳'!$L$5:$L$1004,$O153))</f>
        <v/>
      </c>
      <c r="F153" s="48">
        <f>IF($N153&lt;&gt;"減","",N(INDEX('入金消込'!$G$5:$G$1004,$O153)))</f>
        <v/>
      </c>
      <c r="G153" s="48">
        <f>IF($N153&lt;&gt;"減","",N(INDEX('入金消込'!$H$5:$H$1004,$O153))+N(INDEX('入金消込'!$I$5:$I$1004,$O153)))</f>
        <v/>
      </c>
      <c r="H153" s="49">
        <f>IF($N153="","",$H152+N($E153)-N($F153)-N($G153))</f>
        <v/>
      </c>
      <c r="I153" s="56" t="n"/>
      <c r="J153" s="32">
        <f>$J152+IF($N152="増",1,0)</f>
        <v/>
      </c>
      <c r="K153" s="32">
        <f>$K152+IF($N152="減",1,0)</f>
        <v/>
      </c>
      <c r="L153" s="35">
        <f>IF($B$3="",1E+9,IFERROR(SMALL('請求台帳'!$Z$5:$Z$1004,$J153+1),1E+9))</f>
        <v/>
      </c>
      <c r="M153" s="35">
        <f>IF($B$3="",1E+9,IFERROR(SMALL('入金消込'!$Q$5:$Q$1004,$K153+1),1E+9))</f>
        <v/>
      </c>
      <c r="N153" s="32">
        <f>IF(MIN($L153,$M153)&gt;=1E+9,"",IF($L153&lt;=$M153,"増","減"))</f>
        <v/>
      </c>
      <c r="O153" s="32">
        <f>IF($N153="","",IF($N153="増",MATCH($L153,'請求台帳'!$Z$5:$Z$1004,0),MATCH($M153,'入金消込'!$Q$5:$Q$1004,0)))</f>
        <v/>
      </c>
      <c r="P153" s="56" t="n"/>
      <c r="Q153" s="56" t="n"/>
    </row>
    <row r="154" ht="18" customHeight="1">
      <c r="A154" s="45">
        <f>IF($N154="","",IF($N154="増",INDEX('請求台帳'!$X$5:$X$1004,$O154),INDEX('入金消込'!$A$5:$A$1004,$O154)))</f>
        <v/>
      </c>
      <c r="B154" s="46">
        <f>IF($N154="","",IF($N154="増","売上","入金"))</f>
        <v/>
      </c>
      <c r="C154" s="46">
        <f>IF($N154="","",IF($N154="増",INDEX('請求台帳'!$A$5:$A$1004,$O154)&amp;"","入金No "&amp;INDEX('入金消込'!$B$5:$B$1004,$O154)))</f>
        <v/>
      </c>
      <c r="D154" s="47">
        <f>IF($N154="","",IF($N154="増",INDEX('請求台帳'!$F$5:$F$1004,$O154)&amp;"",IF(INDEX('入金消込'!$F$5:$F$1004,$O154)="","消込先が未定",INDEX('入金消込'!$F$5:$F$1004,$O154)&amp;" の入金")))</f>
        <v/>
      </c>
      <c r="E154" s="48">
        <f>IF($N154&lt;&gt;"増","",INDEX('請求台帳'!$L$5:$L$1004,$O154))</f>
        <v/>
      </c>
      <c r="F154" s="48">
        <f>IF($N154&lt;&gt;"減","",N(INDEX('入金消込'!$G$5:$G$1004,$O154)))</f>
        <v/>
      </c>
      <c r="G154" s="48">
        <f>IF($N154&lt;&gt;"減","",N(INDEX('入金消込'!$H$5:$H$1004,$O154))+N(INDEX('入金消込'!$I$5:$I$1004,$O154)))</f>
        <v/>
      </c>
      <c r="H154" s="49">
        <f>IF($N154="","",$H153+N($E154)-N($F154)-N($G154))</f>
        <v/>
      </c>
      <c r="I154" s="56" t="n"/>
      <c r="J154" s="32">
        <f>$J153+IF($N153="増",1,0)</f>
        <v/>
      </c>
      <c r="K154" s="32">
        <f>$K153+IF($N153="減",1,0)</f>
        <v/>
      </c>
      <c r="L154" s="35">
        <f>IF($B$3="",1E+9,IFERROR(SMALL('請求台帳'!$Z$5:$Z$1004,$J154+1),1E+9))</f>
        <v/>
      </c>
      <c r="M154" s="35">
        <f>IF($B$3="",1E+9,IFERROR(SMALL('入金消込'!$Q$5:$Q$1004,$K154+1),1E+9))</f>
        <v/>
      </c>
      <c r="N154" s="32">
        <f>IF(MIN($L154,$M154)&gt;=1E+9,"",IF($L154&lt;=$M154,"増","減"))</f>
        <v/>
      </c>
      <c r="O154" s="32">
        <f>IF($N154="","",IF($N154="増",MATCH($L154,'請求台帳'!$Z$5:$Z$1004,0),MATCH($M154,'入金消込'!$Q$5:$Q$1004,0)))</f>
        <v/>
      </c>
      <c r="P154" s="56" t="n"/>
      <c r="Q154" s="56" t="n"/>
    </row>
    <row r="155" ht="18" customHeight="1">
      <c r="A155" s="45">
        <f>IF($N155="","",IF($N155="増",INDEX('請求台帳'!$X$5:$X$1004,$O155),INDEX('入金消込'!$A$5:$A$1004,$O155)))</f>
        <v/>
      </c>
      <c r="B155" s="46">
        <f>IF($N155="","",IF($N155="増","売上","入金"))</f>
        <v/>
      </c>
      <c r="C155" s="46">
        <f>IF($N155="","",IF($N155="増",INDEX('請求台帳'!$A$5:$A$1004,$O155)&amp;"","入金No "&amp;INDEX('入金消込'!$B$5:$B$1004,$O155)))</f>
        <v/>
      </c>
      <c r="D155" s="47">
        <f>IF($N155="","",IF($N155="増",INDEX('請求台帳'!$F$5:$F$1004,$O155)&amp;"",IF(INDEX('入金消込'!$F$5:$F$1004,$O155)="","消込先が未定",INDEX('入金消込'!$F$5:$F$1004,$O155)&amp;" の入金")))</f>
        <v/>
      </c>
      <c r="E155" s="48">
        <f>IF($N155&lt;&gt;"増","",INDEX('請求台帳'!$L$5:$L$1004,$O155))</f>
        <v/>
      </c>
      <c r="F155" s="48">
        <f>IF($N155&lt;&gt;"減","",N(INDEX('入金消込'!$G$5:$G$1004,$O155)))</f>
        <v/>
      </c>
      <c r="G155" s="48">
        <f>IF($N155&lt;&gt;"減","",N(INDEX('入金消込'!$H$5:$H$1004,$O155))+N(INDEX('入金消込'!$I$5:$I$1004,$O155)))</f>
        <v/>
      </c>
      <c r="H155" s="49">
        <f>IF($N155="","",$H154+N($E155)-N($F155)-N($G155))</f>
        <v/>
      </c>
      <c r="I155" s="56" t="n"/>
      <c r="J155" s="32">
        <f>$J154+IF($N154="増",1,0)</f>
        <v/>
      </c>
      <c r="K155" s="32">
        <f>$K154+IF($N154="減",1,0)</f>
        <v/>
      </c>
      <c r="L155" s="35">
        <f>IF($B$3="",1E+9,IFERROR(SMALL('請求台帳'!$Z$5:$Z$1004,$J155+1),1E+9))</f>
        <v/>
      </c>
      <c r="M155" s="35">
        <f>IF($B$3="",1E+9,IFERROR(SMALL('入金消込'!$Q$5:$Q$1004,$K155+1),1E+9))</f>
        <v/>
      </c>
      <c r="N155" s="32">
        <f>IF(MIN($L155,$M155)&gt;=1E+9,"",IF($L155&lt;=$M155,"増","減"))</f>
        <v/>
      </c>
      <c r="O155" s="32">
        <f>IF($N155="","",IF($N155="増",MATCH($L155,'請求台帳'!$Z$5:$Z$1004,0),MATCH($M155,'入金消込'!$Q$5:$Q$1004,0)))</f>
        <v/>
      </c>
      <c r="P155" s="56" t="n"/>
      <c r="Q155" s="56" t="n"/>
    </row>
    <row r="156" ht="18" customHeight="1">
      <c r="A156" s="45">
        <f>IF($N156="","",IF($N156="増",INDEX('請求台帳'!$X$5:$X$1004,$O156),INDEX('入金消込'!$A$5:$A$1004,$O156)))</f>
        <v/>
      </c>
      <c r="B156" s="46">
        <f>IF($N156="","",IF($N156="増","売上","入金"))</f>
        <v/>
      </c>
      <c r="C156" s="46">
        <f>IF($N156="","",IF($N156="増",INDEX('請求台帳'!$A$5:$A$1004,$O156)&amp;"","入金No "&amp;INDEX('入金消込'!$B$5:$B$1004,$O156)))</f>
        <v/>
      </c>
      <c r="D156" s="47">
        <f>IF($N156="","",IF($N156="増",INDEX('請求台帳'!$F$5:$F$1004,$O156)&amp;"",IF(INDEX('入金消込'!$F$5:$F$1004,$O156)="","消込先が未定",INDEX('入金消込'!$F$5:$F$1004,$O156)&amp;" の入金")))</f>
        <v/>
      </c>
      <c r="E156" s="48">
        <f>IF($N156&lt;&gt;"増","",INDEX('請求台帳'!$L$5:$L$1004,$O156))</f>
        <v/>
      </c>
      <c r="F156" s="48">
        <f>IF($N156&lt;&gt;"減","",N(INDEX('入金消込'!$G$5:$G$1004,$O156)))</f>
        <v/>
      </c>
      <c r="G156" s="48">
        <f>IF($N156&lt;&gt;"減","",N(INDEX('入金消込'!$H$5:$H$1004,$O156))+N(INDEX('入金消込'!$I$5:$I$1004,$O156)))</f>
        <v/>
      </c>
      <c r="H156" s="49">
        <f>IF($N156="","",$H155+N($E156)-N($F156)-N($G156))</f>
        <v/>
      </c>
      <c r="I156" s="56" t="n"/>
      <c r="J156" s="32">
        <f>$J155+IF($N155="増",1,0)</f>
        <v/>
      </c>
      <c r="K156" s="32">
        <f>$K155+IF($N155="減",1,0)</f>
        <v/>
      </c>
      <c r="L156" s="35">
        <f>IF($B$3="",1E+9,IFERROR(SMALL('請求台帳'!$Z$5:$Z$1004,$J156+1),1E+9))</f>
        <v/>
      </c>
      <c r="M156" s="35">
        <f>IF($B$3="",1E+9,IFERROR(SMALL('入金消込'!$Q$5:$Q$1004,$K156+1),1E+9))</f>
        <v/>
      </c>
      <c r="N156" s="32">
        <f>IF(MIN($L156,$M156)&gt;=1E+9,"",IF($L156&lt;=$M156,"増","減"))</f>
        <v/>
      </c>
      <c r="O156" s="32">
        <f>IF($N156="","",IF($N156="増",MATCH($L156,'請求台帳'!$Z$5:$Z$1004,0),MATCH($M156,'入金消込'!$Q$5:$Q$1004,0)))</f>
        <v/>
      </c>
      <c r="P156" s="56" t="n"/>
      <c r="Q156" s="56" t="n"/>
    </row>
    <row r="157" ht="18" customHeight="1">
      <c r="A157" s="45">
        <f>IF($N157="","",IF($N157="増",INDEX('請求台帳'!$X$5:$X$1004,$O157),INDEX('入金消込'!$A$5:$A$1004,$O157)))</f>
        <v/>
      </c>
      <c r="B157" s="46">
        <f>IF($N157="","",IF($N157="増","売上","入金"))</f>
        <v/>
      </c>
      <c r="C157" s="46">
        <f>IF($N157="","",IF($N157="増",INDEX('請求台帳'!$A$5:$A$1004,$O157)&amp;"","入金No "&amp;INDEX('入金消込'!$B$5:$B$1004,$O157)))</f>
        <v/>
      </c>
      <c r="D157" s="47">
        <f>IF($N157="","",IF($N157="増",INDEX('請求台帳'!$F$5:$F$1004,$O157)&amp;"",IF(INDEX('入金消込'!$F$5:$F$1004,$O157)="","消込先が未定",INDEX('入金消込'!$F$5:$F$1004,$O157)&amp;" の入金")))</f>
        <v/>
      </c>
      <c r="E157" s="48">
        <f>IF($N157&lt;&gt;"増","",INDEX('請求台帳'!$L$5:$L$1004,$O157))</f>
        <v/>
      </c>
      <c r="F157" s="48">
        <f>IF($N157&lt;&gt;"減","",N(INDEX('入金消込'!$G$5:$G$1004,$O157)))</f>
        <v/>
      </c>
      <c r="G157" s="48">
        <f>IF($N157&lt;&gt;"減","",N(INDEX('入金消込'!$H$5:$H$1004,$O157))+N(INDEX('入金消込'!$I$5:$I$1004,$O157)))</f>
        <v/>
      </c>
      <c r="H157" s="49">
        <f>IF($N157="","",$H156+N($E157)-N($F157)-N($G157))</f>
        <v/>
      </c>
      <c r="I157" s="56" t="n"/>
      <c r="J157" s="32">
        <f>$J156+IF($N156="増",1,0)</f>
        <v/>
      </c>
      <c r="K157" s="32">
        <f>$K156+IF($N156="減",1,0)</f>
        <v/>
      </c>
      <c r="L157" s="35">
        <f>IF($B$3="",1E+9,IFERROR(SMALL('請求台帳'!$Z$5:$Z$1004,$J157+1),1E+9))</f>
        <v/>
      </c>
      <c r="M157" s="35">
        <f>IF($B$3="",1E+9,IFERROR(SMALL('入金消込'!$Q$5:$Q$1004,$K157+1),1E+9))</f>
        <v/>
      </c>
      <c r="N157" s="32">
        <f>IF(MIN($L157,$M157)&gt;=1E+9,"",IF($L157&lt;=$M157,"増","減"))</f>
        <v/>
      </c>
      <c r="O157" s="32">
        <f>IF($N157="","",IF($N157="増",MATCH($L157,'請求台帳'!$Z$5:$Z$1004,0),MATCH($M157,'入金消込'!$Q$5:$Q$1004,0)))</f>
        <v/>
      </c>
      <c r="P157" s="56" t="n"/>
      <c r="Q157" s="56" t="n"/>
    </row>
    <row r="158" ht="18" customHeight="1">
      <c r="A158" s="45">
        <f>IF($N158="","",IF($N158="増",INDEX('請求台帳'!$X$5:$X$1004,$O158),INDEX('入金消込'!$A$5:$A$1004,$O158)))</f>
        <v/>
      </c>
      <c r="B158" s="46">
        <f>IF($N158="","",IF($N158="増","売上","入金"))</f>
        <v/>
      </c>
      <c r="C158" s="46">
        <f>IF($N158="","",IF($N158="増",INDEX('請求台帳'!$A$5:$A$1004,$O158)&amp;"","入金No "&amp;INDEX('入金消込'!$B$5:$B$1004,$O158)))</f>
        <v/>
      </c>
      <c r="D158" s="47">
        <f>IF($N158="","",IF($N158="増",INDEX('請求台帳'!$F$5:$F$1004,$O158)&amp;"",IF(INDEX('入金消込'!$F$5:$F$1004,$O158)="","消込先が未定",INDEX('入金消込'!$F$5:$F$1004,$O158)&amp;" の入金")))</f>
        <v/>
      </c>
      <c r="E158" s="48">
        <f>IF($N158&lt;&gt;"増","",INDEX('請求台帳'!$L$5:$L$1004,$O158))</f>
        <v/>
      </c>
      <c r="F158" s="48">
        <f>IF($N158&lt;&gt;"減","",N(INDEX('入金消込'!$G$5:$G$1004,$O158)))</f>
        <v/>
      </c>
      <c r="G158" s="48">
        <f>IF($N158&lt;&gt;"減","",N(INDEX('入金消込'!$H$5:$H$1004,$O158))+N(INDEX('入金消込'!$I$5:$I$1004,$O158)))</f>
        <v/>
      </c>
      <c r="H158" s="49">
        <f>IF($N158="","",$H157+N($E158)-N($F158)-N($G158))</f>
        <v/>
      </c>
      <c r="I158" s="56" t="n"/>
      <c r="J158" s="32">
        <f>$J157+IF($N157="増",1,0)</f>
        <v/>
      </c>
      <c r="K158" s="32">
        <f>$K157+IF($N157="減",1,0)</f>
        <v/>
      </c>
      <c r="L158" s="35">
        <f>IF($B$3="",1E+9,IFERROR(SMALL('請求台帳'!$Z$5:$Z$1004,$J158+1),1E+9))</f>
        <v/>
      </c>
      <c r="M158" s="35">
        <f>IF($B$3="",1E+9,IFERROR(SMALL('入金消込'!$Q$5:$Q$1004,$K158+1),1E+9))</f>
        <v/>
      </c>
      <c r="N158" s="32">
        <f>IF(MIN($L158,$M158)&gt;=1E+9,"",IF($L158&lt;=$M158,"増","減"))</f>
        <v/>
      </c>
      <c r="O158" s="32">
        <f>IF($N158="","",IF($N158="増",MATCH($L158,'請求台帳'!$Z$5:$Z$1004,0),MATCH($M158,'入金消込'!$Q$5:$Q$1004,0)))</f>
        <v/>
      </c>
      <c r="P158" s="56" t="n"/>
      <c r="Q158" s="56" t="n"/>
    </row>
    <row r="159" ht="18" customHeight="1">
      <c r="A159" s="45">
        <f>IF($N159="","",IF($N159="増",INDEX('請求台帳'!$X$5:$X$1004,$O159),INDEX('入金消込'!$A$5:$A$1004,$O159)))</f>
        <v/>
      </c>
      <c r="B159" s="46">
        <f>IF($N159="","",IF($N159="増","売上","入金"))</f>
        <v/>
      </c>
      <c r="C159" s="46">
        <f>IF($N159="","",IF($N159="増",INDEX('請求台帳'!$A$5:$A$1004,$O159)&amp;"","入金No "&amp;INDEX('入金消込'!$B$5:$B$1004,$O159)))</f>
        <v/>
      </c>
      <c r="D159" s="47">
        <f>IF($N159="","",IF($N159="増",INDEX('請求台帳'!$F$5:$F$1004,$O159)&amp;"",IF(INDEX('入金消込'!$F$5:$F$1004,$O159)="","消込先が未定",INDEX('入金消込'!$F$5:$F$1004,$O159)&amp;" の入金")))</f>
        <v/>
      </c>
      <c r="E159" s="48">
        <f>IF($N159&lt;&gt;"増","",INDEX('請求台帳'!$L$5:$L$1004,$O159))</f>
        <v/>
      </c>
      <c r="F159" s="48">
        <f>IF($N159&lt;&gt;"減","",N(INDEX('入金消込'!$G$5:$G$1004,$O159)))</f>
        <v/>
      </c>
      <c r="G159" s="48">
        <f>IF($N159&lt;&gt;"減","",N(INDEX('入金消込'!$H$5:$H$1004,$O159))+N(INDEX('入金消込'!$I$5:$I$1004,$O159)))</f>
        <v/>
      </c>
      <c r="H159" s="49">
        <f>IF($N159="","",$H158+N($E159)-N($F159)-N($G159))</f>
        <v/>
      </c>
      <c r="I159" s="56" t="n"/>
      <c r="J159" s="32">
        <f>$J158+IF($N158="増",1,0)</f>
        <v/>
      </c>
      <c r="K159" s="32">
        <f>$K158+IF($N158="減",1,0)</f>
        <v/>
      </c>
      <c r="L159" s="35">
        <f>IF($B$3="",1E+9,IFERROR(SMALL('請求台帳'!$Z$5:$Z$1004,$J159+1),1E+9))</f>
        <v/>
      </c>
      <c r="M159" s="35">
        <f>IF($B$3="",1E+9,IFERROR(SMALL('入金消込'!$Q$5:$Q$1004,$K159+1),1E+9))</f>
        <v/>
      </c>
      <c r="N159" s="32">
        <f>IF(MIN($L159,$M159)&gt;=1E+9,"",IF($L159&lt;=$M159,"増","減"))</f>
        <v/>
      </c>
      <c r="O159" s="32">
        <f>IF($N159="","",IF($N159="増",MATCH($L159,'請求台帳'!$Z$5:$Z$1004,0),MATCH($M159,'入金消込'!$Q$5:$Q$1004,0)))</f>
        <v/>
      </c>
      <c r="P159" s="56" t="n"/>
      <c r="Q159" s="56" t="n"/>
    </row>
    <row r="160" ht="18" customHeight="1">
      <c r="A160" s="45">
        <f>IF($N160="","",IF($N160="増",INDEX('請求台帳'!$X$5:$X$1004,$O160),INDEX('入金消込'!$A$5:$A$1004,$O160)))</f>
        <v/>
      </c>
      <c r="B160" s="46">
        <f>IF($N160="","",IF($N160="増","売上","入金"))</f>
        <v/>
      </c>
      <c r="C160" s="46">
        <f>IF($N160="","",IF($N160="増",INDEX('請求台帳'!$A$5:$A$1004,$O160)&amp;"","入金No "&amp;INDEX('入金消込'!$B$5:$B$1004,$O160)))</f>
        <v/>
      </c>
      <c r="D160" s="47">
        <f>IF($N160="","",IF($N160="増",INDEX('請求台帳'!$F$5:$F$1004,$O160)&amp;"",IF(INDEX('入金消込'!$F$5:$F$1004,$O160)="","消込先が未定",INDEX('入金消込'!$F$5:$F$1004,$O160)&amp;" の入金")))</f>
        <v/>
      </c>
      <c r="E160" s="48">
        <f>IF($N160&lt;&gt;"増","",INDEX('請求台帳'!$L$5:$L$1004,$O160))</f>
        <v/>
      </c>
      <c r="F160" s="48">
        <f>IF($N160&lt;&gt;"減","",N(INDEX('入金消込'!$G$5:$G$1004,$O160)))</f>
        <v/>
      </c>
      <c r="G160" s="48">
        <f>IF($N160&lt;&gt;"減","",N(INDEX('入金消込'!$H$5:$H$1004,$O160))+N(INDEX('入金消込'!$I$5:$I$1004,$O160)))</f>
        <v/>
      </c>
      <c r="H160" s="49">
        <f>IF($N160="","",$H159+N($E160)-N($F160)-N($G160))</f>
        <v/>
      </c>
      <c r="I160" s="56" t="n"/>
      <c r="J160" s="32">
        <f>$J159+IF($N159="増",1,0)</f>
        <v/>
      </c>
      <c r="K160" s="32">
        <f>$K159+IF($N159="減",1,0)</f>
        <v/>
      </c>
      <c r="L160" s="35">
        <f>IF($B$3="",1E+9,IFERROR(SMALL('請求台帳'!$Z$5:$Z$1004,$J160+1),1E+9))</f>
        <v/>
      </c>
      <c r="M160" s="35">
        <f>IF($B$3="",1E+9,IFERROR(SMALL('入金消込'!$Q$5:$Q$1004,$K160+1),1E+9))</f>
        <v/>
      </c>
      <c r="N160" s="32">
        <f>IF(MIN($L160,$M160)&gt;=1E+9,"",IF($L160&lt;=$M160,"増","減"))</f>
        <v/>
      </c>
      <c r="O160" s="32">
        <f>IF($N160="","",IF($N160="増",MATCH($L160,'請求台帳'!$Z$5:$Z$1004,0),MATCH($M160,'入金消込'!$Q$5:$Q$1004,0)))</f>
        <v/>
      </c>
      <c r="P160" s="56" t="n"/>
      <c r="Q160" s="56" t="n"/>
    </row>
    <row r="161" ht="18" customHeight="1">
      <c r="A161" s="45">
        <f>IF($N161="","",IF($N161="増",INDEX('請求台帳'!$X$5:$X$1004,$O161),INDEX('入金消込'!$A$5:$A$1004,$O161)))</f>
        <v/>
      </c>
      <c r="B161" s="46">
        <f>IF($N161="","",IF($N161="増","売上","入金"))</f>
        <v/>
      </c>
      <c r="C161" s="46">
        <f>IF($N161="","",IF($N161="増",INDEX('請求台帳'!$A$5:$A$1004,$O161)&amp;"","入金No "&amp;INDEX('入金消込'!$B$5:$B$1004,$O161)))</f>
        <v/>
      </c>
      <c r="D161" s="47">
        <f>IF($N161="","",IF($N161="増",INDEX('請求台帳'!$F$5:$F$1004,$O161)&amp;"",IF(INDEX('入金消込'!$F$5:$F$1004,$O161)="","消込先が未定",INDEX('入金消込'!$F$5:$F$1004,$O161)&amp;" の入金")))</f>
        <v/>
      </c>
      <c r="E161" s="48">
        <f>IF($N161&lt;&gt;"増","",INDEX('請求台帳'!$L$5:$L$1004,$O161))</f>
        <v/>
      </c>
      <c r="F161" s="48">
        <f>IF($N161&lt;&gt;"減","",N(INDEX('入金消込'!$G$5:$G$1004,$O161)))</f>
        <v/>
      </c>
      <c r="G161" s="48">
        <f>IF($N161&lt;&gt;"減","",N(INDEX('入金消込'!$H$5:$H$1004,$O161))+N(INDEX('入金消込'!$I$5:$I$1004,$O161)))</f>
        <v/>
      </c>
      <c r="H161" s="49">
        <f>IF($N161="","",$H160+N($E161)-N($F161)-N($G161))</f>
        <v/>
      </c>
      <c r="I161" s="56" t="n"/>
      <c r="J161" s="32">
        <f>$J160+IF($N160="増",1,0)</f>
        <v/>
      </c>
      <c r="K161" s="32">
        <f>$K160+IF($N160="減",1,0)</f>
        <v/>
      </c>
      <c r="L161" s="35">
        <f>IF($B$3="",1E+9,IFERROR(SMALL('請求台帳'!$Z$5:$Z$1004,$J161+1),1E+9))</f>
        <v/>
      </c>
      <c r="M161" s="35">
        <f>IF($B$3="",1E+9,IFERROR(SMALL('入金消込'!$Q$5:$Q$1004,$K161+1),1E+9))</f>
        <v/>
      </c>
      <c r="N161" s="32">
        <f>IF(MIN($L161,$M161)&gt;=1E+9,"",IF($L161&lt;=$M161,"増","減"))</f>
        <v/>
      </c>
      <c r="O161" s="32">
        <f>IF($N161="","",IF($N161="増",MATCH($L161,'請求台帳'!$Z$5:$Z$1004,0),MATCH($M161,'入金消込'!$Q$5:$Q$1004,0)))</f>
        <v/>
      </c>
      <c r="P161" s="56" t="n"/>
      <c r="Q161" s="56" t="n"/>
    </row>
    <row r="162" ht="18" customHeight="1">
      <c r="A162" s="45">
        <f>IF($N162="","",IF($N162="増",INDEX('請求台帳'!$X$5:$X$1004,$O162),INDEX('入金消込'!$A$5:$A$1004,$O162)))</f>
        <v/>
      </c>
      <c r="B162" s="46">
        <f>IF($N162="","",IF($N162="増","売上","入金"))</f>
        <v/>
      </c>
      <c r="C162" s="46">
        <f>IF($N162="","",IF($N162="増",INDEX('請求台帳'!$A$5:$A$1004,$O162)&amp;"","入金No "&amp;INDEX('入金消込'!$B$5:$B$1004,$O162)))</f>
        <v/>
      </c>
      <c r="D162" s="47">
        <f>IF($N162="","",IF($N162="増",INDEX('請求台帳'!$F$5:$F$1004,$O162)&amp;"",IF(INDEX('入金消込'!$F$5:$F$1004,$O162)="","消込先が未定",INDEX('入金消込'!$F$5:$F$1004,$O162)&amp;" の入金")))</f>
        <v/>
      </c>
      <c r="E162" s="48">
        <f>IF($N162&lt;&gt;"増","",INDEX('請求台帳'!$L$5:$L$1004,$O162))</f>
        <v/>
      </c>
      <c r="F162" s="48">
        <f>IF($N162&lt;&gt;"減","",N(INDEX('入金消込'!$G$5:$G$1004,$O162)))</f>
        <v/>
      </c>
      <c r="G162" s="48">
        <f>IF($N162&lt;&gt;"減","",N(INDEX('入金消込'!$H$5:$H$1004,$O162))+N(INDEX('入金消込'!$I$5:$I$1004,$O162)))</f>
        <v/>
      </c>
      <c r="H162" s="49">
        <f>IF($N162="","",$H161+N($E162)-N($F162)-N($G162))</f>
        <v/>
      </c>
      <c r="I162" s="56" t="n"/>
      <c r="J162" s="32">
        <f>$J161+IF($N161="増",1,0)</f>
        <v/>
      </c>
      <c r="K162" s="32">
        <f>$K161+IF($N161="減",1,0)</f>
        <v/>
      </c>
      <c r="L162" s="35">
        <f>IF($B$3="",1E+9,IFERROR(SMALL('請求台帳'!$Z$5:$Z$1004,$J162+1),1E+9))</f>
        <v/>
      </c>
      <c r="M162" s="35">
        <f>IF($B$3="",1E+9,IFERROR(SMALL('入金消込'!$Q$5:$Q$1004,$K162+1),1E+9))</f>
        <v/>
      </c>
      <c r="N162" s="32">
        <f>IF(MIN($L162,$M162)&gt;=1E+9,"",IF($L162&lt;=$M162,"増","減"))</f>
        <v/>
      </c>
      <c r="O162" s="32">
        <f>IF($N162="","",IF($N162="増",MATCH($L162,'請求台帳'!$Z$5:$Z$1004,0),MATCH($M162,'入金消込'!$Q$5:$Q$1004,0)))</f>
        <v/>
      </c>
      <c r="P162" s="56" t="n"/>
      <c r="Q162" s="56" t="n"/>
    </row>
    <row r="163" ht="18" customHeight="1">
      <c r="A163" s="45">
        <f>IF($N163="","",IF($N163="増",INDEX('請求台帳'!$X$5:$X$1004,$O163),INDEX('入金消込'!$A$5:$A$1004,$O163)))</f>
        <v/>
      </c>
      <c r="B163" s="46">
        <f>IF($N163="","",IF($N163="増","売上","入金"))</f>
        <v/>
      </c>
      <c r="C163" s="46">
        <f>IF($N163="","",IF($N163="増",INDEX('請求台帳'!$A$5:$A$1004,$O163)&amp;"","入金No "&amp;INDEX('入金消込'!$B$5:$B$1004,$O163)))</f>
        <v/>
      </c>
      <c r="D163" s="47">
        <f>IF($N163="","",IF($N163="増",INDEX('請求台帳'!$F$5:$F$1004,$O163)&amp;"",IF(INDEX('入金消込'!$F$5:$F$1004,$O163)="","消込先が未定",INDEX('入金消込'!$F$5:$F$1004,$O163)&amp;" の入金")))</f>
        <v/>
      </c>
      <c r="E163" s="48">
        <f>IF($N163&lt;&gt;"増","",INDEX('請求台帳'!$L$5:$L$1004,$O163))</f>
        <v/>
      </c>
      <c r="F163" s="48">
        <f>IF($N163&lt;&gt;"減","",N(INDEX('入金消込'!$G$5:$G$1004,$O163)))</f>
        <v/>
      </c>
      <c r="G163" s="48">
        <f>IF($N163&lt;&gt;"減","",N(INDEX('入金消込'!$H$5:$H$1004,$O163))+N(INDEX('入金消込'!$I$5:$I$1004,$O163)))</f>
        <v/>
      </c>
      <c r="H163" s="49">
        <f>IF($N163="","",$H162+N($E163)-N($F163)-N($G163))</f>
        <v/>
      </c>
      <c r="I163" s="56" t="n"/>
      <c r="J163" s="32">
        <f>$J162+IF($N162="増",1,0)</f>
        <v/>
      </c>
      <c r="K163" s="32">
        <f>$K162+IF($N162="減",1,0)</f>
        <v/>
      </c>
      <c r="L163" s="35">
        <f>IF($B$3="",1E+9,IFERROR(SMALL('請求台帳'!$Z$5:$Z$1004,$J163+1),1E+9))</f>
        <v/>
      </c>
      <c r="M163" s="35">
        <f>IF($B$3="",1E+9,IFERROR(SMALL('入金消込'!$Q$5:$Q$1004,$K163+1),1E+9))</f>
        <v/>
      </c>
      <c r="N163" s="32">
        <f>IF(MIN($L163,$M163)&gt;=1E+9,"",IF($L163&lt;=$M163,"増","減"))</f>
        <v/>
      </c>
      <c r="O163" s="32">
        <f>IF($N163="","",IF($N163="増",MATCH($L163,'請求台帳'!$Z$5:$Z$1004,0),MATCH($M163,'入金消込'!$Q$5:$Q$1004,0)))</f>
        <v/>
      </c>
      <c r="P163" s="56" t="n"/>
      <c r="Q163" s="56" t="n"/>
    </row>
    <row r="164" ht="18" customHeight="1">
      <c r="A164" s="45">
        <f>IF($N164="","",IF($N164="増",INDEX('請求台帳'!$X$5:$X$1004,$O164),INDEX('入金消込'!$A$5:$A$1004,$O164)))</f>
        <v/>
      </c>
      <c r="B164" s="46">
        <f>IF($N164="","",IF($N164="増","売上","入金"))</f>
        <v/>
      </c>
      <c r="C164" s="46">
        <f>IF($N164="","",IF($N164="増",INDEX('請求台帳'!$A$5:$A$1004,$O164)&amp;"","入金No "&amp;INDEX('入金消込'!$B$5:$B$1004,$O164)))</f>
        <v/>
      </c>
      <c r="D164" s="47">
        <f>IF($N164="","",IF($N164="増",INDEX('請求台帳'!$F$5:$F$1004,$O164)&amp;"",IF(INDEX('入金消込'!$F$5:$F$1004,$O164)="","消込先が未定",INDEX('入金消込'!$F$5:$F$1004,$O164)&amp;" の入金")))</f>
        <v/>
      </c>
      <c r="E164" s="48">
        <f>IF($N164&lt;&gt;"増","",INDEX('請求台帳'!$L$5:$L$1004,$O164))</f>
        <v/>
      </c>
      <c r="F164" s="48">
        <f>IF($N164&lt;&gt;"減","",N(INDEX('入金消込'!$G$5:$G$1004,$O164)))</f>
        <v/>
      </c>
      <c r="G164" s="48">
        <f>IF($N164&lt;&gt;"減","",N(INDEX('入金消込'!$H$5:$H$1004,$O164))+N(INDEX('入金消込'!$I$5:$I$1004,$O164)))</f>
        <v/>
      </c>
      <c r="H164" s="49">
        <f>IF($N164="","",$H163+N($E164)-N($F164)-N($G164))</f>
        <v/>
      </c>
      <c r="I164" s="56" t="n"/>
      <c r="J164" s="32">
        <f>$J163+IF($N163="増",1,0)</f>
        <v/>
      </c>
      <c r="K164" s="32">
        <f>$K163+IF($N163="減",1,0)</f>
        <v/>
      </c>
      <c r="L164" s="35">
        <f>IF($B$3="",1E+9,IFERROR(SMALL('請求台帳'!$Z$5:$Z$1004,$J164+1),1E+9))</f>
        <v/>
      </c>
      <c r="M164" s="35">
        <f>IF($B$3="",1E+9,IFERROR(SMALL('入金消込'!$Q$5:$Q$1004,$K164+1),1E+9))</f>
        <v/>
      </c>
      <c r="N164" s="32">
        <f>IF(MIN($L164,$M164)&gt;=1E+9,"",IF($L164&lt;=$M164,"増","減"))</f>
        <v/>
      </c>
      <c r="O164" s="32">
        <f>IF($N164="","",IF($N164="増",MATCH($L164,'請求台帳'!$Z$5:$Z$1004,0),MATCH($M164,'入金消込'!$Q$5:$Q$1004,0)))</f>
        <v/>
      </c>
      <c r="P164" s="56" t="n"/>
      <c r="Q164" s="56" t="n"/>
    </row>
    <row r="165" ht="18" customHeight="1">
      <c r="A165" s="45">
        <f>IF($N165="","",IF($N165="増",INDEX('請求台帳'!$X$5:$X$1004,$O165),INDEX('入金消込'!$A$5:$A$1004,$O165)))</f>
        <v/>
      </c>
      <c r="B165" s="46">
        <f>IF($N165="","",IF($N165="増","売上","入金"))</f>
        <v/>
      </c>
      <c r="C165" s="46">
        <f>IF($N165="","",IF($N165="増",INDEX('請求台帳'!$A$5:$A$1004,$O165)&amp;"","入金No "&amp;INDEX('入金消込'!$B$5:$B$1004,$O165)))</f>
        <v/>
      </c>
      <c r="D165" s="47">
        <f>IF($N165="","",IF($N165="増",INDEX('請求台帳'!$F$5:$F$1004,$O165)&amp;"",IF(INDEX('入金消込'!$F$5:$F$1004,$O165)="","消込先が未定",INDEX('入金消込'!$F$5:$F$1004,$O165)&amp;" の入金")))</f>
        <v/>
      </c>
      <c r="E165" s="48">
        <f>IF($N165&lt;&gt;"増","",INDEX('請求台帳'!$L$5:$L$1004,$O165))</f>
        <v/>
      </c>
      <c r="F165" s="48">
        <f>IF($N165&lt;&gt;"減","",N(INDEX('入金消込'!$G$5:$G$1004,$O165)))</f>
        <v/>
      </c>
      <c r="G165" s="48">
        <f>IF($N165&lt;&gt;"減","",N(INDEX('入金消込'!$H$5:$H$1004,$O165))+N(INDEX('入金消込'!$I$5:$I$1004,$O165)))</f>
        <v/>
      </c>
      <c r="H165" s="49">
        <f>IF($N165="","",$H164+N($E165)-N($F165)-N($G165))</f>
        <v/>
      </c>
      <c r="I165" s="56" t="n"/>
      <c r="J165" s="32">
        <f>$J164+IF($N164="増",1,0)</f>
        <v/>
      </c>
      <c r="K165" s="32">
        <f>$K164+IF($N164="減",1,0)</f>
        <v/>
      </c>
      <c r="L165" s="35">
        <f>IF($B$3="",1E+9,IFERROR(SMALL('請求台帳'!$Z$5:$Z$1004,$J165+1),1E+9))</f>
        <v/>
      </c>
      <c r="M165" s="35">
        <f>IF($B$3="",1E+9,IFERROR(SMALL('入金消込'!$Q$5:$Q$1004,$K165+1),1E+9))</f>
        <v/>
      </c>
      <c r="N165" s="32">
        <f>IF(MIN($L165,$M165)&gt;=1E+9,"",IF($L165&lt;=$M165,"増","減"))</f>
        <v/>
      </c>
      <c r="O165" s="32">
        <f>IF($N165="","",IF($N165="増",MATCH($L165,'請求台帳'!$Z$5:$Z$1004,0),MATCH($M165,'入金消込'!$Q$5:$Q$1004,0)))</f>
        <v/>
      </c>
      <c r="P165" s="56" t="n"/>
      <c r="Q165" s="56" t="n"/>
    </row>
    <row r="166" ht="18" customHeight="1">
      <c r="A166" s="45">
        <f>IF($N166="","",IF($N166="増",INDEX('請求台帳'!$X$5:$X$1004,$O166),INDEX('入金消込'!$A$5:$A$1004,$O166)))</f>
        <v/>
      </c>
      <c r="B166" s="46">
        <f>IF($N166="","",IF($N166="増","売上","入金"))</f>
        <v/>
      </c>
      <c r="C166" s="46">
        <f>IF($N166="","",IF($N166="増",INDEX('請求台帳'!$A$5:$A$1004,$O166)&amp;"","入金No "&amp;INDEX('入金消込'!$B$5:$B$1004,$O166)))</f>
        <v/>
      </c>
      <c r="D166" s="47">
        <f>IF($N166="","",IF($N166="増",INDEX('請求台帳'!$F$5:$F$1004,$O166)&amp;"",IF(INDEX('入金消込'!$F$5:$F$1004,$O166)="","消込先が未定",INDEX('入金消込'!$F$5:$F$1004,$O166)&amp;" の入金")))</f>
        <v/>
      </c>
      <c r="E166" s="48">
        <f>IF($N166&lt;&gt;"増","",INDEX('請求台帳'!$L$5:$L$1004,$O166))</f>
        <v/>
      </c>
      <c r="F166" s="48">
        <f>IF($N166&lt;&gt;"減","",N(INDEX('入金消込'!$G$5:$G$1004,$O166)))</f>
        <v/>
      </c>
      <c r="G166" s="48">
        <f>IF($N166&lt;&gt;"減","",N(INDEX('入金消込'!$H$5:$H$1004,$O166))+N(INDEX('入金消込'!$I$5:$I$1004,$O166)))</f>
        <v/>
      </c>
      <c r="H166" s="49">
        <f>IF($N166="","",$H165+N($E166)-N($F166)-N($G166))</f>
        <v/>
      </c>
      <c r="I166" s="56" t="n"/>
      <c r="J166" s="32">
        <f>$J165+IF($N165="増",1,0)</f>
        <v/>
      </c>
      <c r="K166" s="32">
        <f>$K165+IF($N165="減",1,0)</f>
        <v/>
      </c>
      <c r="L166" s="35">
        <f>IF($B$3="",1E+9,IFERROR(SMALL('請求台帳'!$Z$5:$Z$1004,$J166+1),1E+9))</f>
        <v/>
      </c>
      <c r="M166" s="35">
        <f>IF($B$3="",1E+9,IFERROR(SMALL('入金消込'!$Q$5:$Q$1004,$K166+1),1E+9))</f>
        <v/>
      </c>
      <c r="N166" s="32">
        <f>IF(MIN($L166,$M166)&gt;=1E+9,"",IF($L166&lt;=$M166,"増","減"))</f>
        <v/>
      </c>
      <c r="O166" s="32">
        <f>IF($N166="","",IF($N166="増",MATCH($L166,'請求台帳'!$Z$5:$Z$1004,0),MATCH($M166,'入金消込'!$Q$5:$Q$1004,0)))</f>
        <v/>
      </c>
      <c r="P166" s="56" t="n"/>
      <c r="Q166" s="56" t="n"/>
    </row>
    <row r="167" ht="18" customHeight="1">
      <c r="A167" s="45">
        <f>IF($N167="","",IF($N167="増",INDEX('請求台帳'!$X$5:$X$1004,$O167),INDEX('入金消込'!$A$5:$A$1004,$O167)))</f>
        <v/>
      </c>
      <c r="B167" s="46">
        <f>IF($N167="","",IF($N167="増","売上","入金"))</f>
        <v/>
      </c>
      <c r="C167" s="46">
        <f>IF($N167="","",IF($N167="増",INDEX('請求台帳'!$A$5:$A$1004,$O167)&amp;"","入金No "&amp;INDEX('入金消込'!$B$5:$B$1004,$O167)))</f>
        <v/>
      </c>
      <c r="D167" s="47">
        <f>IF($N167="","",IF($N167="増",INDEX('請求台帳'!$F$5:$F$1004,$O167)&amp;"",IF(INDEX('入金消込'!$F$5:$F$1004,$O167)="","消込先が未定",INDEX('入金消込'!$F$5:$F$1004,$O167)&amp;" の入金")))</f>
        <v/>
      </c>
      <c r="E167" s="48">
        <f>IF($N167&lt;&gt;"増","",INDEX('請求台帳'!$L$5:$L$1004,$O167))</f>
        <v/>
      </c>
      <c r="F167" s="48">
        <f>IF($N167&lt;&gt;"減","",N(INDEX('入金消込'!$G$5:$G$1004,$O167)))</f>
        <v/>
      </c>
      <c r="G167" s="48">
        <f>IF($N167&lt;&gt;"減","",N(INDEX('入金消込'!$H$5:$H$1004,$O167))+N(INDEX('入金消込'!$I$5:$I$1004,$O167)))</f>
        <v/>
      </c>
      <c r="H167" s="49">
        <f>IF($N167="","",$H166+N($E167)-N($F167)-N($G167))</f>
        <v/>
      </c>
      <c r="I167" s="56" t="n"/>
      <c r="J167" s="32">
        <f>$J166+IF($N166="増",1,0)</f>
        <v/>
      </c>
      <c r="K167" s="32">
        <f>$K166+IF($N166="減",1,0)</f>
        <v/>
      </c>
      <c r="L167" s="35">
        <f>IF($B$3="",1E+9,IFERROR(SMALL('請求台帳'!$Z$5:$Z$1004,$J167+1),1E+9))</f>
        <v/>
      </c>
      <c r="M167" s="35">
        <f>IF($B$3="",1E+9,IFERROR(SMALL('入金消込'!$Q$5:$Q$1004,$K167+1),1E+9))</f>
        <v/>
      </c>
      <c r="N167" s="32">
        <f>IF(MIN($L167,$M167)&gt;=1E+9,"",IF($L167&lt;=$M167,"増","減"))</f>
        <v/>
      </c>
      <c r="O167" s="32">
        <f>IF($N167="","",IF($N167="増",MATCH($L167,'請求台帳'!$Z$5:$Z$1004,0),MATCH($M167,'入金消込'!$Q$5:$Q$1004,0)))</f>
        <v/>
      </c>
      <c r="P167" s="56" t="n"/>
      <c r="Q167" s="56" t="n"/>
    </row>
    <row r="168" ht="18" customHeight="1">
      <c r="A168" s="45">
        <f>IF($N168="","",IF($N168="増",INDEX('請求台帳'!$X$5:$X$1004,$O168),INDEX('入金消込'!$A$5:$A$1004,$O168)))</f>
        <v/>
      </c>
      <c r="B168" s="46">
        <f>IF($N168="","",IF($N168="増","売上","入金"))</f>
        <v/>
      </c>
      <c r="C168" s="46">
        <f>IF($N168="","",IF($N168="増",INDEX('請求台帳'!$A$5:$A$1004,$O168)&amp;"","入金No "&amp;INDEX('入金消込'!$B$5:$B$1004,$O168)))</f>
        <v/>
      </c>
      <c r="D168" s="47">
        <f>IF($N168="","",IF($N168="増",INDEX('請求台帳'!$F$5:$F$1004,$O168)&amp;"",IF(INDEX('入金消込'!$F$5:$F$1004,$O168)="","消込先が未定",INDEX('入金消込'!$F$5:$F$1004,$O168)&amp;" の入金")))</f>
        <v/>
      </c>
      <c r="E168" s="48">
        <f>IF($N168&lt;&gt;"増","",INDEX('請求台帳'!$L$5:$L$1004,$O168))</f>
        <v/>
      </c>
      <c r="F168" s="48">
        <f>IF($N168&lt;&gt;"減","",N(INDEX('入金消込'!$G$5:$G$1004,$O168)))</f>
        <v/>
      </c>
      <c r="G168" s="48">
        <f>IF($N168&lt;&gt;"減","",N(INDEX('入金消込'!$H$5:$H$1004,$O168))+N(INDEX('入金消込'!$I$5:$I$1004,$O168)))</f>
        <v/>
      </c>
      <c r="H168" s="49">
        <f>IF($N168="","",$H167+N($E168)-N($F168)-N($G168))</f>
        <v/>
      </c>
      <c r="I168" s="56" t="n"/>
      <c r="J168" s="32">
        <f>$J167+IF($N167="増",1,0)</f>
        <v/>
      </c>
      <c r="K168" s="32">
        <f>$K167+IF($N167="減",1,0)</f>
        <v/>
      </c>
      <c r="L168" s="35">
        <f>IF($B$3="",1E+9,IFERROR(SMALL('請求台帳'!$Z$5:$Z$1004,$J168+1),1E+9))</f>
        <v/>
      </c>
      <c r="M168" s="35">
        <f>IF($B$3="",1E+9,IFERROR(SMALL('入金消込'!$Q$5:$Q$1004,$K168+1),1E+9))</f>
        <v/>
      </c>
      <c r="N168" s="32">
        <f>IF(MIN($L168,$M168)&gt;=1E+9,"",IF($L168&lt;=$M168,"増","減"))</f>
        <v/>
      </c>
      <c r="O168" s="32">
        <f>IF($N168="","",IF($N168="増",MATCH($L168,'請求台帳'!$Z$5:$Z$1004,0),MATCH($M168,'入金消込'!$Q$5:$Q$1004,0)))</f>
        <v/>
      </c>
      <c r="P168" s="56" t="n"/>
      <c r="Q168" s="56" t="n"/>
    </row>
    <row r="169" ht="18" customHeight="1">
      <c r="A169" s="45">
        <f>IF($N169="","",IF($N169="増",INDEX('請求台帳'!$X$5:$X$1004,$O169),INDEX('入金消込'!$A$5:$A$1004,$O169)))</f>
        <v/>
      </c>
      <c r="B169" s="46">
        <f>IF($N169="","",IF($N169="増","売上","入金"))</f>
        <v/>
      </c>
      <c r="C169" s="46">
        <f>IF($N169="","",IF($N169="増",INDEX('請求台帳'!$A$5:$A$1004,$O169)&amp;"","入金No "&amp;INDEX('入金消込'!$B$5:$B$1004,$O169)))</f>
        <v/>
      </c>
      <c r="D169" s="47">
        <f>IF($N169="","",IF($N169="増",INDEX('請求台帳'!$F$5:$F$1004,$O169)&amp;"",IF(INDEX('入金消込'!$F$5:$F$1004,$O169)="","消込先が未定",INDEX('入金消込'!$F$5:$F$1004,$O169)&amp;" の入金")))</f>
        <v/>
      </c>
      <c r="E169" s="48">
        <f>IF($N169&lt;&gt;"増","",INDEX('請求台帳'!$L$5:$L$1004,$O169))</f>
        <v/>
      </c>
      <c r="F169" s="48">
        <f>IF($N169&lt;&gt;"減","",N(INDEX('入金消込'!$G$5:$G$1004,$O169)))</f>
        <v/>
      </c>
      <c r="G169" s="48">
        <f>IF($N169&lt;&gt;"減","",N(INDEX('入金消込'!$H$5:$H$1004,$O169))+N(INDEX('入金消込'!$I$5:$I$1004,$O169)))</f>
        <v/>
      </c>
      <c r="H169" s="49">
        <f>IF($N169="","",$H168+N($E169)-N($F169)-N($G169))</f>
        <v/>
      </c>
      <c r="I169" s="56" t="n"/>
      <c r="J169" s="32">
        <f>$J168+IF($N168="増",1,0)</f>
        <v/>
      </c>
      <c r="K169" s="32">
        <f>$K168+IF($N168="減",1,0)</f>
        <v/>
      </c>
      <c r="L169" s="35">
        <f>IF($B$3="",1E+9,IFERROR(SMALL('請求台帳'!$Z$5:$Z$1004,$J169+1),1E+9))</f>
        <v/>
      </c>
      <c r="M169" s="35">
        <f>IF($B$3="",1E+9,IFERROR(SMALL('入金消込'!$Q$5:$Q$1004,$K169+1),1E+9))</f>
        <v/>
      </c>
      <c r="N169" s="32">
        <f>IF(MIN($L169,$M169)&gt;=1E+9,"",IF($L169&lt;=$M169,"増","減"))</f>
        <v/>
      </c>
      <c r="O169" s="32">
        <f>IF($N169="","",IF($N169="増",MATCH($L169,'請求台帳'!$Z$5:$Z$1004,0),MATCH($M169,'入金消込'!$Q$5:$Q$1004,0)))</f>
        <v/>
      </c>
      <c r="P169" s="56" t="n"/>
      <c r="Q169" s="56" t="n"/>
    </row>
    <row r="170" ht="18" customHeight="1">
      <c r="A170" s="45">
        <f>IF($N170="","",IF($N170="増",INDEX('請求台帳'!$X$5:$X$1004,$O170),INDEX('入金消込'!$A$5:$A$1004,$O170)))</f>
        <v/>
      </c>
      <c r="B170" s="46">
        <f>IF($N170="","",IF($N170="増","売上","入金"))</f>
        <v/>
      </c>
      <c r="C170" s="46">
        <f>IF($N170="","",IF($N170="増",INDEX('請求台帳'!$A$5:$A$1004,$O170)&amp;"","入金No "&amp;INDEX('入金消込'!$B$5:$B$1004,$O170)))</f>
        <v/>
      </c>
      <c r="D170" s="47">
        <f>IF($N170="","",IF($N170="増",INDEX('請求台帳'!$F$5:$F$1004,$O170)&amp;"",IF(INDEX('入金消込'!$F$5:$F$1004,$O170)="","消込先が未定",INDEX('入金消込'!$F$5:$F$1004,$O170)&amp;" の入金")))</f>
        <v/>
      </c>
      <c r="E170" s="48">
        <f>IF($N170&lt;&gt;"増","",INDEX('請求台帳'!$L$5:$L$1004,$O170))</f>
        <v/>
      </c>
      <c r="F170" s="48">
        <f>IF($N170&lt;&gt;"減","",N(INDEX('入金消込'!$G$5:$G$1004,$O170)))</f>
        <v/>
      </c>
      <c r="G170" s="48">
        <f>IF($N170&lt;&gt;"減","",N(INDEX('入金消込'!$H$5:$H$1004,$O170))+N(INDEX('入金消込'!$I$5:$I$1004,$O170)))</f>
        <v/>
      </c>
      <c r="H170" s="49">
        <f>IF($N170="","",$H169+N($E170)-N($F170)-N($G170))</f>
        <v/>
      </c>
      <c r="I170" s="56" t="n"/>
      <c r="J170" s="32">
        <f>$J169+IF($N169="増",1,0)</f>
        <v/>
      </c>
      <c r="K170" s="32">
        <f>$K169+IF($N169="減",1,0)</f>
        <v/>
      </c>
      <c r="L170" s="35">
        <f>IF($B$3="",1E+9,IFERROR(SMALL('請求台帳'!$Z$5:$Z$1004,$J170+1),1E+9))</f>
        <v/>
      </c>
      <c r="M170" s="35">
        <f>IF($B$3="",1E+9,IFERROR(SMALL('入金消込'!$Q$5:$Q$1004,$K170+1),1E+9))</f>
        <v/>
      </c>
      <c r="N170" s="32">
        <f>IF(MIN($L170,$M170)&gt;=1E+9,"",IF($L170&lt;=$M170,"増","減"))</f>
        <v/>
      </c>
      <c r="O170" s="32">
        <f>IF($N170="","",IF($N170="増",MATCH($L170,'請求台帳'!$Z$5:$Z$1004,0),MATCH($M170,'入金消込'!$Q$5:$Q$1004,0)))</f>
        <v/>
      </c>
      <c r="P170" s="56" t="n"/>
      <c r="Q170" s="56" t="n"/>
    </row>
    <row r="171" ht="18" customHeight="1">
      <c r="A171" s="45">
        <f>IF($N171="","",IF($N171="増",INDEX('請求台帳'!$X$5:$X$1004,$O171),INDEX('入金消込'!$A$5:$A$1004,$O171)))</f>
        <v/>
      </c>
      <c r="B171" s="46">
        <f>IF($N171="","",IF($N171="増","売上","入金"))</f>
        <v/>
      </c>
      <c r="C171" s="46">
        <f>IF($N171="","",IF($N171="増",INDEX('請求台帳'!$A$5:$A$1004,$O171)&amp;"","入金No "&amp;INDEX('入金消込'!$B$5:$B$1004,$O171)))</f>
        <v/>
      </c>
      <c r="D171" s="47">
        <f>IF($N171="","",IF($N171="増",INDEX('請求台帳'!$F$5:$F$1004,$O171)&amp;"",IF(INDEX('入金消込'!$F$5:$F$1004,$O171)="","消込先が未定",INDEX('入金消込'!$F$5:$F$1004,$O171)&amp;" の入金")))</f>
        <v/>
      </c>
      <c r="E171" s="48">
        <f>IF($N171&lt;&gt;"増","",INDEX('請求台帳'!$L$5:$L$1004,$O171))</f>
        <v/>
      </c>
      <c r="F171" s="48">
        <f>IF($N171&lt;&gt;"減","",N(INDEX('入金消込'!$G$5:$G$1004,$O171)))</f>
        <v/>
      </c>
      <c r="G171" s="48">
        <f>IF($N171&lt;&gt;"減","",N(INDEX('入金消込'!$H$5:$H$1004,$O171))+N(INDEX('入金消込'!$I$5:$I$1004,$O171)))</f>
        <v/>
      </c>
      <c r="H171" s="49">
        <f>IF($N171="","",$H170+N($E171)-N($F171)-N($G171))</f>
        <v/>
      </c>
      <c r="I171" s="56" t="n"/>
      <c r="J171" s="32">
        <f>$J170+IF($N170="増",1,0)</f>
        <v/>
      </c>
      <c r="K171" s="32">
        <f>$K170+IF($N170="減",1,0)</f>
        <v/>
      </c>
      <c r="L171" s="35">
        <f>IF($B$3="",1E+9,IFERROR(SMALL('請求台帳'!$Z$5:$Z$1004,$J171+1),1E+9))</f>
        <v/>
      </c>
      <c r="M171" s="35">
        <f>IF($B$3="",1E+9,IFERROR(SMALL('入金消込'!$Q$5:$Q$1004,$K171+1),1E+9))</f>
        <v/>
      </c>
      <c r="N171" s="32">
        <f>IF(MIN($L171,$M171)&gt;=1E+9,"",IF($L171&lt;=$M171,"増","減"))</f>
        <v/>
      </c>
      <c r="O171" s="32">
        <f>IF($N171="","",IF($N171="増",MATCH($L171,'請求台帳'!$Z$5:$Z$1004,0),MATCH($M171,'入金消込'!$Q$5:$Q$1004,0)))</f>
        <v/>
      </c>
      <c r="P171" s="56" t="n"/>
      <c r="Q171" s="56" t="n"/>
    </row>
    <row r="172" ht="18" customHeight="1">
      <c r="A172" s="45">
        <f>IF($N172="","",IF($N172="増",INDEX('請求台帳'!$X$5:$X$1004,$O172),INDEX('入金消込'!$A$5:$A$1004,$O172)))</f>
        <v/>
      </c>
      <c r="B172" s="46">
        <f>IF($N172="","",IF($N172="増","売上","入金"))</f>
        <v/>
      </c>
      <c r="C172" s="46">
        <f>IF($N172="","",IF($N172="増",INDEX('請求台帳'!$A$5:$A$1004,$O172)&amp;"","入金No "&amp;INDEX('入金消込'!$B$5:$B$1004,$O172)))</f>
        <v/>
      </c>
      <c r="D172" s="47">
        <f>IF($N172="","",IF($N172="増",INDEX('請求台帳'!$F$5:$F$1004,$O172)&amp;"",IF(INDEX('入金消込'!$F$5:$F$1004,$O172)="","消込先が未定",INDEX('入金消込'!$F$5:$F$1004,$O172)&amp;" の入金")))</f>
        <v/>
      </c>
      <c r="E172" s="48">
        <f>IF($N172&lt;&gt;"増","",INDEX('請求台帳'!$L$5:$L$1004,$O172))</f>
        <v/>
      </c>
      <c r="F172" s="48">
        <f>IF($N172&lt;&gt;"減","",N(INDEX('入金消込'!$G$5:$G$1004,$O172)))</f>
        <v/>
      </c>
      <c r="G172" s="48">
        <f>IF($N172&lt;&gt;"減","",N(INDEX('入金消込'!$H$5:$H$1004,$O172))+N(INDEX('入金消込'!$I$5:$I$1004,$O172)))</f>
        <v/>
      </c>
      <c r="H172" s="49">
        <f>IF($N172="","",$H171+N($E172)-N($F172)-N($G172))</f>
        <v/>
      </c>
      <c r="I172" s="56" t="n"/>
      <c r="J172" s="32">
        <f>$J171+IF($N171="増",1,0)</f>
        <v/>
      </c>
      <c r="K172" s="32">
        <f>$K171+IF($N171="減",1,0)</f>
        <v/>
      </c>
      <c r="L172" s="35">
        <f>IF($B$3="",1E+9,IFERROR(SMALL('請求台帳'!$Z$5:$Z$1004,$J172+1),1E+9))</f>
        <v/>
      </c>
      <c r="M172" s="35">
        <f>IF($B$3="",1E+9,IFERROR(SMALL('入金消込'!$Q$5:$Q$1004,$K172+1),1E+9))</f>
        <v/>
      </c>
      <c r="N172" s="32">
        <f>IF(MIN($L172,$M172)&gt;=1E+9,"",IF($L172&lt;=$M172,"増","減"))</f>
        <v/>
      </c>
      <c r="O172" s="32">
        <f>IF($N172="","",IF($N172="増",MATCH($L172,'請求台帳'!$Z$5:$Z$1004,0),MATCH($M172,'入金消込'!$Q$5:$Q$1004,0)))</f>
        <v/>
      </c>
      <c r="P172" s="56" t="n"/>
      <c r="Q172" s="56" t="n"/>
    </row>
    <row r="173" ht="18" customHeight="1">
      <c r="A173" s="45">
        <f>IF($N173="","",IF($N173="増",INDEX('請求台帳'!$X$5:$X$1004,$O173),INDEX('入金消込'!$A$5:$A$1004,$O173)))</f>
        <v/>
      </c>
      <c r="B173" s="46">
        <f>IF($N173="","",IF($N173="増","売上","入金"))</f>
        <v/>
      </c>
      <c r="C173" s="46">
        <f>IF($N173="","",IF($N173="増",INDEX('請求台帳'!$A$5:$A$1004,$O173)&amp;"","入金No "&amp;INDEX('入金消込'!$B$5:$B$1004,$O173)))</f>
        <v/>
      </c>
      <c r="D173" s="47">
        <f>IF($N173="","",IF($N173="増",INDEX('請求台帳'!$F$5:$F$1004,$O173)&amp;"",IF(INDEX('入金消込'!$F$5:$F$1004,$O173)="","消込先が未定",INDEX('入金消込'!$F$5:$F$1004,$O173)&amp;" の入金")))</f>
        <v/>
      </c>
      <c r="E173" s="48">
        <f>IF($N173&lt;&gt;"増","",INDEX('請求台帳'!$L$5:$L$1004,$O173))</f>
        <v/>
      </c>
      <c r="F173" s="48">
        <f>IF($N173&lt;&gt;"減","",N(INDEX('入金消込'!$G$5:$G$1004,$O173)))</f>
        <v/>
      </c>
      <c r="G173" s="48">
        <f>IF($N173&lt;&gt;"減","",N(INDEX('入金消込'!$H$5:$H$1004,$O173))+N(INDEX('入金消込'!$I$5:$I$1004,$O173)))</f>
        <v/>
      </c>
      <c r="H173" s="49">
        <f>IF($N173="","",$H172+N($E173)-N($F173)-N($G173))</f>
        <v/>
      </c>
      <c r="I173" s="56" t="n"/>
      <c r="J173" s="32">
        <f>$J172+IF($N172="増",1,0)</f>
        <v/>
      </c>
      <c r="K173" s="32">
        <f>$K172+IF($N172="減",1,0)</f>
        <v/>
      </c>
      <c r="L173" s="35">
        <f>IF($B$3="",1E+9,IFERROR(SMALL('請求台帳'!$Z$5:$Z$1004,$J173+1),1E+9))</f>
        <v/>
      </c>
      <c r="M173" s="35">
        <f>IF($B$3="",1E+9,IFERROR(SMALL('入金消込'!$Q$5:$Q$1004,$K173+1),1E+9))</f>
        <v/>
      </c>
      <c r="N173" s="32">
        <f>IF(MIN($L173,$M173)&gt;=1E+9,"",IF($L173&lt;=$M173,"増","減"))</f>
        <v/>
      </c>
      <c r="O173" s="32">
        <f>IF($N173="","",IF($N173="増",MATCH($L173,'請求台帳'!$Z$5:$Z$1004,0),MATCH($M173,'入金消込'!$Q$5:$Q$1004,0)))</f>
        <v/>
      </c>
      <c r="P173" s="56" t="n"/>
      <c r="Q173" s="56" t="n"/>
    </row>
    <row r="174" ht="18" customHeight="1">
      <c r="A174" s="45">
        <f>IF($N174="","",IF($N174="増",INDEX('請求台帳'!$X$5:$X$1004,$O174),INDEX('入金消込'!$A$5:$A$1004,$O174)))</f>
        <v/>
      </c>
      <c r="B174" s="46">
        <f>IF($N174="","",IF($N174="増","売上","入金"))</f>
        <v/>
      </c>
      <c r="C174" s="46">
        <f>IF($N174="","",IF($N174="増",INDEX('請求台帳'!$A$5:$A$1004,$O174)&amp;"","入金No "&amp;INDEX('入金消込'!$B$5:$B$1004,$O174)))</f>
        <v/>
      </c>
      <c r="D174" s="47">
        <f>IF($N174="","",IF($N174="増",INDEX('請求台帳'!$F$5:$F$1004,$O174)&amp;"",IF(INDEX('入金消込'!$F$5:$F$1004,$O174)="","消込先が未定",INDEX('入金消込'!$F$5:$F$1004,$O174)&amp;" の入金")))</f>
        <v/>
      </c>
      <c r="E174" s="48">
        <f>IF($N174&lt;&gt;"増","",INDEX('請求台帳'!$L$5:$L$1004,$O174))</f>
        <v/>
      </c>
      <c r="F174" s="48">
        <f>IF($N174&lt;&gt;"減","",N(INDEX('入金消込'!$G$5:$G$1004,$O174)))</f>
        <v/>
      </c>
      <c r="G174" s="48">
        <f>IF($N174&lt;&gt;"減","",N(INDEX('入金消込'!$H$5:$H$1004,$O174))+N(INDEX('入金消込'!$I$5:$I$1004,$O174)))</f>
        <v/>
      </c>
      <c r="H174" s="49">
        <f>IF($N174="","",$H173+N($E174)-N($F174)-N($G174))</f>
        <v/>
      </c>
      <c r="I174" s="56" t="n"/>
      <c r="J174" s="32">
        <f>$J173+IF($N173="増",1,0)</f>
        <v/>
      </c>
      <c r="K174" s="32">
        <f>$K173+IF($N173="減",1,0)</f>
        <v/>
      </c>
      <c r="L174" s="35">
        <f>IF($B$3="",1E+9,IFERROR(SMALL('請求台帳'!$Z$5:$Z$1004,$J174+1),1E+9))</f>
        <v/>
      </c>
      <c r="M174" s="35">
        <f>IF($B$3="",1E+9,IFERROR(SMALL('入金消込'!$Q$5:$Q$1004,$K174+1),1E+9))</f>
        <v/>
      </c>
      <c r="N174" s="32">
        <f>IF(MIN($L174,$M174)&gt;=1E+9,"",IF($L174&lt;=$M174,"増","減"))</f>
        <v/>
      </c>
      <c r="O174" s="32">
        <f>IF($N174="","",IF($N174="増",MATCH($L174,'請求台帳'!$Z$5:$Z$1004,0),MATCH($M174,'入金消込'!$Q$5:$Q$1004,0)))</f>
        <v/>
      </c>
      <c r="P174" s="56" t="n"/>
      <c r="Q174" s="56" t="n"/>
    </row>
    <row r="175" ht="18" customHeight="1">
      <c r="A175" s="45">
        <f>IF($N175="","",IF($N175="増",INDEX('請求台帳'!$X$5:$X$1004,$O175),INDEX('入金消込'!$A$5:$A$1004,$O175)))</f>
        <v/>
      </c>
      <c r="B175" s="46">
        <f>IF($N175="","",IF($N175="増","売上","入金"))</f>
        <v/>
      </c>
      <c r="C175" s="46">
        <f>IF($N175="","",IF($N175="増",INDEX('請求台帳'!$A$5:$A$1004,$O175)&amp;"","入金No "&amp;INDEX('入金消込'!$B$5:$B$1004,$O175)))</f>
        <v/>
      </c>
      <c r="D175" s="47">
        <f>IF($N175="","",IF($N175="増",INDEX('請求台帳'!$F$5:$F$1004,$O175)&amp;"",IF(INDEX('入金消込'!$F$5:$F$1004,$O175)="","消込先が未定",INDEX('入金消込'!$F$5:$F$1004,$O175)&amp;" の入金")))</f>
        <v/>
      </c>
      <c r="E175" s="48">
        <f>IF($N175&lt;&gt;"増","",INDEX('請求台帳'!$L$5:$L$1004,$O175))</f>
        <v/>
      </c>
      <c r="F175" s="48">
        <f>IF($N175&lt;&gt;"減","",N(INDEX('入金消込'!$G$5:$G$1004,$O175)))</f>
        <v/>
      </c>
      <c r="G175" s="48">
        <f>IF($N175&lt;&gt;"減","",N(INDEX('入金消込'!$H$5:$H$1004,$O175))+N(INDEX('入金消込'!$I$5:$I$1004,$O175)))</f>
        <v/>
      </c>
      <c r="H175" s="49">
        <f>IF($N175="","",$H174+N($E175)-N($F175)-N($G175))</f>
        <v/>
      </c>
      <c r="I175" s="56" t="n"/>
      <c r="J175" s="32">
        <f>$J174+IF($N174="増",1,0)</f>
        <v/>
      </c>
      <c r="K175" s="32">
        <f>$K174+IF($N174="減",1,0)</f>
        <v/>
      </c>
      <c r="L175" s="35">
        <f>IF($B$3="",1E+9,IFERROR(SMALL('請求台帳'!$Z$5:$Z$1004,$J175+1),1E+9))</f>
        <v/>
      </c>
      <c r="M175" s="35">
        <f>IF($B$3="",1E+9,IFERROR(SMALL('入金消込'!$Q$5:$Q$1004,$K175+1),1E+9))</f>
        <v/>
      </c>
      <c r="N175" s="32">
        <f>IF(MIN($L175,$M175)&gt;=1E+9,"",IF($L175&lt;=$M175,"増","減"))</f>
        <v/>
      </c>
      <c r="O175" s="32">
        <f>IF($N175="","",IF($N175="増",MATCH($L175,'請求台帳'!$Z$5:$Z$1004,0),MATCH($M175,'入金消込'!$Q$5:$Q$1004,0)))</f>
        <v/>
      </c>
      <c r="P175" s="56" t="n"/>
      <c r="Q175" s="56" t="n"/>
    </row>
    <row r="176" ht="18" customHeight="1">
      <c r="A176" s="45">
        <f>IF($N176="","",IF($N176="増",INDEX('請求台帳'!$X$5:$X$1004,$O176),INDEX('入金消込'!$A$5:$A$1004,$O176)))</f>
        <v/>
      </c>
      <c r="B176" s="46">
        <f>IF($N176="","",IF($N176="増","売上","入金"))</f>
        <v/>
      </c>
      <c r="C176" s="46">
        <f>IF($N176="","",IF($N176="増",INDEX('請求台帳'!$A$5:$A$1004,$O176)&amp;"","入金No "&amp;INDEX('入金消込'!$B$5:$B$1004,$O176)))</f>
        <v/>
      </c>
      <c r="D176" s="47">
        <f>IF($N176="","",IF($N176="増",INDEX('請求台帳'!$F$5:$F$1004,$O176)&amp;"",IF(INDEX('入金消込'!$F$5:$F$1004,$O176)="","消込先が未定",INDEX('入金消込'!$F$5:$F$1004,$O176)&amp;" の入金")))</f>
        <v/>
      </c>
      <c r="E176" s="48">
        <f>IF($N176&lt;&gt;"増","",INDEX('請求台帳'!$L$5:$L$1004,$O176))</f>
        <v/>
      </c>
      <c r="F176" s="48">
        <f>IF($N176&lt;&gt;"減","",N(INDEX('入金消込'!$G$5:$G$1004,$O176)))</f>
        <v/>
      </c>
      <c r="G176" s="48">
        <f>IF($N176&lt;&gt;"減","",N(INDEX('入金消込'!$H$5:$H$1004,$O176))+N(INDEX('入金消込'!$I$5:$I$1004,$O176)))</f>
        <v/>
      </c>
      <c r="H176" s="49">
        <f>IF($N176="","",$H175+N($E176)-N($F176)-N($G176))</f>
        <v/>
      </c>
      <c r="I176" s="56" t="n"/>
      <c r="J176" s="32">
        <f>$J175+IF($N175="増",1,0)</f>
        <v/>
      </c>
      <c r="K176" s="32">
        <f>$K175+IF($N175="減",1,0)</f>
        <v/>
      </c>
      <c r="L176" s="35">
        <f>IF($B$3="",1E+9,IFERROR(SMALL('請求台帳'!$Z$5:$Z$1004,$J176+1),1E+9))</f>
        <v/>
      </c>
      <c r="M176" s="35">
        <f>IF($B$3="",1E+9,IFERROR(SMALL('入金消込'!$Q$5:$Q$1004,$K176+1),1E+9))</f>
        <v/>
      </c>
      <c r="N176" s="32">
        <f>IF(MIN($L176,$M176)&gt;=1E+9,"",IF($L176&lt;=$M176,"増","減"))</f>
        <v/>
      </c>
      <c r="O176" s="32">
        <f>IF($N176="","",IF($N176="増",MATCH($L176,'請求台帳'!$Z$5:$Z$1004,0),MATCH($M176,'入金消込'!$Q$5:$Q$1004,0)))</f>
        <v/>
      </c>
      <c r="P176" s="56" t="n"/>
      <c r="Q176" s="56" t="n"/>
    </row>
    <row r="177" ht="18" customHeight="1">
      <c r="A177" s="45">
        <f>IF($N177="","",IF($N177="増",INDEX('請求台帳'!$X$5:$X$1004,$O177),INDEX('入金消込'!$A$5:$A$1004,$O177)))</f>
        <v/>
      </c>
      <c r="B177" s="46">
        <f>IF($N177="","",IF($N177="増","売上","入金"))</f>
        <v/>
      </c>
      <c r="C177" s="46">
        <f>IF($N177="","",IF($N177="増",INDEX('請求台帳'!$A$5:$A$1004,$O177)&amp;"","入金No "&amp;INDEX('入金消込'!$B$5:$B$1004,$O177)))</f>
        <v/>
      </c>
      <c r="D177" s="47">
        <f>IF($N177="","",IF($N177="増",INDEX('請求台帳'!$F$5:$F$1004,$O177)&amp;"",IF(INDEX('入金消込'!$F$5:$F$1004,$O177)="","消込先が未定",INDEX('入金消込'!$F$5:$F$1004,$O177)&amp;" の入金")))</f>
        <v/>
      </c>
      <c r="E177" s="48">
        <f>IF($N177&lt;&gt;"増","",INDEX('請求台帳'!$L$5:$L$1004,$O177))</f>
        <v/>
      </c>
      <c r="F177" s="48">
        <f>IF($N177&lt;&gt;"減","",N(INDEX('入金消込'!$G$5:$G$1004,$O177)))</f>
        <v/>
      </c>
      <c r="G177" s="48">
        <f>IF($N177&lt;&gt;"減","",N(INDEX('入金消込'!$H$5:$H$1004,$O177))+N(INDEX('入金消込'!$I$5:$I$1004,$O177)))</f>
        <v/>
      </c>
      <c r="H177" s="49">
        <f>IF($N177="","",$H176+N($E177)-N($F177)-N($G177))</f>
        <v/>
      </c>
      <c r="I177" s="56" t="n"/>
      <c r="J177" s="32">
        <f>$J176+IF($N176="増",1,0)</f>
        <v/>
      </c>
      <c r="K177" s="32">
        <f>$K176+IF($N176="減",1,0)</f>
        <v/>
      </c>
      <c r="L177" s="35">
        <f>IF($B$3="",1E+9,IFERROR(SMALL('請求台帳'!$Z$5:$Z$1004,$J177+1),1E+9))</f>
        <v/>
      </c>
      <c r="M177" s="35">
        <f>IF($B$3="",1E+9,IFERROR(SMALL('入金消込'!$Q$5:$Q$1004,$K177+1),1E+9))</f>
        <v/>
      </c>
      <c r="N177" s="32">
        <f>IF(MIN($L177,$M177)&gt;=1E+9,"",IF($L177&lt;=$M177,"増","減"))</f>
        <v/>
      </c>
      <c r="O177" s="32">
        <f>IF($N177="","",IF($N177="増",MATCH($L177,'請求台帳'!$Z$5:$Z$1004,0),MATCH($M177,'入金消込'!$Q$5:$Q$1004,0)))</f>
        <v/>
      </c>
      <c r="P177" s="56" t="n"/>
      <c r="Q177" s="56" t="n"/>
    </row>
    <row r="178" ht="18" customHeight="1">
      <c r="A178" s="45">
        <f>IF($N178="","",IF($N178="増",INDEX('請求台帳'!$X$5:$X$1004,$O178),INDEX('入金消込'!$A$5:$A$1004,$O178)))</f>
        <v/>
      </c>
      <c r="B178" s="46">
        <f>IF($N178="","",IF($N178="増","売上","入金"))</f>
        <v/>
      </c>
      <c r="C178" s="46">
        <f>IF($N178="","",IF($N178="増",INDEX('請求台帳'!$A$5:$A$1004,$O178)&amp;"","入金No "&amp;INDEX('入金消込'!$B$5:$B$1004,$O178)))</f>
        <v/>
      </c>
      <c r="D178" s="47">
        <f>IF($N178="","",IF($N178="増",INDEX('請求台帳'!$F$5:$F$1004,$O178)&amp;"",IF(INDEX('入金消込'!$F$5:$F$1004,$O178)="","消込先が未定",INDEX('入金消込'!$F$5:$F$1004,$O178)&amp;" の入金")))</f>
        <v/>
      </c>
      <c r="E178" s="48">
        <f>IF($N178&lt;&gt;"増","",INDEX('請求台帳'!$L$5:$L$1004,$O178))</f>
        <v/>
      </c>
      <c r="F178" s="48">
        <f>IF($N178&lt;&gt;"減","",N(INDEX('入金消込'!$G$5:$G$1004,$O178)))</f>
        <v/>
      </c>
      <c r="G178" s="48">
        <f>IF($N178&lt;&gt;"減","",N(INDEX('入金消込'!$H$5:$H$1004,$O178))+N(INDEX('入金消込'!$I$5:$I$1004,$O178)))</f>
        <v/>
      </c>
      <c r="H178" s="49">
        <f>IF($N178="","",$H177+N($E178)-N($F178)-N($G178))</f>
        <v/>
      </c>
      <c r="I178" s="56" t="n"/>
      <c r="J178" s="32">
        <f>$J177+IF($N177="増",1,0)</f>
        <v/>
      </c>
      <c r="K178" s="32">
        <f>$K177+IF($N177="減",1,0)</f>
        <v/>
      </c>
      <c r="L178" s="35">
        <f>IF($B$3="",1E+9,IFERROR(SMALL('請求台帳'!$Z$5:$Z$1004,$J178+1),1E+9))</f>
        <v/>
      </c>
      <c r="M178" s="35">
        <f>IF($B$3="",1E+9,IFERROR(SMALL('入金消込'!$Q$5:$Q$1004,$K178+1),1E+9))</f>
        <v/>
      </c>
      <c r="N178" s="32">
        <f>IF(MIN($L178,$M178)&gt;=1E+9,"",IF($L178&lt;=$M178,"増","減"))</f>
        <v/>
      </c>
      <c r="O178" s="32">
        <f>IF($N178="","",IF($N178="増",MATCH($L178,'請求台帳'!$Z$5:$Z$1004,0),MATCH($M178,'入金消込'!$Q$5:$Q$1004,0)))</f>
        <v/>
      </c>
      <c r="P178" s="56" t="n"/>
      <c r="Q178" s="56" t="n"/>
    </row>
    <row r="179" ht="18" customHeight="1">
      <c r="A179" s="45">
        <f>IF($N179="","",IF($N179="増",INDEX('請求台帳'!$X$5:$X$1004,$O179),INDEX('入金消込'!$A$5:$A$1004,$O179)))</f>
        <v/>
      </c>
      <c r="B179" s="46">
        <f>IF($N179="","",IF($N179="増","売上","入金"))</f>
        <v/>
      </c>
      <c r="C179" s="46">
        <f>IF($N179="","",IF($N179="増",INDEX('請求台帳'!$A$5:$A$1004,$O179)&amp;"","入金No "&amp;INDEX('入金消込'!$B$5:$B$1004,$O179)))</f>
        <v/>
      </c>
      <c r="D179" s="47">
        <f>IF($N179="","",IF($N179="増",INDEX('請求台帳'!$F$5:$F$1004,$O179)&amp;"",IF(INDEX('入金消込'!$F$5:$F$1004,$O179)="","消込先が未定",INDEX('入金消込'!$F$5:$F$1004,$O179)&amp;" の入金")))</f>
        <v/>
      </c>
      <c r="E179" s="48">
        <f>IF($N179&lt;&gt;"増","",INDEX('請求台帳'!$L$5:$L$1004,$O179))</f>
        <v/>
      </c>
      <c r="F179" s="48">
        <f>IF($N179&lt;&gt;"減","",N(INDEX('入金消込'!$G$5:$G$1004,$O179)))</f>
        <v/>
      </c>
      <c r="G179" s="48">
        <f>IF($N179&lt;&gt;"減","",N(INDEX('入金消込'!$H$5:$H$1004,$O179))+N(INDEX('入金消込'!$I$5:$I$1004,$O179)))</f>
        <v/>
      </c>
      <c r="H179" s="49">
        <f>IF($N179="","",$H178+N($E179)-N($F179)-N($G179))</f>
        <v/>
      </c>
      <c r="I179" s="56" t="n"/>
      <c r="J179" s="32">
        <f>$J178+IF($N178="増",1,0)</f>
        <v/>
      </c>
      <c r="K179" s="32">
        <f>$K178+IF($N178="減",1,0)</f>
        <v/>
      </c>
      <c r="L179" s="35">
        <f>IF($B$3="",1E+9,IFERROR(SMALL('請求台帳'!$Z$5:$Z$1004,$J179+1),1E+9))</f>
        <v/>
      </c>
      <c r="M179" s="35">
        <f>IF($B$3="",1E+9,IFERROR(SMALL('入金消込'!$Q$5:$Q$1004,$K179+1),1E+9))</f>
        <v/>
      </c>
      <c r="N179" s="32">
        <f>IF(MIN($L179,$M179)&gt;=1E+9,"",IF($L179&lt;=$M179,"増","減"))</f>
        <v/>
      </c>
      <c r="O179" s="32">
        <f>IF($N179="","",IF($N179="増",MATCH($L179,'請求台帳'!$Z$5:$Z$1004,0),MATCH($M179,'入金消込'!$Q$5:$Q$1004,0)))</f>
        <v/>
      </c>
      <c r="P179" s="56" t="n"/>
      <c r="Q179" s="56" t="n"/>
    </row>
    <row r="180" ht="18" customHeight="1">
      <c r="A180" s="45">
        <f>IF($N180="","",IF($N180="増",INDEX('請求台帳'!$X$5:$X$1004,$O180),INDEX('入金消込'!$A$5:$A$1004,$O180)))</f>
        <v/>
      </c>
      <c r="B180" s="46">
        <f>IF($N180="","",IF($N180="増","売上","入金"))</f>
        <v/>
      </c>
      <c r="C180" s="46">
        <f>IF($N180="","",IF($N180="増",INDEX('請求台帳'!$A$5:$A$1004,$O180)&amp;"","入金No "&amp;INDEX('入金消込'!$B$5:$B$1004,$O180)))</f>
        <v/>
      </c>
      <c r="D180" s="47">
        <f>IF($N180="","",IF($N180="増",INDEX('請求台帳'!$F$5:$F$1004,$O180)&amp;"",IF(INDEX('入金消込'!$F$5:$F$1004,$O180)="","消込先が未定",INDEX('入金消込'!$F$5:$F$1004,$O180)&amp;" の入金")))</f>
        <v/>
      </c>
      <c r="E180" s="48">
        <f>IF($N180&lt;&gt;"増","",INDEX('請求台帳'!$L$5:$L$1004,$O180))</f>
        <v/>
      </c>
      <c r="F180" s="48">
        <f>IF($N180&lt;&gt;"減","",N(INDEX('入金消込'!$G$5:$G$1004,$O180)))</f>
        <v/>
      </c>
      <c r="G180" s="48">
        <f>IF($N180&lt;&gt;"減","",N(INDEX('入金消込'!$H$5:$H$1004,$O180))+N(INDEX('入金消込'!$I$5:$I$1004,$O180)))</f>
        <v/>
      </c>
      <c r="H180" s="49">
        <f>IF($N180="","",$H179+N($E180)-N($F180)-N($G180))</f>
        <v/>
      </c>
      <c r="I180" s="56" t="n"/>
      <c r="J180" s="32">
        <f>$J179+IF($N179="増",1,0)</f>
        <v/>
      </c>
      <c r="K180" s="32">
        <f>$K179+IF($N179="減",1,0)</f>
        <v/>
      </c>
      <c r="L180" s="35">
        <f>IF($B$3="",1E+9,IFERROR(SMALL('請求台帳'!$Z$5:$Z$1004,$J180+1),1E+9))</f>
        <v/>
      </c>
      <c r="M180" s="35">
        <f>IF($B$3="",1E+9,IFERROR(SMALL('入金消込'!$Q$5:$Q$1004,$K180+1),1E+9))</f>
        <v/>
      </c>
      <c r="N180" s="32">
        <f>IF(MIN($L180,$M180)&gt;=1E+9,"",IF($L180&lt;=$M180,"増","減"))</f>
        <v/>
      </c>
      <c r="O180" s="32">
        <f>IF($N180="","",IF($N180="増",MATCH($L180,'請求台帳'!$Z$5:$Z$1004,0),MATCH($M180,'入金消込'!$Q$5:$Q$1004,0)))</f>
        <v/>
      </c>
      <c r="P180" s="56" t="n"/>
      <c r="Q180" s="56" t="n"/>
    </row>
    <row r="181" ht="18" customHeight="1">
      <c r="A181" s="45">
        <f>IF($N181="","",IF($N181="増",INDEX('請求台帳'!$X$5:$X$1004,$O181),INDEX('入金消込'!$A$5:$A$1004,$O181)))</f>
        <v/>
      </c>
      <c r="B181" s="46">
        <f>IF($N181="","",IF($N181="増","売上","入金"))</f>
        <v/>
      </c>
      <c r="C181" s="46">
        <f>IF($N181="","",IF($N181="増",INDEX('請求台帳'!$A$5:$A$1004,$O181)&amp;"","入金No "&amp;INDEX('入金消込'!$B$5:$B$1004,$O181)))</f>
        <v/>
      </c>
      <c r="D181" s="47">
        <f>IF($N181="","",IF($N181="増",INDEX('請求台帳'!$F$5:$F$1004,$O181)&amp;"",IF(INDEX('入金消込'!$F$5:$F$1004,$O181)="","消込先が未定",INDEX('入金消込'!$F$5:$F$1004,$O181)&amp;" の入金")))</f>
        <v/>
      </c>
      <c r="E181" s="48">
        <f>IF($N181&lt;&gt;"増","",INDEX('請求台帳'!$L$5:$L$1004,$O181))</f>
        <v/>
      </c>
      <c r="F181" s="48">
        <f>IF($N181&lt;&gt;"減","",N(INDEX('入金消込'!$G$5:$G$1004,$O181)))</f>
        <v/>
      </c>
      <c r="G181" s="48">
        <f>IF($N181&lt;&gt;"減","",N(INDEX('入金消込'!$H$5:$H$1004,$O181))+N(INDEX('入金消込'!$I$5:$I$1004,$O181)))</f>
        <v/>
      </c>
      <c r="H181" s="49">
        <f>IF($N181="","",$H180+N($E181)-N($F181)-N($G181))</f>
        <v/>
      </c>
      <c r="I181" s="56" t="n"/>
      <c r="J181" s="32">
        <f>$J180+IF($N180="増",1,0)</f>
        <v/>
      </c>
      <c r="K181" s="32">
        <f>$K180+IF($N180="減",1,0)</f>
        <v/>
      </c>
      <c r="L181" s="35">
        <f>IF($B$3="",1E+9,IFERROR(SMALL('請求台帳'!$Z$5:$Z$1004,$J181+1),1E+9))</f>
        <v/>
      </c>
      <c r="M181" s="35">
        <f>IF($B$3="",1E+9,IFERROR(SMALL('入金消込'!$Q$5:$Q$1004,$K181+1),1E+9))</f>
        <v/>
      </c>
      <c r="N181" s="32">
        <f>IF(MIN($L181,$M181)&gt;=1E+9,"",IF($L181&lt;=$M181,"増","減"))</f>
        <v/>
      </c>
      <c r="O181" s="32">
        <f>IF($N181="","",IF($N181="増",MATCH($L181,'請求台帳'!$Z$5:$Z$1004,0),MATCH($M181,'入金消込'!$Q$5:$Q$1004,0)))</f>
        <v/>
      </c>
      <c r="P181" s="56" t="n"/>
      <c r="Q181" s="56" t="n"/>
    </row>
    <row r="182" ht="18" customHeight="1">
      <c r="A182" s="45">
        <f>IF($N182="","",IF($N182="増",INDEX('請求台帳'!$X$5:$X$1004,$O182),INDEX('入金消込'!$A$5:$A$1004,$O182)))</f>
        <v/>
      </c>
      <c r="B182" s="46">
        <f>IF($N182="","",IF($N182="増","売上","入金"))</f>
        <v/>
      </c>
      <c r="C182" s="46">
        <f>IF($N182="","",IF($N182="増",INDEX('請求台帳'!$A$5:$A$1004,$O182)&amp;"","入金No "&amp;INDEX('入金消込'!$B$5:$B$1004,$O182)))</f>
        <v/>
      </c>
      <c r="D182" s="47">
        <f>IF($N182="","",IF($N182="増",INDEX('請求台帳'!$F$5:$F$1004,$O182)&amp;"",IF(INDEX('入金消込'!$F$5:$F$1004,$O182)="","消込先が未定",INDEX('入金消込'!$F$5:$F$1004,$O182)&amp;" の入金")))</f>
        <v/>
      </c>
      <c r="E182" s="48">
        <f>IF($N182&lt;&gt;"増","",INDEX('請求台帳'!$L$5:$L$1004,$O182))</f>
        <v/>
      </c>
      <c r="F182" s="48">
        <f>IF($N182&lt;&gt;"減","",N(INDEX('入金消込'!$G$5:$G$1004,$O182)))</f>
        <v/>
      </c>
      <c r="G182" s="48">
        <f>IF($N182&lt;&gt;"減","",N(INDEX('入金消込'!$H$5:$H$1004,$O182))+N(INDEX('入金消込'!$I$5:$I$1004,$O182)))</f>
        <v/>
      </c>
      <c r="H182" s="49">
        <f>IF($N182="","",$H181+N($E182)-N($F182)-N($G182))</f>
        <v/>
      </c>
      <c r="I182" s="56" t="n"/>
      <c r="J182" s="32">
        <f>$J181+IF($N181="増",1,0)</f>
        <v/>
      </c>
      <c r="K182" s="32">
        <f>$K181+IF($N181="減",1,0)</f>
        <v/>
      </c>
      <c r="L182" s="35">
        <f>IF($B$3="",1E+9,IFERROR(SMALL('請求台帳'!$Z$5:$Z$1004,$J182+1),1E+9))</f>
        <v/>
      </c>
      <c r="M182" s="35">
        <f>IF($B$3="",1E+9,IFERROR(SMALL('入金消込'!$Q$5:$Q$1004,$K182+1),1E+9))</f>
        <v/>
      </c>
      <c r="N182" s="32">
        <f>IF(MIN($L182,$M182)&gt;=1E+9,"",IF($L182&lt;=$M182,"増","減"))</f>
        <v/>
      </c>
      <c r="O182" s="32">
        <f>IF($N182="","",IF($N182="増",MATCH($L182,'請求台帳'!$Z$5:$Z$1004,0),MATCH($M182,'入金消込'!$Q$5:$Q$1004,0)))</f>
        <v/>
      </c>
      <c r="P182" s="56" t="n"/>
      <c r="Q182" s="56" t="n"/>
    </row>
    <row r="183" ht="18" customHeight="1">
      <c r="A183" s="45">
        <f>IF($N183="","",IF($N183="増",INDEX('請求台帳'!$X$5:$X$1004,$O183),INDEX('入金消込'!$A$5:$A$1004,$O183)))</f>
        <v/>
      </c>
      <c r="B183" s="46">
        <f>IF($N183="","",IF($N183="増","売上","入金"))</f>
        <v/>
      </c>
      <c r="C183" s="46">
        <f>IF($N183="","",IF($N183="増",INDEX('請求台帳'!$A$5:$A$1004,$O183)&amp;"","入金No "&amp;INDEX('入金消込'!$B$5:$B$1004,$O183)))</f>
        <v/>
      </c>
      <c r="D183" s="47">
        <f>IF($N183="","",IF($N183="増",INDEX('請求台帳'!$F$5:$F$1004,$O183)&amp;"",IF(INDEX('入金消込'!$F$5:$F$1004,$O183)="","消込先が未定",INDEX('入金消込'!$F$5:$F$1004,$O183)&amp;" の入金")))</f>
        <v/>
      </c>
      <c r="E183" s="48">
        <f>IF($N183&lt;&gt;"増","",INDEX('請求台帳'!$L$5:$L$1004,$O183))</f>
        <v/>
      </c>
      <c r="F183" s="48">
        <f>IF($N183&lt;&gt;"減","",N(INDEX('入金消込'!$G$5:$G$1004,$O183)))</f>
        <v/>
      </c>
      <c r="G183" s="48">
        <f>IF($N183&lt;&gt;"減","",N(INDEX('入金消込'!$H$5:$H$1004,$O183))+N(INDEX('入金消込'!$I$5:$I$1004,$O183)))</f>
        <v/>
      </c>
      <c r="H183" s="49">
        <f>IF($N183="","",$H182+N($E183)-N($F183)-N($G183))</f>
        <v/>
      </c>
      <c r="I183" s="56" t="n"/>
      <c r="J183" s="32">
        <f>$J182+IF($N182="増",1,0)</f>
        <v/>
      </c>
      <c r="K183" s="32">
        <f>$K182+IF($N182="減",1,0)</f>
        <v/>
      </c>
      <c r="L183" s="35">
        <f>IF($B$3="",1E+9,IFERROR(SMALL('請求台帳'!$Z$5:$Z$1004,$J183+1),1E+9))</f>
        <v/>
      </c>
      <c r="M183" s="35">
        <f>IF($B$3="",1E+9,IFERROR(SMALL('入金消込'!$Q$5:$Q$1004,$K183+1),1E+9))</f>
        <v/>
      </c>
      <c r="N183" s="32">
        <f>IF(MIN($L183,$M183)&gt;=1E+9,"",IF($L183&lt;=$M183,"増","減"))</f>
        <v/>
      </c>
      <c r="O183" s="32">
        <f>IF($N183="","",IF($N183="増",MATCH($L183,'請求台帳'!$Z$5:$Z$1004,0),MATCH($M183,'入金消込'!$Q$5:$Q$1004,0)))</f>
        <v/>
      </c>
      <c r="P183" s="56" t="n"/>
      <c r="Q183" s="56" t="n"/>
    </row>
    <row r="184" ht="18" customHeight="1">
      <c r="A184" s="45">
        <f>IF($N184="","",IF($N184="増",INDEX('請求台帳'!$X$5:$X$1004,$O184),INDEX('入金消込'!$A$5:$A$1004,$O184)))</f>
        <v/>
      </c>
      <c r="B184" s="46">
        <f>IF($N184="","",IF($N184="増","売上","入金"))</f>
        <v/>
      </c>
      <c r="C184" s="46">
        <f>IF($N184="","",IF($N184="増",INDEX('請求台帳'!$A$5:$A$1004,$O184)&amp;"","入金No "&amp;INDEX('入金消込'!$B$5:$B$1004,$O184)))</f>
        <v/>
      </c>
      <c r="D184" s="47">
        <f>IF($N184="","",IF($N184="増",INDEX('請求台帳'!$F$5:$F$1004,$O184)&amp;"",IF(INDEX('入金消込'!$F$5:$F$1004,$O184)="","消込先が未定",INDEX('入金消込'!$F$5:$F$1004,$O184)&amp;" の入金")))</f>
        <v/>
      </c>
      <c r="E184" s="48">
        <f>IF($N184&lt;&gt;"増","",INDEX('請求台帳'!$L$5:$L$1004,$O184))</f>
        <v/>
      </c>
      <c r="F184" s="48">
        <f>IF($N184&lt;&gt;"減","",N(INDEX('入金消込'!$G$5:$G$1004,$O184)))</f>
        <v/>
      </c>
      <c r="G184" s="48">
        <f>IF($N184&lt;&gt;"減","",N(INDEX('入金消込'!$H$5:$H$1004,$O184))+N(INDEX('入金消込'!$I$5:$I$1004,$O184)))</f>
        <v/>
      </c>
      <c r="H184" s="49">
        <f>IF($N184="","",$H183+N($E184)-N($F184)-N($G184))</f>
        <v/>
      </c>
      <c r="I184" s="56" t="n"/>
      <c r="J184" s="32">
        <f>$J183+IF($N183="増",1,0)</f>
        <v/>
      </c>
      <c r="K184" s="32">
        <f>$K183+IF($N183="減",1,0)</f>
        <v/>
      </c>
      <c r="L184" s="35">
        <f>IF($B$3="",1E+9,IFERROR(SMALL('請求台帳'!$Z$5:$Z$1004,$J184+1),1E+9))</f>
        <v/>
      </c>
      <c r="M184" s="35">
        <f>IF($B$3="",1E+9,IFERROR(SMALL('入金消込'!$Q$5:$Q$1004,$K184+1),1E+9))</f>
        <v/>
      </c>
      <c r="N184" s="32">
        <f>IF(MIN($L184,$M184)&gt;=1E+9,"",IF($L184&lt;=$M184,"増","減"))</f>
        <v/>
      </c>
      <c r="O184" s="32">
        <f>IF($N184="","",IF($N184="増",MATCH($L184,'請求台帳'!$Z$5:$Z$1004,0),MATCH($M184,'入金消込'!$Q$5:$Q$1004,0)))</f>
        <v/>
      </c>
      <c r="P184" s="56" t="n"/>
      <c r="Q184" s="56" t="n"/>
    </row>
    <row r="185" ht="18" customHeight="1">
      <c r="A185" s="45">
        <f>IF($N185="","",IF($N185="増",INDEX('請求台帳'!$X$5:$X$1004,$O185),INDEX('入金消込'!$A$5:$A$1004,$O185)))</f>
        <v/>
      </c>
      <c r="B185" s="46">
        <f>IF($N185="","",IF($N185="増","売上","入金"))</f>
        <v/>
      </c>
      <c r="C185" s="46">
        <f>IF($N185="","",IF($N185="増",INDEX('請求台帳'!$A$5:$A$1004,$O185)&amp;"","入金No "&amp;INDEX('入金消込'!$B$5:$B$1004,$O185)))</f>
        <v/>
      </c>
      <c r="D185" s="47">
        <f>IF($N185="","",IF($N185="増",INDEX('請求台帳'!$F$5:$F$1004,$O185)&amp;"",IF(INDEX('入金消込'!$F$5:$F$1004,$O185)="","消込先が未定",INDEX('入金消込'!$F$5:$F$1004,$O185)&amp;" の入金")))</f>
        <v/>
      </c>
      <c r="E185" s="48">
        <f>IF($N185&lt;&gt;"増","",INDEX('請求台帳'!$L$5:$L$1004,$O185))</f>
        <v/>
      </c>
      <c r="F185" s="48">
        <f>IF($N185&lt;&gt;"減","",N(INDEX('入金消込'!$G$5:$G$1004,$O185)))</f>
        <v/>
      </c>
      <c r="G185" s="48">
        <f>IF($N185&lt;&gt;"減","",N(INDEX('入金消込'!$H$5:$H$1004,$O185))+N(INDEX('入金消込'!$I$5:$I$1004,$O185)))</f>
        <v/>
      </c>
      <c r="H185" s="49">
        <f>IF($N185="","",$H184+N($E185)-N($F185)-N($G185))</f>
        <v/>
      </c>
      <c r="I185" s="56" t="n"/>
      <c r="J185" s="32">
        <f>$J184+IF($N184="増",1,0)</f>
        <v/>
      </c>
      <c r="K185" s="32">
        <f>$K184+IF($N184="減",1,0)</f>
        <v/>
      </c>
      <c r="L185" s="35">
        <f>IF($B$3="",1E+9,IFERROR(SMALL('請求台帳'!$Z$5:$Z$1004,$J185+1),1E+9))</f>
        <v/>
      </c>
      <c r="M185" s="35">
        <f>IF($B$3="",1E+9,IFERROR(SMALL('入金消込'!$Q$5:$Q$1004,$K185+1),1E+9))</f>
        <v/>
      </c>
      <c r="N185" s="32">
        <f>IF(MIN($L185,$M185)&gt;=1E+9,"",IF($L185&lt;=$M185,"増","減"))</f>
        <v/>
      </c>
      <c r="O185" s="32">
        <f>IF($N185="","",IF($N185="増",MATCH($L185,'請求台帳'!$Z$5:$Z$1004,0),MATCH($M185,'入金消込'!$Q$5:$Q$1004,0)))</f>
        <v/>
      </c>
      <c r="P185" s="56" t="n"/>
      <c r="Q185" s="56" t="n"/>
    </row>
    <row r="186" ht="18" customHeight="1">
      <c r="A186" s="45">
        <f>IF($N186="","",IF($N186="増",INDEX('請求台帳'!$X$5:$X$1004,$O186),INDEX('入金消込'!$A$5:$A$1004,$O186)))</f>
        <v/>
      </c>
      <c r="B186" s="46">
        <f>IF($N186="","",IF($N186="増","売上","入金"))</f>
        <v/>
      </c>
      <c r="C186" s="46">
        <f>IF($N186="","",IF($N186="増",INDEX('請求台帳'!$A$5:$A$1004,$O186)&amp;"","入金No "&amp;INDEX('入金消込'!$B$5:$B$1004,$O186)))</f>
        <v/>
      </c>
      <c r="D186" s="47">
        <f>IF($N186="","",IF($N186="増",INDEX('請求台帳'!$F$5:$F$1004,$O186)&amp;"",IF(INDEX('入金消込'!$F$5:$F$1004,$O186)="","消込先が未定",INDEX('入金消込'!$F$5:$F$1004,$O186)&amp;" の入金")))</f>
        <v/>
      </c>
      <c r="E186" s="48">
        <f>IF($N186&lt;&gt;"増","",INDEX('請求台帳'!$L$5:$L$1004,$O186))</f>
        <v/>
      </c>
      <c r="F186" s="48">
        <f>IF($N186&lt;&gt;"減","",N(INDEX('入金消込'!$G$5:$G$1004,$O186)))</f>
        <v/>
      </c>
      <c r="G186" s="48">
        <f>IF($N186&lt;&gt;"減","",N(INDEX('入金消込'!$H$5:$H$1004,$O186))+N(INDEX('入金消込'!$I$5:$I$1004,$O186)))</f>
        <v/>
      </c>
      <c r="H186" s="49">
        <f>IF($N186="","",$H185+N($E186)-N($F186)-N($G186))</f>
        <v/>
      </c>
      <c r="I186" s="56" t="n"/>
      <c r="J186" s="32">
        <f>$J185+IF($N185="増",1,0)</f>
        <v/>
      </c>
      <c r="K186" s="32">
        <f>$K185+IF($N185="減",1,0)</f>
        <v/>
      </c>
      <c r="L186" s="35">
        <f>IF($B$3="",1E+9,IFERROR(SMALL('請求台帳'!$Z$5:$Z$1004,$J186+1),1E+9))</f>
        <v/>
      </c>
      <c r="M186" s="35">
        <f>IF($B$3="",1E+9,IFERROR(SMALL('入金消込'!$Q$5:$Q$1004,$K186+1),1E+9))</f>
        <v/>
      </c>
      <c r="N186" s="32">
        <f>IF(MIN($L186,$M186)&gt;=1E+9,"",IF($L186&lt;=$M186,"増","減"))</f>
        <v/>
      </c>
      <c r="O186" s="32">
        <f>IF($N186="","",IF($N186="増",MATCH($L186,'請求台帳'!$Z$5:$Z$1004,0),MATCH($M186,'入金消込'!$Q$5:$Q$1004,0)))</f>
        <v/>
      </c>
      <c r="P186" s="56" t="n"/>
      <c r="Q186" s="56" t="n"/>
    </row>
    <row r="187" ht="18" customHeight="1">
      <c r="A187" s="45">
        <f>IF($N187="","",IF($N187="増",INDEX('請求台帳'!$X$5:$X$1004,$O187),INDEX('入金消込'!$A$5:$A$1004,$O187)))</f>
        <v/>
      </c>
      <c r="B187" s="46">
        <f>IF($N187="","",IF($N187="増","売上","入金"))</f>
        <v/>
      </c>
      <c r="C187" s="46">
        <f>IF($N187="","",IF($N187="増",INDEX('請求台帳'!$A$5:$A$1004,$O187)&amp;"","入金No "&amp;INDEX('入金消込'!$B$5:$B$1004,$O187)))</f>
        <v/>
      </c>
      <c r="D187" s="47">
        <f>IF($N187="","",IF($N187="増",INDEX('請求台帳'!$F$5:$F$1004,$O187)&amp;"",IF(INDEX('入金消込'!$F$5:$F$1004,$O187)="","消込先が未定",INDEX('入金消込'!$F$5:$F$1004,$O187)&amp;" の入金")))</f>
        <v/>
      </c>
      <c r="E187" s="48">
        <f>IF($N187&lt;&gt;"増","",INDEX('請求台帳'!$L$5:$L$1004,$O187))</f>
        <v/>
      </c>
      <c r="F187" s="48">
        <f>IF($N187&lt;&gt;"減","",N(INDEX('入金消込'!$G$5:$G$1004,$O187)))</f>
        <v/>
      </c>
      <c r="G187" s="48">
        <f>IF($N187&lt;&gt;"減","",N(INDEX('入金消込'!$H$5:$H$1004,$O187))+N(INDEX('入金消込'!$I$5:$I$1004,$O187)))</f>
        <v/>
      </c>
      <c r="H187" s="49">
        <f>IF($N187="","",$H186+N($E187)-N($F187)-N($G187))</f>
        <v/>
      </c>
      <c r="I187" s="56" t="n"/>
      <c r="J187" s="32">
        <f>$J186+IF($N186="増",1,0)</f>
        <v/>
      </c>
      <c r="K187" s="32">
        <f>$K186+IF($N186="減",1,0)</f>
        <v/>
      </c>
      <c r="L187" s="35">
        <f>IF($B$3="",1E+9,IFERROR(SMALL('請求台帳'!$Z$5:$Z$1004,$J187+1),1E+9))</f>
        <v/>
      </c>
      <c r="M187" s="35">
        <f>IF($B$3="",1E+9,IFERROR(SMALL('入金消込'!$Q$5:$Q$1004,$K187+1),1E+9))</f>
        <v/>
      </c>
      <c r="N187" s="32">
        <f>IF(MIN($L187,$M187)&gt;=1E+9,"",IF($L187&lt;=$M187,"増","減"))</f>
        <v/>
      </c>
      <c r="O187" s="32">
        <f>IF($N187="","",IF($N187="増",MATCH($L187,'請求台帳'!$Z$5:$Z$1004,0),MATCH($M187,'入金消込'!$Q$5:$Q$1004,0)))</f>
        <v/>
      </c>
      <c r="P187" s="56" t="n"/>
      <c r="Q187" s="56" t="n"/>
    </row>
    <row r="188" ht="18" customHeight="1">
      <c r="A188" s="45">
        <f>IF($N188="","",IF($N188="増",INDEX('請求台帳'!$X$5:$X$1004,$O188),INDEX('入金消込'!$A$5:$A$1004,$O188)))</f>
        <v/>
      </c>
      <c r="B188" s="46">
        <f>IF($N188="","",IF($N188="増","売上","入金"))</f>
        <v/>
      </c>
      <c r="C188" s="46">
        <f>IF($N188="","",IF($N188="増",INDEX('請求台帳'!$A$5:$A$1004,$O188)&amp;"","入金No "&amp;INDEX('入金消込'!$B$5:$B$1004,$O188)))</f>
        <v/>
      </c>
      <c r="D188" s="47">
        <f>IF($N188="","",IF($N188="増",INDEX('請求台帳'!$F$5:$F$1004,$O188)&amp;"",IF(INDEX('入金消込'!$F$5:$F$1004,$O188)="","消込先が未定",INDEX('入金消込'!$F$5:$F$1004,$O188)&amp;" の入金")))</f>
        <v/>
      </c>
      <c r="E188" s="48">
        <f>IF($N188&lt;&gt;"増","",INDEX('請求台帳'!$L$5:$L$1004,$O188))</f>
        <v/>
      </c>
      <c r="F188" s="48">
        <f>IF($N188&lt;&gt;"減","",N(INDEX('入金消込'!$G$5:$G$1004,$O188)))</f>
        <v/>
      </c>
      <c r="G188" s="48">
        <f>IF($N188&lt;&gt;"減","",N(INDEX('入金消込'!$H$5:$H$1004,$O188))+N(INDEX('入金消込'!$I$5:$I$1004,$O188)))</f>
        <v/>
      </c>
      <c r="H188" s="49">
        <f>IF($N188="","",$H187+N($E188)-N($F188)-N($G188))</f>
        <v/>
      </c>
      <c r="I188" s="56" t="n"/>
      <c r="J188" s="32">
        <f>$J187+IF($N187="増",1,0)</f>
        <v/>
      </c>
      <c r="K188" s="32">
        <f>$K187+IF($N187="減",1,0)</f>
        <v/>
      </c>
      <c r="L188" s="35">
        <f>IF($B$3="",1E+9,IFERROR(SMALL('請求台帳'!$Z$5:$Z$1004,$J188+1),1E+9))</f>
        <v/>
      </c>
      <c r="M188" s="35">
        <f>IF($B$3="",1E+9,IFERROR(SMALL('入金消込'!$Q$5:$Q$1004,$K188+1),1E+9))</f>
        <v/>
      </c>
      <c r="N188" s="32">
        <f>IF(MIN($L188,$M188)&gt;=1E+9,"",IF($L188&lt;=$M188,"増","減"))</f>
        <v/>
      </c>
      <c r="O188" s="32">
        <f>IF($N188="","",IF($N188="増",MATCH($L188,'請求台帳'!$Z$5:$Z$1004,0),MATCH($M188,'入金消込'!$Q$5:$Q$1004,0)))</f>
        <v/>
      </c>
      <c r="P188" s="56" t="n"/>
      <c r="Q188" s="56" t="n"/>
    </row>
    <row r="189" ht="18" customHeight="1">
      <c r="A189" s="45">
        <f>IF($N189="","",IF($N189="増",INDEX('請求台帳'!$X$5:$X$1004,$O189),INDEX('入金消込'!$A$5:$A$1004,$O189)))</f>
        <v/>
      </c>
      <c r="B189" s="46">
        <f>IF($N189="","",IF($N189="増","売上","入金"))</f>
        <v/>
      </c>
      <c r="C189" s="46">
        <f>IF($N189="","",IF($N189="増",INDEX('請求台帳'!$A$5:$A$1004,$O189)&amp;"","入金No "&amp;INDEX('入金消込'!$B$5:$B$1004,$O189)))</f>
        <v/>
      </c>
      <c r="D189" s="47">
        <f>IF($N189="","",IF($N189="増",INDEX('請求台帳'!$F$5:$F$1004,$O189)&amp;"",IF(INDEX('入金消込'!$F$5:$F$1004,$O189)="","消込先が未定",INDEX('入金消込'!$F$5:$F$1004,$O189)&amp;" の入金")))</f>
        <v/>
      </c>
      <c r="E189" s="48">
        <f>IF($N189&lt;&gt;"増","",INDEX('請求台帳'!$L$5:$L$1004,$O189))</f>
        <v/>
      </c>
      <c r="F189" s="48">
        <f>IF($N189&lt;&gt;"減","",N(INDEX('入金消込'!$G$5:$G$1004,$O189)))</f>
        <v/>
      </c>
      <c r="G189" s="48">
        <f>IF($N189&lt;&gt;"減","",N(INDEX('入金消込'!$H$5:$H$1004,$O189))+N(INDEX('入金消込'!$I$5:$I$1004,$O189)))</f>
        <v/>
      </c>
      <c r="H189" s="49">
        <f>IF($N189="","",$H188+N($E189)-N($F189)-N($G189))</f>
        <v/>
      </c>
      <c r="I189" s="56" t="n"/>
      <c r="J189" s="32">
        <f>$J188+IF($N188="増",1,0)</f>
        <v/>
      </c>
      <c r="K189" s="32">
        <f>$K188+IF($N188="減",1,0)</f>
        <v/>
      </c>
      <c r="L189" s="35">
        <f>IF($B$3="",1E+9,IFERROR(SMALL('請求台帳'!$Z$5:$Z$1004,$J189+1),1E+9))</f>
        <v/>
      </c>
      <c r="M189" s="35">
        <f>IF($B$3="",1E+9,IFERROR(SMALL('入金消込'!$Q$5:$Q$1004,$K189+1),1E+9))</f>
        <v/>
      </c>
      <c r="N189" s="32">
        <f>IF(MIN($L189,$M189)&gt;=1E+9,"",IF($L189&lt;=$M189,"増","減"))</f>
        <v/>
      </c>
      <c r="O189" s="32">
        <f>IF($N189="","",IF($N189="増",MATCH($L189,'請求台帳'!$Z$5:$Z$1004,0),MATCH($M189,'入金消込'!$Q$5:$Q$1004,0)))</f>
        <v/>
      </c>
      <c r="P189" s="56" t="n"/>
      <c r="Q189" s="56" t="n"/>
    </row>
    <row r="190" ht="18" customHeight="1">
      <c r="A190" s="45">
        <f>IF($N190="","",IF($N190="増",INDEX('請求台帳'!$X$5:$X$1004,$O190),INDEX('入金消込'!$A$5:$A$1004,$O190)))</f>
        <v/>
      </c>
      <c r="B190" s="46">
        <f>IF($N190="","",IF($N190="増","売上","入金"))</f>
        <v/>
      </c>
      <c r="C190" s="46">
        <f>IF($N190="","",IF($N190="増",INDEX('請求台帳'!$A$5:$A$1004,$O190)&amp;"","入金No "&amp;INDEX('入金消込'!$B$5:$B$1004,$O190)))</f>
        <v/>
      </c>
      <c r="D190" s="47">
        <f>IF($N190="","",IF($N190="増",INDEX('請求台帳'!$F$5:$F$1004,$O190)&amp;"",IF(INDEX('入金消込'!$F$5:$F$1004,$O190)="","消込先が未定",INDEX('入金消込'!$F$5:$F$1004,$O190)&amp;" の入金")))</f>
        <v/>
      </c>
      <c r="E190" s="48">
        <f>IF($N190&lt;&gt;"増","",INDEX('請求台帳'!$L$5:$L$1004,$O190))</f>
        <v/>
      </c>
      <c r="F190" s="48">
        <f>IF($N190&lt;&gt;"減","",N(INDEX('入金消込'!$G$5:$G$1004,$O190)))</f>
        <v/>
      </c>
      <c r="G190" s="48">
        <f>IF($N190&lt;&gt;"減","",N(INDEX('入金消込'!$H$5:$H$1004,$O190))+N(INDEX('入金消込'!$I$5:$I$1004,$O190)))</f>
        <v/>
      </c>
      <c r="H190" s="49">
        <f>IF($N190="","",$H189+N($E190)-N($F190)-N($G190))</f>
        <v/>
      </c>
      <c r="I190" s="56" t="n"/>
      <c r="J190" s="32">
        <f>$J189+IF($N189="増",1,0)</f>
        <v/>
      </c>
      <c r="K190" s="32">
        <f>$K189+IF($N189="減",1,0)</f>
        <v/>
      </c>
      <c r="L190" s="35">
        <f>IF($B$3="",1E+9,IFERROR(SMALL('請求台帳'!$Z$5:$Z$1004,$J190+1),1E+9))</f>
        <v/>
      </c>
      <c r="M190" s="35">
        <f>IF($B$3="",1E+9,IFERROR(SMALL('入金消込'!$Q$5:$Q$1004,$K190+1),1E+9))</f>
        <v/>
      </c>
      <c r="N190" s="32">
        <f>IF(MIN($L190,$M190)&gt;=1E+9,"",IF($L190&lt;=$M190,"増","減"))</f>
        <v/>
      </c>
      <c r="O190" s="32">
        <f>IF($N190="","",IF($N190="増",MATCH($L190,'請求台帳'!$Z$5:$Z$1004,0),MATCH($M190,'入金消込'!$Q$5:$Q$1004,0)))</f>
        <v/>
      </c>
      <c r="P190" s="56" t="n"/>
      <c r="Q190" s="56" t="n"/>
    </row>
    <row r="191" ht="18" customHeight="1">
      <c r="A191" s="45">
        <f>IF($N191="","",IF($N191="増",INDEX('請求台帳'!$X$5:$X$1004,$O191),INDEX('入金消込'!$A$5:$A$1004,$O191)))</f>
        <v/>
      </c>
      <c r="B191" s="46">
        <f>IF($N191="","",IF($N191="増","売上","入金"))</f>
        <v/>
      </c>
      <c r="C191" s="46">
        <f>IF($N191="","",IF($N191="増",INDEX('請求台帳'!$A$5:$A$1004,$O191)&amp;"","入金No "&amp;INDEX('入金消込'!$B$5:$B$1004,$O191)))</f>
        <v/>
      </c>
      <c r="D191" s="47">
        <f>IF($N191="","",IF($N191="増",INDEX('請求台帳'!$F$5:$F$1004,$O191)&amp;"",IF(INDEX('入金消込'!$F$5:$F$1004,$O191)="","消込先が未定",INDEX('入金消込'!$F$5:$F$1004,$O191)&amp;" の入金")))</f>
        <v/>
      </c>
      <c r="E191" s="48">
        <f>IF($N191&lt;&gt;"増","",INDEX('請求台帳'!$L$5:$L$1004,$O191))</f>
        <v/>
      </c>
      <c r="F191" s="48">
        <f>IF($N191&lt;&gt;"減","",N(INDEX('入金消込'!$G$5:$G$1004,$O191)))</f>
        <v/>
      </c>
      <c r="G191" s="48">
        <f>IF($N191&lt;&gt;"減","",N(INDEX('入金消込'!$H$5:$H$1004,$O191))+N(INDEX('入金消込'!$I$5:$I$1004,$O191)))</f>
        <v/>
      </c>
      <c r="H191" s="49">
        <f>IF($N191="","",$H190+N($E191)-N($F191)-N($G191))</f>
        <v/>
      </c>
      <c r="I191" s="56" t="n"/>
      <c r="J191" s="32">
        <f>$J190+IF($N190="増",1,0)</f>
        <v/>
      </c>
      <c r="K191" s="32">
        <f>$K190+IF($N190="減",1,0)</f>
        <v/>
      </c>
      <c r="L191" s="35">
        <f>IF($B$3="",1E+9,IFERROR(SMALL('請求台帳'!$Z$5:$Z$1004,$J191+1),1E+9))</f>
        <v/>
      </c>
      <c r="M191" s="35">
        <f>IF($B$3="",1E+9,IFERROR(SMALL('入金消込'!$Q$5:$Q$1004,$K191+1),1E+9))</f>
        <v/>
      </c>
      <c r="N191" s="32">
        <f>IF(MIN($L191,$M191)&gt;=1E+9,"",IF($L191&lt;=$M191,"増","減"))</f>
        <v/>
      </c>
      <c r="O191" s="32">
        <f>IF($N191="","",IF($N191="増",MATCH($L191,'請求台帳'!$Z$5:$Z$1004,0),MATCH($M191,'入金消込'!$Q$5:$Q$1004,0)))</f>
        <v/>
      </c>
      <c r="P191" s="56" t="n"/>
      <c r="Q191" s="56" t="n"/>
    </row>
    <row r="192" ht="18" customHeight="1">
      <c r="A192" s="45">
        <f>IF($N192="","",IF($N192="増",INDEX('請求台帳'!$X$5:$X$1004,$O192),INDEX('入金消込'!$A$5:$A$1004,$O192)))</f>
        <v/>
      </c>
      <c r="B192" s="46">
        <f>IF($N192="","",IF($N192="増","売上","入金"))</f>
        <v/>
      </c>
      <c r="C192" s="46">
        <f>IF($N192="","",IF($N192="増",INDEX('請求台帳'!$A$5:$A$1004,$O192)&amp;"","入金No "&amp;INDEX('入金消込'!$B$5:$B$1004,$O192)))</f>
        <v/>
      </c>
      <c r="D192" s="47">
        <f>IF($N192="","",IF($N192="増",INDEX('請求台帳'!$F$5:$F$1004,$O192)&amp;"",IF(INDEX('入金消込'!$F$5:$F$1004,$O192)="","消込先が未定",INDEX('入金消込'!$F$5:$F$1004,$O192)&amp;" の入金")))</f>
        <v/>
      </c>
      <c r="E192" s="48">
        <f>IF($N192&lt;&gt;"増","",INDEX('請求台帳'!$L$5:$L$1004,$O192))</f>
        <v/>
      </c>
      <c r="F192" s="48">
        <f>IF($N192&lt;&gt;"減","",N(INDEX('入金消込'!$G$5:$G$1004,$O192)))</f>
        <v/>
      </c>
      <c r="G192" s="48">
        <f>IF($N192&lt;&gt;"減","",N(INDEX('入金消込'!$H$5:$H$1004,$O192))+N(INDEX('入金消込'!$I$5:$I$1004,$O192)))</f>
        <v/>
      </c>
      <c r="H192" s="49">
        <f>IF($N192="","",$H191+N($E192)-N($F192)-N($G192))</f>
        <v/>
      </c>
      <c r="I192" s="56" t="n"/>
      <c r="J192" s="32">
        <f>$J191+IF($N191="増",1,0)</f>
        <v/>
      </c>
      <c r="K192" s="32">
        <f>$K191+IF($N191="減",1,0)</f>
        <v/>
      </c>
      <c r="L192" s="35">
        <f>IF($B$3="",1E+9,IFERROR(SMALL('請求台帳'!$Z$5:$Z$1004,$J192+1),1E+9))</f>
        <v/>
      </c>
      <c r="M192" s="35">
        <f>IF($B$3="",1E+9,IFERROR(SMALL('入金消込'!$Q$5:$Q$1004,$K192+1),1E+9))</f>
        <v/>
      </c>
      <c r="N192" s="32">
        <f>IF(MIN($L192,$M192)&gt;=1E+9,"",IF($L192&lt;=$M192,"増","減"))</f>
        <v/>
      </c>
      <c r="O192" s="32">
        <f>IF($N192="","",IF($N192="増",MATCH($L192,'請求台帳'!$Z$5:$Z$1004,0),MATCH($M192,'入金消込'!$Q$5:$Q$1004,0)))</f>
        <v/>
      </c>
      <c r="P192" s="56" t="n"/>
      <c r="Q192" s="56" t="n"/>
    </row>
    <row r="193" ht="18" customHeight="1">
      <c r="A193" s="45">
        <f>IF($N193="","",IF($N193="増",INDEX('請求台帳'!$X$5:$X$1004,$O193),INDEX('入金消込'!$A$5:$A$1004,$O193)))</f>
        <v/>
      </c>
      <c r="B193" s="46">
        <f>IF($N193="","",IF($N193="増","売上","入金"))</f>
        <v/>
      </c>
      <c r="C193" s="46">
        <f>IF($N193="","",IF($N193="増",INDEX('請求台帳'!$A$5:$A$1004,$O193)&amp;"","入金No "&amp;INDEX('入金消込'!$B$5:$B$1004,$O193)))</f>
        <v/>
      </c>
      <c r="D193" s="47">
        <f>IF($N193="","",IF($N193="増",INDEX('請求台帳'!$F$5:$F$1004,$O193)&amp;"",IF(INDEX('入金消込'!$F$5:$F$1004,$O193)="","消込先が未定",INDEX('入金消込'!$F$5:$F$1004,$O193)&amp;" の入金")))</f>
        <v/>
      </c>
      <c r="E193" s="48">
        <f>IF($N193&lt;&gt;"増","",INDEX('請求台帳'!$L$5:$L$1004,$O193))</f>
        <v/>
      </c>
      <c r="F193" s="48">
        <f>IF($N193&lt;&gt;"減","",N(INDEX('入金消込'!$G$5:$G$1004,$O193)))</f>
        <v/>
      </c>
      <c r="G193" s="48">
        <f>IF($N193&lt;&gt;"減","",N(INDEX('入金消込'!$H$5:$H$1004,$O193))+N(INDEX('入金消込'!$I$5:$I$1004,$O193)))</f>
        <v/>
      </c>
      <c r="H193" s="49">
        <f>IF($N193="","",$H192+N($E193)-N($F193)-N($G193))</f>
        <v/>
      </c>
      <c r="I193" s="56" t="n"/>
      <c r="J193" s="32">
        <f>$J192+IF($N192="増",1,0)</f>
        <v/>
      </c>
      <c r="K193" s="32">
        <f>$K192+IF($N192="減",1,0)</f>
        <v/>
      </c>
      <c r="L193" s="35">
        <f>IF($B$3="",1E+9,IFERROR(SMALL('請求台帳'!$Z$5:$Z$1004,$J193+1),1E+9))</f>
        <v/>
      </c>
      <c r="M193" s="35">
        <f>IF($B$3="",1E+9,IFERROR(SMALL('入金消込'!$Q$5:$Q$1004,$K193+1),1E+9))</f>
        <v/>
      </c>
      <c r="N193" s="32">
        <f>IF(MIN($L193,$M193)&gt;=1E+9,"",IF($L193&lt;=$M193,"増","減"))</f>
        <v/>
      </c>
      <c r="O193" s="32">
        <f>IF($N193="","",IF($N193="増",MATCH($L193,'請求台帳'!$Z$5:$Z$1004,0),MATCH($M193,'入金消込'!$Q$5:$Q$1004,0)))</f>
        <v/>
      </c>
      <c r="P193" s="56" t="n"/>
      <c r="Q193" s="56" t="n"/>
    </row>
    <row r="194" ht="18" customHeight="1">
      <c r="A194" s="45">
        <f>IF($N194="","",IF($N194="増",INDEX('請求台帳'!$X$5:$X$1004,$O194),INDEX('入金消込'!$A$5:$A$1004,$O194)))</f>
        <v/>
      </c>
      <c r="B194" s="46">
        <f>IF($N194="","",IF($N194="増","売上","入金"))</f>
        <v/>
      </c>
      <c r="C194" s="46">
        <f>IF($N194="","",IF($N194="増",INDEX('請求台帳'!$A$5:$A$1004,$O194)&amp;"","入金No "&amp;INDEX('入金消込'!$B$5:$B$1004,$O194)))</f>
        <v/>
      </c>
      <c r="D194" s="47">
        <f>IF($N194="","",IF($N194="増",INDEX('請求台帳'!$F$5:$F$1004,$O194)&amp;"",IF(INDEX('入金消込'!$F$5:$F$1004,$O194)="","消込先が未定",INDEX('入金消込'!$F$5:$F$1004,$O194)&amp;" の入金")))</f>
        <v/>
      </c>
      <c r="E194" s="48">
        <f>IF($N194&lt;&gt;"増","",INDEX('請求台帳'!$L$5:$L$1004,$O194))</f>
        <v/>
      </c>
      <c r="F194" s="48">
        <f>IF($N194&lt;&gt;"減","",N(INDEX('入金消込'!$G$5:$G$1004,$O194)))</f>
        <v/>
      </c>
      <c r="G194" s="48">
        <f>IF($N194&lt;&gt;"減","",N(INDEX('入金消込'!$H$5:$H$1004,$O194))+N(INDEX('入金消込'!$I$5:$I$1004,$O194)))</f>
        <v/>
      </c>
      <c r="H194" s="49">
        <f>IF($N194="","",$H193+N($E194)-N($F194)-N($G194))</f>
        <v/>
      </c>
      <c r="I194" s="56" t="n"/>
      <c r="J194" s="32">
        <f>$J193+IF($N193="増",1,0)</f>
        <v/>
      </c>
      <c r="K194" s="32">
        <f>$K193+IF($N193="減",1,0)</f>
        <v/>
      </c>
      <c r="L194" s="35">
        <f>IF($B$3="",1E+9,IFERROR(SMALL('請求台帳'!$Z$5:$Z$1004,$J194+1),1E+9))</f>
        <v/>
      </c>
      <c r="M194" s="35">
        <f>IF($B$3="",1E+9,IFERROR(SMALL('入金消込'!$Q$5:$Q$1004,$K194+1),1E+9))</f>
        <v/>
      </c>
      <c r="N194" s="32">
        <f>IF(MIN($L194,$M194)&gt;=1E+9,"",IF($L194&lt;=$M194,"増","減"))</f>
        <v/>
      </c>
      <c r="O194" s="32">
        <f>IF($N194="","",IF($N194="増",MATCH($L194,'請求台帳'!$Z$5:$Z$1004,0),MATCH($M194,'入金消込'!$Q$5:$Q$1004,0)))</f>
        <v/>
      </c>
      <c r="P194" s="56" t="n"/>
      <c r="Q194" s="56" t="n"/>
    </row>
    <row r="195" ht="18" customHeight="1">
      <c r="A195" s="45">
        <f>IF($N195="","",IF($N195="増",INDEX('請求台帳'!$X$5:$X$1004,$O195),INDEX('入金消込'!$A$5:$A$1004,$O195)))</f>
        <v/>
      </c>
      <c r="B195" s="46">
        <f>IF($N195="","",IF($N195="増","売上","入金"))</f>
        <v/>
      </c>
      <c r="C195" s="46">
        <f>IF($N195="","",IF($N195="増",INDEX('請求台帳'!$A$5:$A$1004,$O195)&amp;"","入金No "&amp;INDEX('入金消込'!$B$5:$B$1004,$O195)))</f>
        <v/>
      </c>
      <c r="D195" s="47">
        <f>IF($N195="","",IF($N195="増",INDEX('請求台帳'!$F$5:$F$1004,$O195)&amp;"",IF(INDEX('入金消込'!$F$5:$F$1004,$O195)="","消込先が未定",INDEX('入金消込'!$F$5:$F$1004,$O195)&amp;" の入金")))</f>
        <v/>
      </c>
      <c r="E195" s="48">
        <f>IF($N195&lt;&gt;"増","",INDEX('請求台帳'!$L$5:$L$1004,$O195))</f>
        <v/>
      </c>
      <c r="F195" s="48">
        <f>IF($N195&lt;&gt;"減","",N(INDEX('入金消込'!$G$5:$G$1004,$O195)))</f>
        <v/>
      </c>
      <c r="G195" s="48">
        <f>IF($N195&lt;&gt;"減","",N(INDEX('入金消込'!$H$5:$H$1004,$O195))+N(INDEX('入金消込'!$I$5:$I$1004,$O195)))</f>
        <v/>
      </c>
      <c r="H195" s="49">
        <f>IF($N195="","",$H194+N($E195)-N($F195)-N($G195))</f>
        <v/>
      </c>
      <c r="I195" s="56" t="n"/>
      <c r="J195" s="32">
        <f>$J194+IF($N194="増",1,0)</f>
        <v/>
      </c>
      <c r="K195" s="32">
        <f>$K194+IF($N194="減",1,0)</f>
        <v/>
      </c>
      <c r="L195" s="35">
        <f>IF($B$3="",1E+9,IFERROR(SMALL('請求台帳'!$Z$5:$Z$1004,$J195+1),1E+9))</f>
        <v/>
      </c>
      <c r="M195" s="35">
        <f>IF($B$3="",1E+9,IFERROR(SMALL('入金消込'!$Q$5:$Q$1004,$K195+1),1E+9))</f>
        <v/>
      </c>
      <c r="N195" s="32">
        <f>IF(MIN($L195,$M195)&gt;=1E+9,"",IF($L195&lt;=$M195,"増","減"))</f>
        <v/>
      </c>
      <c r="O195" s="32">
        <f>IF($N195="","",IF($N195="増",MATCH($L195,'請求台帳'!$Z$5:$Z$1004,0),MATCH($M195,'入金消込'!$Q$5:$Q$1004,0)))</f>
        <v/>
      </c>
      <c r="P195" s="56" t="n"/>
      <c r="Q195" s="56" t="n"/>
    </row>
    <row r="196" ht="18" customHeight="1">
      <c r="A196" s="45">
        <f>IF($N196="","",IF($N196="増",INDEX('請求台帳'!$X$5:$X$1004,$O196),INDEX('入金消込'!$A$5:$A$1004,$O196)))</f>
        <v/>
      </c>
      <c r="B196" s="46">
        <f>IF($N196="","",IF($N196="増","売上","入金"))</f>
        <v/>
      </c>
      <c r="C196" s="46">
        <f>IF($N196="","",IF($N196="増",INDEX('請求台帳'!$A$5:$A$1004,$O196)&amp;"","入金No "&amp;INDEX('入金消込'!$B$5:$B$1004,$O196)))</f>
        <v/>
      </c>
      <c r="D196" s="47">
        <f>IF($N196="","",IF($N196="増",INDEX('請求台帳'!$F$5:$F$1004,$O196)&amp;"",IF(INDEX('入金消込'!$F$5:$F$1004,$O196)="","消込先が未定",INDEX('入金消込'!$F$5:$F$1004,$O196)&amp;" の入金")))</f>
        <v/>
      </c>
      <c r="E196" s="48">
        <f>IF($N196&lt;&gt;"増","",INDEX('請求台帳'!$L$5:$L$1004,$O196))</f>
        <v/>
      </c>
      <c r="F196" s="48">
        <f>IF($N196&lt;&gt;"減","",N(INDEX('入金消込'!$G$5:$G$1004,$O196)))</f>
        <v/>
      </c>
      <c r="G196" s="48">
        <f>IF($N196&lt;&gt;"減","",N(INDEX('入金消込'!$H$5:$H$1004,$O196))+N(INDEX('入金消込'!$I$5:$I$1004,$O196)))</f>
        <v/>
      </c>
      <c r="H196" s="49">
        <f>IF($N196="","",$H195+N($E196)-N($F196)-N($G196))</f>
        <v/>
      </c>
      <c r="I196" s="56" t="n"/>
      <c r="J196" s="32">
        <f>$J195+IF($N195="増",1,0)</f>
        <v/>
      </c>
      <c r="K196" s="32">
        <f>$K195+IF($N195="減",1,0)</f>
        <v/>
      </c>
      <c r="L196" s="35">
        <f>IF($B$3="",1E+9,IFERROR(SMALL('請求台帳'!$Z$5:$Z$1004,$J196+1),1E+9))</f>
        <v/>
      </c>
      <c r="M196" s="35">
        <f>IF($B$3="",1E+9,IFERROR(SMALL('入金消込'!$Q$5:$Q$1004,$K196+1),1E+9))</f>
        <v/>
      </c>
      <c r="N196" s="32">
        <f>IF(MIN($L196,$M196)&gt;=1E+9,"",IF($L196&lt;=$M196,"増","減"))</f>
        <v/>
      </c>
      <c r="O196" s="32">
        <f>IF($N196="","",IF($N196="増",MATCH($L196,'請求台帳'!$Z$5:$Z$1004,0),MATCH($M196,'入金消込'!$Q$5:$Q$1004,0)))</f>
        <v/>
      </c>
      <c r="P196" s="56" t="n"/>
      <c r="Q196" s="56" t="n"/>
    </row>
    <row r="197" ht="18" customHeight="1">
      <c r="A197" s="45">
        <f>IF($N197="","",IF($N197="増",INDEX('請求台帳'!$X$5:$X$1004,$O197),INDEX('入金消込'!$A$5:$A$1004,$O197)))</f>
        <v/>
      </c>
      <c r="B197" s="46">
        <f>IF($N197="","",IF($N197="増","売上","入金"))</f>
        <v/>
      </c>
      <c r="C197" s="46">
        <f>IF($N197="","",IF($N197="増",INDEX('請求台帳'!$A$5:$A$1004,$O197)&amp;"","入金No "&amp;INDEX('入金消込'!$B$5:$B$1004,$O197)))</f>
        <v/>
      </c>
      <c r="D197" s="47">
        <f>IF($N197="","",IF($N197="増",INDEX('請求台帳'!$F$5:$F$1004,$O197)&amp;"",IF(INDEX('入金消込'!$F$5:$F$1004,$O197)="","消込先が未定",INDEX('入金消込'!$F$5:$F$1004,$O197)&amp;" の入金")))</f>
        <v/>
      </c>
      <c r="E197" s="48">
        <f>IF($N197&lt;&gt;"増","",INDEX('請求台帳'!$L$5:$L$1004,$O197))</f>
        <v/>
      </c>
      <c r="F197" s="48">
        <f>IF($N197&lt;&gt;"減","",N(INDEX('入金消込'!$G$5:$G$1004,$O197)))</f>
        <v/>
      </c>
      <c r="G197" s="48">
        <f>IF($N197&lt;&gt;"減","",N(INDEX('入金消込'!$H$5:$H$1004,$O197))+N(INDEX('入金消込'!$I$5:$I$1004,$O197)))</f>
        <v/>
      </c>
      <c r="H197" s="49">
        <f>IF($N197="","",$H196+N($E197)-N($F197)-N($G197))</f>
        <v/>
      </c>
      <c r="I197" s="56" t="n"/>
      <c r="J197" s="32">
        <f>$J196+IF($N196="増",1,0)</f>
        <v/>
      </c>
      <c r="K197" s="32">
        <f>$K196+IF($N196="減",1,0)</f>
        <v/>
      </c>
      <c r="L197" s="35">
        <f>IF($B$3="",1E+9,IFERROR(SMALL('請求台帳'!$Z$5:$Z$1004,$J197+1),1E+9))</f>
        <v/>
      </c>
      <c r="M197" s="35">
        <f>IF($B$3="",1E+9,IFERROR(SMALL('入金消込'!$Q$5:$Q$1004,$K197+1),1E+9))</f>
        <v/>
      </c>
      <c r="N197" s="32">
        <f>IF(MIN($L197,$M197)&gt;=1E+9,"",IF($L197&lt;=$M197,"増","減"))</f>
        <v/>
      </c>
      <c r="O197" s="32">
        <f>IF($N197="","",IF($N197="増",MATCH($L197,'請求台帳'!$Z$5:$Z$1004,0),MATCH($M197,'入金消込'!$Q$5:$Q$1004,0)))</f>
        <v/>
      </c>
      <c r="P197" s="56" t="n"/>
      <c r="Q197" s="56" t="n"/>
    </row>
    <row r="198" ht="18" customHeight="1">
      <c r="A198" s="45">
        <f>IF($N198="","",IF($N198="増",INDEX('請求台帳'!$X$5:$X$1004,$O198),INDEX('入金消込'!$A$5:$A$1004,$O198)))</f>
        <v/>
      </c>
      <c r="B198" s="46">
        <f>IF($N198="","",IF($N198="増","売上","入金"))</f>
        <v/>
      </c>
      <c r="C198" s="46">
        <f>IF($N198="","",IF($N198="増",INDEX('請求台帳'!$A$5:$A$1004,$O198)&amp;"","入金No "&amp;INDEX('入金消込'!$B$5:$B$1004,$O198)))</f>
        <v/>
      </c>
      <c r="D198" s="47">
        <f>IF($N198="","",IF($N198="増",INDEX('請求台帳'!$F$5:$F$1004,$O198)&amp;"",IF(INDEX('入金消込'!$F$5:$F$1004,$O198)="","消込先が未定",INDEX('入金消込'!$F$5:$F$1004,$O198)&amp;" の入金")))</f>
        <v/>
      </c>
      <c r="E198" s="48">
        <f>IF($N198&lt;&gt;"増","",INDEX('請求台帳'!$L$5:$L$1004,$O198))</f>
        <v/>
      </c>
      <c r="F198" s="48">
        <f>IF($N198&lt;&gt;"減","",N(INDEX('入金消込'!$G$5:$G$1004,$O198)))</f>
        <v/>
      </c>
      <c r="G198" s="48">
        <f>IF($N198&lt;&gt;"減","",N(INDEX('入金消込'!$H$5:$H$1004,$O198))+N(INDEX('入金消込'!$I$5:$I$1004,$O198)))</f>
        <v/>
      </c>
      <c r="H198" s="49">
        <f>IF($N198="","",$H197+N($E198)-N($F198)-N($G198))</f>
        <v/>
      </c>
      <c r="I198" s="56" t="n"/>
      <c r="J198" s="32">
        <f>$J197+IF($N197="増",1,0)</f>
        <v/>
      </c>
      <c r="K198" s="32">
        <f>$K197+IF($N197="減",1,0)</f>
        <v/>
      </c>
      <c r="L198" s="35">
        <f>IF($B$3="",1E+9,IFERROR(SMALL('請求台帳'!$Z$5:$Z$1004,$J198+1),1E+9))</f>
        <v/>
      </c>
      <c r="M198" s="35">
        <f>IF($B$3="",1E+9,IFERROR(SMALL('入金消込'!$Q$5:$Q$1004,$K198+1),1E+9))</f>
        <v/>
      </c>
      <c r="N198" s="32">
        <f>IF(MIN($L198,$M198)&gt;=1E+9,"",IF($L198&lt;=$M198,"増","減"))</f>
        <v/>
      </c>
      <c r="O198" s="32">
        <f>IF($N198="","",IF($N198="増",MATCH($L198,'請求台帳'!$Z$5:$Z$1004,0),MATCH($M198,'入金消込'!$Q$5:$Q$1004,0)))</f>
        <v/>
      </c>
      <c r="P198" s="56" t="n"/>
      <c r="Q198" s="56" t="n"/>
    </row>
    <row r="199" ht="18" customHeight="1">
      <c r="A199" s="45">
        <f>IF($N199="","",IF($N199="増",INDEX('請求台帳'!$X$5:$X$1004,$O199),INDEX('入金消込'!$A$5:$A$1004,$O199)))</f>
        <v/>
      </c>
      <c r="B199" s="46">
        <f>IF($N199="","",IF($N199="増","売上","入金"))</f>
        <v/>
      </c>
      <c r="C199" s="46">
        <f>IF($N199="","",IF($N199="増",INDEX('請求台帳'!$A$5:$A$1004,$O199)&amp;"","入金No "&amp;INDEX('入金消込'!$B$5:$B$1004,$O199)))</f>
        <v/>
      </c>
      <c r="D199" s="47">
        <f>IF($N199="","",IF($N199="増",INDEX('請求台帳'!$F$5:$F$1004,$O199)&amp;"",IF(INDEX('入金消込'!$F$5:$F$1004,$O199)="","消込先が未定",INDEX('入金消込'!$F$5:$F$1004,$O199)&amp;" の入金")))</f>
        <v/>
      </c>
      <c r="E199" s="48">
        <f>IF($N199&lt;&gt;"増","",INDEX('請求台帳'!$L$5:$L$1004,$O199))</f>
        <v/>
      </c>
      <c r="F199" s="48">
        <f>IF($N199&lt;&gt;"減","",N(INDEX('入金消込'!$G$5:$G$1004,$O199)))</f>
        <v/>
      </c>
      <c r="G199" s="48">
        <f>IF($N199&lt;&gt;"減","",N(INDEX('入金消込'!$H$5:$H$1004,$O199))+N(INDEX('入金消込'!$I$5:$I$1004,$O199)))</f>
        <v/>
      </c>
      <c r="H199" s="49">
        <f>IF($N199="","",$H198+N($E199)-N($F199)-N($G199))</f>
        <v/>
      </c>
      <c r="I199" s="56" t="n"/>
      <c r="J199" s="32">
        <f>$J198+IF($N198="増",1,0)</f>
        <v/>
      </c>
      <c r="K199" s="32">
        <f>$K198+IF($N198="減",1,0)</f>
        <v/>
      </c>
      <c r="L199" s="35">
        <f>IF($B$3="",1E+9,IFERROR(SMALL('請求台帳'!$Z$5:$Z$1004,$J199+1),1E+9))</f>
        <v/>
      </c>
      <c r="M199" s="35">
        <f>IF($B$3="",1E+9,IFERROR(SMALL('入金消込'!$Q$5:$Q$1004,$K199+1),1E+9))</f>
        <v/>
      </c>
      <c r="N199" s="32">
        <f>IF(MIN($L199,$M199)&gt;=1E+9,"",IF($L199&lt;=$M199,"増","減"))</f>
        <v/>
      </c>
      <c r="O199" s="32">
        <f>IF($N199="","",IF($N199="増",MATCH($L199,'請求台帳'!$Z$5:$Z$1004,0),MATCH($M199,'入金消込'!$Q$5:$Q$1004,0)))</f>
        <v/>
      </c>
      <c r="P199" s="56" t="n"/>
      <c r="Q199" s="56" t="n"/>
    </row>
    <row r="200" ht="18" customHeight="1">
      <c r="A200" s="45">
        <f>IF($N200="","",IF($N200="増",INDEX('請求台帳'!$X$5:$X$1004,$O200),INDEX('入金消込'!$A$5:$A$1004,$O200)))</f>
        <v/>
      </c>
      <c r="B200" s="46">
        <f>IF($N200="","",IF($N200="増","売上","入金"))</f>
        <v/>
      </c>
      <c r="C200" s="46">
        <f>IF($N200="","",IF($N200="増",INDEX('請求台帳'!$A$5:$A$1004,$O200)&amp;"","入金No "&amp;INDEX('入金消込'!$B$5:$B$1004,$O200)))</f>
        <v/>
      </c>
      <c r="D200" s="47">
        <f>IF($N200="","",IF($N200="増",INDEX('請求台帳'!$F$5:$F$1004,$O200)&amp;"",IF(INDEX('入金消込'!$F$5:$F$1004,$O200)="","消込先が未定",INDEX('入金消込'!$F$5:$F$1004,$O200)&amp;" の入金")))</f>
        <v/>
      </c>
      <c r="E200" s="48">
        <f>IF($N200&lt;&gt;"増","",INDEX('請求台帳'!$L$5:$L$1004,$O200))</f>
        <v/>
      </c>
      <c r="F200" s="48">
        <f>IF($N200&lt;&gt;"減","",N(INDEX('入金消込'!$G$5:$G$1004,$O200)))</f>
        <v/>
      </c>
      <c r="G200" s="48">
        <f>IF($N200&lt;&gt;"減","",N(INDEX('入金消込'!$H$5:$H$1004,$O200))+N(INDEX('入金消込'!$I$5:$I$1004,$O200)))</f>
        <v/>
      </c>
      <c r="H200" s="49">
        <f>IF($N200="","",$H199+N($E200)-N($F200)-N($G200))</f>
        <v/>
      </c>
      <c r="I200" s="56" t="n"/>
      <c r="J200" s="32">
        <f>$J199+IF($N199="増",1,0)</f>
        <v/>
      </c>
      <c r="K200" s="32">
        <f>$K199+IF($N199="減",1,0)</f>
        <v/>
      </c>
      <c r="L200" s="35">
        <f>IF($B$3="",1E+9,IFERROR(SMALL('請求台帳'!$Z$5:$Z$1004,$J200+1),1E+9))</f>
        <v/>
      </c>
      <c r="M200" s="35">
        <f>IF($B$3="",1E+9,IFERROR(SMALL('入金消込'!$Q$5:$Q$1004,$K200+1),1E+9))</f>
        <v/>
      </c>
      <c r="N200" s="32">
        <f>IF(MIN($L200,$M200)&gt;=1E+9,"",IF($L200&lt;=$M200,"増","減"))</f>
        <v/>
      </c>
      <c r="O200" s="32">
        <f>IF($N200="","",IF($N200="増",MATCH($L200,'請求台帳'!$Z$5:$Z$1004,0),MATCH($M200,'入金消込'!$Q$5:$Q$1004,0)))</f>
        <v/>
      </c>
      <c r="P200" s="56" t="n"/>
      <c r="Q200" s="56" t="n"/>
    </row>
    <row r="201" ht="18" customHeight="1">
      <c r="A201" s="45">
        <f>IF($N201="","",IF($N201="増",INDEX('請求台帳'!$X$5:$X$1004,$O201),INDEX('入金消込'!$A$5:$A$1004,$O201)))</f>
        <v/>
      </c>
      <c r="B201" s="46">
        <f>IF($N201="","",IF($N201="増","売上","入金"))</f>
        <v/>
      </c>
      <c r="C201" s="46">
        <f>IF($N201="","",IF($N201="増",INDEX('請求台帳'!$A$5:$A$1004,$O201)&amp;"","入金No "&amp;INDEX('入金消込'!$B$5:$B$1004,$O201)))</f>
        <v/>
      </c>
      <c r="D201" s="47">
        <f>IF($N201="","",IF($N201="増",INDEX('請求台帳'!$F$5:$F$1004,$O201)&amp;"",IF(INDEX('入金消込'!$F$5:$F$1004,$O201)="","消込先が未定",INDEX('入金消込'!$F$5:$F$1004,$O201)&amp;" の入金")))</f>
        <v/>
      </c>
      <c r="E201" s="48">
        <f>IF($N201&lt;&gt;"増","",INDEX('請求台帳'!$L$5:$L$1004,$O201))</f>
        <v/>
      </c>
      <c r="F201" s="48">
        <f>IF($N201&lt;&gt;"減","",N(INDEX('入金消込'!$G$5:$G$1004,$O201)))</f>
        <v/>
      </c>
      <c r="G201" s="48">
        <f>IF($N201&lt;&gt;"減","",N(INDEX('入金消込'!$H$5:$H$1004,$O201))+N(INDEX('入金消込'!$I$5:$I$1004,$O201)))</f>
        <v/>
      </c>
      <c r="H201" s="49">
        <f>IF($N201="","",$H200+N($E201)-N($F201)-N($G201))</f>
        <v/>
      </c>
      <c r="I201" s="56" t="n"/>
      <c r="J201" s="32">
        <f>$J200+IF($N200="増",1,0)</f>
        <v/>
      </c>
      <c r="K201" s="32">
        <f>$K200+IF($N200="減",1,0)</f>
        <v/>
      </c>
      <c r="L201" s="35">
        <f>IF($B$3="",1E+9,IFERROR(SMALL('請求台帳'!$Z$5:$Z$1004,$J201+1),1E+9))</f>
        <v/>
      </c>
      <c r="M201" s="35">
        <f>IF($B$3="",1E+9,IFERROR(SMALL('入金消込'!$Q$5:$Q$1004,$K201+1),1E+9))</f>
        <v/>
      </c>
      <c r="N201" s="32">
        <f>IF(MIN($L201,$M201)&gt;=1E+9,"",IF($L201&lt;=$M201,"増","減"))</f>
        <v/>
      </c>
      <c r="O201" s="32">
        <f>IF($N201="","",IF($N201="増",MATCH($L201,'請求台帳'!$Z$5:$Z$1004,0),MATCH($M201,'入金消込'!$Q$5:$Q$1004,0)))</f>
        <v/>
      </c>
      <c r="P201" s="56" t="n"/>
      <c r="Q201" s="56" t="n"/>
    </row>
    <row r="202" ht="18" customHeight="1">
      <c r="A202" s="45">
        <f>IF($N202="","",IF($N202="増",INDEX('請求台帳'!$X$5:$X$1004,$O202),INDEX('入金消込'!$A$5:$A$1004,$O202)))</f>
        <v/>
      </c>
      <c r="B202" s="46">
        <f>IF($N202="","",IF($N202="増","売上","入金"))</f>
        <v/>
      </c>
      <c r="C202" s="46">
        <f>IF($N202="","",IF($N202="増",INDEX('請求台帳'!$A$5:$A$1004,$O202)&amp;"","入金No "&amp;INDEX('入金消込'!$B$5:$B$1004,$O202)))</f>
        <v/>
      </c>
      <c r="D202" s="47">
        <f>IF($N202="","",IF($N202="増",INDEX('請求台帳'!$F$5:$F$1004,$O202)&amp;"",IF(INDEX('入金消込'!$F$5:$F$1004,$O202)="","消込先が未定",INDEX('入金消込'!$F$5:$F$1004,$O202)&amp;" の入金")))</f>
        <v/>
      </c>
      <c r="E202" s="48">
        <f>IF($N202&lt;&gt;"増","",INDEX('請求台帳'!$L$5:$L$1004,$O202))</f>
        <v/>
      </c>
      <c r="F202" s="48">
        <f>IF($N202&lt;&gt;"減","",N(INDEX('入金消込'!$G$5:$G$1004,$O202)))</f>
        <v/>
      </c>
      <c r="G202" s="48">
        <f>IF($N202&lt;&gt;"減","",N(INDEX('入金消込'!$H$5:$H$1004,$O202))+N(INDEX('入金消込'!$I$5:$I$1004,$O202)))</f>
        <v/>
      </c>
      <c r="H202" s="49">
        <f>IF($N202="","",$H201+N($E202)-N($F202)-N($G202))</f>
        <v/>
      </c>
      <c r="I202" s="56" t="n"/>
      <c r="J202" s="32">
        <f>$J201+IF($N201="増",1,0)</f>
        <v/>
      </c>
      <c r="K202" s="32">
        <f>$K201+IF($N201="減",1,0)</f>
        <v/>
      </c>
      <c r="L202" s="35">
        <f>IF($B$3="",1E+9,IFERROR(SMALL('請求台帳'!$Z$5:$Z$1004,$J202+1),1E+9))</f>
        <v/>
      </c>
      <c r="M202" s="35">
        <f>IF($B$3="",1E+9,IFERROR(SMALL('入金消込'!$Q$5:$Q$1004,$K202+1),1E+9))</f>
        <v/>
      </c>
      <c r="N202" s="32">
        <f>IF(MIN($L202,$M202)&gt;=1E+9,"",IF($L202&lt;=$M202,"増","減"))</f>
        <v/>
      </c>
      <c r="O202" s="32">
        <f>IF($N202="","",IF($N202="増",MATCH($L202,'請求台帳'!$Z$5:$Z$1004,0),MATCH($M202,'入金消込'!$Q$5:$Q$1004,0)))</f>
        <v/>
      </c>
      <c r="P202" s="56" t="n"/>
      <c r="Q202" s="56" t="n"/>
    </row>
    <row r="203" ht="18" customHeight="1">
      <c r="A203" s="45">
        <f>IF($N203="","",IF($N203="増",INDEX('請求台帳'!$X$5:$X$1004,$O203),INDEX('入金消込'!$A$5:$A$1004,$O203)))</f>
        <v/>
      </c>
      <c r="B203" s="46">
        <f>IF($N203="","",IF($N203="増","売上","入金"))</f>
        <v/>
      </c>
      <c r="C203" s="46">
        <f>IF($N203="","",IF($N203="増",INDEX('請求台帳'!$A$5:$A$1004,$O203)&amp;"","入金No "&amp;INDEX('入金消込'!$B$5:$B$1004,$O203)))</f>
        <v/>
      </c>
      <c r="D203" s="47">
        <f>IF($N203="","",IF($N203="増",INDEX('請求台帳'!$F$5:$F$1004,$O203)&amp;"",IF(INDEX('入金消込'!$F$5:$F$1004,$O203)="","消込先が未定",INDEX('入金消込'!$F$5:$F$1004,$O203)&amp;" の入金")))</f>
        <v/>
      </c>
      <c r="E203" s="48">
        <f>IF($N203&lt;&gt;"増","",INDEX('請求台帳'!$L$5:$L$1004,$O203))</f>
        <v/>
      </c>
      <c r="F203" s="48">
        <f>IF($N203&lt;&gt;"減","",N(INDEX('入金消込'!$G$5:$G$1004,$O203)))</f>
        <v/>
      </c>
      <c r="G203" s="48">
        <f>IF($N203&lt;&gt;"減","",N(INDEX('入金消込'!$H$5:$H$1004,$O203))+N(INDEX('入金消込'!$I$5:$I$1004,$O203)))</f>
        <v/>
      </c>
      <c r="H203" s="49">
        <f>IF($N203="","",$H202+N($E203)-N($F203)-N($G203))</f>
        <v/>
      </c>
      <c r="I203" s="56" t="n"/>
      <c r="J203" s="32">
        <f>$J202+IF($N202="増",1,0)</f>
        <v/>
      </c>
      <c r="K203" s="32">
        <f>$K202+IF($N202="減",1,0)</f>
        <v/>
      </c>
      <c r="L203" s="35">
        <f>IF($B$3="",1E+9,IFERROR(SMALL('請求台帳'!$Z$5:$Z$1004,$J203+1),1E+9))</f>
        <v/>
      </c>
      <c r="M203" s="35">
        <f>IF($B$3="",1E+9,IFERROR(SMALL('入金消込'!$Q$5:$Q$1004,$K203+1),1E+9))</f>
        <v/>
      </c>
      <c r="N203" s="32">
        <f>IF(MIN($L203,$M203)&gt;=1E+9,"",IF($L203&lt;=$M203,"増","減"))</f>
        <v/>
      </c>
      <c r="O203" s="32">
        <f>IF($N203="","",IF($N203="増",MATCH($L203,'請求台帳'!$Z$5:$Z$1004,0),MATCH($M203,'入金消込'!$Q$5:$Q$1004,0)))</f>
        <v/>
      </c>
      <c r="P203" s="56" t="n"/>
      <c r="Q203" s="56" t="n"/>
    </row>
    <row r="204" ht="18" customHeight="1">
      <c r="A204" s="45">
        <f>IF($N204="","",IF($N204="増",INDEX('請求台帳'!$X$5:$X$1004,$O204),INDEX('入金消込'!$A$5:$A$1004,$O204)))</f>
        <v/>
      </c>
      <c r="B204" s="46">
        <f>IF($N204="","",IF($N204="増","売上","入金"))</f>
        <v/>
      </c>
      <c r="C204" s="46">
        <f>IF($N204="","",IF($N204="増",INDEX('請求台帳'!$A$5:$A$1004,$O204)&amp;"","入金No "&amp;INDEX('入金消込'!$B$5:$B$1004,$O204)))</f>
        <v/>
      </c>
      <c r="D204" s="47">
        <f>IF($N204="","",IF($N204="増",INDEX('請求台帳'!$F$5:$F$1004,$O204)&amp;"",IF(INDEX('入金消込'!$F$5:$F$1004,$O204)="","消込先が未定",INDEX('入金消込'!$F$5:$F$1004,$O204)&amp;" の入金")))</f>
        <v/>
      </c>
      <c r="E204" s="48">
        <f>IF($N204&lt;&gt;"増","",INDEX('請求台帳'!$L$5:$L$1004,$O204))</f>
        <v/>
      </c>
      <c r="F204" s="48">
        <f>IF($N204&lt;&gt;"減","",N(INDEX('入金消込'!$G$5:$G$1004,$O204)))</f>
        <v/>
      </c>
      <c r="G204" s="48">
        <f>IF($N204&lt;&gt;"減","",N(INDEX('入金消込'!$H$5:$H$1004,$O204))+N(INDEX('入金消込'!$I$5:$I$1004,$O204)))</f>
        <v/>
      </c>
      <c r="H204" s="49">
        <f>IF($N204="","",$H203+N($E204)-N($F204)-N($G204))</f>
        <v/>
      </c>
      <c r="I204" s="56" t="n"/>
      <c r="J204" s="32">
        <f>$J203+IF($N203="増",1,0)</f>
        <v/>
      </c>
      <c r="K204" s="32">
        <f>$K203+IF($N203="減",1,0)</f>
        <v/>
      </c>
      <c r="L204" s="35">
        <f>IF($B$3="",1E+9,IFERROR(SMALL('請求台帳'!$Z$5:$Z$1004,$J204+1),1E+9))</f>
        <v/>
      </c>
      <c r="M204" s="35">
        <f>IF($B$3="",1E+9,IFERROR(SMALL('入金消込'!$Q$5:$Q$1004,$K204+1),1E+9))</f>
        <v/>
      </c>
      <c r="N204" s="32">
        <f>IF(MIN($L204,$M204)&gt;=1E+9,"",IF($L204&lt;=$M204,"増","減"))</f>
        <v/>
      </c>
      <c r="O204" s="32">
        <f>IF($N204="","",IF($N204="増",MATCH($L204,'請求台帳'!$Z$5:$Z$1004,0),MATCH($M204,'入金消込'!$Q$5:$Q$1004,0)))</f>
        <v/>
      </c>
      <c r="P204" s="56" t="n"/>
      <c r="Q204" s="56" t="n"/>
    </row>
    <row r="205" ht="18" customHeight="1">
      <c r="A205" s="45">
        <f>IF($N205="","",IF($N205="増",INDEX('請求台帳'!$X$5:$X$1004,$O205),INDEX('入金消込'!$A$5:$A$1004,$O205)))</f>
        <v/>
      </c>
      <c r="B205" s="46">
        <f>IF($N205="","",IF($N205="増","売上","入金"))</f>
        <v/>
      </c>
      <c r="C205" s="46">
        <f>IF($N205="","",IF($N205="増",INDEX('請求台帳'!$A$5:$A$1004,$O205)&amp;"","入金No "&amp;INDEX('入金消込'!$B$5:$B$1004,$O205)))</f>
        <v/>
      </c>
      <c r="D205" s="47">
        <f>IF($N205="","",IF($N205="増",INDEX('請求台帳'!$F$5:$F$1004,$O205)&amp;"",IF(INDEX('入金消込'!$F$5:$F$1004,$O205)="","消込先が未定",INDEX('入金消込'!$F$5:$F$1004,$O205)&amp;" の入金")))</f>
        <v/>
      </c>
      <c r="E205" s="48">
        <f>IF($N205&lt;&gt;"増","",INDEX('請求台帳'!$L$5:$L$1004,$O205))</f>
        <v/>
      </c>
      <c r="F205" s="48">
        <f>IF($N205&lt;&gt;"減","",N(INDEX('入金消込'!$G$5:$G$1004,$O205)))</f>
        <v/>
      </c>
      <c r="G205" s="48">
        <f>IF($N205&lt;&gt;"減","",N(INDEX('入金消込'!$H$5:$H$1004,$O205))+N(INDEX('入金消込'!$I$5:$I$1004,$O205)))</f>
        <v/>
      </c>
      <c r="H205" s="49">
        <f>IF($N205="","",$H204+N($E205)-N($F205)-N($G205))</f>
        <v/>
      </c>
      <c r="I205" s="56" t="n"/>
      <c r="J205" s="32">
        <f>$J204+IF($N204="増",1,0)</f>
        <v/>
      </c>
      <c r="K205" s="32">
        <f>$K204+IF($N204="減",1,0)</f>
        <v/>
      </c>
      <c r="L205" s="35">
        <f>IF($B$3="",1E+9,IFERROR(SMALL('請求台帳'!$Z$5:$Z$1004,$J205+1),1E+9))</f>
        <v/>
      </c>
      <c r="M205" s="35">
        <f>IF($B$3="",1E+9,IFERROR(SMALL('入金消込'!$Q$5:$Q$1004,$K205+1),1E+9))</f>
        <v/>
      </c>
      <c r="N205" s="32">
        <f>IF(MIN($L205,$M205)&gt;=1E+9,"",IF($L205&lt;=$M205,"増","減"))</f>
        <v/>
      </c>
      <c r="O205" s="32">
        <f>IF($N205="","",IF($N205="増",MATCH($L205,'請求台帳'!$Z$5:$Z$1004,0),MATCH($M205,'入金消込'!$Q$5:$Q$1004,0)))</f>
        <v/>
      </c>
      <c r="P205" s="56" t="n"/>
      <c r="Q205" s="56" t="n"/>
    </row>
    <row r="206" ht="18" customHeight="1">
      <c r="A206" s="45">
        <f>IF($N206="","",IF($N206="増",INDEX('請求台帳'!$X$5:$X$1004,$O206),INDEX('入金消込'!$A$5:$A$1004,$O206)))</f>
        <v/>
      </c>
      <c r="B206" s="46">
        <f>IF($N206="","",IF($N206="増","売上","入金"))</f>
        <v/>
      </c>
      <c r="C206" s="46">
        <f>IF($N206="","",IF($N206="増",INDEX('請求台帳'!$A$5:$A$1004,$O206)&amp;"","入金No "&amp;INDEX('入金消込'!$B$5:$B$1004,$O206)))</f>
        <v/>
      </c>
      <c r="D206" s="47">
        <f>IF($N206="","",IF($N206="増",INDEX('請求台帳'!$F$5:$F$1004,$O206)&amp;"",IF(INDEX('入金消込'!$F$5:$F$1004,$O206)="","消込先が未定",INDEX('入金消込'!$F$5:$F$1004,$O206)&amp;" の入金")))</f>
        <v/>
      </c>
      <c r="E206" s="48">
        <f>IF($N206&lt;&gt;"増","",INDEX('請求台帳'!$L$5:$L$1004,$O206))</f>
        <v/>
      </c>
      <c r="F206" s="48">
        <f>IF($N206&lt;&gt;"減","",N(INDEX('入金消込'!$G$5:$G$1004,$O206)))</f>
        <v/>
      </c>
      <c r="G206" s="48">
        <f>IF($N206&lt;&gt;"減","",N(INDEX('入金消込'!$H$5:$H$1004,$O206))+N(INDEX('入金消込'!$I$5:$I$1004,$O206)))</f>
        <v/>
      </c>
      <c r="H206" s="49">
        <f>IF($N206="","",$H205+N($E206)-N($F206)-N($G206))</f>
        <v/>
      </c>
      <c r="I206" s="56" t="n"/>
      <c r="J206" s="32">
        <f>$J205+IF($N205="増",1,0)</f>
        <v/>
      </c>
      <c r="K206" s="32">
        <f>$K205+IF($N205="減",1,0)</f>
        <v/>
      </c>
      <c r="L206" s="35">
        <f>IF($B$3="",1E+9,IFERROR(SMALL('請求台帳'!$Z$5:$Z$1004,$J206+1),1E+9))</f>
        <v/>
      </c>
      <c r="M206" s="35">
        <f>IF($B$3="",1E+9,IFERROR(SMALL('入金消込'!$Q$5:$Q$1004,$K206+1),1E+9))</f>
        <v/>
      </c>
      <c r="N206" s="32">
        <f>IF(MIN($L206,$M206)&gt;=1E+9,"",IF($L206&lt;=$M206,"増","減"))</f>
        <v/>
      </c>
      <c r="O206" s="32">
        <f>IF($N206="","",IF($N206="増",MATCH($L206,'請求台帳'!$Z$5:$Z$1004,0),MATCH($M206,'入金消込'!$Q$5:$Q$1004,0)))</f>
        <v/>
      </c>
      <c r="P206" s="56" t="n"/>
      <c r="Q206" s="56" t="n"/>
    </row>
    <row r="207" ht="18" customHeight="1">
      <c r="A207" s="45">
        <f>IF($N207="","",IF($N207="増",INDEX('請求台帳'!$X$5:$X$1004,$O207),INDEX('入金消込'!$A$5:$A$1004,$O207)))</f>
        <v/>
      </c>
      <c r="B207" s="46">
        <f>IF($N207="","",IF($N207="増","売上","入金"))</f>
        <v/>
      </c>
      <c r="C207" s="46">
        <f>IF($N207="","",IF($N207="増",INDEX('請求台帳'!$A$5:$A$1004,$O207)&amp;"","入金No "&amp;INDEX('入金消込'!$B$5:$B$1004,$O207)))</f>
        <v/>
      </c>
      <c r="D207" s="47">
        <f>IF($N207="","",IF($N207="増",INDEX('請求台帳'!$F$5:$F$1004,$O207)&amp;"",IF(INDEX('入金消込'!$F$5:$F$1004,$O207)="","消込先が未定",INDEX('入金消込'!$F$5:$F$1004,$O207)&amp;" の入金")))</f>
        <v/>
      </c>
      <c r="E207" s="48">
        <f>IF($N207&lt;&gt;"増","",INDEX('請求台帳'!$L$5:$L$1004,$O207))</f>
        <v/>
      </c>
      <c r="F207" s="48">
        <f>IF($N207&lt;&gt;"減","",N(INDEX('入金消込'!$G$5:$G$1004,$O207)))</f>
        <v/>
      </c>
      <c r="G207" s="48">
        <f>IF($N207&lt;&gt;"減","",N(INDEX('入金消込'!$H$5:$H$1004,$O207))+N(INDEX('入金消込'!$I$5:$I$1004,$O207)))</f>
        <v/>
      </c>
      <c r="H207" s="49">
        <f>IF($N207="","",$H206+N($E207)-N($F207)-N($G207))</f>
        <v/>
      </c>
      <c r="I207" s="56" t="n"/>
      <c r="J207" s="32">
        <f>$J206+IF($N206="増",1,0)</f>
        <v/>
      </c>
      <c r="K207" s="32">
        <f>$K206+IF($N206="減",1,0)</f>
        <v/>
      </c>
      <c r="L207" s="35">
        <f>IF($B$3="",1E+9,IFERROR(SMALL('請求台帳'!$Z$5:$Z$1004,$J207+1),1E+9))</f>
        <v/>
      </c>
      <c r="M207" s="35">
        <f>IF($B$3="",1E+9,IFERROR(SMALL('入金消込'!$Q$5:$Q$1004,$K207+1),1E+9))</f>
        <v/>
      </c>
      <c r="N207" s="32">
        <f>IF(MIN($L207,$M207)&gt;=1E+9,"",IF($L207&lt;=$M207,"増","減"))</f>
        <v/>
      </c>
      <c r="O207" s="32">
        <f>IF($N207="","",IF($N207="増",MATCH($L207,'請求台帳'!$Z$5:$Z$1004,0),MATCH($M207,'入金消込'!$Q$5:$Q$1004,0)))</f>
        <v/>
      </c>
      <c r="P207" s="56" t="n"/>
      <c r="Q207" s="56" t="n"/>
    </row>
    <row r="208" ht="18" customHeight="1">
      <c r="A208" s="45">
        <f>IF($N208="","",IF($N208="増",INDEX('請求台帳'!$X$5:$X$1004,$O208),INDEX('入金消込'!$A$5:$A$1004,$O208)))</f>
        <v/>
      </c>
      <c r="B208" s="46">
        <f>IF($N208="","",IF($N208="増","売上","入金"))</f>
        <v/>
      </c>
      <c r="C208" s="46">
        <f>IF($N208="","",IF($N208="増",INDEX('請求台帳'!$A$5:$A$1004,$O208)&amp;"","入金No "&amp;INDEX('入金消込'!$B$5:$B$1004,$O208)))</f>
        <v/>
      </c>
      <c r="D208" s="47">
        <f>IF($N208="","",IF($N208="増",INDEX('請求台帳'!$F$5:$F$1004,$O208)&amp;"",IF(INDEX('入金消込'!$F$5:$F$1004,$O208)="","消込先が未定",INDEX('入金消込'!$F$5:$F$1004,$O208)&amp;" の入金")))</f>
        <v/>
      </c>
      <c r="E208" s="48">
        <f>IF($N208&lt;&gt;"増","",INDEX('請求台帳'!$L$5:$L$1004,$O208))</f>
        <v/>
      </c>
      <c r="F208" s="48">
        <f>IF($N208&lt;&gt;"減","",N(INDEX('入金消込'!$G$5:$G$1004,$O208)))</f>
        <v/>
      </c>
      <c r="G208" s="48">
        <f>IF($N208&lt;&gt;"減","",N(INDEX('入金消込'!$H$5:$H$1004,$O208))+N(INDEX('入金消込'!$I$5:$I$1004,$O208)))</f>
        <v/>
      </c>
      <c r="H208" s="49">
        <f>IF($N208="","",$H207+N($E208)-N($F208)-N($G208))</f>
        <v/>
      </c>
      <c r="I208" s="56" t="n"/>
      <c r="J208" s="32">
        <f>$J207+IF($N207="増",1,0)</f>
        <v/>
      </c>
      <c r="K208" s="32">
        <f>$K207+IF($N207="減",1,0)</f>
        <v/>
      </c>
      <c r="L208" s="35">
        <f>IF($B$3="",1E+9,IFERROR(SMALL('請求台帳'!$Z$5:$Z$1004,$J208+1),1E+9))</f>
        <v/>
      </c>
      <c r="M208" s="35">
        <f>IF($B$3="",1E+9,IFERROR(SMALL('入金消込'!$Q$5:$Q$1004,$K208+1),1E+9))</f>
        <v/>
      </c>
      <c r="N208" s="32">
        <f>IF(MIN($L208,$M208)&gt;=1E+9,"",IF($L208&lt;=$M208,"増","減"))</f>
        <v/>
      </c>
      <c r="O208" s="32">
        <f>IF($N208="","",IF($N208="増",MATCH($L208,'請求台帳'!$Z$5:$Z$1004,0),MATCH($M208,'入金消込'!$Q$5:$Q$1004,0)))</f>
        <v/>
      </c>
      <c r="P208" s="56" t="n"/>
      <c r="Q208" s="56" t="n"/>
    </row>
    <row r="209" ht="18" customHeight="1">
      <c r="A209" s="45">
        <f>IF($N209="","",IF($N209="増",INDEX('請求台帳'!$X$5:$X$1004,$O209),INDEX('入金消込'!$A$5:$A$1004,$O209)))</f>
        <v/>
      </c>
      <c r="B209" s="46">
        <f>IF($N209="","",IF($N209="増","売上","入金"))</f>
        <v/>
      </c>
      <c r="C209" s="46">
        <f>IF($N209="","",IF($N209="増",INDEX('請求台帳'!$A$5:$A$1004,$O209)&amp;"","入金No "&amp;INDEX('入金消込'!$B$5:$B$1004,$O209)))</f>
        <v/>
      </c>
      <c r="D209" s="47">
        <f>IF($N209="","",IF($N209="増",INDEX('請求台帳'!$F$5:$F$1004,$O209)&amp;"",IF(INDEX('入金消込'!$F$5:$F$1004,$O209)="","消込先が未定",INDEX('入金消込'!$F$5:$F$1004,$O209)&amp;" の入金")))</f>
        <v/>
      </c>
      <c r="E209" s="48">
        <f>IF($N209&lt;&gt;"増","",INDEX('請求台帳'!$L$5:$L$1004,$O209))</f>
        <v/>
      </c>
      <c r="F209" s="48">
        <f>IF($N209&lt;&gt;"減","",N(INDEX('入金消込'!$G$5:$G$1004,$O209)))</f>
        <v/>
      </c>
      <c r="G209" s="48">
        <f>IF($N209&lt;&gt;"減","",N(INDEX('入金消込'!$H$5:$H$1004,$O209))+N(INDEX('入金消込'!$I$5:$I$1004,$O209)))</f>
        <v/>
      </c>
      <c r="H209" s="49">
        <f>IF($N209="","",$H208+N($E209)-N($F209)-N($G209))</f>
        <v/>
      </c>
      <c r="I209" s="56" t="n"/>
      <c r="J209" s="32">
        <f>$J208+IF($N208="増",1,0)</f>
        <v/>
      </c>
      <c r="K209" s="32">
        <f>$K208+IF($N208="減",1,0)</f>
        <v/>
      </c>
      <c r="L209" s="35">
        <f>IF($B$3="",1E+9,IFERROR(SMALL('請求台帳'!$Z$5:$Z$1004,$J209+1),1E+9))</f>
        <v/>
      </c>
      <c r="M209" s="35">
        <f>IF($B$3="",1E+9,IFERROR(SMALL('入金消込'!$Q$5:$Q$1004,$K209+1),1E+9))</f>
        <v/>
      </c>
      <c r="N209" s="32">
        <f>IF(MIN($L209,$M209)&gt;=1E+9,"",IF($L209&lt;=$M209,"増","減"))</f>
        <v/>
      </c>
      <c r="O209" s="32">
        <f>IF($N209="","",IF($N209="増",MATCH($L209,'請求台帳'!$Z$5:$Z$1004,0),MATCH($M209,'入金消込'!$Q$5:$Q$1004,0)))</f>
        <v/>
      </c>
      <c r="P209" s="56" t="n"/>
      <c r="Q209" s="56" t="n"/>
    </row>
    <row r="210" ht="18" customHeight="1">
      <c r="A210" s="45">
        <f>IF($N210="","",IF($N210="増",INDEX('請求台帳'!$X$5:$X$1004,$O210),INDEX('入金消込'!$A$5:$A$1004,$O210)))</f>
        <v/>
      </c>
      <c r="B210" s="46">
        <f>IF($N210="","",IF($N210="増","売上","入金"))</f>
        <v/>
      </c>
      <c r="C210" s="46">
        <f>IF($N210="","",IF($N210="増",INDEX('請求台帳'!$A$5:$A$1004,$O210)&amp;"","入金No "&amp;INDEX('入金消込'!$B$5:$B$1004,$O210)))</f>
        <v/>
      </c>
      <c r="D210" s="47">
        <f>IF($N210="","",IF($N210="増",INDEX('請求台帳'!$F$5:$F$1004,$O210)&amp;"",IF(INDEX('入金消込'!$F$5:$F$1004,$O210)="","消込先が未定",INDEX('入金消込'!$F$5:$F$1004,$O210)&amp;" の入金")))</f>
        <v/>
      </c>
      <c r="E210" s="48">
        <f>IF($N210&lt;&gt;"増","",INDEX('請求台帳'!$L$5:$L$1004,$O210))</f>
        <v/>
      </c>
      <c r="F210" s="48">
        <f>IF($N210&lt;&gt;"減","",N(INDEX('入金消込'!$G$5:$G$1004,$O210)))</f>
        <v/>
      </c>
      <c r="G210" s="48">
        <f>IF($N210&lt;&gt;"減","",N(INDEX('入金消込'!$H$5:$H$1004,$O210))+N(INDEX('入金消込'!$I$5:$I$1004,$O210)))</f>
        <v/>
      </c>
      <c r="H210" s="49">
        <f>IF($N210="","",$H209+N($E210)-N($F210)-N($G210))</f>
        <v/>
      </c>
      <c r="I210" s="56" t="n"/>
      <c r="J210" s="32">
        <f>$J209+IF($N209="増",1,0)</f>
        <v/>
      </c>
      <c r="K210" s="32">
        <f>$K209+IF($N209="減",1,0)</f>
        <v/>
      </c>
      <c r="L210" s="35">
        <f>IF($B$3="",1E+9,IFERROR(SMALL('請求台帳'!$Z$5:$Z$1004,$J210+1),1E+9))</f>
        <v/>
      </c>
      <c r="M210" s="35">
        <f>IF($B$3="",1E+9,IFERROR(SMALL('入金消込'!$Q$5:$Q$1004,$K210+1),1E+9))</f>
        <v/>
      </c>
      <c r="N210" s="32">
        <f>IF(MIN($L210,$M210)&gt;=1E+9,"",IF($L210&lt;=$M210,"増","減"))</f>
        <v/>
      </c>
      <c r="O210" s="32">
        <f>IF($N210="","",IF($N210="増",MATCH($L210,'請求台帳'!$Z$5:$Z$1004,0),MATCH($M210,'入金消込'!$Q$5:$Q$1004,0)))</f>
        <v/>
      </c>
      <c r="P210" s="56" t="n"/>
      <c r="Q210" s="56" t="n"/>
    </row>
    <row r="211" ht="18" customHeight="1">
      <c r="A211" s="45">
        <f>IF($N211="","",IF($N211="増",INDEX('請求台帳'!$X$5:$X$1004,$O211),INDEX('入金消込'!$A$5:$A$1004,$O211)))</f>
        <v/>
      </c>
      <c r="B211" s="46">
        <f>IF($N211="","",IF($N211="増","売上","入金"))</f>
        <v/>
      </c>
      <c r="C211" s="46">
        <f>IF($N211="","",IF($N211="増",INDEX('請求台帳'!$A$5:$A$1004,$O211)&amp;"","入金No "&amp;INDEX('入金消込'!$B$5:$B$1004,$O211)))</f>
        <v/>
      </c>
      <c r="D211" s="47">
        <f>IF($N211="","",IF($N211="増",INDEX('請求台帳'!$F$5:$F$1004,$O211)&amp;"",IF(INDEX('入金消込'!$F$5:$F$1004,$O211)="","消込先が未定",INDEX('入金消込'!$F$5:$F$1004,$O211)&amp;" の入金")))</f>
        <v/>
      </c>
      <c r="E211" s="48">
        <f>IF($N211&lt;&gt;"増","",INDEX('請求台帳'!$L$5:$L$1004,$O211))</f>
        <v/>
      </c>
      <c r="F211" s="48">
        <f>IF($N211&lt;&gt;"減","",N(INDEX('入金消込'!$G$5:$G$1004,$O211)))</f>
        <v/>
      </c>
      <c r="G211" s="48">
        <f>IF($N211&lt;&gt;"減","",N(INDEX('入金消込'!$H$5:$H$1004,$O211))+N(INDEX('入金消込'!$I$5:$I$1004,$O211)))</f>
        <v/>
      </c>
      <c r="H211" s="49">
        <f>IF($N211="","",$H210+N($E211)-N($F211)-N($G211))</f>
        <v/>
      </c>
      <c r="I211" s="56" t="n"/>
      <c r="J211" s="32">
        <f>$J210+IF($N210="増",1,0)</f>
        <v/>
      </c>
      <c r="K211" s="32">
        <f>$K210+IF($N210="減",1,0)</f>
        <v/>
      </c>
      <c r="L211" s="35">
        <f>IF($B$3="",1E+9,IFERROR(SMALL('請求台帳'!$Z$5:$Z$1004,$J211+1),1E+9))</f>
        <v/>
      </c>
      <c r="M211" s="35">
        <f>IF($B$3="",1E+9,IFERROR(SMALL('入金消込'!$Q$5:$Q$1004,$K211+1),1E+9))</f>
        <v/>
      </c>
      <c r="N211" s="32">
        <f>IF(MIN($L211,$M211)&gt;=1E+9,"",IF($L211&lt;=$M211,"増","減"))</f>
        <v/>
      </c>
      <c r="O211" s="32">
        <f>IF($N211="","",IF($N211="増",MATCH($L211,'請求台帳'!$Z$5:$Z$1004,0),MATCH($M211,'入金消込'!$Q$5:$Q$1004,0)))</f>
        <v/>
      </c>
      <c r="P211" s="56" t="n"/>
      <c r="Q211" s="56" t="n"/>
    </row>
    <row r="212" ht="18" customHeight="1">
      <c r="A212" s="45">
        <f>IF($N212="","",IF($N212="増",INDEX('請求台帳'!$X$5:$X$1004,$O212),INDEX('入金消込'!$A$5:$A$1004,$O212)))</f>
        <v/>
      </c>
      <c r="B212" s="46">
        <f>IF($N212="","",IF($N212="増","売上","入金"))</f>
        <v/>
      </c>
      <c r="C212" s="46">
        <f>IF($N212="","",IF($N212="増",INDEX('請求台帳'!$A$5:$A$1004,$O212)&amp;"","入金No "&amp;INDEX('入金消込'!$B$5:$B$1004,$O212)))</f>
        <v/>
      </c>
      <c r="D212" s="47">
        <f>IF($N212="","",IF($N212="増",INDEX('請求台帳'!$F$5:$F$1004,$O212)&amp;"",IF(INDEX('入金消込'!$F$5:$F$1004,$O212)="","消込先が未定",INDEX('入金消込'!$F$5:$F$1004,$O212)&amp;" の入金")))</f>
        <v/>
      </c>
      <c r="E212" s="48">
        <f>IF($N212&lt;&gt;"増","",INDEX('請求台帳'!$L$5:$L$1004,$O212))</f>
        <v/>
      </c>
      <c r="F212" s="48">
        <f>IF($N212&lt;&gt;"減","",N(INDEX('入金消込'!$G$5:$G$1004,$O212)))</f>
        <v/>
      </c>
      <c r="G212" s="48">
        <f>IF($N212&lt;&gt;"減","",N(INDEX('入金消込'!$H$5:$H$1004,$O212))+N(INDEX('入金消込'!$I$5:$I$1004,$O212)))</f>
        <v/>
      </c>
      <c r="H212" s="49">
        <f>IF($N212="","",$H211+N($E212)-N($F212)-N($G212))</f>
        <v/>
      </c>
      <c r="I212" s="56" t="n"/>
      <c r="J212" s="32">
        <f>$J211+IF($N211="増",1,0)</f>
        <v/>
      </c>
      <c r="K212" s="32">
        <f>$K211+IF($N211="減",1,0)</f>
        <v/>
      </c>
      <c r="L212" s="35">
        <f>IF($B$3="",1E+9,IFERROR(SMALL('請求台帳'!$Z$5:$Z$1004,$J212+1),1E+9))</f>
        <v/>
      </c>
      <c r="M212" s="35">
        <f>IF($B$3="",1E+9,IFERROR(SMALL('入金消込'!$Q$5:$Q$1004,$K212+1),1E+9))</f>
        <v/>
      </c>
      <c r="N212" s="32">
        <f>IF(MIN($L212,$M212)&gt;=1E+9,"",IF($L212&lt;=$M212,"増","減"))</f>
        <v/>
      </c>
      <c r="O212" s="32">
        <f>IF($N212="","",IF($N212="増",MATCH($L212,'請求台帳'!$Z$5:$Z$1004,0),MATCH($M212,'入金消込'!$Q$5:$Q$1004,0)))</f>
        <v/>
      </c>
      <c r="P212" s="56" t="n"/>
      <c r="Q212" s="56" t="n"/>
    </row>
    <row r="213" ht="18" customHeight="1">
      <c r="A213" s="45">
        <f>IF($N213="","",IF($N213="増",INDEX('請求台帳'!$X$5:$X$1004,$O213),INDEX('入金消込'!$A$5:$A$1004,$O213)))</f>
        <v/>
      </c>
      <c r="B213" s="46">
        <f>IF($N213="","",IF($N213="増","売上","入金"))</f>
        <v/>
      </c>
      <c r="C213" s="46">
        <f>IF($N213="","",IF($N213="増",INDEX('請求台帳'!$A$5:$A$1004,$O213)&amp;"","入金No "&amp;INDEX('入金消込'!$B$5:$B$1004,$O213)))</f>
        <v/>
      </c>
      <c r="D213" s="47">
        <f>IF($N213="","",IF($N213="増",INDEX('請求台帳'!$F$5:$F$1004,$O213)&amp;"",IF(INDEX('入金消込'!$F$5:$F$1004,$O213)="","消込先が未定",INDEX('入金消込'!$F$5:$F$1004,$O213)&amp;" の入金")))</f>
        <v/>
      </c>
      <c r="E213" s="48">
        <f>IF($N213&lt;&gt;"増","",INDEX('請求台帳'!$L$5:$L$1004,$O213))</f>
        <v/>
      </c>
      <c r="F213" s="48">
        <f>IF($N213&lt;&gt;"減","",N(INDEX('入金消込'!$G$5:$G$1004,$O213)))</f>
        <v/>
      </c>
      <c r="G213" s="48">
        <f>IF($N213&lt;&gt;"減","",N(INDEX('入金消込'!$H$5:$H$1004,$O213))+N(INDEX('入金消込'!$I$5:$I$1004,$O213)))</f>
        <v/>
      </c>
      <c r="H213" s="49">
        <f>IF($N213="","",$H212+N($E213)-N($F213)-N($G213))</f>
        <v/>
      </c>
      <c r="I213" s="56" t="n"/>
      <c r="J213" s="32">
        <f>$J212+IF($N212="増",1,0)</f>
        <v/>
      </c>
      <c r="K213" s="32">
        <f>$K212+IF($N212="減",1,0)</f>
        <v/>
      </c>
      <c r="L213" s="35">
        <f>IF($B$3="",1E+9,IFERROR(SMALL('請求台帳'!$Z$5:$Z$1004,$J213+1),1E+9))</f>
        <v/>
      </c>
      <c r="M213" s="35">
        <f>IF($B$3="",1E+9,IFERROR(SMALL('入金消込'!$Q$5:$Q$1004,$K213+1),1E+9))</f>
        <v/>
      </c>
      <c r="N213" s="32">
        <f>IF(MIN($L213,$M213)&gt;=1E+9,"",IF($L213&lt;=$M213,"増","減"))</f>
        <v/>
      </c>
      <c r="O213" s="32">
        <f>IF($N213="","",IF($N213="増",MATCH($L213,'請求台帳'!$Z$5:$Z$1004,0),MATCH($M213,'入金消込'!$Q$5:$Q$1004,0)))</f>
        <v/>
      </c>
      <c r="P213" s="56" t="n"/>
      <c r="Q213" s="56" t="n"/>
    </row>
    <row r="214" ht="18" customHeight="1">
      <c r="A214" s="45">
        <f>IF($N214="","",IF($N214="増",INDEX('請求台帳'!$X$5:$X$1004,$O214),INDEX('入金消込'!$A$5:$A$1004,$O214)))</f>
        <v/>
      </c>
      <c r="B214" s="46">
        <f>IF($N214="","",IF($N214="増","売上","入金"))</f>
        <v/>
      </c>
      <c r="C214" s="46">
        <f>IF($N214="","",IF($N214="増",INDEX('請求台帳'!$A$5:$A$1004,$O214)&amp;"","入金No "&amp;INDEX('入金消込'!$B$5:$B$1004,$O214)))</f>
        <v/>
      </c>
      <c r="D214" s="47">
        <f>IF($N214="","",IF($N214="増",INDEX('請求台帳'!$F$5:$F$1004,$O214)&amp;"",IF(INDEX('入金消込'!$F$5:$F$1004,$O214)="","消込先が未定",INDEX('入金消込'!$F$5:$F$1004,$O214)&amp;" の入金")))</f>
        <v/>
      </c>
      <c r="E214" s="48">
        <f>IF($N214&lt;&gt;"増","",INDEX('請求台帳'!$L$5:$L$1004,$O214))</f>
        <v/>
      </c>
      <c r="F214" s="48">
        <f>IF($N214&lt;&gt;"減","",N(INDEX('入金消込'!$G$5:$G$1004,$O214)))</f>
        <v/>
      </c>
      <c r="G214" s="48">
        <f>IF($N214&lt;&gt;"減","",N(INDEX('入金消込'!$H$5:$H$1004,$O214))+N(INDEX('入金消込'!$I$5:$I$1004,$O214)))</f>
        <v/>
      </c>
      <c r="H214" s="49">
        <f>IF($N214="","",$H213+N($E214)-N($F214)-N($G214))</f>
        <v/>
      </c>
      <c r="I214" s="56" t="n"/>
      <c r="J214" s="32">
        <f>$J213+IF($N213="増",1,0)</f>
        <v/>
      </c>
      <c r="K214" s="32">
        <f>$K213+IF($N213="減",1,0)</f>
        <v/>
      </c>
      <c r="L214" s="35">
        <f>IF($B$3="",1E+9,IFERROR(SMALL('請求台帳'!$Z$5:$Z$1004,$J214+1),1E+9))</f>
        <v/>
      </c>
      <c r="M214" s="35">
        <f>IF($B$3="",1E+9,IFERROR(SMALL('入金消込'!$Q$5:$Q$1004,$K214+1),1E+9))</f>
        <v/>
      </c>
      <c r="N214" s="32">
        <f>IF(MIN($L214,$M214)&gt;=1E+9,"",IF($L214&lt;=$M214,"増","減"))</f>
        <v/>
      </c>
      <c r="O214" s="32">
        <f>IF($N214="","",IF($N214="増",MATCH($L214,'請求台帳'!$Z$5:$Z$1004,0),MATCH($M214,'入金消込'!$Q$5:$Q$1004,0)))</f>
        <v/>
      </c>
      <c r="P214" s="56" t="n"/>
      <c r="Q214" s="56" t="n"/>
    </row>
    <row r="215" ht="18" customHeight="1">
      <c r="A215" s="45">
        <f>IF($N215="","",IF($N215="増",INDEX('請求台帳'!$X$5:$X$1004,$O215),INDEX('入金消込'!$A$5:$A$1004,$O215)))</f>
        <v/>
      </c>
      <c r="B215" s="46">
        <f>IF($N215="","",IF($N215="増","売上","入金"))</f>
        <v/>
      </c>
      <c r="C215" s="46">
        <f>IF($N215="","",IF($N215="増",INDEX('請求台帳'!$A$5:$A$1004,$O215)&amp;"","入金No "&amp;INDEX('入金消込'!$B$5:$B$1004,$O215)))</f>
        <v/>
      </c>
      <c r="D215" s="47">
        <f>IF($N215="","",IF($N215="増",INDEX('請求台帳'!$F$5:$F$1004,$O215)&amp;"",IF(INDEX('入金消込'!$F$5:$F$1004,$O215)="","消込先が未定",INDEX('入金消込'!$F$5:$F$1004,$O215)&amp;" の入金")))</f>
        <v/>
      </c>
      <c r="E215" s="48">
        <f>IF($N215&lt;&gt;"増","",INDEX('請求台帳'!$L$5:$L$1004,$O215))</f>
        <v/>
      </c>
      <c r="F215" s="48">
        <f>IF($N215&lt;&gt;"減","",N(INDEX('入金消込'!$G$5:$G$1004,$O215)))</f>
        <v/>
      </c>
      <c r="G215" s="48">
        <f>IF($N215&lt;&gt;"減","",N(INDEX('入金消込'!$H$5:$H$1004,$O215))+N(INDEX('入金消込'!$I$5:$I$1004,$O215)))</f>
        <v/>
      </c>
      <c r="H215" s="49">
        <f>IF($N215="","",$H214+N($E215)-N($F215)-N($G215))</f>
        <v/>
      </c>
      <c r="I215" s="56" t="n"/>
      <c r="J215" s="32">
        <f>$J214+IF($N214="増",1,0)</f>
        <v/>
      </c>
      <c r="K215" s="32">
        <f>$K214+IF($N214="減",1,0)</f>
        <v/>
      </c>
      <c r="L215" s="35">
        <f>IF($B$3="",1E+9,IFERROR(SMALL('請求台帳'!$Z$5:$Z$1004,$J215+1),1E+9))</f>
        <v/>
      </c>
      <c r="M215" s="35">
        <f>IF($B$3="",1E+9,IFERROR(SMALL('入金消込'!$Q$5:$Q$1004,$K215+1),1E+9))</f>
        <v/>
      </c>
      <c r="N215" s="32">
        <f>IF(MIN($L215,$M215)&gt;=1E+9,"",IF($L215&lt;=$M215,"増","減"))</f>
        <v/>
      </c>
      <c r="O215" s="32">
        <f>IF($N215="","",IF($N215="増",MATCH($L215,'請求台帳'!$Z$5:$Z$1004,0),MATCH($M215,'入金消込'!$Q$5:$Q$1004,0)))</f>
        <v/>
      </c>
      <c r="P215" s="56" t="n"/>
      <c r="Q215" s="56" t="n"/>
    </row>
    <row r="216" ht="18" customHeight="1">
      <c r="A216" s="45">
        <f>IF($N216="","",IF($N216="増",INDEX('請求台帳'!$X$5:$X$1004,$O216),INDEX('入金消込'!$A$5:$A$1004,$O216)))</f>
        <v/>
      </c>
      <c r="B216" s="46">
        <f>IF($N216="","",IF($N216="増","売上","入金"))</f>
        <v/>
      </c>
      <c r="C216" s="46">
        <f>IF($N216="","",IF($N216="増",INDEX('請求台帳'!$A$5:$A$1004,$O216)&amp;"","入金No "&amp;INDEX('入金消込'!$B$5:$B$1004,$O216)))</f>
        <v/>
      </c>
      <c r="D216" s="47">
        <f>IF($N216="","",IF($N216="増",INDEX('請求台帳'!$F$5:$F$1004,$O216)&amp;"",IF(INDEX('入金消込'!$F$5:$F$1004,$O216)="","消込先が未定",INDEX('入金消込'!$F$5:$F$1004,$O216)&amp;" の入金")))</f>
        <v/>
      </c>
      <c r="E216" s="48">
        <f>IF($N216&lt;&gt;"増","",INDEX('請求台帳'!$L$5:$L$1004,$O216))</f>
        <v/>
      </c>
      <c r="F216" s="48">
        <f>IF($N216&lt;&gt;"減","",N(INDEX('入金消込'!$G$5:$G$1004,$O216)))</f>
        <v/>
      </c>
      <c r="G216" s="48">
        <f>IF($N216&lt;&gt;"減","",N(INDEX('入金消込'!$H$5:$H$1004,$O216))+N(INDEX('入金消込'!$I$5:$I$1004,$O216)))</f>
        <v/>
      </c>
      <c r="H216" s="49">
        <f>IF($N216="","",$H215+N($E216)-N($F216)-N($G216))</f>
        <v/>
      </c>
      <c r="I216" s="56" t="n"/>
      <c r="J216" s="32">
        <f>$J215+IF($N215="増",1,0)</f>
        <v/>
      </c>
      <c r="K216" s="32">
        <f>$K215+IF($N215="減",1,0)</f>
        <v/>
      </c>
      <c r="L216" s="35">
        <f>IF($B$3="",1E+9,IFERROR(SMALL('請求台帳'!$Z$5:$Z$1004,$J216+1),1E+9))</f>
        <v/>
      </c>
      <c r="M216" s="35">
        <f>IF($B$3="",1E+9,IFERROR(SMALL('入金消込'!$Q$5:$Q$1004,$K216+1),1E+9))</f>
        <v/>
      </c>
      <c r="N216" s="32">
        <f>IF(MIN($L216,$M216)&gt;=1E+9,"",IF($L216&lt;=$M216,"増","減"))</f>
        <v/>
      </c>
      <c r="O216" s="32">
        <f>IF($N216="","",IF($N216="増",MATCH($L216,'請求台帳'!$Z$5:$Z$1004,0),MATCH($M216,'入金消込'!$Q$5:$Q$1004,0)))</f>
        <v/>
      </c>
      <c r="P216" s="56" t="n"/>
      <c r="Q216" s="56" t="n"/>
    </row>
    <row r="217" ht="18" customHeight="1">
      <c r="A217" s="45">
        <f>IF($N217="","",IF($N217="増",INDEX('請求台帳'!$X$5:$X$1004,$O217),INDEX('入金消込'!$A$5:$A$1004,$O217)))</f>
        <v/>
      </c>
      <c r="B217" s="46">
        <f>IF($N217="","",IF($N217="増","売上","入金"))</f>
        <v/>
      </c>
      <c r="C217" s="46">
        <f>IF($N217="","",IF($N217="増",INDEX('請求台帳'!$A$5:$A$1004,$O217)&amp;"","入金No "&amp;INDEX('入金消込'!$B$5:$B$1004,$O217)))</f>
        <v/>
      </c>
      <c r="D217" s="47">
        <f>IF($N217="","",IF($N217="増",INDEX('請求台帳'!$F$5:$F$1004,$O217)&amp;"",IF(INDEX('入金消込'!$F$5:$F$1004,$O217)="","消込先が未定",INDEX('入金消込'!$F$5:$F$1004,$O217)&amp;" の入金")))</f>
        <v/>
      </c>
      <c r="E217" s="48">
        <f>IF($N217&lt;&gt;"増","",INDEX('請求台帳'!$L$5:$L$1004,$O217))</f>
        <v/>
      </c>
      <c r="F217" s="48">
        <f>IF($N217&lt;&gt;"減","",N(INDEX('入金消込'!$G$5:$G$1004,$O217)))</f>
        <v/>
      </c>
      <c r="G217" s="48">
        <f>IF($N217&lt;&gt;"減","",N(INDEX('入金消込'!$H$5:$H$1004,$O217))+N(INDEX('入金消込'!$I$5:$I$1004,$O217)))</f>
        <v/>
      </c>
      <c r="H217" s="49">
        <f>IF($N217="","",$H216+N($E217)-N($F217)-N($G217))</f>
        <v/>
      </c>
      <c r="I217" s="56" t="n"/>
      <c r="J217" s="32">
        <f>$J216+IF($N216="増",1,0)</f>
        <v/>
      </c>
      <c r="K217" s="32">
        <f>$K216+IF($N216="減",1,0)</f>
        <v/>
      </c>
      <c r="L217" s="35">
        <f>IF($B$3="",1E+9,IFERROR(SMALL('請求台帳'!$Z$5:$Z$1004,$J217+1),1E+9))</f>
        <v/>
      </c>
      <c r="M217" s="35">
        <f>IF($B$3="",1E+9,IFERROR(SMALL('入金消込'!$Q$5:$Q$1004,$K217+1),1E+9))</f>
        <v/>
      </c>
      <c r="N217" s="32">
        <f>IF(MIN($L217,$M217)&gt;=1E+9,"",IF($L217&lt;=$M217,"増","減"))</f>
        <v/>
      </c>
      <c r="O217" s="32">
        <f>IF($N217="","",IF($N217="増",MATCH($L217,'請求台帳'!$Z$5:$Z$1004,0),MATCH($M217,'入金消込'!$Q$5:$Q$1004,0)))</f>
        <v/>
      </c>
      <c r="P217" s="56" t="n"/>
      <c r="Q217" s="56" t="n"/>
    </row>
    <row r="218" ht="18" customHeight="1">
      <c r="A218" s="45">
        <f>IF($N218="","",IF($N218="増",INDEX('請求台帳'!$X$5:$X$1004,$O218),INDEX('入金消込'!$A$5:$A$1004,$O218)))</f>
        <v/>
      </c>
      <c r="B218" s="46">
        <f>IF($N218="","",IF($N218="増","売上","入金"))</f>
        <v/>
      </c>
      <c r="C218" s="46">
        <f>IF($N218="","",IF($N218="増",INDEX('請求台帳'!$A$5:$A$1004,$O218)&amp;"","入金No "&amp;INDEX('入金消込'!$B$5:$B$1004,$O218)))</f>
        <v/>
      </c>
      <c r="D218" s="47">
        <f>IF($N218="","",IF($N218="増",INDEX('請求台帳'!$F$5:$F$1004,$O218)&amp;"",IF(INDEX('入金消込'!$F$5:$F$1004,$O218)="","消込先が未定",INDEX('入金消込'!$F$5:$F$1004,$O218)&amp;" の入金")))</f>
        <v/>
      </c>
      <c r="E218" s="48">
        <f>IF($N218&lt;&gt;"増","",INDEX('請求台帳'!$L$5:$L$1004,$O218))</f>
        <v/>
      </c>
      <c r="F218" s="48">
        <f>IF($N218&lt;&gt;"減","",N(INDEX('入金消込'!$G$5:$G$1004,$O218)))</f>
        <v/>
      </c>
      <c r="G218" s="48">
        <f>IF($N218&lt;&gt;"減","",N(INDEX('入金消込'!$H$5:$H$1004,$O218))+N(INDEX('入金消込'!$I$5:$I$1004,$O218)))</f>
        <v/>
      </c>
      <c r="H218" s="49">
        <f>IF($N218="","",$H217+N($E218)-N($F218)-N($G218))</f>
        <v/>
      </c>
      <c r="I218" s="56" t="n"/>
      <c r="J218" s="32">
        <f>$J217+IF($N217="増",1,0)</f>
        <v/>
      </c>
      <c r="K218" s="32">
        <f>$K217+IF($N217="減",1,0)</f>
        <v/>
      </c>
      <c r="L218" s="35">
        <f>IF($B$3="",1E+9,IFERROR(SMALL('請求台帳'!$Z$5:$Z$1004,$J218+1),1E+9))</f>
        <v/>
      </c>
      <c r="M218" s="35">
        <f>IF($B$3="",1E+9,IFERROR(SMALL('入金消込'!$Q$5:$Q$1004,$K218+1),1E+9))</f>
        <v/>
      </c>
      <c r="N218" s="32">
        <f>IF(MIN($L218,$M218)&gt;=1E+9,"",IF($L218&lt;=$M218,"増","減"))</f>
        <v/>
      </c>
      <c r="O218" s="32">
        <f>IF($N218="","",IF($N218="増",MATCH($L218,'請求台帳'!$Z$5:$Z$1004,0),MATCH($M218,'入金消込'!$Q$5:$Q$1004,0)))</f>
        <v/>
      </c>
      <c r="P218" s="56" t="n"/>
      <c r="Q218" s="56" t="n"/>
    </row>
    <row r="219" ht="18" customHeight="1">
      <c r="A219" s="45">
        <f>IF($N219="","",IF($N219="増",INDEX('請求台帳'!$X$5:$X$1004,$O219),INDEX('入金消込'!$A$5:$A$1004,$O219)))</f>
        <v/>
      </c>
      <c r="B219" s="46">
        <f>IF($N219="","",IF($N219="増","売上","入金"))</f>
        <v/>
      </c>
      <c r="C219" s="46">
        <f>IF($N219="","",IF($N219="増",INDEX('請求台帳'!$A$5:$A$1004,$O219)&amp;"","入金No "&amp;INDEX('入金消込'!$B$5:$B$1004,$O219)))</f>
        <v/>
      </c>
      <c r="D219" s="47">
        <f>IF($N219="","",IF($N219="増",INDEX('請求台帳'!$F$5:$F$1004,$O219)&amp;"",IF(INDEX('入金消込'!$F$5:$F$1004,$O219)="","消込先が未定",INDEX('入金消込'!$F$5:$F$1004,$O219)&amp;" の入金")))</f>
        <v/>
      </c>
      <c r="E219" s="48">
        <f>IF($N219&lt;&gt;"増","",INDEX('請求台帳'!$L$5:$L$1004,$O219))</f>
        <v/>
      </c>
      <c r="F219" s="48">
        <f>IF($N219&lt;&gt;"減","",N(INDEX('入金消込'!$G$5:$G$1004,$O219)))</f>
        <v/>
      </c>
      <c r="G219" s="48">
        <f>IF($N219&lt;&gt;"減","",N(INDEX('入金消込'!$H$5:$H$1004,$O219))+N(INDEX('入金消込'!$I$5:$I$1004,$O219)))</f>
        <v/>
      </c>
      <c r="H219" s="49">
        <f>IF($N219="","",$H218+N($E219)-N($F219)-N($G219))</f>
        <v/>
      </c>
      <c r="I219" s="56" t="n"/>
      <c r="J219" s="32">
        <f>$J218+IF($N218="増",1,0)</f>
        <v/>
      </c>
      <c r="K219" s="32">
        <f>$K218+IF($N218="減",1,0)</f>
        <v/>
      </c>
      <c r="L219" s="35">
        <f>IF($B$3="",1E+9,IFERROR(SMALL('請求台帳'!$Z$5:$Z$1004,$J219+1),1E+9))</f>
        <v/>
      </c>
      <c r="M219" s="35">
        <f>IF($B$3="",1E+9,IFERROR(SMALL('入金消込'!$Q$5:$Q$1004,$K219+1),1E+9))</f>
        <v/>
      </c>
      <c r="N219" s="32">
        <f>IF(MIN($L219,$M219)&gt;=1E+9,"",IF($L219&lt;=$M219,"増","減"))</f>
        <v/>
      </c>
      <c r="O219" s="32">
        <f>IF($N219="","",IF($N219="増",MATCH($L219,'請求台帳'!$Z$5:$Z$1004,0),MATCH($M219,'入金消込'!$Q$5:$Q$1004,0)))</f>
        <v/>
      </c>
      <c r="P219" s="56" t="n"/>
      <c r="Q219" s="56" t="n"/>
    </row>
    <row r="220" ht="18" customHeight="1">
      <c r="A220" s="45">
        <f>IF($N220="","",IF($N220="増",INDEX('請求台帳'!$X$5:$X$1004,$O220),INDEX('入金消込'!$A$5:$A$1004,$O220)))</f>
        <v/>
      </c>
      <c r="B220" s="46">
        <f>IF($N220="","",IF($N220="増","売上","入金"))</f>
        <v/>
      </c>
      <c r="C220" s="46">
        <f>IF($N220="","",IF($N220="増",INDEX('請求台帳'!$A$5:$A$1004,$O220)&amp;"","入金No "&amp;INDEX('入金消込'!$B$5:$B$1004,$O220)))</f>
        <v/>
      </c>
      <c r="D220" s="47">
        <f>IF($N220="","",IF($N220="増",INDEX('請求台帳'!$F$5:$F$1004,$O220)&amp;"",IF(INDEX('入金消込'!$F$5:$F$1004,$O220)="","消込先が未定",INDEX('入金消込'!$F$5:$F$1004,$O220)&amp;" の入金")))</f>
        <v/>
      </c>
      <c r="E220" s="48">
        <f>IF($N220&lt;&gt;"増","",INDEX('請求台帳'!$L$5:$L$1004,$O220))</f>
        <v/>
      </c>
      <c r="F220" s="48">
        <f>IF($N220&lt;&gt;"減","",N(INDEX('入金消込'!$G$5:$G$1004,$O220)))</f>
        <v/>
      </c>
      <c r="G220" s="48">
        <f>IF($N220&lt;&gt;"減","",N(INDEX('入金消込'!$H$5:$H$1004,$O220))+N(INDEX('入金消込'!$I$5:$I$1004,$O220)))</f>
        <v/>
      </c>
      <c r="H220" s="49">
        <f>IF($N220="","",$H219+N($E220)-N($F220)-N($G220))</f>
        <v/>
      </c>
      <c r="I220" s="56" t="n"/>
      <c r="J220" s="32">
        <f>$J219+IF($N219="増",1,0)</f>
        <v/>
      </c>
      <c r="K220" s="32">
        <f>$K219+IF($N219="減",1,0)</f>
        <v/>
      </c>
      <c r="L220" s="35">
        <f>IF($B$3="",1E+9,IFERROR(SMALL('請求台帳'!$Z$5:$Z$1004,$J220+1),1E+9))</f>
        <v/>
      </c>
      <c r="M220" s="35">
        <f>IF($B$3="",1E+9,IFERROR(SMALL('入金消込'!$Q$5:$Q$1004,$K220+1),1E+9))</f>
        <v/>
      </c>
      <c r="N220" s="32">
        <f>IF(MIN($L220,$M220)&gt;=1E+9,"",IF($L220&lt;=$M220,"増","減"))</f>
        <v/>
      </c>
      <c r="O220" s="32">
        <f>IF($N220="","",IF($N220="増",MATCH($L220,'請求台帳'!$Z$5:$Z$1004,0),MATCH($M220,'入金消込'!$Q$5:$Q$1004,0)))</f>
        <v/>
      </c>
      <c r="P220" s="56" t="n"/>
      <c r="Q220" s="56" t="n"/>
    </row>
    <row r="221" ht="18" customHeight="1">
      <c r="A221" s="45">
        <f>IF($N221="","",IF($N221="増",INDEX('請求台帳'!$X$5:$X$1004,$O221),INDEX('入金消込'!$A$5:$A$1004,$O221)))</f>
        <v/>
      </c>
      <c r="B221" s="46">
        <f>IF($N221="","",IF($N221="増","売上","入金"))</f>
        <v/>
      </c>
      <c r="C221" s="46">
        <f>IF($N221="","",IF($N221="増",INDEX('請求台帳'!$A$5:$A$1004,$O221)&amp;"","入金No "&amp;INDEX('入金消込'!$B$5:$B$1004,$O221)))</f>
        <v/>
      </c>
      <c r="D221" s="47">
        <f>IF($N221="","",IF($N221="増",INDEX('請求台帳'!$F$5:$F$1004,$O221)&amp;"",IF(INDEX('入金消込'!$F$5:$F$1004,$O221)="","消込先が未定",INDEX('入金消込'!$F$5:$F$1004,$O221)&amp;" の入金")))</f>
        <v/>
      </c>
      <c r="E221" s="48">
        <f>IF($N221&lt;&gt;"増","",INDEX('請求台帳'!$L$5:$L$1004,$O221))</f>
        <v/>
      </c>
      <c r="F221" s="48">
        <f>IF($N221&lt;&gt;"減","",N(INDEX('入金消込'!$G$5:$G$1004,$O221)))</f>
        <v/>
      </c>
      <c r="G221" s="48">
        <f>IF($N221&lt;&gt;"減","",N(INDEX('入金消込'!$H$5:$H$1004,$O221))+N(INDEX('入金消込'!$I$5:$I$1004,$O221)))</f>
        <v/>
      </c>
      <c r="H221" s="49">
        <f>IF($N221="","",$H220+N($E221)-N($F221)-N($G221))</f>
        <v/>
      </c>
      <c r="I221" s="56" t="n"/>
      <c r="J221" s="32">
        <f>$J220+IF($N220="増",1,0)</f>
        <v/>
      </c>
      <c r="K221" s="32">
        <f>$K220+IF($N220="減",1,0)</f>
        <v/>
      </c>
      <c r="L221" s="35">
        <f>IF($B$3="",1E+9,IFERROR(SMALL('請求台帳'!$Z$5:$Z$1004,$J221+1),1E+9))</f>
        <v/>
      </c>
      <c r="M221" s="35">
        <f>IF($B$3="",1E+9,IFERROR(SMALL('入金消込'!$Q$5:$Q$1004,$K221+1),1E+9))</f>
        <v/>
      </c>
      <c r="N221" s="32">
        <f>IF(MIN($L221,$M221)&gt;=1E+9,"",IF($L221&lt;=$M221,"増","減"))</f>
        <v/>
      </c>
      <c r="O221" s="32">
        <f>IF($N221="","",IF($N221="増",MATCH($L221,'請求台帳'!$Z$5:$Z$1004,0),MATCH($M221,'入金消込'!$Q$5:$Q$1004,0)))</f>
        <v/>
      </c>
      <c r="P221" s="56" t="n"/>
      <c r="Q221" s="56" t="n"/>
    </row>
    <row r="222" ht="18" customHeight="1">
      <c r="A222" s="45">
        <f>IF($N222="","",IF($N222="増",INDEX('請求台帳'!$X$5:$X$1004,$O222),INDEX('入金消込'!$A$5:$A$1004,$O222)))</f>
        <v/>
      </c>
      <c r="B222" s="46">
        <f>IF($N222="","",IF($N222="増","売上","入金"))</f>
        <v/>
      </c>
      <c r="C222" s="46">
        <f>IF($N222="","",IF($N222="増",INDEX('請求台帳'!$A$5:$A$1004,$O222)&amp;"","入金No "&amp;INDEX('入金消込'!$B$5:$B$1004,$O222)))</f>
        <v/>
      </c>
      <c r="D222" s="47">
        <f>IF($N222="","",IF($N222="増",INDEX('請求台帳'!$F$5:$F$1004,$O222)&amp;"",IF(INDEX('入金消込'!$F$5:$F$1004,$O222)="","消込先が未定",INDEX('入金消込'!$F$5:$F$1004,$O222)&amp;" の入金")))</f>
        <v/>
      </c>
      <c r="E222" s="48">
        <f>IF($N222&lt;&gt;"増","",INDEX('請求台帳'!$L$5:$L$1004,$O222))</f>
        <v/>
      </c>
      <c r="F222" s="48">
        <f>IF($N222&lt;&gt;"減","",N(INDEX('入金消込'!$G$5:$G$1004,$O222)))</f>
        <v/>
      </c>
      <c r="G222" s="48">
        <f>IF($N222&lt;&gt;"減","",N(INDEX('入金消込'!$H$5:$H$1004,$O222))+N(INDEX('入金消込'!$I$5:$I$1004,$O222)))</f>
        <v/>
      </c>
      <c r="H222" s="49">
        <f>IF($N222="","",$H221+N($E222)-N($F222)-N($G222))</f>
        <v/>
      </c>
      <c r="I222" s="56" t="n"/>
      <c r="J222" s="32">
        <f>$J221+IF($N221="増",1,0)</f>
        <v/>
      </c>
      <c r="K222" s="32">
        <f>$K221+IF($N221="減",1,0)</f>
        <v/>
      </c>
      <c r="L222" s="35">
        <f>IF($B$3="",1E+9,IFERROR(SMALL('請求台帳'!$Z$5:$Z$1004,$J222+1),1E+9))</f>
        <v/>
      </c>
      <c r="M222" s="35">
        <f>IF($B$3="",1E+9,IFERROR(SMALL('入金消込'!$Q$5:$Q$1004,$K222+1),1E+9))</f>
        <v/>
      </c>
      <c r="N222" s="32">
        <f>IF(MIN($L222,$M222)&gt;=1E+9,"",IF($L222&lt;=$M222,"増","減"))</f>
        <v/>
      </c>
      <c r="O222" s="32">
        <f>IF($N222="","",IF($N222="増",MATCH($L222,'請求台帳'!$Z$5:$Z$1004,0),MATCH($M222,'入金消込'!$Q$5:$Q$1004,0)))</f>
        <v/>
      </c>
      <c r="P222" s="56" t="n"/>
      <c r="Q222" s="56" t="n"/>
    </row>
    <row r="223" ht="18" customHeight="1">
      <c r="A223" s="45">
        <f>IF($N223="","",IF($N223="増",INDEX('請求台帳'!$X$5:$X$1004,$O223),INDEX('入金消込'!$A$5:$A$1004,$O223)))</f>
        <v/>
      </c>
      <c r="B223" s="46">
        <f>IF($N223="","",IF($N223="増","売上","入金"))</f>
        <v/>
      </c>
      <c r="C223" s="46">
        <f>IF($N223="","",IF($N223="増",INDEX('請求台帳'!$A$5:$A$1004,$O223)&amp;"","入金No "&amp;INDEX('入金消込'!$B$5:$B$1004,$O223)))</f>
        <v/>
      </c>
      <c r="D223" s="47">
        <f>IF($N223="","",IF($N223="増",INDEX('請求台帳'!$F$5:$F$1004,$O223)&amp;"",IF(INDEX('入金消込'!$F$5:$F$1004,$O223)="","消込先が未定",INDEX('入金消込'!$F$5:$F$1004,$O223)&amp;" の入金")))</f>
        <v/>
      </c>
      <c r="E223" s="48">
        <f>IF($N223&lt;&gt;"増","",INDEX('請求台帳'!$L$5:$L$1004,$O223))</f>
        <v/>
      </c>
      <c r="F223" s="48">
        <f>IF($N223&lt;&gt;"減","",N(INDEX('入金消込'!$G$5:$G$1004,$O223)))</f>
        <v/>
      </c>
      <c r="G223" s="48">
        <f>IF($N223&lt;&gt;"減","",N(INDEX('入金消込'!$H$5:$H$1004,$O223))+N(INDEX('入金消込'!$I$5:$I$1004,$O223)))</f>
        <v/>
      </c>
      <c r="H223" s="49">
        <f>IF($N223="","",$H222+N($E223)-N($F223)-N($G223))</f>
        <v/>
      </c>
      <c r="I223" s="56" t="n"/>
      <c r="J223" s="32">
        <f>$J222+IF($N222="増",1,0)</f>
        <v/>
      </c>
      <c r="K223" s="32">
        <f>$K222+IF($N222="減",1,0)</f>
        <v/>
      </c>
      <c r="L223" s="35">
        <f>IF($B$3="",1E+9,IFERROR(SMALL('請求台帳'!$Z$5:$Z$1004,$J223+1),1E+9))</f>
        <v/>
      </c>
      <c r="M223" s="35">
        <f>IF($B$3="",1E+9,IFERROR(SMALL('入金消込'!$Q$5:$Q$1004,$K223+1),1E+9))</f>
        <v/>
      </c>
      <c r="N223" s="32">
        <f>IF(MIN($L223,$M223)&gt;=1E+9,"",IF($L223&lt;=$M223,"増","減"))</f>
        <v/>
      </c>
      <c r="O223" s="32">
        <f>IF($N223="","",IF($N223="増",MATCH($L223,'請求台帳'!$Z$5:$Z$1004,0),MATCH($M223,'入金消込'!$Q$5:$Q$1004,0)))</f>
        <v/>
      </c>
      <c r="P223" s="56" t="n"/>
      <c r="Q223" s="56" t="n"/>
    </row>
    <row r="224" ht="18" customHeight="1">
      <c r="A224" s="45">
        <f>IF($N224="","",IF($N224="増",INDEX('請求台帳'!$X$5:$X$1004,$O224),INDEX('入金消込'!$A$5:$A$1004,$O224)))</f>
        <v/>
      </c>
      <c r="B224" s="46">
        <f>IF($N224="","",IF($N224="増","売上","入金"))</f>
        <v/>
      </c>
      <c r="C224" s="46">
        <f>IF($N224="","",IF($N224="増",INDEX('請求台帳'!$A$5:$A$1004,$O224)&amp;"","入金No "&amp;INDEX('入金消込'!$B$5:$B$1004,$O224)))</f>
        <v/>
      </c>
      <c r="D224" s="47">
        <f>IF($N224="","",IF($N224="増",INDEX('請求台帳'!$F$5:$F$1004,$O224)&amp;"",IF(INDEX('入金消込'!$F$5:$F$1004,$O224)="","消込先が未定",INDEX('入金消込'!$F$5:$F$1004,$O224)&amp;" の入金")))</f>
        <v/>
      </c>
      <c r="E224" s="48">
        <f>IF($N224&lt;&gt;"増","",INDEX('請求台帳'!$L$5:$L$1004,$O224))</f>
        <v/>
      </c>
      <c r="F224" s="48">
        <f>IF($N224&lt;&gt;"減","",N(INDEX('入金消込'!$G$5:$G$1004,$O224)))</f>
        <v/>
      </c>
      <c r="G224" s="48">
        <f>IF($N224&lt;&gt;"減","",N(INDEX('入金消込'!$H$5:$H$1004,$O224))+N(INDEX('入金消込'!$I$5:$I$1004,$O224)))</f>
        <v/>
      </c>
      <c r="H224" s="49">
        <f>IF($N224="","",$H223+N($E224)-N($F224)-N($G224))</f>
        <v/>
      </c>
      <c r="I224" s="56" t="n"/>
      <c r="J224" s="32">
        <f>$J223+IF($N223="増",1,0)</f>
        <v/>
      </c>
      <c r="K224" s="32">
        <f>$K223+IF($N223="減",1,0)</f>
        <v/>
      </c>
      <c r="L224" s="35">
        <f>IF($B$3="",1E+9,IFERROR(SMALL('請求台帳'!$Z$5:$Z$1004,$J224+1),1E+9))</f>
        <v/>
      </c>
      <c r="M224" s="35">
        <f>IF($B$3="",1E+9,IFERROR(SMALL('入金消込'!$Q$5:$Q$1004,$K224+1),1E+9))</f>
        <v/>
      </c>
      <c r="N224" s="32">
        <f>IF(MIN($L224,$M224)&gt;=1E+9,"",IF($L224&lt;=$M224,"増","減"))</f>
        <v/>
      </c>
      <c r="O224" s="32">
        <f>IF($N224="","",IF($N224="増",MATCH($L224,'請求台帳'!$Z$5:$Z$1004,0),MATCH($M224,'入金消込'!$Q$5:$Q$1004,0)))</f>
        <v/>
      </c>
      <c r="P224" s="56" t="n"/>
      <c r="Q224" s="56" t="n"/>
    </row>
    <row r="225" ht="18" customHeight="1">
      <c r="A225" s="45">
        <f>IF($N225="","",IF($N225="増",INDEX('請求台帳'!$X$5:$X$1004,$O225),INDEX('入金消込'!$A$5:$A$1004,$O225)))</f>
        <v/>
      </c>
      <c r="B225" s="46">
        <f>IF($N225="","",IF($N225="増","売上","入金"))</f>
        <v/>
      </c>
      <c r="C225" s="46">
        <f>IF($N225="","",IF($N225="増",INDEX('請求台帳'!$A$5:$A$1004,$O225)&amp;"","入金No "&amp;INDEX('入金消込'!$B$5:$B$1004,$O225)))</f>
        <v/>
      </c>
      <c r="D225" s="47">
        <f>IF($N225="","",IF($N225="増",INDEX('請求台帳'!$F$5:$F$1004,$O225)&amp;"",IF(INDEX('入金消込'!$F$5:$F$1004,$O225)="","消込先が未定",INDEX('入金消込'!$F$5:$F$1004,$O225)&amp;" の入金")))</f>
        <v/>
      </c>
      <c r="E225" s="48">
        <f>IF($N225&lt;&gt;"増","",INDEX('請求台帳'!$L$5:$L$1004,$O225))</f>
        <v/>
      </c>
      <c r="F225" s="48">
        <f>IF($N225&lt;&gt;"減","",N(INDEX('入金消込'!$G$5:$G$1004,$O225)))</f>
        <v/>
      </c>
      <c r="G225" s="48">
        <f>IF($N225&lt;&gt;"減","",N(INDEX('入金消込'!$H$5:$H$1004,$O225))+N(INDEX('入金消込'!$I$5:$I$1004,$O225)))</f>
        <v/>
      </c>
      <c r="H225" s="49">
        <f>IF($N225="","",$H224+N($E225)-N($F225)-N($G225))</f>
        <v/>
      </c>
      <c r="I225" s="56" t="n"/>
      <c r="J225" s="32">
        <f>$J224+IF($N224="増",1,0)</f>
        <v/>
      </c>
      <c r="K225" s="32">
        <f>$K224+IF($N224="減",1,0)</f>
        <v/>
      </c>
      <c r="L225" s="35">
        <f>IF($B$3="",1E+9,IFERROR(SMALL('請求台帳'!$Z$5:$Z$1004,$J225+1),1E+9))</f>
        <v/>
      </c>
      <c r="M225" s="35">
        <f>IF($B$3="",1E+9,IFERROR(SMALL('入金消込'!$Q$5:$Q$1004,$K225+1),1E+9))</f>
        <v/>
      </c>
      <c r="N225" s="32">
        <f>IF(MIN($L225,$M225)&gt;=1E+9,"",IF($L225&lt;=$M225,"増","減"))</f>
        <v/>
      </c>
      <c r="O225" s="32">
        <f>IF($N225="","",IF($N225="増",MATCH($L225,'請求台帳'!$Z$5:$Z$1004,0),MATCH($M225,'入金消込'!$Q$5:$Q$1004,0)))</f>
        <v/>
      </c>
      <c r="P225" s="56" t="n"/>
      <c r="Q225" s="56" t="n"/>
    </row>
    <row r="226" ht="18" customHeight="1">
      <c r="A226" s="45">
        <f>IF($N226="","",IF($N226="増",INDEX('請求台帳'!$X$5:$X$1004,$O226),INDEX('入金消込'!$A$5:$A$1004,$O226)))</f>
        <v/>
      </c>
      <c r="B226" s="46">
        <f>IF($N226="","",IF($N226="増","売上","入金"))</f>
        <v/>
      </c>
      <c r="C226" s="46">
        <f>IF($N226="","",IF($N226="増",INDEX('請求台帳'!$A$5:$A$1004,$O226)&amp;"","入金No "&amp;INDEX('入金消込'!$B$5:$B$1004,$O226)))</f>
        <v/>
      </c>
      <c r="D226" s="47">
        <f>IF($N226="","",IF($N226="増",INDEX('請求台帳'!$F$5:$F$1004,$O226)&amp;"",IF(INDEX('入金消込'!$F$5:$F$1004,$O226)="","消込先が未定",INDEX('入金消込'!$F$5:$F$1004,$O226)&amp;" の入金")))</f>
        <v/>
      </c>
      <c r="E226" s="48">
        <f>IF($N226&lt;&gt;"増","",INDEX('請求台帳'!$L$5:$L$1004,$O226))</f>
        <v/>
      </c>
      <c r="F226" s="48">
        <f>IF($N226&lt;&gt;"減","",N(INDEX('入金消込'!$G$5:$G$1004,$O226)))</f>
        <v/>
      </c>
      <c r="G226" s="48">
        <f>IF($N226&lt;&gt;"減","",N(INDEX('入金消込'!$H$5:$H$1004,$O226))+N(INDEX('入金消込'!$I$5:$I$1004,$O226)))</f>
        <v/>
      </c>
      <c r="H226" s="49">
        <f>IF($N226="","",$H225+N($E226)-N($F226)-N($G226))</f>
        <v/>
      </c>
      <c r="I226" s="56" t="n"/>
      <c r="J226" s="32">
        <f>$J225+IF($N225="増",1,0)</f>
        <v/>
      </c>
      <c r="K226" s="32">
        <f>$K225+IF($N225="減",1,0)</f>
        <v/>
      </c>
      <c r="L226" s="35">
        <f>IF($B$3="",1E+9,IFERROR(SMALL('請求台帳'!$Z$5:$Z$1004,$J226+1),1E+9))</f>
        <v/>
      </c>
      <c r="M226" s="35">
        <f>IF($B$3="",1E+9,IFERROR(SMALL('入金消込'!$Q$5:$Q$1004,$K226+1),1E+9))</f>
        <v/>
      </c>
      <c r="N226" s="32">
        <f>IF(MIN($L226,$M226)&gt;=1E+9,"",IF($L226&lt;=$M226,"増","減"))</f>
        <v/>
      </c>
      <c r="O226" s="32">
        <f>IF($N226="","",IF($N226="増",MATCH($L226,'請求台帳'!$Z$5:$Z$1004,0),MATCH($M226,'入金消込'!$Q$5:$Q$1004,0)))</f>
        <v/>
      </c>
      <c r="P226" s="56" t="n"/>
      <c r="Q226" s="56" t="n"/>
    </row>
    <row r="227" ht="18" customHeight="1">
      <c r="A227" s="45">
        <f>IF($N227="","",IF($N227="増",INDEX('請求台帳'!$X$5:$X$1004,$O227),INDEX('入金消込'!$A$5:$A$1004,$O227)))</f>
        <v/>
      </c>
      <c r="B227" s="46">
        <f>IF($N227="","",IF($N227="増","売上","入金"))</f>
        <v/>
      </c>
      <c r="C227" s="46">
        <f>IF($N227="","",IF($N227="増",INDEX('請求台帳'!$A$5:$A$1004,$O227)&amp;"","入金No "&amp;INDEX('入金消込'!$B$5:$B$1004,$O227)))</f>
        <v/>
      </c>
      <c r="D227" s="47">
        <f>IF($N227="","",IF($N227="増",INDEX('請求台帳'!$F$5:$F$1004,$O227)&amp;"",IF(INDEX('入金消込'!$F$5:$F$1004,$O227)="","消込先が未定",INDEX('入金消込'!$F$5:$F$1004,$O227)&amp;" の入金")))</f>
        <v/>
      </c>
      <c r="E227" s="48">
        <f>IF($N227&lt;&gt;"増","",INDEX('請求台帳'!$L$5:$L$1004,$O227))</f>
        <v/>
      </c>
      <c r="F227" s="48">
        <f>IF($N227&lt;&gt;"減","",N(INDEX('入金消込'!$G$5:$G$1004,$O227)))</f>
        <v/>
      </c>
      <c r="G227" s="48">
        <f>IF($N227&lt;&gt;"減","",N(INDEX('入金消込'!$H$5:$H$1004,$O227))+N(INDEX('入金消込'!$I$5:$I$1004,$O227)))</f>
        <v/>
      </c>
      <c r="H227" s="49">
        <f>IF($N227="","",$H226+N($E227)-N($F227)-N($G227))</f>
        <v/>
      </c>
      <c r="I227" s="56" t="n"/>
      <c r="J227" s="32">
        <f>$J226+IF($N226="増",1,0)</f>
        <v/>
      </c>
      <c r="K227" s="32">
        <f>$K226+IF($N226="減",1,0)</f>
        <v/>
      </c>
      <c r="L227" s="35">
        <f>IF($B$3="",1E+9,IFERROR(SMALL('請求台帳'!$Z$5:$Z$1004,$J227+1),1E+9))</f>
        <v/>
      </c>
      <c r="M227" s="35">
        <f>IF($B$3="",1E+9,IFERROR(SMALL('入金消込'!$Q$5:$Q$1004,$K227+1),1E+9))</f>
        <v/>
      </c>
      <c r="N227" s="32">
        <f>IF(MIN($L227,$M227)&gt;=1E+9,"",IF($L227&lt;=$M227,"増","減"))</f>
        <v/>
      </c>
      <c r="O227" s="32">
        <f>IF($N227="","",IF($N227="増",MATCH($L227,'請求台帳'!$Z$5:$Z$1004,0),MATCH($M227,'入金消込'!$Q$5:$Q$1004,0)))</f>
        <v/>
      </c>
      <c r="P227" s="56" t="n"/>
      <c r="Q227" s="56" t="n"/>
    </row>
    <row r="228" ht="18" customHeight="1">
      <c r="A228" s="45">
        <f>IF($N228="","",IF($N228="増",INDEX('請求台帳'!$X$5:$X$1004,$O228),INDEX('入金消込'!$A$5:$A$1004,$O228)))</f>
        <v/>
      </c>
      <c r="B228" s="46">
        <f>IF($N228="","",IF($N228="増","売上","入金"))</f>
        <v/>
      </c>
      <c r="C228" s="46">
        <f>IF($N228="","",IF($N228="増",INDEX('請求台帳'!$A$5:$A$1004,$O228)&amp;"","入金No "&amp;INDEX('入金消込'!$B$5:$B$1004,$O228)))</f>
        <v/>
      </c>
      <c r="D228" s="47">
        <f>IF($N228="","",IF($N228="増",INDEX('請求台帳'!$F$5:$F$1004,$O228)&amp;"",IF(INDEX('入金消込'!$F$5:$F$1004,$O228)="","消込先が未定",INDEX('入金消込'!$F$5:$F$1004,$O228)&amp;" の入金")))</f>
        <v/>
      </c>
      <c r="E228" s="48">
        <f>IF($N228&lt;&gt;"増","",INDEX('請求台帳'!$L$5:$L$1004,$O228))</f>
        <v/>
      </c>
      <c r="F228" s="48">
        <f>IF($N228&lt;&gt;"減","",N(INDEX('入金消込'!$G$5:$G$1004,$O228)))</f>
        <v/>
      </c>
      <c r="G228" s="48">
        <f>IF($N228&lt;&gt;"減","",N(INDEX('入金消込'!$H$5:$H$1004,$O228))+N(INDEX('入金消込'!$I$5:$I$1004,$O228)))</f>
        <v/>
      </c>
      <c r="H228" s="49">
        <f>IF($N228="","",$H227+N($E228)-N($F228)-N($G228))</f>
        <v/>
      </c>
      <c r="I228" s="56" t="n"/>
      <c r="J228" s="32">
        <f>$J227+IF($N227="増",1,0)</f>
        <v/>
      </c>
      <c r="K228" s="32">
        <f>$K227+IF($N227="減",1,0)</f>
        <v/>
      </c>
      <c r="L228" s="35">
        <f>IF($B$3="",1E+9,IFERROR(SMALL('請求台帳'!$Z$5:$Z$1004,$J228+1),1E+9))</f>
        <v/>
      </c>
      <c r="M228" s="35">
        <f>IF($B$3="",1E+9,IFERROR(SMALL('入金消込'!$Q$5:$Q$1004,$K228+1),1E+9))</f>
        <v/>
      </c>
      <c r="N228" s="32">
        <f>IF(MIN($L228,$M228)&gt;=1E+9,"",IF($L228&lt;=$M228,"増","減"))</f>
        <v/>
      </c>
      <c r="O228" s="32">
        <f>IF($N228="","",IF($N228="増",MATCH($L228,'請求台帳'!$Z$5:$Z$1004,0),MATCH($M228,'入金消込'!$Q$5:$Q$1004,0)))</f>
        <v/>
      </c>
      <c r="P228" s="56" t="n"/>
      <c r="Q228" s="56" t="n"/>
    </row>
    <row r="229" ht="18" customHeight="1">
      <c r="A229" s="45">
        <f>IF($N229="","",IF($N229="増",INDEX('請求台帳'!$X$5:$X$1004,$O229),INDEX('入金消込'!$A$5:$A$1004,$O229)))</f>
        <v/>
      </c>
      <c r="B229" s="46">
        <f>IF($N229="","",IF($N229="増","売上","入金"))</f>
        <v/>
      </c>
      <c r="C229" s="46">
        <f>IF($N229="","",IF($N229="増",INDEX('請求台帳'!$A$5:$A$1004,$O229)&amp;"","入金No "&amp;INDEX('入金消込'!$B$5:$B$1004,$O229)))</f>
        <v/>
      </c>
      <c r="D229" s="47">
        <f>IF($N229="","",IF($N229="増",INDEX('請求台帳'!$F$5:$F$1004,$O229)&amp;"",IF(INDEX('入金消込'!$F$5:$F$1004,$O229)="","消込先が未定",INDEX('入金消込'!$F$5:$F$1004,$O229)&amp;" の入金")))</f>
        <v/>
      </c>
      <c r="E229" s="48">
        <f>IF($N229&lt;&gt;"増","",INDEX('請求台帳'!$L$5:$L$1004,$O229))</f>
        <v/>
      </c>
      <c r="F229" s="48">
        <f>IF($N229&lt;&gt;"減","",N(INDEX('入金消込'!$G$5:$G$1004,$O229)))</f>
        <v/>
      </c>
      <c r="G229" s="48">
        <f>IF($N229&lt;&gt;"減","",N(INDEX('入金消込'!$H$5:$H$1004,$O229))+N(INDEX('入金消込'!$I$5:$I$1004,$O229)))</f>
        <v/>
      </c>
      <c r="H229" s="49">
        <f>IF($N229="","",$H228+N($E229)-N($F229)-N($G229))</f>
        <v/>
      </c>
      <c r="I229" s="56" t="n"/>
      <c r="J229" s="32">
        <f>$J228+IF($N228="増",1,0)</f>
        <v/>
      </c>
      <c r="K229" s="32">
        <f>$K228+IF($N228="減",1,0)</f>
        <v/>
      </c>
      <c r="L229" s="35">
        <f>IF($B$3="",1E+9,IFERROR(SMALL('請求台帳'!$Z$5:$Z$1004,$J229+1),1E+9))</f>
        <v/>
      </c>
      <c r="M229" s="35">
        <f>IF($B$3="",1E+9,IFERROR(SMALL('入金消込'!$Q$5:$Q$1004,$K229+1),1E+9))</f>
        <v/>
      </c>
      <c r="N229" s="32">
        <f>IF(MIN($L229,$M229)&gt;=1E+9,"",IF($L229&lt;=$M229,"増","減"))</f>
        <v/>
      </c>
      <c r="O229" s="32">
        <f>IF($N229="","",IF($N229="増",MATCH($L229,'請求台帳'!$Z$5:$Z$1004,0),MATCH($M229,'入金消込'!$Q$5:$Q$1004,0)))</f>
        <v/>
      </c>
      <c r="P229" s="56" t="n"/>
      <c r="Q229" s="56" t="n"/>
    </row>
    <row r="230" ht="18" customHeight="1">
      <c r="A230" s="45">
        <f>IF($N230="","",IF($N230="増",INDEX('請求台帳'!$X$5:$X$1004,$O230),INDEX('入金消込'!$A$5:$A$1004,$O230)))</f>
        <v/>
      </c>
      <c r="B230" s="46">
        <f>IF($N230="","",IF($N230="増","売上","入金"))</f>
        <v/>
      </c>
      <c r="C230" s="46">
        <f>IF($N230="","",IF($N230="増",INDEX('請求台帳'!$A$5:$A$1004,$O230)&amp;"","入金No "&amp;INDEX('入金消込'!$B$5:$B$1004,$O230)))</f>
        <v/>
      </c>
      <c r="D230" s="47">
        <f>IF($N230="","",IF($N230="増",INDEX('請求台帳'!$F$5:$F$1004,$O230)&amp;"",IF(INDEX('入金消込'!$F$5:$F$1004,$O230)="","消込先が未定",INDEX('入金消込'!$F$5:$F$1004,$O230)&amp;" の入金")))</f>
        <v/>
      </c>
      <c r="E230" s="48">
        <f>IF($N230&lt;&gt;"増","",INDEX('請求台帳'!$L$5:$L$1004,$O230))</f>
        <v/>
      </c>
      <c r="F230" s="48">
        <f>IF($N230&lt;&gt;"減","",N(INDEX('入金消込'!$G$5:$G$1004,$O230)))</f>
        <v/>
      </c>
      <c r="G230" s="48">
        <f>IF($N230&lt;&gt;"減","",N(INDEX('入金消込'!$H$5:$H$1004,$O230))+N(INDEX('入金消込'!$I$5:$I$1004,$O230)))</f>
        <v/>
      </c>
      <c r="H230" s="49">
        <f>IF($N230="","",$H229+N($E230)-N($F230)-N($G230))</f>
        <v/>
      </c>
      <c r="I230" s="56" t="n"/>
      <c r="J230" s="32">
        <f>$J229+IF($N229="増",1,0)</f>
        <v/>
      </c>
      <c r="K230" s="32">
        <f>$K229+IF($N229="減",1,0)</f>
        <v/>
      </c>
      <c r="L230" s="35">
        <f>IF($B$3="",1E+9,IFERROR(SMALL('請求台帳'!$Z$5:$Z$1004,$J230+1),1E+9))</f>
        <v/>
      </c>
      <c r="M230" s="35">
        <f>IF($B$3="",1E+9,IFERROR(SMALL('入金消込'!$Q$5:$Q$1004,$K230+1),1E+9))</f>
        <v/>
      </c>
      <c r="N230" s="32">
        <f>IF(MIN($L230,$M230)&gt;=1E+9,"",IF($L230&lt;=$M230,"増","減"))</f>
        <v/>
      </c>
      <c r="O230" s="32">
        <f>IF($N230="","",IF($N230="増",MATCH($L230,'請求台帳'!$Z$5:$Z$1004,0),MATCH($M230,'入金消込'!$Q$5:$Q$1004,0)))</f>
        <v/>
      </c>
      <c r="P230" s="56" t="n"/>
      <c r="Q230" s="56" t="n"/>
    </row>
    <row r="231" ht="18" customHeight="1">
      <c r="A231" s="45">
        <f>IF($N231="","",IF($N231="増",INDEX('請求台帳'!$X$5:$X$1004,$O231),INDEX('入金消込'!$A$5:$A$1004,$O231)))</f>
        <v/>
      </c>
      <c r="B231" s="46">
        <f>IF($N231="","",IF($N231="増","売上","入金"))</f>
        <v/>
      </c>
      <c r="C231" s="46">
        <f>IF($N231="","",IF($N231="増",INDEX('請求台帳'!$A$5:$A$1004,$O231)&amp;"","入金No "&amp;INDEX('入金消込'!$B$5:$B$1004,$O231)))</f>
        <v/>
      </c>
      <c r="D231" s="47">
        <f>IF($N231="","",IF($N231="増",INDEX('請求台帳'!$F$5:$F$1004,$O231)&amp;"",IF(INDEX('入金消込'!$F$5:$F$1004,$O231)="","消込先が未定",INDEX('入金消込'!$F$5:$F$1004,$O231)&amp;" の入金")))</f>
        <v/>
      </c>
      <c r="E231" s="48">
        <f>IF($N231&lt;&gt;"増","",INDEX('請求台帳'!$L$5:$L$1004,$O231))</f>
        <v/>
      </c>
      <c r="F231" s="48">
        <f>IF($N231&lt;&gt;"減","",N(INDEX('入金消込'!$G$5:$G$1004,$O231)))</f>
        <v/>
      </c>
      <c r="G231" s="48">
        <f>IF($N231&lt;&gt;"減","",N(INDEX('入金消込'!$H$5:$H$1004,$O231))+N(INDEX('入金消込'!$I$5:$I$1004,$O231)))</f>
        <v/>
      </c>
      <c r="H231" s="49">
        <f>IF($N231="","",$H230+N($E231)-N($F231)-N($G231))</f>
        <v/>
      </c>
      <c r="I231" s="56" t="n"/>
      <c r="J231" s="32">
        <f>$J230+IF($N230="増",1,0)</f>
        <v/>
      </c>
      <c r="K231" s="32">
        <f>$K230+IF($N230="減",1,0)</f>
        <v/>
      </c>
      <c r="L231" s="35">
        <f>IF($B$3="",1E+9,IFERROR(SMALL('請求台帳'!$Z$5:$Z$1004,$J231+1),1E+9))</f>
        <v/>
      </c>
      <c r="M231" s="35">
        <f>IF($B$3="",1E+9,IFERROR(SMALL('入金消込'!$Q$5:$Q$1004,$K231+1),1E+9))</f>
        <v/>
      </c>
      <c r="N231" s="32">
        <f>IF(MIN($L231,$M231)&gt;=1E+9,"",IF($L231&lt;=$M231,"増","減"))</f>
        <v/>
      </c>
      <c r="O231" s="32">
        <f>IF($N231="","",IF($N231="増",MATCH($L231,'請求台帳'!$Z$5:$Z$1004,0),MATCH($M231,'入金消込'!$Q$5:$Q$1004,0)))</f>
        <v/>
      </c>
      <c r="P231" s="56" t="n"/>
      <c r="Q231" s="56" t="n"/>
    </row>
    <row r="232" ht="18" customHeight="1">
      <c r="A232" s="45">
        <f>IF($N232="","",IF($N232="増",INDEX('請求台帳'!$X$5:$X$1004,$O232),INDEX('入金消込'!$A$5:$A$1004,$O232)))</f>
        <v/>
      </c>
      <c r="B232" s="46">
        <f>IF($N232="","",IF($N232="増","売上","入金"))</f>
        <v/>
      </c>
      <c r="C232" s="46">
        <f>IF($N232="","",IF($N232="増",INDEX('請求台帳'!$A$5:$A$1004,$O232)&amp;"","入金No "&amp;INDEX('入金消込'!$B$5:$B$1004,$O232)))</f>
        <v/>
      </c>
      <c r="D232" s="47">
        <f>IF($N232="","",IF($N232="増",INDEX('請求台帳'!$F$5:$F$1004,$O232)&amp;"",IF(INDEX('入金消込'!$F$5:$F$1004,$O232)="","消込先が未定",INDEX('入金消込'!$F$5:$F$1004,$O232)&amp;" の入金")))</f>
        <v/>
      </c>
      <c r="E232" s="48">
        <f>IF($N232&lt;&gt;"増","",INDEX('請求台帳'!$L$5:$L$1004,$O232))</f>
        <v/>
      </c>
      <c r="F232" s="48">
        <f>IF($N232&lt;&gt;"減","",N(INDEX('入金消込'!$G$5:$G$1004,$O232)))</f>
        <v/>
      </c>
      <c r="G232" s="48">
        <f>IF($N232&lt;&gt;"減","",N(INDEX('入金消込'!$H$5:$H$1004,$O232))+N(INDEX('入金消込'!$I$5:$I$1004,$O232)))</f>
        <v/>
      </c>
      <c r="H232" s="49">
        <f>IF($N232="","",$H231+N($E232)-N($F232)-N($G232))</f>
        <v/>
      </c>
      <c r="I232" s="56" t="n"/>
      <c r="J232" s="32">
        <f>$J231+IF($N231="増",1,0)</f>
        <v/>
      </c>
      <c r="K232" s="32">
        <f>$K231+IF($N231="減",1,0)</f>
        <v/>
      </c>
      <c r="L232" s="35">
        <f>IF($B$3="",1E+9,IFERROR(SMALL('請求台帳'!$Z$5:$Z$1004,$J232+1),1E+9))</f>
        <v/>
      </c>
      <c r="M232" s="35">
        <f>IF($B$3="",1E+9,IFERROR(SMALL('入金消込'!$Q$5:$Q$1004,$K232+1),1E+9))</f>
        <v/>
      </c>
      <c r="N232" s="32">
        <f>IF(MIN($L232,$M232)&gt;=1E+9,"",IF($L232&lt;=$M232,"増","減"))</f>
        <v/>
      </c>
      <c r="O232" s="32">
        <f>IF($N232="","",IF($N232="増",MATCH($L232,'請求台帳'!$Z$5:$Z$1004,0),MATCH($M232,'入金消込'!$Q$5:$Q$1004,0)))</f>
        <v/>
      </c>
      <c r="P232" s="56" t="n"/>
      <c r="Q232" s="56" t="n"/>
    </row>
    <row r="233" ht="18" customHeight="1">
      <c r="A233" s="45">
        <f>IF($N233="","",IF($N233="増",INDEX('請求台帳'!$X$5:$X$1004,$O233),INDEX('入金消込'!$A$5:$A$1004,$O233)))</f>
        <v/>
      </c>
      <c r="B233" s="46">
        <f>IF($N233="","",IF($N233="増","売上","入金"))</f>
        <v/>
      </c>
      <c r="C233" s="46">
        <f>IF($N233="","",IF($N233="増",INDEX('請求台帳'!$A$5:$A$1004,$O233)&amp;"","入金No "&amp;INDEX('入金消込'!$B$5:$B$1004,$O233)))</f>
        <v/>
      </c>
      <c r="D233" s="47">
        <f>IF($N233="","",IF($N233="増",INDEX('請求台帳'!$F$5:$F$1004,$O233)&amp;"",IF(INDEX('入金消込'!$F$5:$F$1004,$O233)="","消込先が未定",INDEX('入金消込'!$F$5:$F$1004,$O233)&amp;" の入金")))</f>
        <v/>
      </c>
      <c r="E233" s="48">
        <f>IF($N233&lt;&gt;"増","",INDEX('請求台帳'!$L$5:$L$1004,$O233))</f>
        <v/>
      </c>
      <c r="F233" s="48">
        <f>IF($N233&lt;&gt;"減","",N(INDEX('入金消込'!$G$5:$G$1004,$O233)))</f>
        <v/>
      </c>
      <c r="G233" s="48">
        <f>IF($N233&lt;&gt;"減","",N(INDEX('入金消込'!$H$5:$H$1004,$O233))+N(INDEX('入金消込'!$I$5:$I$1004,$O233)))</f>
        <v/>
      </c>
      <c r="H233" s="49">
        <f>IF($N233="","",$H232+N($E233)-N($F233)-N($G233))</f>
        <v/>
      </c>
      <c r="I233" s="56" t="n"/>
      <c r="J233" s="32">
        <f>$J232+IF($N232="増",1,0)</f>
        <v/>
      </c>
      <c r="K233" s="32">
        <f>$K232+IF($N232="減",1,0)</f>
        <v/>
      </c>
      <c r="L233" s="35">
        <f>IF($B$3="",1E+9,IFERROR(SMALL('請求台帳'!$Z$5:$Z$1004,$J233+1),1E+9))</f>
        <v/>
      </c>
      <c r="M233" s="35">
        <f>IF($B$3="",1E+9,IFERROR(SMALL('入金消込'!$Q$5:$Q$1004,$K233+1),1E+9))</f>
        <v/>
      </c>
      <c r="N233" s="32">
        <f>IF(MIN($L233,$M233)&gt;=1E+9,"",IF($L233&lt;=$M233,"増","減"))</f>
        <v/>
      </c>
      <c r="O233" s="32">
        <f>IF($N233="","",IF($N233="増",MATCH($L233,'請求台帳'!$Z$5:$Z$1004,0),MATCH($M233,'入金消込'!$Q$5:$Q$1004,0)))</f>
        <v/>
      </c>
      <c r="P233" s="56" t="n"/>
      <c r="Q233" s="56" t="n"/>
    </row>
    <row r="234" ht="18" customHeight="1">
      <c r="A234" s="45">
        <f>IF($N234="","",IF($N234="増",INDEX('請求台帳'!$X$5:$X$1004,$O234),INDEX('入金消込'!$A$5:$A$1004,$O234)))</f>
        <v/>
      </c>
      <c r="B234" s="46">
        <f>IF($N234="","",IF($N234="増","売上","入金"))</f>
        <v/>
      </c>
      <c r="C234" s="46">
        <f>IF($N234="","",IF($N234="増",INDEX('請求台帳'!$A$5:$A$1004,$O234)&amp;"","入金No "&amp;INDEX('入金消込'!$B$5:$B$1004,$O234)))</f>
        <v/>
      </c>
      <c r="D234" s="47">
        <f>IF($N234="","",IF($N234="増",INDEX('請求台帳'!$F$5:$F$1004,$O234)&amp;"",IF(INDEX('入金消込'!$F$5:$F$1004,$O234)="","消込先が未定",INDEX('入金消込'!$F$5:$F$1004,$O234)&amp;" の入金")))</f>
        <v/>
      </c>
      <c r="E234" s="48">
        <f>IF($N234&lt;&gt;"増","",INDEX('請求台帳'!$L$5:$L$1004,$O234))</f>
        <v/>
      </c>
      <c r="F234" s="48">
        <f>IF($N234&lt;&gt;"減","",N(INDEX('入金消込'!$G$5:$G$1004,$O234)))</f>
        <v/>
      </c>
      <c r="G234" s="48">
        <f>IF($N234&lt;&gt;"減","",N(INDEX('入金消込'!$H$5:$H$1004,$O234))+N(INDEX('入金消込'!$I$5:$I$1004,$O234)))</f>
        <v/>
      </c>
      <c r="H234" s="49">
        <f>IF($N234="","",$H233+N($E234)-N($F234)-N($G234))</f>
        <v/>
      </c>
      <c r="I234" s="56" t="n"/>
      <c r="J234" s="32">
        <f>$J233+IF($N233="増",1,0)</f>
        <v/>
      </c>
      <c r="K234" s="32">
        <f>$K233+IF($N233="減",1,0)</f>
        <v/>
      </c>
      <c r="L234" s="35">
        <f>IF($B$3="",1E+9,IFERROR(SMALL('請求台帳'!$Z$5:$Z$1004,$J234+1),1E+9))</f>
        <v/>
      </c>
      <c r="M234" s="35">
        <f>IF($B$3="",1E+9,IFERROR(SMALL('入金消込'!$Q$5:$Q$1004,$K234+1),1E+9))</f>
        <v/>
      </c>
      <c r="N234" s="32">
        <f>IF(MIN($L234,$M234)&gt;=1E+9,"",IF($L234&lt;=$M234,"増","減"))</f>
        <v/>
      </c>
      <c r="O234" s="32">
        <f>IF($N234="","",IF($N234="増",MATCH($L234,'請求台帳'!$Z$5:$Z$1004,0),MATCH($M234,'入金消込'!$Q$5:$Q$1004,0)))</f>
        <v/>
      </c>
      <c r="P234" s="56" t="n"/>
      <c r="Q234" s="56" t="n"/>
    </row>
    <row r="235" ht="18" customHeight="1">
      <c r="A235" s="45">
        <f>IF($N235="","",IF($N235="増",INDEX('請求台帳'!$X$5:$X$1004,$O235),INDEX('入金消込'!$A$5:$A$1004,$O235)))</f>
        <v/>
      </c>
      <c r="B235" s="46">
        <f>IF($N235="","",IF($N235="増","売上","入金"))</f>
        <v/>
      </c>
      <c r="C235" s="46">
        <f>IF($N235="","",IF($N235="増",INDEX('請求台帳'!$A$5:$A$1004,$O235)&amp;"","入金No "&amp;INDEX('入金消込'!$B$5:$B$1004,$O235)))</f>
        <v/>
      </c>
      <c r="D235" s="47">
        <f>IF($N235="","",IF($N235="増",INDEX('請求台帳'!$F$5:$F$1004,$O235)&amp;"",IF(INDEX('入金消込'!$F$5:$F$1004,$O235)="","消込先が未定",INDEX('入金消込'!$F$5:$F$1004,$O235)&amp;" の入金")))</f>
        <v/>
      </c>
      <c r="E235" s="48">
        <f>IF($N235&lt;&gt;"増","",INDEX('請求台帳'!$L$5:$L$1004,$O235))</f>
        <v/>
      </c>
      <c r="F235" s="48">
        <f>IF($N235&lt;&gt;"減","",N(INDEX('入金消込'!$G$5:$G$1004,$O235)))</f>
        <v/>
      </c>
      <c r="G235" s="48">
        <f>IF($N235&lt;&gt;"減","",N(INDEX('入金消込'!$H$5:$H$1004,$O235))+N(INDEX('入金消込'!$I$5:$I$1004,$O235)))</f>
        <v/>
      </c>
      <c r="H235" s="49">
        <f>IF($N235="","",$H234+N($E235)-N($F235)-N($G235))</f>
        <v/>
      </c>
      <c r="I235" s="56" t="n"/>
      <c r="J235" s="32">
        <f>$J234+IF($N234="増",1,0)</f>
        <v/>
      </c>
      <c r="K235" s="32">
        <f>$K234+IF($N234="減",1,0)</f>
        <v/>
      </c>
      <c r="L235" s="35">
        <f>IF($B$3="",1E+9,IFERROR(SMALL('請求台帳'!$Z$5:$Z$1004,$J235+1),1E+9))</f>
        <v/>
      </c>
      <c r="M235" s="35">
        <f>IF($B$3="",1E+9,IFERROR(SMALL('入金消込'!$Q$5:$Q$1004,$K235+1),1E+9))</f>
        <v/>
      </c>
      <c r="N235" s="32">
        <f>IF(MIN($L235,$M235)&gt;=1E+9,"",IF($L235&lt;=$M235,"増","減"))</f>
        <v/>
      </c>
      <c r="O235" s="32">
        <f>IF($N235="","",IF($N235="増",MATCH($L235,'請求台帳'!$Z$5:$Z$1004,0),MATCH($M235,'入金消込'!$Q$5:$Q$1004,0)))</f>
        <v/>
      </c>
      <c r="P235" s="56" t="n"/>
      <c r="Q235" s="56" t="n"/>
    </row>
    <row r="236" ht="18" customHeight="1">
      <c r="A236" s="45">
        <f>IF($N236="","",IF($N236="増",INDEX('請求台帳'!$X$5:$X$1004,$O236),INDEX('入金消込'!$A$5:$A$1004,$O236)))</f>
        <v/>
      </c>
      <c r="B236" s="46">
        <f>IF($N236="","",IF($N236="増","売上","入金"))</f>
        <v/>
      </c>
      <c r="C236" s="46">
        <f>IF($N236="","",IF($N236="増",INDEX('請求台帳'!$A$5:$A$1004,$O236)&amp;"","入金No "&amp;INDEX('入金消込'!$B$5:$B$1004,$O236)))</f>
        <v/>
      </c>
      <c r="D236" s="47">
        <f>IF($N236="","",IF($N236="増",INDEX('請求台帳'!$F$5:$F$1004,$O236)&amp;"",IF(INDEX('入金消込'!$F$5:$F$1004,$O236)="","消込先が未定",INDEX('入金消込'!$F$5:$F$1004,$O236)&amp;" の入金")))</f>
        <v/>
      </c>
      <c r="E236" s="48">
        <f>IF($N236&lt;&gt;"増","",INDEX('請求台帳'!$L$5:$L$1004,$O236))</f>
        <v/>
      </c>
      <c r="F236" s="48">
        <f>IF($N236&lt;&gt;"減","",N(INDEX('入金消込'!$G$5:$G$1004,$O236)))</f>
        <v/>
      </c>
      <c r="G236" s="48">
        <f>IF($N236&lt;&gt;"減","",N(INDEX('入金消込'!$H$5:$H$1004,$O236))+N(INDEX('入金消込'!$I$5:$I$1004,$O236)))</f>
        <v/>
      </c>
      <c r="H236" s="49">
        <f>IF($N236="","",$H235+N($E236)-N($F236)-N($G236))</f>
        <v/>
      </c>
      <c r="I236" s="56" t="n"/>
      <c r="J236" s="32">
        <f>$J235+IF($N235="増",1,0)</f>
        <v/>
      </c>
      <c r="K236" s="32">
        <f>$K235+IF($N235="減",1,0)</f>
        <v/>
      </c>
      <c r="L236" s="35">
        <f>IF($B$3="",1E+9,IFERROR(SMALL('請求台帳'!$Z$5:$Z$1004,$J236+1),1E+9))</f>
        <v/>
      </c>
      <c r="M236" s="35">
        <f>IF($B$3="",1E+9,IFERROR(SMALL('入金消込'!$Q$5:$Q$1004,$K236+1),1E+9))</f>
        <v/>
      </c>
      <c r="N236" s="32">
        <f>IF(MIN($L236,$M236)&gt;=1E+9,"",IF($L236&lt;=$M236,"増","減"))</f>
        <v/>
      </c>
      <c r="O236" s="32">
        <f>IF($N236="","",IF($N236="増",MATCH($L236,'請求台帳'!$Z$5:$Z$1004,0),MATCH($M236,'入金消込'!$Q$5:$Q$1004,0)))</f>
        <v/>
      </c>
      <c r="P236" s="56" t="n"/>
      <c r="Q236" s="56" t="n"/>
    </row>
    <row r="237" ht="18" customHeight="1">
      <c r="A237" s="45">
        <f>IF($N237="","",IF($N237="増",INDEX('請求台帳'!$X$5:$X$1004,$O237),INDEX('入金消込'!$A$5:$A$1004,$O237)))</f>
        <v/>
      </c>
      <c r="B237" s="46">
        <f>IF($N237="","",IF($N237="増","売上","入金"))</f>
        <v/>
      </c>
      <c r="C237" s="46">
        <f>IF($N237="","",IF($N237="増",INDEX('請求台帳'!$A$5:$A$1004,$O237)&amp;"","入金No "&amp;INDEX('入金消込'!$B$5:$B$1004,$O237)))</f>
        <v/>
      </c>
      <c r="D237" s="47">
        <f>IF($N237="","",IF($N237="増",INDEX('請求台帳'!$F$5:$F$1004,$O237)&amp;"",IF(INDEX('入金消込'!$F$5:$F$1004,$O237)="","消込先が未定",INDEX('入金消込'!$F$5:$F$1004,$O237)&amp;" の入金")))</f>
        <v/>
      </c>
      <c r="E237" s="48">
        <f>IF($N237&lt;&gt;"増","",INDEX('請求台帳'!$L$5:$L$1004,$O237))</f>
        <v/>
      </c>
      <c r="F237" s="48">
        <f>IF($N237&lt;&gt;"減","",N(INDEX('入金消込'!$G$5:$G$1004,$O237)))</f>
        <v/>
      </c>
      <c r="G237" s="48">
        <f>IF($N237&lt;&gt;"減","",N(INDEX('入金消込'!$H$5:$H$1004,$O237))+N(INDEX('入金消込'!$I$5:$I$1004,$O237)))</f>
        <v/>
      </c>
      <c r="H237" s="49">
        <f>IF($N237="","",$H236+N($E237)-N($F237)-N($G237))</f>
        <v/>
      </c>
      <c r="I237" s="56" t="n"/>
      <c r="J237" s="32">
        <f>$J236+IF($N236="増",1,0)</f>
        <v/>
      </c>
      <c r="K237" s="32">
        <f>$K236+IF($N236="減",1,0)</f>
        <v/>
      </c>
      <c r="L237" s="35">
        <f>IF($B$3="",1E+9,IFERROR(SMALL('請求台帳'!$Z$5:$Z$1004,$J237+1),1E+9))</f>
        <v/>
      </c>
      <c r="M237" s="35">
        <f>IF($B$3="",1E+9,IFERROR(SMALL('入金消込'!$Q$5:$Q$1004,$K237+1),1E+9))</f>
        <v/>
      </c>
      <c r="N237" s="32">
        <f>IF(MIN($L237,$M237)&gt;=1E+9,"",IF($L237&lt;=$M237,"増","減"))</f>
        <v/>
      </c>
      <c r="O237" s="32">
        <f>IF($N237="","",IF($N237="増",MATCH($L237,'請求台帳'!$Z$5:$Z$1004,0),MATCH($M237,'入金消込'!$Q$5:$Q$1004,0)))</f>
        <v/>
      </c>
      <c r="P237" s="56" t="n"/>
      <c r="Q237" s="56" t="n"/>
    </row>
    <row r="238" ht="18" customHeight="1">
      <c r="A238" s="45">
        <f>IF($N238="","",IF($N238="増",INDEX('請求台帳'!$X$5:$X$1004,$O238),INDEX('入金消込'!$A$5:$A$1004,$O238)))</f>
        <v/>
      </c>
      <c r="B238" s="46">
        <f>IF($N238="","",IF($N238="増","売上","入金"))</f>
        <v/>
      </c>
      <c r="C238" s="46">
        <f>IF($N238="","",IF($N238="増",INDEX('請求台帳'!$A$5:$A$1004,$O238)&amp;"","入金No "&amp;INDEX('入金消込'!$B$5:$B$1004,$O238)))</f>
        <v/>
      </c>
      <c r="D238" s="47">
        <f>IF($N238="","",IF($N238="増",INDEX('請求台帳'!$F$5:$F$1004,$O238)&amp;"",IF(INDEX('入金消込'!$F$5:$F$1004,$O238)="","消込先が未定",INDEX('入金消込'!$F$5:$F$1004,$O238)&amp;" の入金")))</f>
        <v/>
      </c>
      <c r="E238" s="48">
        <f>IF($N238&lt;&gt;"増","",INDEX('請求台帳'!$L$5:$L$1004,$O238))</f>
        <v/>
      </c>
      <c r="F238" s="48">
        <f>IF($N238&lt;&gt;"減","",N(INDEX('入金消込'!$G$5:$G$1004,$O238)))</f>
        <v/>
      </c>
      <c r="G238" s="48">
        <f>IF($N238&lt;&gt;"減","",N(INDEX('入金消込'!$H$5:$H$1004,$O238))+N(INDEX('入金消込'!$I$5:$I$1004,$O238)))</f>
        <v/>
      </c>
      <c r="H238" s="49">
        <f>IF($N238="","",$H237+N($E238)-N($F238)-N($G238))</f>
        <v/>
      </c>
      <c r="I238" s="56" t="n"/>
      <c r="J238" s="32">
        <f>$J237+IF($N237="増",1,0)</f>
        <v/>
      </c>
      <c r="K238" s="32">
        <f>$K237+IF($N237="減",1,0)</f>
        <v/>
      </c>
      <c r="L238" s="35">
        <f>IF($B$3="",1E+9,IFERROR(SMALL('請求台帳'!$Z$5:$Z$1004,$J238+1),1E+9))</f>
        <v/>
      </c>
      <c r="M238" s="35">
        <f>IF($B$3="",1E+9,IFERROR(SMALL('入金消込'!$Q$5:$Q$1004,$K238+1),1E+9))</f>
        <v/>
      </c>
      <c r="N238" s="32">
        <f>IF(MIN($L238,$M238)&gt;=1E+9,"",IF($L238&lt;=$M238,"増","減"))</f>
        <v/>
      </c>
      <c r="O238" s="32">
        <f>IF($N238="","",IF($N238="増",MATCH($L238,'請求台帳'!$Z$5:$Z$1004,0),MATCH($M238,'入金消込'!$Q$5:$Q$1004,0)))</f>
        <v/>
      </c>
      <c r="P238" s="56" t="n"/>
      <c r="Q238" s="56" t="n"/>
    </row>
    <row r="239" ht="18" customHeight="1">
      <c r="A239" s="45">
        <f>IF($N239="","",IF($N239="増",INDEX('請求台帳'!$X$5:$X$1004,$O239),INDEX('入金消込'!$A$5:$A$1004,$O239)))</f>
        <v/>
      </c>
      <c r="B239" s="46">
        <f>IF($N239="","",IF($N239="増","売上","入金"))</f>
        <v/>
      </c>
      <c r="C239" s="46">
        <f>IF($N239="","",IF($N239="増",INDEX('請求台帳'!$A$5:$A$1004,$O239)&amp;"","入金No "&amp;INDEX('入金消込'!$B$5:$B$1004,$O239)))</f>
        <v/>
      </c>
      <c r="D239" s="47">
        <f>IF($N239="","",IF($N239="増",INDEX('請求台帳'!$F$5:$F$1004,$O239)&amp;"",IF(INDEX('入金消込'!$F$5:$F$1004,$O239)="","消込先が未定",INDEX('入金消込'!$F$5:$F$1004,$O239)&amp;" の入金")))</f>
        <v/>
      </c>
      <c r="E239" s="48">
        <f>IF($N239&lt;&gt;"増","",INDEX('請求台帳'!$L$5:$L$1004,$O239))</f>
        <v/>
      </c>
      <c r="F239" s="48">
        <f>IF($N239&lt;&gt;"減","",N(INDEX('入金消込'!$G$5:$G$1004,$O239)))</f>
        <v/>
      </c>
      <c r="G239" s="48">
        <f>IF($N239&lt;&gt;"減","",N(INDEX('入金消込'!$H$5:$H$1004,$O239))+N(INDEX('入金消込'!$I$5:$I$1004,$O239)))</f>
        <v/>
      </c>
      <c r="H239" s="49">
        <f>IF($N239="","",$H238+N($E239)-N($F239)-N($G239))</f>
        <v/>
      </c>
      <c r="I239" s="56" t="n"/>
      <c r="J239" s="32">
        <f>$J238+IF($N238="増",1,0)</f>
        <v/>
      </c>
      <c r="K239" s="32">
        <f>$K238+IF($N238="減",1,0)</f>
        <v/>
      </c>
      <c r="L239" s="35">
        <f>IF($B$3="",1E+9,IFERROR(SMALL('請求台帳'!$Z$5:$Z$1004,$J239+1),1E+9))</f>
        <v/>
      </c>
      <c r="M239" s="35">
        <f>IF($B$3="",1E+9,IFERROR(SMALL('入金消込'!$Q$5:$Q$1004,$K239+1),1E+9))</f>
        <v/>
      </c>
      <c r="N239" s="32">
        <f>IF(MIN($L239,$M239)&gt;=1E+9,"",IF($L239&lt;=$M239,"増","減"))</f>
        <v/>
      </c>
      <c r="O239" s="32">
        <f>IF($N239="","",IF($N239="増",MATCH($L239,'請求台帳'!$Z$5:$Z$1004,0),MATCH($M239,'入金消込'!$Q$5:$Q$1004,0)))</f>
        <v/>
      </c>
      <c r="P239" s="56" t="n"/>
      <c r="Q239" s="56" t="n"/>
    </row>
    <row r="240" ht="18" customHeight="1">
      <c r="A240" s="45">
        <f>IF($N240="","",IF($N240="増",INDEX('請求台帳'!$X$5:$X$1004,$O240),INDEX('入金消込'!$A$5:$A$1004,$O240)))</f>
        <v/>
      </c>
      <c r="B240" s="46">
        <f>IF($N240="","",IF($N240="増","売上","入金"))</f>
        <v/>
      </c>
      <c r="C240" s="46">
        <f>IF($N240="","",IF($N240="増",INDEX('請求台帳'!$A$5:$A$1004,$O240)&amp;"","入金No "&amp;INDEX('入金消込'!$B$5:$B$1004,$O240)))</f>
        <v/>
      </c>
      <c r="D240" s="47">
        <f>IF($N240="","",IF($N240="増",INDEX('請求台帳'!$F$5:$F$1004,$O240)&amp;"",IF(INDEX('入金消込'!$F$5:$F$1004,$O240)="","消込先が未定",INDEX('入金消込'!$F$5:$F$1004,$O240)&amp;" の入金")))</f>
        <v/>
      </c>
      <c r="E240" s="48">
        <f>IF($N240&lt;&gt;"増","",INDEX('請求台帳'!$L$5:$L$1004,$O240))</f>
        <v/>
      </c>
      <c r="F240" s="48">
        <f>IF($N240&lt;&gt;"減","",N(INDEX('入金消込'!$G$5:$G$1004,$O240)))</f>
        <v/>
      </c>
      <c r="G240" s="48">
        <f>IF($N240&lt;&gt;"減","",N(INDEX('入金消込'!$H$5:$H$1004,$O240))+N(INDEX('入金消込'!$I$5:$I$1004,$O240)))</f>
        <v/>
      </c>
      <c r="H240" s="49">
        <f>IF($N240="","",$H239+N($E240)-N($F240)-N($G240))</f>
        <v/>
      </c>
      <c r="I240" s="56" t="n"/>
      <c r="J240" s="32">
        <f>$J239+IF($N239="増",1,0)</f>
        <v/>
      </c>
      <c r="K240" s="32">
        <f>$K239+IF($N239="減",1,0)</f>
        <v/>
      </c>
      <c r="L240" s="35">
        <f>IF($B$3="",1E+9,IFERROR(SMALL('請求台帳'!$Z$5:$Z$1004,$J240+1),1E+9))</f>
        <v/>
      </c>
      <c r="M240" s="35">
        <f>IF($B$3="",1E+9,IFERROR(SMALL('入金消込'!$Q$5:$Q$1004,$K240+1),1E+9))</f>
        <v/>
      </c>
      <c r="N240" s="32">
        <f>IF(MIN($L240,$M240)&gt;=1E+9,"",IF($L240&lt;=$M240,"増","減"))</f>
        <v/>
      </c>
      <c r="O240" s="32">
        <f>IF($N240="","",IF($N240="増",MATCH($L240,'請求台帳'!$Z$5:$Z$1004,0),MATCH($M240,'入金消込'!$Q$5:$Q$1004,0)))</f>
        <v/>
      </c>
      <c r="P240" s="56" t="n"/>
      <c r="Q240" s="56" t="n"/>
    </row>
    <row r="241" ht="18" customHeight="1">
      <c r="A241" s="45">
        <f>IF($N241="","",IF($N241="増",INDEX('請求台帳'!$X$5:$X$1004,$O241),INDEX('入金消込'!$A$5:$A$1004,$O241)))</f>
        <v/>
      </c>
      <c r="B241" s="46">
        <f>IF($N241="","",IF($N241="増","売上","入金"))</f>
        <v/>
      </c>
      <c r="C241" s="46">
        <f>IF($N241="","",IF($N241="増",INDEX('請求台帳'!$A$5:$A$1004,$O241)&amp;"","入金No "&amp;INDEX('入金消込'!$B$5:$B$1004,$O241)))</f>
        <v/>
      </c>
      <c r="D241" s="47">
        <f>IF($N241="","",IF($N241="増",INDEX('請求台帳'!$F$5:$F$1004,$O241)&amp;"",IF(INDEX('入金消込'!$F$5:$F$1004,$O241)="","消込先が未定",INDEX('入金消込'!$F$5:$F$1004,$O241)&amp;" の入金")))</f>
        <v/>
      </c>
      <c r="E241" s="48">
        <f>IF($N241&lt;&gt;"増","",INDEX('請求台帳'!$L$5:$L$1004,$O241))</f>
        <v/>
      </c>
      <c r="F241" s="48">
        <f>IF($N241&lt;&gt;"減","",N(INDEX('入金消込'!$G$5:$G$1004,$O241)))</f>
        <v/>
      </c>
      <c r="G241" s="48">
        <f>IF($N241&lt;&gt;"減","",N(INDEX('入金消込'!$H$5:$H$1004,$O241))+N(INDEX('入金消込'!$I$5:$I$1004,$O241)))</f>
        <v/>
      </c>
      <c r="H241" s="49">
        <f>IF($N241="","",$H240+N($E241)-N($F241)-N($G241))</f>
        <v/>
      </c>
      <c r="I241" s="56" t="n"/>
      <c r="J241" s="32">
        <f>$J240+IF($N240="増",1,0)</f>
        <v/>
      </c>
      <c r="K241" s="32">
        <f>$K240+IF($N240="減",1,0)</f>
        <v/>
      </c>
      <c r="L241" s="35">
        <f>IF($B$3="",1E+9,IFERROR(SMALL('請求台帳'!$Z$5:$Z$1004,$J241+1),1E+9))</f>
        <v/>
      </c>
      <c r="M241" s="35">
        <f>IF($B$3="",1E+9,IFERROR(SMALL('入金消込'!$Q$5:$Q$1004,$K241+1),1E+9))</f>
        <v/>
      </c>
      <c r="N241" s="32">
        <f>IF(MIN($L241,$M241)&gt;=1E+9,"",IF($L241&lt;=$M241,"増","減"))</f>
        <v/>
      </c>
      <c r="O241" s="32">
        <f>IF($N241="","",IF($N241="増",MATCH($L241,'請求台帳'!$Z$5:$Z$1004,0),MATCH($M241,'入金消込'!$Q$5:$Q$1004,0)))</f>
        <v/>
      </c>
      <c r="P241" s="56" t="n"/>
      <c r="Q241" s="56" t="n"/>
    </row>
    <row r="242" ht="18" customHeight="1">
      <c r="A242" s="45">
        <f>IF($N242="","",IF($N242="増",INDEX('請求台帳'!$X$5:$X$1004,$O242),INDEX('入金消込'!$A$5:$A$1004,$O242)))</f>
        <v/>
      </c>
      <c r="B242" s="46">
        <f>IF($N242="","",IF($N242="増","売上","入金"))</f>
        <v/>
      </c>
      <c r="C242" s="46">
        <f>IF($N242="","",IF($N242="増",INDEX('請求台帳'!$A$5:$A$1004,$O242)&amp;"","入金No "&amp;INDEX('入金消込'!$B$5:$B$1004,$O242)))</f>
        <v/>
      </c>
      <c r="D242" s="47">
        <f>IF($N242="","",IF($N242="増",INDEX('請求台帳'!$F$5:$F$1004,$O242)&amp;"",IF(INDEX('入金消込'!$F$5:$F$1004,$O242)="","消込先が未定",INDEX('入金消込'!$F$5:$F$1004,$O242)&amp;" の入金")))</f>
        <v/>
      </c>
      <c r="E242" s="48">
        <f>IF($N242&lt;&gt;"増","",INDEX('請求台帳'!$L$5:$L$1004,$O242))</f>
        <v/>
      </c>
      <c r="F242" s="48">
        <f>IF($N242&lt;&gt;"減","",N(INDEX('入金消込'!$G$5:$G$1004,$O242)))</f>
        <v/>
      </c>
      <c r="G242" s="48">
        <f>IF($N242&lt;&gt;"減","",N(INDEX('入金消込'!$H$5:$H$1004,$O242))+N(INDEX('入金消込'!$I$5:$I$1004,$O242)))</f>
        <v/>
      </c>
      <c r="H242" s="49">
        <f>IF($N242="","",$H241+N($E242)-N($F242)-N($G242))</f>
        <v/>
      </c>
      <c r="I242" s="56" t="n"/>
      <c r="J242" s="32">
        <f>$J241+IF($N241="増",1,0)</f>
        <v/>
      </c>
      <c r="K242" s="32">
        <f>$K241+IF($N241="減",1,0)</f>
        <v/>
      </c>
      <c r="L242" s="35">
        <f>IF($B$3="",1E+9,IFERROR(SMALL('請求台帳'!$Z$5:$Z$1004,$J242+1),1E+9))</f>
        <v/>
      </c>
      <c r="M242" s="35">
        <f>IF($B$3="",1E+9,IFERROR(SMALL('入金消込'!$Q$5:$Q$1004,$K242+1),1E+9))</f>
        <v/>
      </c>
      <c r="N242" s="32">
        <f>IF(MIN($L242,$M242)&gt;=1E+9,"",IF($L242&lt;=$M242,"増","減"))</f>
        <v/>
      </c>
      <c r="O242" s="32">
        <f>IF($N242="","",IF($N242="増",MATCH($L242,'請求台帳'!$Z$5:$Z$1004,0),MATCH($M242,'入金消込'!$Q$5:$Q$1004,0)))</f>
        <v/>
      </c>
      <c r="P242" s="56" t="n"/>
      <c r="Q242" s="56" t="n"/>
    </row>
    <row r="243" ht="18" customHeight="1">
      <c r="A243" s="45">
        <f>IF($N243="","",IF($N243="増",INDEX('請求台帳'!$X$5:$X$1004,$O243),INDEX('入金消込'!$A$5:$A$1004,$O243)))</f>
        <v/>
      </c>
      <c r="B243" s="46">
        <f>IF($N243="","",IF($N243="増","売上","入金"))</f>
        <v/>
      </c>
      <c r="C243" s="46">
        <f>IF($N243="","",IF($N243="増",INDEX('請求台帳'!$A$5:$A$1004,$O243)&amp;"","入金No "&amp;INDEX('入金消込'!$B$5:$B$1004,$O243)))</f>
        <v/>
      </c>
      <c r="D243" s="47">
        <f>IF($N243="","",IF($N243="増",INDEX('請求台帳'!$F$5:$F$1004,$O243)&amp;"",IF(INDEX('入金消込'!$F$5:$F$1004,$O243)="","消込先が未定",INDEX('入金消込'!$F$5:$F$1004,$O243)&amp;" の入金")))</f>
        <v/>
      </c>
      <c r="E243" s="48">
        <f>IF($N243&lt;&gt;"増","",INDEX('請求台帳'!$L$5:$L$1004,$O243))</f>
        <v/>
      </c>
      <c r="F243" s="48">
        <f>IF($N243&lt;&gt;"減","",N(INDEX('入金消込'!$G$5:$G$1004,$O243)))</f>
        <v/>
      </c>
      <c r="G243" s="48">
        <f>IF($N243&lt;&gt;"減","",N(INDEX('入金消込'!$H$5:$H$1004,$O243))+N(INDEX('入金消込'!$I$5:$I$1004,$O243)))</f>
        <v/>
      </c>
      <c r="H243" s="49">
        <f>IF($N243="","",$H242+N($E243)-N($F243)-N($G243))</f>
        <v/>
      </c>
      <c r="I243" s="56" t="n"/>
      <c r="J243" s="32">
        <f>$J242+IF($N242="増",1,0)</f>
        <v/>
      </c>
      <c r="K243" s="32">
        <f>$K242+IF($N242="減",1,0)</f>
        <v/>
      </c>
      <c r="L243" s="35">
        <f>IF($B$3="",1E+9,IFERROR(SMALL('請求台帳'!$Z$5:$Z$1004,$J243+1),1E+9))</f>
        <v/>
      </c>
      <c r="M243" s="35">
        <f>IF($B$3="",1E+9,IFERROR(SMALL('入金消込'!$Q$5:$Q$1004,$K243+1),1E+9))</f>
        <v/>
      </c>
      <c r="N243" s="32">
        <f>IF(MIN($L243,$M243)&gt;=1E+9,"",IF($L243&lt;=$M243,"増","減"))</f>
        <v/>
      </c>
      <c r="O243" s="32">
        <f>IF($N243="","",IF($N243="増",MATCH($L243,'請求台帳'!$Z$5:$Z$1004,0),MATCH($M243,'入金消込'!$Q$5:$Q$1004,0)))</f>
        <v/>
      </c>
      <c r="P243" s="56" t="n"/>
      <c r="Q243" s="56" t="n"/>
    </row>
    <row r="244" ht="18" customHeight="1">
      <c r="A244" s="45">
        <f>IF($N244="","",IF($N244="増",INDEX('請求台帳'!$X$5:$X$1004,$O244),INDEX('入金消込'!$A$5:$A$1004,$O244)))</f>
        <v/>
      </c>
      <c r="B244" s="46">
        <f>IF($N244="","",IF($N244="増","売上","入金"))</f>
        <v/>
      </c>
      <c r="C244" s="46">
        <f>IF($N244="","",IF($N244="増",INDEX('請求台帳'!$A$5:$A$1004,$O244)&amp;"","入金No "&amp;INDEX('入金消込'!$B$5:$B$1004,$O244)))</f>
        <v/>
      </c>
      <c r="D244" s="47">
        <f>IF($N244="","",IF($N244="増",INDEX('請求台帳'!$F$5:$F$1004,$O244)&amp;"",IF(INDEX('入金消込'!$F$5:$F$1004,$O244)="","消込先が未定",INDEX('入金消込'!$F$5:$F$1004,$O244)&amp;" の入金")))</f>
        <v/>
      </c>
      <c r="E244" s="48">
        <f>IF($N244&lt;&gt;"増","",INDEX('請求台帳'!$L$5:$L$1004,$O244))</f>
        <v/>
      </c>
      <c r="F244" s="48">
        <f>IF($N244&lt;&gt;"減","",N(INDEX('入金消込'!$G$5:$G$1004,$O244)))</f>
        <v/>
      </c>
      <c r="G244" s="48">
        <f>IF($N244&lt;&gt;"減","",N(INDEX('入金消込'!$H$5:$H$1004,$O244))+N(INDEX('入金消込'!$I$5:$I$1004,$O244)))</f>
        <v/>
      </c>
      <c r="H244" s="49">
        <f>IF($N244="","",$H243+N($E244)-N($F244)-N($G244))</f>
        <v/>
      </c>
      <c r="I244" s="56" t="n"/>
      <c r="J244" s="32">
        <f>$J243+IF($N243="増",1,0)</f>
        <v/>
      </c>
      <c r="K244" s="32">
        <f>$K243+IF($N243="減",1,0)</f>
        <v/>
      </c>
      <c r="L244" s="35">
        <f>IF($B$3="",1E+9,IFERROR(SMALL('請求台帳'!$Z$5:$Z$1004,$J244+1),1E+9))</f>
        <v/>
      </c>
      <c r="M244" s="35">
        <f>IF($B$3="",1E+9,IFERROR(SMALL('入金消込'!$Q$5:$Q$1004,$K244+1),1E+9))</f>
        <v/>
      </c>
      <c r="N244" s="32">
        <f>IF(MIN($L244,$M244)&gt;=1E+9,"",IF($L244&lt;=$M244,"増","減"))</f>
        <v/>
      </c>
      <c r="O244" s="32">
        <f>IF($N244="","",IF($N244="増",MATCH($L244,'請求台帳'!$Z$5:$Z$1004,0),MATCH($M244,'入金消込'!$Q$5:$Q$1004,0)))</f>
        <v/>
      </c>
      <c r="P244" s="56" t="n"/>
      <c r="Q244" s="56" t="n"/>
    </row>
    <row r="245" ht="18" customHeight="1">
      <c r="A245" s="45">
        <f>IF($N245="","",IF($N245="増",INDEX('請求台帳'!$X$5:$X$1004,$O245),INDEX('入金消込'!$A$5:$A$1004,$O245)))</f>
        <v/>
      </c>
      <c r="B245" s="46">
        <f>IF($N245="","",IF($N245="増","売上","入金"))</f>
        <v/>
      </c>
      <c r="C245" s="46">
        <f>IF($N245="","",IF($N245="増",INDEX('請求台帳'!$A$5:$A$1004,$O245)&amp;"","入金No "&amp;INDEX('入金消込'!$B$5:$B$1004,$O245)))</f>
        <v/>
      </c>
      <c r="D245" s="47">
        <f>IF($N245="","",IF($N245="増",INDEX('請求台帳'!$F$5:$F$1004,$O245)&amp;"",IF(INDEX('入金消込'!$F$5:$F$1004,$O245)="","消込先が未定",INDEX('入金消込'!$F$5:$F$1004,$O245)&amp;" の入金")))</f>
        <v/>
      </c>
      <c r="E245" s="48">
        <f>IF($N245&lt;&gt;"増","",INDEX('請求台帳'!$L$5:$L$1004,$O245))</f>
        <v/>
      </c>
      <c r="F245" s="48">
        <f>IF($N245&lt;&gt;"減","",N(INDEX('入金消込'!$G$5:$G$1004,$O245)))</f>
        <v/>
      </c>
      <c r="G245" s="48">
        <f>IF($N245&lt;&gt;"減","",N(INDEX('入金消込'!$H$5:$H$1004,$O245))+N(INDEX('入金消込'!$I$5:$I$1004,$O245)))</f>
        <v/>
      </c>
      <c r="H245" s="49">
        <f>IF($N245="","",$H244+N($E245)-N($F245)-N($G245))</f>
        <v/>
      </c>
      <c r="I245" s="56" t="n"/>
      <c r="J245" s="32">
        <f>$J244+IF($N244="増",1,0)</f>
        <v/>
      </c>
      <c r="K245" s="32">
        <f>$K244+IF($N244="減",1,0)</f>
        <v/>
      </c>
      <c r="L245" s="35">
        <f>IF($B$3="",1E+9,IFERROR(SMALL('請求台帳'!$Z$5:$Z$1004,$J245+1),1E+9))</f>
        <v/>
      </c>
      <c r="M245" s="35">
        <f>IF($B$3="",1E+9,IFERROR(SMALL('入金消込'!$Q$5:$Q$1004,$K245+1),1E+9))</f>
        <v/>
      </c>
      <c r="N245" s="32">
        <f>IF(MIN($L245,$M245)&gt;=1E+9,"",IF($L245&lt;=$M245,"増","減"))</f>
        <v/>
      </c>
      <c r="O245" s="32">
        <f>IF($N245="","",IF($N245="増",MATCH($L245,'請求台帳'!$Z$5:$Z$1004,0),MATCH($M245,'入金消込'!$Q$5:$Q$1004,0)))</f>
        <v/>
      </c>
      <c r="P245" s="56" t="n"/>
      <c r="Q245" s="56" t="n"/>
    </row>
    <row r="246" ht="18" customHeight="1">
      <c r="A246" s="45">
        <f>IF($N246="","",IF($N246="増",INDEX('請求台帳'!$X$5:$X$1004,$O246),INDEX('入金消込'!$A$5:$A$1004,$O246)))</f>
        <v/>
      </c>
      <c r="B246" s="46">
        <f>IF($N246="","",IF($N246="増","売上","入金"))</f>
        <v/>
      </c>
      <c r="C246" s="46">
        <f>IF($N246="","",IF($N246="増",INDEX('請求台帳'!$A$5:$A$1004,$O246)&amp;"","入金No "&amp;INDEX('入金消込'!$B$5:$B$1004,$O246)))</f>
        <v/>
      </c>
      <c r="D246" s="47">
        <f>IF($N246="","",IF($N246="増",INDEX('請求台帳'!$F$5:$F$1004,$O246)&amp;"",IF(INDEX('入金消込'!$F$5:$F$1004,$O246)="","消込先が未定",INDEX('入金消込'!$F$5:$F$1004,$O246)&amp;" の入金")))</f>
        <v/>
      </c>
      <c r="E246" s="48">
        <f>IF($N246&lt;&gt;"増","",INDEX('請求台帳'!$L$5:$L$1004,$O246))</f>
        <v/>
      </c>
      <c r="F246" s="48">
        <f>IF($N246&lt;&gt;"減","",N(INDEX('入金消込'!$G$5:$G$1004,$O246)))</f>
        <v/>
      </c>
      <c r="G246" s="48">
        <f>IF($N246&lt;&gt;"減","",N(INDEX('入金消込'!$H$5:$H$1004,$O246))+N(INDEX('入金消込'!$I$5:$I$1004,$O246)))</f>
        <v/>
      </c>
      <c r="H246" s="49">
        <f>IF($N246="","",$H245+N($E246)-N($F246)-N($G246))</f>
        <v/>
      </c>
      <c r="I246" s="56" t="n"/>
      <c r="J246" s="32">
        <f>$J245+IF($N245="増",1,0)</f>
        <v/>
      </c>
      <c r="K246" s="32">
        <f>$K245+IF($N245="減",1,0)</f>
        <v/>
      </c>
      <c r="L246" s="35">
        <f>IF($B$3="",1E+9,IFERROR(SMALL('請求台帳'!$Z$5:$Z$1004,$J246+1),1E+9))</f>
        <v/>
      </c>
      <c r="M246" s="35">
        <f>IF($B$3="",1E+9,IFERROR(SMALL('入金消込'!$Q$5:$Q$1004,$K246+1),1E+9))</f>
        <v/>
      </c>
      <c r="N246" s="32">
        <f>IF(MIN($L246,$M246)&gt;=1E+9,"",IF($L246&lt;=$M246,"増","減"))</f>
        <v/>
      </c>
      <c r="O246" s="32">
        <f>IF($N246="","",IF($N246="増",MATCH($L246,'請求台帳'!$Z$5:$Z$1004,0),MATCH($M246,'入金消込'!$Q$5:$Q$1004,0)))</f>
        <v/>
      </c>
      <c r="P246" s="56" t="n"/>
      <c r="Q246" s="56" t="n"/>
    </row>
    <row r="247" ht="18" customHeight="1">
      <c r="A247" s="45">
        <f>IF($N247="","",IF($N247="増",INDEX('請求台帳'!$X$5:$X$1004,$O247),INDEX('入金消込'!$A$5:$A$1004,$O247)))</f>
        <v/>
      </c>
      <c r="B247" s="46">
        <f>IF($N247="","",IF($N247="増","売上","入金"))</f>
        <v/>
      </c>
      <c r="C247" s="46">
        <f>IF($N247="","",IF($N247="増",INDEX('請求台帳'!$A$5:$A$1004,$O247)&amp;"","入金No "&amp;INDEX('入金消込'!$B$5:$B$1004,$O247)))</f>
        <v/>
      </c>
      <c r="D247" s="47">
        <f>IF($N247="","",IF($N247="増",INDEX('請求台帳'!$F$5:$F$1004,$O247)&amp;"",IF(INDEX('入金消込'!$F$5:$F$1004,$O247)="","消込先が未定",INDEX('入金消込'!$F$5:$F$1004,$O247)&amp;" の入金")))</f>
        <v/>
      </c>
      <c r="E247" s="48">
        <f>IF($N247&lt;&gt;"増","",INDEX('請求台帳'!$L$5:$L$1004,$O247))</f>
        <v/>
      </c>
      <c r="F247" s="48">
        <f>IF($N247&lt;&gt;"減","",N(INDEX('入金消込'!$G$5:$G$1004,$O247)))</f>
        <v/>
      </c>
      <c r="G247" s="48">
        <f>IF($N247&lt;&gt;"減","",N(INDEX('入金消込'!$H$5:$H$1004,$O247))+N(INDEX('入金消込'!$I$5:$I$1004,$O247)))</f>
        <v/>
      </c>
      <c r="H247" s="49">
        <f>IF($N247="","",$H246+N($E247)-N($F247)-N($G247))</f>
        <v/>
      </c>
      <c r="I247" s="56" t="n"/>
      <c r="J247" s="32">
        <f>$J246+IF($N246="増",1,0)</f>
        <v/>
      </c>
      <c r="K247" s="32">
        <f>$K246+IF($N246="減",1,0)</f>
        <v/>
      </c>
      <c r="L247" s="35">
        <f>IF($B$3="",1E+9,IFERROR(SMALL('請求台帳'!$Z$5:$Z$1004,$J247+1),1E+9))</f>
        <v/>
      </c>
      <c r="M247" s="35">
        <f>IF($B$3="",1E+9,IFERROR(SMALL('入金消込'!$Q$5:$Q$1004,$K247+1),1E+9))</f>
        <v/>
      </c>
      <c r="N247" s="32">
        <f>IF(MIN($L247,$M247)&gt;=1E+9,"",IF($L247&lt;=$M247,"増","減"))</f>
        <v/>
      </c>
      <c r="O247" s="32">
        <f>IF($N247="","",IF($N247="増",MATCH($L247,'請求台帳'!$Z$5:$Z$1004,0),MATCH($M247,'入金消込'!$Q$5:$Q$1004,0)))</f>
        <v/>
      </c>
      <c r="P247" s="56" t="n"/>
      <c r="Q247" s="56" t="n"/>
    </row>
    <row r="248" ht="18" customHeight="1">
      <c r="A248" s="45">
        <f>IF($N248="","",IF($N248="増",INDEX('請求台帳'!$X$5:$X$1004,$O248),INDEX('入金消込'!$A$5:$A$1004,$O248)))</f>
        <v/>
      </c>
      <c r="B248" s="46">
        <f>IF($N248="","",IF($N248="増","売上","入金"))</f>
        <v/>
      </c>
      <c r="C248" s="46">
        <f>IF($N248="","",IF($N248="増",INDEX('請求台帳'!$A$5:$A$1004,$O248)&amp;"","入金No "&amp;INDEX('入金消込'!$B$5:$B$1004,$O248)))</f>
        <v/>
      </c>
      <c r="D248" s="47">
        <f>IF($N248="","",IF($N248="増",INDEX('請求台帳'!$F$5:$F$1004,$O248)&amp;"",IF(INDEX('入金消込'!$F$5:$F$1004,$O248)="","消込先が未定",INDEX('入金消込'!$F$5:$F$1004,$O248)&amp;" の入金")))</f>
        <v/>
      </c>
      <c r="E248" s="48">
        <f>IF($N248&lt;&gt;"増","",INDEX('請求台帳'!$L$5:$L$1004,$O248))</f>
        <v/>
      </c>
      <c r="F248" s="48">
        <f>IF($N248&lt;&gt;"減","",N(INDEX('入金消込'!$G$5:$G$1004,$O248)))</f>
        <v/>
      </c>
      <c r="G248" s="48">
        <f>IF($N248&lt;&gt;"減","",N(INDEX('入金消込'!$H$5:$H$1004,$O248))+N(INDEX('入金消込'!$I$5:$I$1004,$O248)))</f>
        <v/>
      </c>
      <c r="H248" s="49">
        <f>IF($N248="","",$H247+N($E248)-N($F248)-N($G248))</f>
        <v/>
      </c>
      <c r="I248" s="56" t="n"/>
      <c r="J248" s="32">
        <f>$J247+IF($N247="増",1,0)</f>
        <v/>
      </c>
      <c r="K248" s="32">
        <f>$K247+IF($N247="減",1,0)</f>
        <v/>
      </c>
      <c r="L248" s="35">
        <f>IF($B$3="",1E+9,IFERROR(SMALL('請求台帳'!$Z$5:$Z$1004,$J248+1),1E+9))</f>
        <v/>
      </c>
      <c r="M248" s="35">
        <f>IF($B$3="",1E+9,IFERROR(SMALL('入金消込'!$Q$5:$Q$1004,$K248+1),1E+9))</f>
        <v/>
      </c>
      <c r="N248" s="32">
        <f>IF(MIN($L248,$M248)&gt;=1E+9,"",IF($L248&lt;=$M248,"増","減"))</f>
        <v/>
      </c>
      <c r="O248" s="32">
        <f>IF($N248="","",IF($N248="増",MATCH($L248,'請求台帳'!$Z$5:$Z$1004,0),MATCH($M248,'入金消込'!$Q$5:$Q$1004,0)))</f>
        <v/>
      </c>
      <c r="P248" s="56" t="n"/>
      <c r="Q248" s="56" t="n"/>
    </row>
    <row r="249" ht="18" customHeight="1">
      <c r="A249" s="45">
        <f>IF($N249="","",IF($N249="増",INDEX('請求台帳'!$X$5:$X$1004,$O249),INDEX('入金消込'!$A$5:$A$1004,$O249)))</f>
        <v/>
      </c>
      <c r="B249" s="46">
        <f>IF($N249="","",IF($N249="増","売上","入金"))</f>
        <v/>
      </c>
      <c r="C249" s="46">
        <f>IF($N249="","",IF($N249="増",INDEX('請求台帳'!$A$5:$A$1004,$O249)&amp;"","入金No "&amp;INDEX('入金消込'!$B$5:$B$1004,$O249)))</f>
        <v/>
      </c>
      <c r="D249" s="47">
        <f>IF($N249="","",IF($N249="増",INDEX('請求台帳'!$F$5:$F$1004,$O249)&amp;"",IF(INDEX('入金消込'!$F$5:$F$1004,$O249)="","消込先が未定",INDEX('入金消込'!$F$5:$F$1004,$O249)&amp;" の入金")))</f>
        <v/>
      </c>
      <c r="E249" s="48">
        <f>IF($N249&lt;&gt;"増","",INDEX('請求台帳'!$L$5:$L$1004,$O249))</f>
        <v/>
      </c>
      <c r="F249" s="48">
        <f>IF($N249&lt;&gt;"減","",N(INDEX('入金消込'!$G$5:$G$1004,$O249)))</f>
        <v/>
      </c>
      <c r="G249" s="48">
        <f>IF($N249&lt;&gt;"減","",N(INDEX('入金消込'!$H$5:$H$1004,$O249))+N(INDEX('入金消込'!$I$5:$I$1004,$O249)))</f>
        <v/>
      </c>
      <c r="H249" s="49">
        <f>IF($N249="","",$H248+N($E249)-N($F249)-N($G249))</f>
        <v/>
      </c>
      <c r="I249" s="56" t="n"/>
      <c r="J249" s="32">
        <f>$J248+IF($N248="増",1,0)</f>
        <v/>
      </c>
      <c r="K249" s="32">
        <f>$K248+IF($N248="減",1,0)</f>
        <v/>
      </c>
      <c r="L249" s="35">
        <f>IF($B$3="",1E+9,IFERROR(SMALL('請求台帳'!$Z$5:$Z$1004,$J249+1),1E+9))</f>
        <v/>
      </c>
      <c r="M249" s="35">
        <f>IF($B$3="",1E+9,IFERROR(SMALL('入金消込'!$Q$5:$Q$1004,$K249+1),1E+9))</f>
        <v/>
      </c>
      <c r="N249" s="32">
        <f>IF(MIN($L249,$M249)&gt;=1E+9,"",IF($L249&lt;=$M249,"増","減"))</f>
        <v/>
      </c>
      <c r="O249" s="32">
        <f>IF($N249="","",IF($N249="増",MATCH($L249,'請求台帳'!$Z$5:$Z$1004,0),MATCH($M249,'入金消込'!$Q$5:$Q$1004,0)))</f>
        <v/>
      </c>
      <c r="P249" s="56" t="n"/>
      <c r="Q249" s="56" t="n"/>
    </row>
    <row r="250" ht="18" customHeight="1">
      <c r="A250" s="45">
        <f>IF($N250="","",IF($N250="増",INDEX('請求台帳'!$X$5:$X$1004,$O250),INDEX('入金消込'!$A$5:$A$1004,$O250)))</f>
        <v/>
      </c>
      <c r="B250" s="46">
        <f>IF($N250="","",IF($N250="増","売上","入金"))</f>
        <v/>
      </c>
      <c r="C250" s="46">
        <f>IF($N250="","",IF($N250="増",INDEX('請求台帳'!$A$5:$A$1004,$O250)&amp;"","入金No "&amp;INDEX('入金消込'!$B$5:$B$1004,$O250)))</f>
        <v/>
      </c>
      <c r="D250" s="47">
        <f>IF($N250="","",IF($N250="増",INDEX('請求台帳'!$F$5:$F$1004,$O250)&amp;"",IF(INDEX('入金消込'!$F$5:$F$1004,$O250)="","消込先が未定",INDEX('入金消込'!$F$5:$F$1004,$O250)&amp;" の入金")))</f>
        <v/>
      </c>
      <c r="E250" s="48">
        <f>IF($N250&lt;&gt;"増","",INDEX('請求台帳'!$L$5:$L$1004,$O250))</f>
        <v/>
      </c>
      <c r="F250" s="48">
        <f>IF($N250&lt;&gt;"減","",N(INDEX('入金消込'!$G$5:$G$1004,$O250)))</f>
        <v/>
      </c>
      <c r="G250" s="48">
        <f>IF($N250&lt;&gt;"減","",N(INDEX('入金消込'!$H$5:$H$1004,$O250))+N(INDEX('入金消込'!$I$5:$I$1004,$O250)))</f>
        <v/>
      </c>
      <c r="H250" s="49">
        <f>IF($N250="","",$H249+N($E250)-N($F250)-N($G250))</f>
        <v/>
      </c>
      <c r="I250" s="56" t="n"/>
      <c r="J250" s="32">
        <f>$J249+IF($N249="増",1,0)</f>
        <v/>
      </c>
      <c r="K250" s="32">
        <f>$K249+IF($N249="減",1,0)</f>
        <v/>
      </c>
      <c r="L250" s="35">
        <f>IF($B$3="",1E+9,IFERROR(SMALL('請求台帳'!$Z$5:$Z$1004,$J250+1),1E+9))</f>
        <v/>
      </c>
      <c r="M250" s="35">
        <f>IF($B$3="",1E+9,IFERROR(SMALL('入金消込'!$Q$5:$Q$1004,$K250+1),1E+9))</f>
        <v/>
      </c>
      <c r="N250" s="32">
        <f>IF(MIN($L250,$M250)&gt;=1E+9,"",IF($L250&lt;=$M250,"増","減"))</f>
        <v/>
      </c>
      <c r="O250" s="32">
        <f>IF($N250="","",IF($N250="増",MATCH($L250,'請求台帳'!$Z$5:$Z$1004,0),MATCH($M250,'入金消込'!$Q$5:$Q$1004,0)))</f>
        <v/>
      </c>
      <c r="P250" s="56" t="n"/>
      <c r="Q250" s="56" t="n"/>
    </row>
    <row r="251" ht="18" customHeight="1">
      <c r="A251" s="45">
        <f>IF($N251="","",IF($N251="増",INDEX('請求台帳'!$X$5:$X$1004,$O251),INDEX('入金消込'!$A$5:$A$1004,$O251)))</f>
        <v/>
      </c>
      <c r="B251" s="46">
        <f>IF($N251="","",IF($N251="増","売上","入金"))</f>
        <v/>
      </c>
      <c r="C251" s="46">
        <f>IF($N251="","",IF($N251="増",INDEX('請求台帳'!$A$5:$A$1004,$O251)&amp;"","入金No "&amp;INDEX('入金消込'!$B$5:$B$1004,$O251)))</f>
        <v/>
      </c>
      <c r="D251" s="47">
        <f>IF($N251="","",IF($N251="増",INDEX('請求台帳'!$F$5:$F$1004,$O251)&amp;"",IF(INDEX('入金消込'!$F$5:$F$1004,$O251)="","消込先が未定",INDEX('入金消込'!$F$5:$F$1004,$O251)&amp;" の入金")))</f>
        <v/>
      </c>
      <c r="E251" s="48">
        <f>IF($N251&lt;&gt;"増","",INDEX('請求台帳'!$L$5:$L$1004,$O251))</f>
        <v/>
      </c>
      <c r="F251" s="48">
        <f>IF($N251&lt;&gt;"減","",N(INDEX('入金消込'!$G$5:$G$1004,$O251)))</f>
        <v/>
      </c>
      <c r="G251" s="48">
        <f>IF($N251&lt;&gt;"減","",N(INDEX('入金消込'!$H$5:$H$1004,$O251))+N(INDEX('入金消込'!$I$5:$I$1004,$O251)))</f>
        <v/>
      </c>
      <c r="H251" s="49">
        <f>IF($N251="","",$H250+N($E251)-N($F251)-N($G251))</f>
        <v/>
      </c>
      <c r="I251" s="56" t="n"/>
      <c r="J251" s="32">
        <f>$J250+IF($N250="増",1,0)</f>
        <v/>
      </c>
      <c r="K251" s="32">
        <f>$K250+IF($N250="減",1,0)</f>
        <v/>
      </c>
      <c r="L251" s="35">
        <f>IF($B$3="",1E+9,IFERROR(SMALL('請求台帳'!$Z$5:$Z$1004,$J251+1),1E+9))</f>
        <v/>
      </c>
      <c r="M251" s="35">
        <f>IF($B$3="",1E+9,IFERROR(SMALL('入金消込'!$Q$5:$Q$1004,$K251+1),1E+9))</f>
        <v/>
      </c>
      <c r="N251" s="32">
        <f>IF(MIN($L251,$M251)&gt;=1E+9,"",IF($L251&lt;=$M251,"増","減"))</f>
        <v/>
      </c>
      <c r="O251" s="32">
        <f>IF($N251="","",IF($N251="増",MATCH($L251,'請求台帳'!$Z$5:$Z$1004,0),MATCH($M251,'入金消込'!$Q$5:$Q$1004,0)))</f>
        <v/>
      </c>
      <c r="P251" s="56" t="n"/>
      <c r="Q251" s="56" t="n"/>
    </row>
    <row r="252" ht="18" customHeight="1">
      <c r="A252" s="45">
        <f>IF($N252="","",IF($N252="増",INDEX('請求台帳'!$X$5:$X$1004,$O252),INDEX('入金消込'!$A$5:$A$1004,$O252)))</f>
        <v/>
      </c>
      <c r="B252" s="46">
        <f>IF($N252="","",IF($N252="増","売上","入金"))</f>
        <v/>
      </c>
      <c r="C252" s="46">
        <f>IF($N252="","",IF($N252="増",INDEX('請求台帳'!$A$5:$A$1004,$O252)&amp;"","入金No "&amp;INDEX('入金消込'!$B$5:$B$1004,$O252)))</f>
        <v/>
      </c>
      <c r="D252" s="47">
        <f>IF($N252="","",IF($N252="増",INDEX('請求台帳'!$F$5:$F$1004,$O252)&amp;"",IF(INDEX('入金消込'!$F$5:$F$1004,$O252)="","消込先が未定",INDEX('入金消込'!$F$5:$F$1004,$O252)&amp;" の入金")))</f>
        <v/>
      </c>
      <c r="E252" s="48">
        <f>IF($N252&lt;&gt;"増","",INDEX('請求台帳'!$L$5:$L$1004,$O252))</f>
        <v/>
      </c>
      <c r="F252" s="48">
        <f>IF($N252&lt;&gt;"減","",N(INDEX('入金消込'!$G$5:$G$1004,$O252)))</f>
        <v/>
      </c>
      <c r="G252" s="48">
        <f>IF($N252&lt;&gt;"減","",N(INDEX('入金消込'!$H$5:$H$1004,$O252))+N(INDEX('入金消込'!$I$5:$I$1004,$O252)))</f>
        <v/>
      </c>
      <c r="H252" s="49">
        <f>IF($N252="","",$H251+N($E252)-N($F252)-N($G252))</f>
        <v/>
      </c>
      <c r="I252" s="56" t="n"/>
      <c r="J252" s="32">
        <f>$J251+IF($N251="増",1,0)</f>
        <v/>
      </c>
      <c r="K252" s="32">
        <f>$K251+IF($N251="減",1,0)</f>
        <v/>
      </c>
      <c r="L252" s="35">
        <f>IF($B$3="",1E+9,IFERROR(SMALL('請求台帳'!$Z$5:$Z$1004,$J252+1),1E+9))</f>
        <v/>
      </c>
      <c r="M252" s="35">
        <f>IF($B$3="",1E+9,IFERROR(SMALL('入金消込'!$Q$5:$Q$1004,$K252+1),1E+9))</f>
        <v/>
      </c>
      <c r="N252" s="32">
        <f>IF(MIN($L252,$M252)&gt;=1E+9,"",IF($L252&lt;=$M252,"増","減"))</f>
        <v/>
      </c>
      <c r="O252" s="32">
        <f>IF($N252="","",IF($N252="増",MATCH($L252,'請求台帳'!$Z$5:$Z$1004,0),MATCH($M252,'入金消込'!$Q$5:$Q$1004,0)))</f>
        <v/>
      </c>
      <c r="P252" s="56" t="n"/>
      <c r="Q252" s="56" t="n"/>
    </row>
    <row r="253" ht="18" customHeight="1">
      <c r="A253" s="45">
        <f>IF($N253="","",IF($N253="増",INDEX('請求台帳'!$X$5:$X$1004,$O253),INDEX('入金消込'!$A$5:$A$1004,$O253)))</f>
        <v/>
      </c>
      <c r="B253" s="46">
        <f>IF($N253="","",IF($N253="増","売上","入金"))</f>
        <v/>
      </c>
      <c r="C253" s="46">
        <f>IF($N253="","",IF($N253="増",INDEX('請求台帳'!$A$5:$A$1004,$O253)&amp;"","入金No "&amp;INDEX('入金消込'!$B$5:$B$1004,$O253)))</f>
        <v/>
      </c>
      <c r="D253" s="47">
        <f>IF($N253="","",IF($N253="増",INDEX('請求台帳'!$F$5:$F$1004,$O253)&amp;"",IF(INDEX('入金消込'!$F$5:$F$1004,$O253)="","消込先が未定",INDEX('入金消込'!$F$5:$F$1004,$O253)&amp;" の入金")))</f>
        <v/>
      </c>
      <c r="E253" s="48">
        <f>IF($N253&lt;&gt;"増","",INDEX('請求台帳'!$L$5:$L$1004,$O253))</f>
        <v/>
      </c>
      <c r="F253" s="48">
        <f>IF($N253&lt;&gt;"減","",N(INDEX('入金消込'!$G$5:$G$1004,$O253)))</f>
        <v/>
      </c>
      <c r="G253" s="48">
        <f>IF($N253&lt;&gt;"減","",N(INDEX('入金消込'!$H$5:$H$1004,$O253))+N(INDEX('入金消込'!$I$5:$I$1004,$O253)))</f>
        <v/>
      </c>
      <c r="H253" s="49">
        <f>IF($N253="","",$H252+N($E253)-N($F253)-N($G253))</f>
        <v/>
      </c>
      <c r="I253" s="56" t="n"/>
      <c r="J253" s="32">
        <f>$J252+IF($N252="増",1,0)</f>
        <v/>
      </c>
      <c r="K253" s="32">
        <f>$K252+IF($N252="減",1,0)</f>
        <v/>
      </c>
      <c r="L253" s="35">
        <f>IF($B$3="",1E+9,IFERROR(SMALL('請求台帳'!$Z$5:$Z$1004,$J253+1),1E+9))</f>
        <v/>
      </c>
      <c r="M253" s="35">
        <f>IF($B$3="",1E+9,IFERROR(SMALL('入金消込'!$Q$5:$Q$1004,$K253+1),1E+9))</f>
        <v/>
      </c>
      <c r="N253" s="32">
        <f>IF(MIN($L253,$M253)&gt;=1E+9,"",IF($L253&lt;=$M253,"増","減"))</f>
        <v/>
      </c>
      <c r="O253" s="32">
        <f>IF($N253="","",IF($N253="増",MATCH($L253,'請求台帳'!$Z$5:$Z$1004,0),MATCH($M253,'入金消込'!$Q$5:$Q$1004,0)))</f>
        <v/>
      </c>
      <c r="P253" s="56" t="n"/>
      <c r="Q253" s="56" t="n"/>
    </row>
    <row r="254" ht="18" customHeight="1">
      <c r="A254" s="45">
        <f>IF($N254="","",IF($N254="増",INDEX('請求台帳'!$X$5:$X$1004,$O254),INDEX('入金消込'!$A$5:$A$1004,$O254)))</f>
        <v/>
      </c>
      <c r="B254" s="46">
        <f>IF($N254="","",IF($N254="増","売上","入金"))</f>
        <v/>
      </c>
      <c r="C254" s="46">
        <f>IF($N254="","",IF($N254="増",INDEX('請求台帳'!$A$5:$A$1004,$O254)&amp;"","入金No "&amp;INDEX('入金消込'!$B$5:$B$1004,$O254)))</f>
        <v/>
      </c>
      <c r="D254" s="47">
        <f>IF($N254="","",IF($N254="増",INDEX('請求台帳'!$F$5:$F$1004,$O254)&amp;"",IF(INDEX('入金消込'!$F$5:$F$1004,$O254)="","消込先が未定",INDEX('入金消込'!$F$5:$F$1004,$O254)&amp;" の入金")))</f>
        <v/>
      </c>
      <c r="E254" s="48">
        <f>IF($N254&lt;&gt;"増","",INDEX('請求台帳'!$L$5:$L$1004,$O254))</f>
        <v/>
      </c>
      <c r="F254" s="48">
        <f>IF($N254&lt;&gt;"減","",N(INDEX('入金消込'!$G$5:$G$1004,$O254)))</f>
        <v/>
      </c>
      <c r="G254" s="48">
        <f>IF($N254&lt;&gt;"減","",N(INDEX('入金消込'!$H$5:$H$1004,$O254))+N(INDEX('入金消込'!$I$5:$I$1004,$O254)))</f>
        <v/>
      </c>
      <c r="H254" s="49">
        <f>IF($N254="","",$H253+N($E254)-N($F254)-N($G254))</f>
        <v/>
      </c>
      <c r="I254" s="56" t="n"/>
      <c r="J254" s="32">
        <f>$J253+IF($N253="増",1,0)</f>
        <v/>
      </c>
      <c r="K254" s="32">
        <f>$K253+IF($N253="減",1,0)</f>
        <v/>
      </c>
      <c r="L254" s="35">
        <f>IF($B$3="",1E+9,IFERROR(SMALL('請求台帳'!$Z$5:$Z$1004,$J254+1),1E+9))</f>
        <v/>
      </c>
      <c r="M254" s="35">
        <f>IF($B$3="",1E+9,IFERROR(SMALL('入金消込'!$Q$5:$Q$1004,$K254+1),1E+9))</f>
        <v/>
      </c>
      <c r="N254" s="32">
        <f>IF(MIN($L254,$M254)&gt;=1E+9,"",IF($L254&lt;=$M254,"増","減"))</f>
        <v/>
      </c>
      <c r="O254" s="32">
        <f>IF($N254="","",IF($N254="増",MATCH($L254,'請求台帳'!$Z$5:$Z$1004,0),MATCH($M254,'入金消込'!$Q$5:$Q$1004,0)))</f>
        <v/>
      </c>
      <c r="P254" s="56" t="n"/>
      <c r="Q254" s="56" t="n"/>
    </row>
    <row r="255" ht="18" customHeight="1">
      <c r="A255" s="45">
        <f>IF($N255="","",IF($N255="増",INDEX('請求台帳'!$X$5:$X$1004,$O255),INDEX('入金消込'!$A$5:$A$1004,$O255)))</f>
        <v/>
      </c>
      <c r="B255" s="46">
        <f>IF($N255="","",IF($N255="増","売上","入金"))</f>
        <v/>
      </c>
      <c r="C255" s="46">
        <f>IF($N255="","",IF($N255="増",INDEX('請求台帳'!$A$5:$A$1004,$O255)&amp;"","入金No "&amp;INDEX('入金消込'!$B$5:$B$1004,$O255)))</f>
        <v/>
      </c>
      <c r="D255" s="47">
        <f>IF($N255="","",IF($N255="増",INDEX('請求台帳'!$F$5:$F$1004,$O255)&amp;"",IF(INDEX('入金消込'!$F$5:$F$1004,$O255)="","消込先が未定",INDEX('入金消込'!$F$5:$F$1004,$O255)&amp;" の入金")))</f>
        <v/>
      </c>
      <c r="E255" s="48">
        <f>IF($N255&lt;&gt;"増","",INDEX('請求台帳'!$L$5:$L$1004,$O255))</f>
        <v/>
      </c>
      <c r="F255" s="48">
        <f>IF($N255&lt;&gt;"減","",N(INDEX('入金消込'!$G$5:$G$1004,$O255)))</f>
        <v/>
      </c>
      <c r="G255" s="48">
        <f>IF($N255&lt;&gt;"減","",N(INDEX('入金消込'!$H$5:$H$1004,$O255))+N(INDEX('入金消込'!$I$5:$I$1004,$O255)))</f>
        <v/>
      </c>
      <c r="H255" s="49">
        <f>IF($N255="","",$H254+N($E255)-N($F255)-N($G255))</f>
        <v/>
      </c>
      <c r="I255" s="56" t="n"/>
      <c r="J255" s="32">
        <f>$J254+IF($N254="増",1,0)</f>
        <v/>
      </c>
      <c r="K255" s="32">
        <f>$K254+IF($N254="減",1,0)</f>
        <v/>
      </c>
      <c r="L255" s="35">
        <f>IF($B$3="",1E+9,IFERROR(SMALL('請求台帳'!$Z$5:$Z$1004,$J255+1),1E+9))</f>
        <v/>
      </c>
      <c r="M255" s="35">
        <f>IF($B$3="",1E+9,IFERROR(SMALL('入金消込'!$Q$5:$Q$1004,$K255+1),1E+9))</f>
        <v/>
      </c>
      <c r="N255" s="32">
        <f>IF(MIN($L255,$M255)&gt;=1E+9,"",IF($L255&lt;=$M255,"増","減"))</f>
        <v/>
      </c>
      <c r="O255" s="32">
        <f>IF($N255="","",IF($N255="増",MATCH($L255,'請求台帳'!$Z$5:$Z$1004,0),MATCH($M255,'入金消込'!$Q$5:$Q$1004,0)))</f>
        <v/>
      </c>
      <c r="P255" s="56" t="n"/>
      <c r="Q255" s="56" t="n"/>
    </row>
    <row r="256" ht="18" customHeight="1">
      <c r="A256" s="45">
        <f>IF($N256="","",IF($N256="増",INDEX('請求台帳'!$X$5:$X$1004,$O256),INDEX('入金消込'!$A$5:$A$1004,$O256)))</f>
        <v/>
      </c>
      <c r="B256" s="46">
        <f>IF($N256="","",IF($N256="増","売上","入金"))</f>
        <v/>
      </c>
      <c r="C256" s="46">
        <f>IF($N256="","",IF($N256="増",INDEX('請求台帳'!$A$5:$A$1004,$O256)&amp;"","入金No "&amp;INDEX('入金消込'!$B$5:$B$1004,$O256)))</f>
        <v/>
      </c>
      <c r="D256" s="47">
        <f>IF($N256="","",IF($N256="増",INDEX('請求台帳'!$F$5:$F$1004,$O256)&amp;"",IF(INDEX('入金消込'!$F$5:$F$1004,$O256)="","消込先が未定",INDEX('入金消込'!$F$5:$F$1004,$O256)&amp;" の入金")))</f>
        <v/>
      </c>
      <c r="E256" s="48">
        <f>IF($N256&lt;&gt;"増","",INDEX('請求台帳'!$L$5:$L$1004,$O256))</f>
        <v/>
      </c>
      <c r="F256" s="48">
        <f>IF($N256&lt;&gt;"減","",N(INDEX('入金消込'!$G$5:$G$1004,$O256)))</f>
        <v/>
      </c>
      <c r="G256" s="48">
        <f>IF($N256&lt;&gt;"減","",N(INDEX('入金消込'!$H$5:$H$1004,$O256))+N(INDEX('入金消込'!$I$5:$I$1004,$O256)))</f>
        <v/>
      </c>
      <c r="H256" s="49">
        <f>IF($N256="","",$H255+N($E256)-N($F256)-N($G256))</f>
        <v/>
      </c>
      <c r="I256" s="56" t="n"/>
      <c r="J256" s="32">
        <f>$J255+IF($N255="増",1,0)</f>
        <v/>
      </c>
      <c r="K256" s="32">
        <f>$K255+IF($N255="減",1,0)</f>
        <v/>
      </c>
      <c r="L256" s="35">
        <f>IF($B$3="",1E+9,IFERROR(SMALL('請求台帳'!$Z$5:$Z$1004,$J256+1),1E+9))</f>
        <v/>
      </c>
      <c r="M256" s="35">
        <f>IF($B$3="",1E+9,IFERROR(SMALL('入金消込'!$Q$5:$Q$1004,$K256+1),1E+9))</f>
        <v/>
      </c>
      <c r="N256" s="32">
        <f>IF(MIN($L256,$M256)&gt;=1E+9,"",IF($L256&lt;=$M256,"増","減"))</f>
        <v/>
      </c>
      <c r="O256" s="32">
        <f>IF($N256="","",IF($N256="増",MATCH($L256,'請求台帳'!$Z$5:$Z$1004,0),MATCH($M256,'入金消込'!$Q$5:$Q$1004,0)))</f>
        <v/>
      </c>
      <c r="P256" s="56" t="n"/>
      <c r="Q256" s="56" t="n"/>
    </row>
    <row r="257" ht="18" customHeight="1">
      <c r="A257" s="45">
        <f>IF($N257="","",IF($N257="増",INDEX('請求台帳'!$X$5:$X$1004,$O257),INDEX('入金消込'!$A$5:$A$1004,$O257)))</f>
        <v/>
      </c>
      <c r="B257" s="46">
        <f>IF($N257="","",IF($N257="増","売上","入金"))</f>
        <v/>
      </c>
      <c r="C257" s="46">
        <f>IF($N257="","",IF($N257="増",INDEX('請求台帳'!$A$5:$A$1004,$O257)&amp;"","入金No "&amp;INDEX('入金消込'!$B$5:$B$1004,$O257)))</f>
        <v/>
      </c>
      <c r="D257" s="47">
        <f>IF($N257="","",IF($N257="増",INDEX('請求台帳'!$F$5:$F$1004,$O257)&amp;"",IF(INDEX('入金消込'!$F$5:$F$1004,$O257)="","消込先が未定",INDEX('入金消込'!$F$5:$F$1004,$O257)&amp;" の入金")))</f>
        <v/>
      </c>
      <c r="E257" s="48">
        <f>IF($N257&lt;&gt;"増","",INDEX('請求台帳'!$L$5:$L$1004,$O257))</f>
        <v/>
      </c>
      <c r="F257" s="48">
        <f>IF($N257&lt;&gt;"減","",N(INDEX('入金消込'!$G$5:$G$1004,$O257)))</f>
        <v/>
      </c>
      <c r="G257" s="48">
        <f>IF($N257&lt;&gt;"減","",N(INDEX('入金消込'!$H$5:$H$1004,$O257))+N(INDEX('入金消込'!$I$5:$I$1004,$O257)))</f>
        <v/>
      </c>
      <c r="H257" s="49">
        <f>IF($N257="","",$H256+N($E257)-N($F257)-N($G257))</f>
        <v/>
      </c>
      <c r="I257" s="56" t="n"/>
      <c r="J257" s="32">
        <f>$J256+IF($N256="増",1,0)</f>
        <v/>
      </c>
      <c r="K257" s="32">
        <f>$K256+IF($N256="減",1,0)</f>
        <v/>
      </c>
      <c r="L257" s="35">
        <f>IF($B$3="",1E+9,IFERROR(SMALL('請求台帳'!$Z$5:$Z$1004,$J257+1),1E+9))</f>
        <v/>
      </c>
      <c r="M257" s="35">
        <f>IF($B$3="",1E+9,IFERROR(SMALL('入金消込'!$Q$5:$Q$1004,$K257+1),1E+9))</f>
        <v/>
      </c>
      <c r="N257" s="32">
        <f>IF(MIN($L257,$M257)&gt;=1E+9,"",IF($L257&lt;=$M257,"増","減"))</f>
        <v/>
      </c>
      <c r="O257" s="32">
        <f>IF($N257="","",IF($N257="増",MATCH($L257,'請求台帳'!$Z$5:$Z$1004,0),MATCH($M257,'入金消込'!$Q$5:$Q$1004,0)))</f>
        <v/>
      </c>
      <c r="P257" s="56" t="n"/>
      <c r="Q257" s="56" t="n"/>
    </row>
    <row r="258" ht="18" customHeight="1">
      <c r="A258" s="45">
        <f>IF($N258="","",IF($N258="増",INDEX('請求台帳'!$X$5:$X$1004,$O258),INDEX('入金消込'!$A$5:$A$1004,$O258)))</f>
        <v/>
      </c>
      <c r="B258" s="46">
        <f>IF($N258="","",IF($N258="増","売上","入金"))</f>
        <v/>
      </c>
      <c r="C258" s="46">
        <f>IF($N258="","",IF($N258="増",INDEX('請求台帳'!$A$5:$A$1004,$O258)&amp;"","入金No "&amp;INDEX('入金消込'!$B$5:$B$1004,$O258)))</f>
        <v/>
      </c>
      <c r="D258" s="47">
        <f>IF($N258="","",IF($N258="増",INDEX('請求台帳'!$F$5:$F$1004,$O258)&amp;"",IF(INDEX('入金消込'!$F$5:$F$1004,$O258)="","消込先が未定",INDEX('入金消込'!$F$5:$F$1004,$O258)&amp;" の入金")))</f>
        <v/>
      </c>
      <c r="E258" s="48">
        <f>IF($N258&lt;&gt;"増","",INDEX('請求台帳'!$L$5:$L$1004,$O258))</f>
        <v/>
      </c>
      <c r="F258" s="48">
        <f>IF($N258&lt;&gt;"減","",N(INDEX('入金消込'!$G$5:$G$1004,$O258)))</f>
        <v/>
      </c>
      <c r="G258" s="48">
        <f>IF($N258&lt;&gt;"減","",N(INDEX('入金消込'!$H$5:$H$1004,$O258))+N(INDEX('入金消込'!$I$5:$I$1004,$O258)))</f>
        <v/>
      </c>
      <c r="H258" s="49">
        <f>IF($N258="","",$H257+N($E258)-N($F258)-N($G258))</f>
        <v/>
      </c>
      <c r="I258" s="56" t="n"/>
      <c r="J258" s="32">
        <f>$J257+IF($N257="増",1,0)</f>
        <v/>
      </c>
      <c r="K258" s="32">
        <f>$K257+IF($N257="減",1,0)</f>
        <v/>
      </c>
      <c r="L258" s="35">
        <f>IF($B$3="",1E+9,IFERROR(SMALL('請求台帳'!$Z$5:$Z$1004,$J258+1),1E+9))</f>
        <v/>
      </c>
      <c r="M258" s="35">
        <f>IF($B$3="",1E+9,IFERROR(SMALL('入金消込'!$Q$5:$Q$1004,$K258+1),1E+9))</f>
        <v/>
      </c>
      <c r="N258" s="32">
        <f>IF(MIN($L258,$M258)&gt;=1E+9,"",IF($L258&lt;=$M258,"増","減"))</f>
        <v/>
      </c>
      <c r="O258" s="32">
        <f>IF($N258="","",IF($N258="増",MATCH($L258,'請求台帳'!$Z$5:$Z$1004,0),MATCH($M258,'入金消込'!$Q$5:$Q$1004,0)))</f>
        <v/>
      </c>
      <c r="P258" s="56" t="n"/>
      <c r="Q258" s="56" t="n"/>
    </row>
    <row r="259" ht="18" customHeight="1">
      <c r="A259" s="45">
        <f>IF($N259="","",IF($N259="増",INDEX('請求台帳'!$X$5:$X$1004,$O259),INDEX('入金消込'!$A$5:$A$1004,$O259)))</f>
        <v/>
      </c>
      <c r="B259" s="46">
        <f>IF($N259="","",IF($N259="増","売上","入金"))</f>
        <v/>
      </c>
      <c r="C259" s="46">
        <f>IF($N259="","",IF($N259="増",INDEX('請求台帳'!$A$5:$A$1004,$O259)&amp;"","入金No "&amp;INDEX('入金消込'!$B$5:$B$1004,$O259)))</f>
        <v/>
      </c>
      <c r="D259" s="47">
        <f>IF($N259="","",IF($N259="増",INDEX('請求台帳'!$F$5:$F$1004,$O259)&amp;"",IF(INDEX('入金消込'!$F$5:$F$1004,$O259)="","消込先が未定",INDEX('入金消込'!$F$5:$F$1004,$O259)&amp;" の入金")))</f>
        <v/>
      </c>
      <c r="E259" s="48">
        <f>IF($N259&lt;&gt;"増","",INDEX('請求台帳'!$L$5:$L$1004,$O259))</f>
        <v/>
      </c>
      <c r="F259" s="48">
        <f>IF($N259&lt;&gt;"減","",N(INDEX('入金消込'!$G$5:$G$1004,$O259)))</f>
        <v/>
      </c>
      <c r="G259" s="48">
        <f>IF($N259&lt;&gt;"減","",N(INDEX('入金消込'!$H$5:$H$1004,$O259))+N(INDEX('入金消込'!$I$5:$I$1004,$O259)))</f>
        <v/>
      </c>
      <c r="H259" s="49">
        <f>IF($N259="","",$H258+N($E259)-N($F259)-N($G259))</f>
        <v/>
      </c>
      <c r="I259" s="56" t="n"/>
      <c r="J259" s="32">
        <f>$J258+IF($N258="増",1,0)</f>
        <v/>
      </c>
      <c r="K259" s="32">
        <f>$K258+IF($N258="減",1,0)</f>
        <v/>
      </c>
      <c r="L259" s="35">
        <f>IF($B$3="",1E+9,IFERROR(SMALL('請求台帳'!$Z$5:$Z$1004,$J259+1),1E+9))</f>
        <v/>
      </c>
      <c r="M259" s="35">
        <f>IF($B$3="",1E+9,IFERROR(SMALL('入金消込'!$Q$5:$Q$1004,$K259+1),1E+9))</f>
        <v/>
      </c>
      <c r="N259" s="32">
        <f>IF(MIN($L259,$M259)&gt;=1E+9,"",IF($L259&lt;=$M259,"増","減"))</f>
        <v/>
      </c>
      <c r="O259" s="32">
        <f>IF($N259="","",IF($N259="増",MATCH($L259,'請求台帳'!$Z$5:$Z$1004,0),MATCH($M259,'入金消込'!$Q$5:$Q$1004,0)))</f>
        <v/>
      </c>
      <c r="P259" s="56" t="n"/>
      <c r="Q259" s="56" t="n"/>
    </row>
    <row r="260" ht="18" customHeight="1">
      <c r="A260" s="45">
        <f>IF($N260="","",IF($N260="増",INDEX('請求台帳'!$X$5:$X$1004,$O260),INDEX('入金消込'!$A$5:$A$1004,$O260)))</f>
        <v/>
      </c>
      <c r="B260" s="46">
        <f>IF($N260="","",IF($N260="増","売上","入金"))</f>
        <v/>
      </c>
      <c r="C260" s="46">
        <f>IF($N260="","",IF($N260="増",INDEX('請求台帳'!$A$5:$A$1004,$O260)&amp;"","入金No "&amp;INDEX('入金消込'!$B$5:$B$1004,$O260)))</f>
        <v/>
      </c>
      <c r="D260" s="47">
        <f>IF($N260="","",IF($N260="増",INDEX('請求台帳'!$F$5:$F$1004,$O260)&amp;"",IF(INDEX('入金消込'!$F$5:$F$1004,$O260)="","消込先が未定",INDEX('入金消込'!$F$5:$F$1004,$O260)&amp;" の入金")))</f>
        <v/>
      </c>
      <c r="E260" s="48">
        <f>IF($N260&lt;&gt;"増","",INDEX('請求台帳'!$L$5:$L$1004,$O260))</f>
        <v/>
      </c>
      <c r="F260" s="48">
        <f>IF($N260&lt;&gt;"減","",N(INDEX('入金消込'!$G$5:$G$1004,$O260)))</f>
        <v/>
      </c>
      <c r="G260" s="48">
        <f>IF($N260&lt;&gt;"減","",N(INDEX('入金消込'!$H$5:$H$1004,$O260))+N(INDEX('入金消込'!$I$5:$I$1004,$O260)))</f>
        <v/>
      </c>
      <c r="H260" s="49">
        <f>IF($N260="","",$H259+N($E260)-N($F260)-N($G260))</f>
        <v/>
      </c>
      <c r="I260" s="56" t="n"/>
      <c r="J260" s="32">
        <f>$J259+IF($N259="増",1,0)</f>
        <v/>
      </c>
      <c r="K260" s="32">
        <f>$K259+IF($N259="減",1,0)</f>
        <v/>
      </c>
      <c r="L260" s="35">
        <f>IF($B$3="",1E+9,IFERROR(SMALL('請求台帳'!$Z$5:$Z$1004,$J260+1),1E+9))</f>
        <v/>
      </c>
      <c r="M260" s="35">
        <f>IF($B$3="",1E+9,IFERROR(SMALL('入金消込'!$Q$5:$Q$1004,$K260+1),1E+9))</f>
        <v/>
      </c>
      <c r="N260" s="32">
        <f>IF(MIN($L260,$M260)&gt;=1E+9,"",IF($L260&lt;=$M260,"増","減"))</f>
        <v/>
      </c>
      <c r="O260" s="32">
        <f>IF($N260="","",IF($N260="増",MATCH($L260,'請求台帳'!$Z$5:$Z$1004,0),MATCH($M260,'入金消込'!$Q$5:$Q$1004,0)))</f>
        <v/>
      </c>
      <c r="P260" s="56" t="n"/>
      <c r="Q260" s="56" t="n"/>
    </row>
    <row r="261" ht="18" customHeight="1">
      <c r="A261" s="45">
        <f>IF($N261="","",IF($N261="増",INDEX('請求台帳'!$X$5:$X$1004,$O261),INDEX('入金消込'!$A$5:$A$1004,$O261)))</f>
        <v/>
      </c>
      <c r="B261" s="46">
        <f>IF($N261="","",IF($N261="増","売上","入金"))</f>
        <v/>
      </c>
      <c r="C261" s="46">
        <f>IF($N261="","",IF($N261="増",INDEX('請求台帳'!$A$5:$A$1004,$O261)&amp;"","入金No "&amp;INDEX('入金消込'!$B$5:$B$1004,$O261)))</f>
        <v/>
      </c>
      <c r="D261" s="47">
        <f>IF($N261="","",IF($N261="増",INDEX('請求台帳'!$F$5:$F$1004,$O261)&amp;"",IF(INDEX('入金消込'!$F$5:$F$1004,$O261)="","消込先が未定",INDEX('入金消込'!$F$5:$F$1004,$O261)&amp;" の入金")))</f>
        <v/>
      </c>
      <c r="E261" s="48">
        <f>IF($N261&lt;&gt;"増","",INDEX('請求台帳'!$L$5:$L$1004,$O261))</f>
        <v/>
      </c>
      <c r="F261" s="48">
        <f>IF($N261&lt;&gt;"減","",N(INDEX('入金消込'!$G$5:$G$1004,$O261)))</f>
        <v/>
      </c>
      <c r="G261" s="48">
        <f>IF($N261&lt;&gt;"減","",N(INDEX('入金消込'!$H$5:$H$1004,$O261))+N(INDEX('入金消込'!$I$5:$I$1004,$O261)))</f>
        <v/>
      </c>
      <c r="H261" s="49">
        <f>IF($N261="","",$H260+N($E261)-N($F261)-N($G261))</f>
        <v/>
      </c>
      <c r="I261" s="56" t="n"/>
      <c r="J261" s="32">
        <f>$J260+IF($N260="増",1,0)</f>
        <v/>
      </c>
      <c r="K261" s="32">
        <f>$K260+IF($N260="減",1,0)</f>
        <v/>
      </c>
      <c r="L261" s="35">
        <f>IF($B$3="",1E+9,IFERROR(SMALL('請求台帳'!$Z$5:$Z$1004,$J261+1),1E+9))</f>
        <v/>
      </c>
      <c r="M261" s="35">
        <f>IF($B$3="",1E+9,IFERROR(SMALL('入金消込'!$Q$5:$Q$1004,$K261+1),1E+9))</f>
        <v/>
      </c>
      <c r="N261" s="32">
        <f>IF(MIN($L261,$M261)&gt;=1E+9,"",IF($L261&lt;=$M261,"増","減"))</f>
        <v/>
      </c>
      <c r="O261" s="32">
        <f>IF($N261="","",IF($N261="増",MATCH($L261,'請求台帳'!$Z$5:$Z$1004,0),MATCH($M261,'入金消込'!$Q$5:$Q$1004,0)))</f>
        <v/>
      </c>
      <c r="P261" s="56" t="n"/>
      <c r="Q261" s="56" t="n"/>
    </row>
    <row r="262" ht="18" customHeight="1">
      <c r="A262" s="45">
        <f>IF($N262="","",IF($N262="増",INDEX('請求台帳'!$X$5:$X$1004,$O262),INDEX('入金消込'!$A$5:$A$1004,$O262)))</f>
        <v/>
      </c>
      <c r="B262" s="46">
        <f>IF($N262="","",IF($N262="増","売上","入金"))</f>
        <v/>
      </c>
      <c r="C262" s="46">
        <f>IF($N262="","",IF($N262="増",INDEX('請求台帳'!$A$5:$A$1004,$O262)&amp;"","入金No "&amp;INDEX('入金消込'!$B$5:$B$1004,$O262)))</f>
        <v/>
      </c>
      <c r="D262" s="47">
        <f>IF($N262="","",IF($N262="増",INDEX('請求台帳'!$F$5:$F$1004,$O262)&amp;"",IF(INDEX('入金消込'!$F$5:$F$1004,$O262)="","消込先が未定",INDEX('入金消込'!$F$5:$F$1004,$O262)&amp;" の入金")))</f>
        <v/>
      </c>
      <c r="E262" s="48">
        <f>IF($N262&lt;&gt;"増","",INDEX('請求台帳'!$L$5:$L$1004,$O262))</f>
        <v/>
      </c>
      <c r="F262" s="48">
        <f>IF($N262&lt;&gt;"減","",N(INDEX('入金消込'!$G$5:$G$1004,$O262)))</f>
        <v/>
      </c>
      <c r="G262" s="48">
        <f>IF($N262&lt;&gt;"減","",N(INDEX('入金消込'!$H$5:$H$1004,$O262))+N(INDEX('入金消込'!$I$5:$I$1004,$O262)))</f>
        <v/>
      </c>
      <c r="H262" s="49">
        <f>IF($N262="","",$H261+N($E262)-N($F262)-N($G262))</f>
        <v/>
      </c>
      <c r="I262" s="56" t="n"/>
      <c r="J262" s="32">
        <f>$J261+IF($N261="増",1,0)</f>
        <v/>
      </c>
      <c r="K262" s="32">
        <f>$K261+IF($N261="減",1,0)</f>
        <v/>
      </c>
      <c r="L262" s="35">
        <f>IF($B$3="",1E+9,IFERROR(SMALL('請求台帳'!$Z$5:$Z$1004,$J262+1),1E+9))</f>
        <v/>
      </c>
      <c r="M262" s="35">
        <f>IF($B$3="",1E+9,IFERROR(SMALL('入金消込'!$Q$5:$Q$1004,$K262+1),1E+9))</f>
        <v/>
      </c>
      <c r="N262" s="32">
        <f>IF(MIN($L262,$M262)&gt;=1E+9,"",IF($L262&lt;=$M262,"増","減"))</f>
        <v/>
      </c>
      <c r="O262" s="32">
        <f>IF($N262="","",IF($N262="増",MATCH($L262,'請求台帳'!$Z$5:$Z$1004,0),MATCH($M262,'入金消込'!$Q$5:$Q$1004,0)))</f>
        <v/>
      </c>
      <c r="P262" s="56" t="n"/>
      <c r="Q262" s="56" t="n"/>
    </row>
    <row r="263" ht="18" customHeight="1">
      <c r="A263" s="45">
        <f>IF($N263="","",IF($N263="増",INDEX('請求台帳'!$X$5:$X$1004,$O263),INDEX('入金消込'!$A$5:$A$1004,$O263)))</f>
        <v/>
      </c>
      <c r="B263" s="46">
        <f>IF($N263="","",IF($N263="増","売上","入金"))</f>
        <v/>
      </c>
      <c r="C263" s="46">
        <f>IF($N263="","",IF($N263="増",INDEX('請求台帳'!$A$5:$A$1004,$O263)&amp;"","入金No "&amp;INDEX('入金消込'!$B$5:$B$1004,$O263)))</f>
        <v/>
      </c>
      <c r="D263" s="47">
        <f>IF($N263="","",IF($N263="増",INDEX('請求台帳'!$F$5:$F$1004,$O263)&amp;"",IF(INDEX('入金消込'!$F$5:$F$1004,$O263)="","消込先が未定",INDEX('入金消込'!$F$5:$F$1004,$O263)&amp;" の入金")))</f>
        <v/>
      </c>
      <c r="E263" s="48">
        <f>IF($N263&lt;&gt;"増","",INDEX('請求台帳'!$L$5:$L$1004,$O263))</f>
        <v/>
      </c>
      <c r="F263" s="48">
        <f>IF($N263&lt;&gt;"減","",N(INDEX('入金消込'!$G$5:$G$1004,$O263)))</f>
        <v/>
      </c>
      <c r="G263" s="48">
        <f>IF($N263&lt;&gt;"減","",N(INDEX('入金消込'!$H$5:$H$1004,$O263))+N(INDEX('入金消込'!$I$5:$I$1004,$O263)))</f>
        <v/>
      </c>
      <c r="H263" s="49">
        <f>IF($N263="","",$H262+N($E263)-N($F263)-N($G263))</f>
        <v/>
      </c>
      <c r="I263" s="56" t="n"/>
      <c r="J263" s="32">
        <f>$J262+IF($N262="増",1,0)</f>
        <v/>
      </c>
      <c r="K263" s="32">
        <f>$K262+IF($N262="減",1,0)</f>
        <v/>
      </c>
      <c r="L263" s="35">
        <f>IF($B$3="",1E+9,IFERROR(SMALL('請求台帳'!$Z$5:$Z$1004,$J263+1),1E+9))</f>
        <v/>
      </c>
      <c r="M263" s="35">
        <f>IF($B$3="",1E+9,IFERROR(SMALL('入金消込'!$Q$5:$Q$1004,$K263+1),1E+9))</f>
        <v/>
      </c>
      <c r="N263" s="32">
        <f>IF(MIN($L263,$M263)&gt;=1E+9,"",IF($L263&lt;=$M263,"増","減"))</f>
        <v/>
      </c>
      <c r="O263" s="32">
        <f>IF($N263="","",IF($N263="増",MATCH($L263,'請求台帳'!$Z$5:$Z$1004,0),MATCH($M263,'入金消込'!$Q$5:$Q$1004,0)))</f>
        <v/>
      </c>
      <c r="P263" s="56" t="n"/>
      <c r="Q263" s="56" t="n"/>
    </row>
    <row r="264" ht="18" customHeight="1">
      <c r="A264" s="45">
        <f>IF($N264="","",IF($N264="増",INDEX('請求台帳'!$X$5:$X$1004,$O264),INDEX('入金消込'!$A$5:$A$1004,$O264)))</f>
        <v/>
      </c>
      <c r="B264" s="46">
        <f>IF($N264="","",IF($N264="増","売上","入金"))</f>
        <v/>
      </c>
      <c r="C264" s="46">
        <f>IF($N264="","",IF($N264="増",INDEX('請求台帳'!$A$5:$A$1004,$O264)&amp;"","入金No "&amp;INDEX('入金消込'!$B$5:$B$1004,$O264)))</f>
        <v/>
      </c>
      <c r="D264" s="47">
        <f>IF($N264="","",IF($N264="増",INDEX('請求台帳'!$F$5:$F$1004,$O264)&amp;"",IF(INDEX('入金消込'!$F$5:$F$1004,$O264)="","消込先が未定",INDEX('入金消込'!$F$5:$F$1004,$O264)&amp;" の入金")))</f>
        <v/>
      </c>
      <c r="E264" s="48">
        <f>IF($N264&lt;&gt;"増","",INDEX('請求台帳'!$L$5:$L$1004,$O264))</f>
        <v/>
      </c>
      <c r="F264" s="48">
        <f>IF($N264&lt;&gt;"減","",N(INDEX('入金消込'!$G$5:$G$1004,$O264)))</f>
        <v/>
      </c>
      <c r="G264" s="48">
        <f>IF($N264&lt;&gt;"減","",N(INDEX('入金消込'!$H$5:$H$1004,$O264))+N(INDEX('入金消込'!$I$5:$I$1004,$O264)))</f>
        <v/>
      </c>
      <c r="H264" s="49">
        <f>IF($N264="","",$H263+N($E264)-N($F264)-N($G264))</f>
        <v/>
      </c>
      <c r="I264" s="56" t="n"/>
      <c r="J264" s="32">
        <f>$J263+IF($N263="増",1,0)</f>
        <v/>
      </c>
      <c r="K264" s="32">
        <f>$K263+IF($N263="減",1,0)</f>
        <v/>
      </c>
      <c r="L264" s="35">
        <f>IF($B$3="",1E+9,IFERROR(SMALL('請求台帳'!$Z$5:$Z$1004,$J264+1),1E+9))</f>
        <v/>
      </c>
      <c r="M264" s="35">
        <f>IF($B$3="",1E+9,IFERROR(SMALL('入金消込'!$Q$5:$Q$1004,$K264+1),1E+9))</f>
        <v/>
      </c>
      <c r="N264" s="32">
        <f>IF(MIN($L264,$M264)&gt;=1E+9,"",IF($L264&lt;=$M264,"増","減"))</f>
        <v/>
      </c>
      <c r="O264" s="32">
        <f>IF($N264="","",IF($N264="増",MATCH($L264,'請求台帳'!$Z$5:$Z$1004,0),MATCH($M264,'入金消込'!$Q$5:$Q$1004,0)))</f>
        <v/>
      </c>
      <c r="P264" s="56" t="n"/>
      <c r="Q264" s="56" t="n"/>
    </row>
    <row r="265" ht="18" customHeight="1">
      <c r="A265" s="45">
        <f>IF($N265="","",IF($N265="増",INDEX('請求台帳'!$X$5:$X$1004,$O265),INDEX('入金消込'!$A$5:$A$1004,$O265)))</f>
        <v/>
      </c>
      <c r="B265" s="46">
        <f>IF($N265="","",IF($N265="増","売上","入金"))</f>
        <v/>
      </c>
      <c r="C265" s="46">
        <f>IF($N265="","",IF($N265="増",INDEX('請求台帳'!$A$5:$A$1004,$O265)&amp;"","入金No "&amp;INDEX('入金消込'!$B$5:$B$1004,$O265)))</f>
        <v/>
      </c>
      <c r="D265" s="47">
        <f>IF($N265="","",IF($N265="増",INDEX('請求台帳'!$F$5:$F$1004,$O265)&amp;"",IF(INDEX('入金消込'!$F$5:$F$1004,$O265)="","消込先が未定",INDEX('入金消込'!$F$5:$F$1004,$O265)&amp;" の入金")))</f>
        <v/>
      </c>
      <c r="E265" s="48">
        <f>IF($N265&lt;&gt;"増","",INDEX('請求台帳'!$L$5:$L$1004,$O265))</f>
        <v/>
      </c>
      <c r="F265" s="48">
        <f>IF($N265&lt;&gt;"減","",N(INDEX('入金消込'!$G$5:$G$1004,$O265)))</f>
        <v/>
      </c>
      <c r="G265" s="48">
        <f>IF($N265&lt;&gt;"減","",N(INDEX('入金消込'!$H$5:$H$1004,$O265))+N(INDEX('入金消込'!$I$5:$I$1004,$O265)))</f>
        <v/>
      </c>
      <c r="H265" s="49">
        <f>IF($N265="","",$H264+N($E265)-N($F265)-N($G265))</f>
        <v/>
      </c>
      <c r="I265" s="56" t="n"/>
      <c r="J265" s="32">
        <f>$J264+IF($N264="増",1,0)</f>
        <v/>
      </c>
      <c r="K265" s="32">
        <f>$K264+IF($N264="減",1,0)</f>
        <v/>
      </c>
      <c r="L265" s="35">
        <f>IF($B$3="",1E+9,IFERROR(SMALL('請求台帳'!$Z$5:$Z$1004,$J265+1),1E+9))</f>
        <v/>
      </c>
      <c r="M265" s="35">
        <f>IF($B$3="",1E+9,IFERROR(SMALL('入金消込'!$Q$5:$Q$1004,$K265+1),1E+9))</f>
        <v/>
      </c>
      <c r="N265" s="32">
        <f>IF(MIN($L265,$M265)&gt;=1E+9,"",IF($L265&lt;=$M265,"増","減"))</f>
        <v/>
      </c>
      <c r="O265" s="32">
        <f>IF($N265="","",IF($N265="増",MATCH($L265,'請求台帳'!$Z$5:$Z$1004,0),MATCH($M265,'入金消込'!$Q$5:$Q$1004,0)))</f>
        <v/>
      </c>
      <c r="P265" s="56" t="n"/>
      <c r="Q265" s="56" t="n"/>
    </row>
    <row r="266" ht="18" customHeight="1">
      <c r="A266" s="45">
        <f>IF($N266="","",IF($N266="増",INDEX('請求台帳'!$X$5:$X$1004,$O266),INDEX('入金消込'!$A$5:$A$1004,$O266)))</f>
        <v/>
      </c>
      <c r="B266" s="46">
        <f>IF($N266="","",IF($N266="増","売上","入金"))</f>
        <v/>
      </c>
      <c r="C266" s="46">
        <f>IF($N266="","",IF($N266="増",INDEX('請求台帳'!$A$5:$A$1004,$O266)&amp;"","入金No "&amp;INDEX('入金消込'!$B$5:$B$1004,$O266)))</f>
        <v/>
      </c>
      <c r="D266" s="47">
        <f>IF($N266="","",IF($N266="増",INDEX('請求台帳'!$F$5:$F$1004,$O266)&amp;"",IF(INDEX('入金消込'!$F$5:$F$1004,$O266)="","消込先が未定",INDEX('入金消込'!$F$5:$F$1004,$O266)&amp;" の入金")))</f>
        <v/>
      </c>
      <c r="E266" s="48">
        <f>IF($N266&lt;&gt;"増","",INDEX('請求台帳'!$L$5:$L$1004,$O266))</f>
        <v/>
      </c>
      <c r="F266" s="48">
        <f>IF($N266&lt;&gt;"減","",N(INDEX('入金消込'!$G$5:$G$1004,$O266)))</f>
        <v/>
      </c>
      <c r="G266" s="48">
        <f>IF($N266&lt;&gt;"減","",N(INDEX('入金消込'!$H$5:$H$1004,$O266))+N(INDEX('入金消込'!$I$5:$I$1004,$O266)))</f>
        <v/>
      </c>
      <c r="H266" s="49">
        <f>IF($N266="","",$H265+N($E266)-N($F266)-N($G266))</f>
        <v/>
      </c>
      <c r="I266" s="56" t="n"/>
      <c r="J266" s="32">
        <f>$J265+IF($N265="増",1,0)</f>
        <v/>
      </c>
      <c r="K266" s="32">
        <f>$K265+IF($N265="減",1,0)</f>
        <v/>
      </c>
      <c r="L266" s="35">
        <f>IF($B$3="",1E+9,IFERROR(SMALL('請求台帳'!$Z$5:$Z$1004,$J266+1),1E+9))</f>
        <v/>
      </c>
      <c r="M266" s="35">
        <f>IF($B$3="",1E+9,IFERROR(SMALL('入金消込'!$Q$5:$Q$1004,$K266+1),1E+9))</f>
        <v/>
      </c>
      <c r="N266" s="32">
        <f>IF(MIN($L266,$M266)&gt;=1E+9,"",IF($L266&lt;=$M266,"増","減"))</f>
        <v/>
      </c>
      <c r="O266" s="32">
        <f>IF($N266="","",IF($N266="増",MATCH($L266,'請求台帳'!$Z$5:$Z$1004,0),MATCH($M266,'入金消込'!$Q$5:$Q$1004,0)))</f>
        <v/>
      </c>
      <c r="P266" s="56" t="n"/>
      <c r="Q266" s="56" t="n"/>
    </row>
    <row r="267" ht="18" customHeight="1">
      <c r="A267" s="45">
        <f>IF($N267="","",IF($N267="増",INDEX('請求台帳'!$X$5:$X$1004,$O267),INDEX('入金消込'!$A$5:$A$1004,$O267)))</f>
        <v/>
      </c>
      <c r="B267" s="46">
        <f>IF($N267="","",IF($N267="増","売上","入金"))</f>
        <v/>
      </c>
      <c r="C267" s="46">
        <f>IF($N267="","",IF($N267="増",INDEX('請求台帳'!$A$5:$A$1004,$O267)&amp;"","入金No "&amp;INDEX('入金消込'!$B$5:$B$1004,$O267)))</f>
        <v/>
      </c>
      <c r="D267" s="47">
        <f>IF($N267="","",IF($N267="増",INDEX('請求台帳'!$F$5:$F$1004,$O267)&amp;"",IF(INDEX('入金消込'!$F$5:$F$1004,$O267)="","消込先が未定",INDEX('入金消込'!$F$5:$F$1004,$O267)&amp;" の入金")))</f>
        <v/>
      </c>
      <c r="E267" s="48">
        <f>IF($N267&lt;&gt;"増","",INDEX('請求台帳'!$L$5:$L$1004,$O267))</f>
        <v/>
      </c>
      <c r="F267" s="48">
        <f>IF($N267&lt;&gt;"減","",N(INDEX('入金消込'!$G$5:$G$1004,$O267)))</f>
        <v/>
      </c>
      <c r="G267" s="48">
        <f>IF($N267&lt;&gt;"減","",N(INDEX('入金消込'!$H$5:$H$1004,$O267))+N(INDEX('入金消込'!$I$5:$I$1004,$O267)))</f>
        <v/>
      </c>
      <c r="H267" s="49">
        <f>IF($N267="","",$H266+N($E267)-N($F267)-N($G267))</f>
        <v/>
      </c>
      <c r="I267" s="56" t="n"/>
      <c r="J267" s="32">
        <f>$J266+IF($N266="増",1,0)</f>
        <v/>
      </c>
      <c r="K267" s="32">
        <f>$K266+IF($N266="減",1,0)</f>
        <v/>
      </c>
      <c r="L267" s="35">
        <f>IF($B$3="",1E+9,IFERROR(SMALL('請求台帳'!$Z$5:$Z$1004,$J267+1),1E+9))</f>
        <v/>
      </c>
      <c r="M267" s="35">
        <f>IF($B$3="",1E+9,IFERROR(SMALL('入金消込'!$Q$5:$Q$1004,$K267+1),1E+9))</f>
        <v/>
      </c>
      <c r="N267" s="32">
        <f>IF(MIN($L267,$M267)&gt;=1E+9,"",IF($L267&lt;=$M267,"増","減"))</f>
        <v/>
      </c>
      <c r="O267" s="32">
        <f>IF($N267="","",IF($N267="増",MATCH($L267,'請求台帳'!$Z$5:$Z$1004,0),MATCH($M267,'入金消込'!$Q$5:$Q$1004,0)))</f>
        <v/>
      </c>
      <c r="P267" s="56" t="n"/>
      <c r="Q267" s="56" t="n"/>
    </row>
    <row r="268" ht="18" customHeight="1">
      <c r="A268" s="45">
        <f>IF($N268="","",IF($N268="増",INDEX('請求台帳'!$X$5:$X$1004,$O268),INDEX('入金消込'!$A$5:$A$1004,$O268)))</f>
        <v/>
      </c>
      <c r="B268" s="46">
        <f>IF($N268="","",IF($N268="増","売上","入金"))</f>
        <v/>
      </c>
      <c r="C268" s="46">
        <f>IF($N268="","",IF($N268="増",INDEX('請求台帳'!$A$5:$A$1004,$O268)&amp;"","入金No "&amp;INDEX('入金消込'!$B$5:$B$1004,$O268)))</f>
        <v/>
      </c>
      <c r="D268" s="47">
        <f>IF($N268="","",IF($N268="増",INDEX('請求台帳'!$F$5:$F$1004,$O268)&amp;"",IF(INDEX('入金消込'!$F$5:$F$1004,$O268)="","消込先が未定",INDEX('入金消込'!$F$5:$F$1004,$O268)&amp;" の入金")))</f>
        <v/>
      </c>
      <c r="E268" s="48">
        <f>IF($N268&lt;&gt;"増","",INDEX('請求台帳'!$L$5:$L$1004,$O268))</f>
        <v/>
      </c>
      <c r="F268" s="48">
        <f>IF($N268&lt;&gt;"減","",N(INDEX('入金消込'!$G$5:$G$1004,$O268)))</f>
        <v/>
      </c>
      <c r="G268" s="48">
        <f>IF($N268&lt;&gt;"減","",N(INDEX('入金消込'!$H$5:$H$1004,$O268))+N(INDEX('入金消込'!$I$5:$I$1004,$O268)))</f>
        <v/>
      </c>
      <c r="H268" s="49">
        <f>IF($N268="","",$H267+N($E268)-N($F268)-N($G268))</f>
        <v/>
      </c>
      <c r="I268" s="56" t="n"/>
      <c r="J268" s="32">
        <f>$J267+IF($N267="増",1,0)</f>
        <v/>
      </c>
      <c r="K268" s="32">
        <f>$K267+IF($N267="減",1,0)</f>
        <v/>
      </c>
      <c r="L268" s="35">
        <f>IF($B$3="",1E+9,IFERROR(SMALL('請求台帳'!$Z$5:$Z$1004,$J268+1),1E+9))</f>
        <v/>
      </c>
      <c r="M268" s="35">
        <f>IF($B$3="",1E+9,IFERROR(SMALL('入金消込'!$Q$5:$Q$1004,$K268+1),1E+9))</f>
        <v/>
      </c>
      <c r="N268" s="32">
        <f>IF(MIN($L268,$M268)&gt;=1E+9,"",IF($L268&lt;=$M268,"増","減"))</f>
        <v/>
      </c>
      <c r="O268" s="32">
        <f>IF($N268="","",IF($N268="増",MATCH($L268,'請求台帳'!$Z$5:$Z$1004,0),MATCH($M268,'入金消込'!$Q$5:$Q$1004,0)))</f>
        <v/>
      </c>
      <c r="P268" s="56" t="n"/>
      <c r="Q268" s="56" t="n"/>
    </row>
    <row r="269" ht="18" customHeight="1">
      <c r="A269" s="45">
        <f>IF($N269="","",IF($N269="増",INDEX('請求台帳'!$X$5:$X$1004,$O269),INDEX('入金消込'!$A$5:$A$1004,$O269)))</f>
        <v/>
      </c>
      <c r="B269" s="46">
        <f>IF($N269="","",IF($N269="増","売上","入金"))</f>
        <v/>
      </c>
      <c r="C269" s="46">
        <f>IF($N269="","",IF($N269="増",INDEX('請求台帳'!$A$5:$A$1004,$O269)&amp;"","入金No "&amp;INDEX('入金消込'!$B$5:$B$1004,$O269)))</f>
        <v/>
      </c>
      <c r="D269" s="47">
        <f>IF($N269="","",IF($N269="増",INDEX('請求台帳'!$F$5:$F$1004,$O269)&amp;"",IF(INDEX('入金消込'!$F$5:$F$1004,$O269)="","消込先が未定",INDEX('入金消込'!$F$5:$F$1004,$O269)&amp;" の入金")))</f>
        <v/>
      </c>
      <c r="E269" s="48">
        <f>IF($N269&lt;&gt;"増","",INDEX('請求台帳'!$L$5:$L$1004,$O269))</f>
        <v/>
      </c>
      <c r="F269" s="48">
        <f>IF($N269&lt;&gt;"減","",N(INDEX('入金消込'!$G$5:$G$1004,$O269)))</f>
        <v/>
      </c>
      <c r="G269" s="48">
        <f>IF($N269&lt;&gt;"減","",N(INDEX('入金消込'!$H$5:$H$1004,$O269))+N(INDEX('入金消込'!$I$5:$I$1004,$O269)))</f>
        <v/>
      </c>
      <c r="H269" s="49">
        <f>IF($N269="","",$H268+N($E269)-N($F269)-N($G269))</f>
        <v/>
      </c>
      <c r="I269" s="56" t="n"/>
      <c r="J269" s="32">
        <f>$J268+IF($N268="増",1,0)</f>
        <v/>
      </c>
      <c r="K269" s="32">
        <f>$K268+IF($N268="減",1,0)</f>
        <v/>
      </c>
      <c r="L269" s="35">
        <f>IF($B$3="",1E+9,IFERROR(SMALL('請求台帳'!$Z$5:$Z$1004,$J269+1),1E+9))</f>
        <v/>
      </c>
      <c r="M269" s="35">
        <f>IF($B$3="",1E+9,IFERROR(SMALL('入金消込'!$Q$5:$Q$1004,$K269+1),1E+9))</f>
        <v/>
      </c>
      <c r="N269" s="32">
        <f>IF(MIN($L269,$M269)&gt;=1E+9,"",IF($L269&lt;=$M269,"増","減"))</f>
        <v/>
      </c>
      <c r="O269" s="32">
        <f>IF($N269="","",IF($N269="増",MATCH($L269,'請求台帳'!$Z$5:$Z$1004,0),MATCH($M269,'入金消込'!$Q$5:$Q$1004,0)))</f>
        <v/>
      </c>
      <c r="P269" s="56" t="n"/>
      <c r="Q269" s="56" t="n"/>
    </row>
    <row r="270" ht="18" customHeight="1">
      <c r="A270" s="45">
        <f>IF($N270="","",IF($N270="増",INDEX('請求台帳'!$X$5:$X$1004,$O270),INDEX('入金消込'!$A$5:$A$1004,$O270)))</f>
        <v/>
      </c>
      <c r="B270" s="46">
        <f>IF($N270="","",IF($N270="増","売上","入金"))</f>
        <v/>
      </c>
      <c r="C270" s="46">
        <f>IF($N270="","",IF($N270="増",INDEX('請求台帳'!$A$5:$A$1004,$O270)&amp;"","入金No "&amp;INDEX('入金消込'!$B$5:$B$1004,$O270)))</f>
        <v/>
      </c>
      <c r="D270" s="47">
        <f>IF($N270="","",IF($N270="増",INDEX('請求台帳'!$F$5:$F$1004,$O270)&amp;"",IF(INDEX('入金消込'!$F$5:$F$1004,$O270)="","消込先が未定",INDEX('入金消込'!$F$5:$F$1004,$O270)&amp;" の入金")))</f>
        <v/>
      </c>
      <c r="E270" s="48">
        <f>IF($N270&lt;&gt;"増","",INDEX('請求台帳'!$L$5:$L$1004,$O270))</f>
        <v/>
      </c>
      <c r="F270" s="48">
        <f>IF($N270&lt;&gt;"減","",N(INDEX('入金消込'!$G$5:$G$1004,$O270)))</f>
        <v/>
      </c>
      <c r="G270" s="48">
        <f>IF($N270&lt;&gt;"減","",N(INDEX('入金消込'!$H$5:$H$1004,$O270))+N(INDEX('入金消込'!$I$5:$I$1004,$O270)))</f>
        <v/>
      </c>
      <c r="H270" s="49">
        <f>IF($N270="","",$H269+N($E270)-N($F270)-N($G270))</f>
        <v/>
      </c>
      <c r="I270" s="56" t="n"/>
      <c r="J270" s="32">
        <f>$J269+IF($N269="増",1,0)</f>
        <v/>
      </c>
      <c r="K270" s="32">
        <f>$K269+IF($N269="減",1,0)</f>
        <v/>
      </c>
      <c r="L270" s="35">
        <f>IF($B$3="",1E+9,IFERROR(SMALL('請求台帳'!$Z$5:$Z$1004,$J270+1),1E+9))</f>
        <v/>
      </c>
      <c r="M270" s="35">
        <f>IF($B$3="",1E+9,IFERROR(SMALL('入金消込'!$Q$5:$Q$1004,$K270+1),1E+9))</f>
        <v/>
      </c>
      <c r="N270" s="32">
        <f>IF(MIN($L270,$M270)&gt;=1E+9,"",IF($L270&lt;=$M270,"増","減"))</f>
        <v/>
      </c>
      <c r="O270" s="32">
        <f>IF($N270="","",IF($N270="増",MATCH($L270,'請求台帳'!$Z$5:$Z$1004,0),MATCH($M270,'入金消込'!$Q$5:$Q$1004,0)))</f>
        <v/>
      </c>
      <c r="P270" s="56" t="n"/>
      <c r="Q270" s="56" t="n"/>
    </row>
    <row r="271" ht="18" customHeight="1">
      <c r="A271" s="45">
        <f>IF($N271="","",IF($N271="増",INDEX('請求台帳'!$X$5:$X$1004,$O271),INDEX('入金消込'!$A$5:$A$1004,$O271)))</f>
        <v/>
      </c>
      <c r="B271" s="46">
        <f>IF($N271="","",IF($N271="増","売上","入金"))</f>
        <v/>
      </c>
      <c r="C271" s="46">
        <f>IF($N271="","",IF($N271="増",INDEX('請求台帳'!$A$5:$A$1004,$O271)&amp;"","入金No "&amp;INDEX('入金消込'!$B$5:$B$1004,$O271)))</f>
        <v/>
      </c>
      <c r="D271" s="47">
        <f>IF($N271="","",IF($N271="増",INDEX('請求台帳'!$F$5:$F$1004,$O271)&amp;"",IF(INDEX('入金消込'!$F$5:$F$1004,$O271)="","消込先が未定",INDEX('入金消込'!$F$5:$F$1004,$O271)&amp;" の入金")))</f>
        <v/>
      </c>
      <c r="E271" s="48">
        <f>IF($N271&lt;&gt;"増","",INDEX('請求台帳'!$L$5:$L$1004,$O271))</f>
        <v/>
      </c>
      <c r="F271" s="48">
        <f>IF($N271&lt;&gt;"減","",N(INDEX('入金消込'!$G$5:$G$1004,$O271)))</f>
        <v/>
      </c>
      <c r="G271" s="48">
        <f>IF($N271&lt;&gt;"減","",N(INDEX('入金消込'!$H$5:$H$1004,$O271))+N(INDEX('入金消込'!$I$5:$I$1004,$O271)))</f>
        <v/>
      </c>
      <c r="H271" s="49">
        <f>IF($N271="","",$H270+N($E271)-N($F271)-N($G271))</f>
        <v/>
      </c>
      <c r="I271" s="56" t="n"/>
      <c r="J271" s="32">
        <f>$J270+IF($N270="増",1,0)</f>
        <v/>
      </c>
      <c r="K271" s="32">
        <f>$K270+IF($N270="減",1,0)</f>
        <v/>
      </c>
      <c r="L271" s="35">
        <f>IF($B$3="",1E+9,IFERROR(SMALL('請求台帳'!$Z$5:$Z$1004,$J271+1),1E+9))</f>
        <v/>
      </c>
      <c r="M271" s="35">
        <f>IF($B$3="",1E+9,IFERROR(SMALL('入金消込'!$Q$5:$Q$1004,$K271+1),1E+9))</f>
        <v/>
      </c>
      <c r="N271" s="32">
        <f>IF(MIN($L271,$M271)&gt;=1E+9,"",IF($L271&lt;=$M271,"増","減"))</f>
        <v/>
      </c>
      <c r="O271" s="32">
        <f>IF($N271="","",IF($N271="増",MATCH($L271,'請求台帳'!$Z$5:$Z$1004,0),MATCH($M271,'入金消込'!$Q$5:$Q$1004,0)))</f>
        <v/>
      </c>
      <c r="P271" s="56" t="n"/>
      <c r="Q271" s="56" t="n"/>
    </row>
    <row r="272" ht="18" customHeight="1">
      <c r="A272" s="45">
        <f>IF($N272="","",IF($N272="増",INDEX('請求台帳'!$X$5:$X$1004,$O272),INDEX('入金消込'!$A$5:$A$1004,$O272)))</f>
        <v/>
      </c>
      <c r="B272" s="46">
        <f>IF($N272="","",IF($N272="増","売上","入金"))</f>
        <v/>
      </c>
      <c r="C272" s="46">
        <f>IF($N272="","",IF($N272="増",INDEX('請求台帳'!$A$5:$A$1004,$O272)&amp;"","入金No "&amp;INDEX('入金消込'!$B$5:$B$1004,$O272)))</f>
        <v/>
      </c>
      <c r="D272" s="47">
        <f>IF($N272="","",IF($N272="増",INDEX('請求台帳'!$F$5:$F$1004,$O272)&amp;"",IF(INDEX('入金消込'!$F$5:$F$1004,$O272)="","消込先が未定",INDEX('入金消込'!$F$5:$F$1004,$O272)&amp;" の入金")))</f>
        <v/>
      </c>
      <c r="E272" s="48">
        <f>IF($N272&lt;&gt;"増","",INDEX('請求台帳'!$L$5:$L$1004,$O272))</f>
        <v/>
      </c>
      <c r="F272" s="48">
        <f>IF($N272&lt;&gt;"減","",N(INDEX('入金消込'!$G$5:$G$1004,$O272)))</f>
        <v/>
      </c>
      <c r="G272" s="48">
        <f>IF($N272&lt;&gt;"減","",N(INDEX('入金消込'!$H$5:$H$1004,$O272))+N(INDEX('入金消込'!$I$5:$I$1004,$O272)))</f>
        <v/>
      </c>
      <c r="H272" s="49">
        <f>IF($N272="","",$H271+N($E272)-N($F272)-N($G272))</f>
        <v/>
      </c>
      <c r="I272" s="56" t="n"/>
      <c r="J272" s="32">
        <f>$J271+IF($N271="増",1,0)</f>
        <v/>
      </c>
      <c r="K272" s="32">
        <f>$K271+IF($N271="減",1,0)</f>
        <v/>
      </c>
      <c r="L272" s="35">
        <f>IF($B$3="",1E+9,IFERROR(SMALL('請求台帳'!$Z$5:$Z$1004,$J272+1),1E+9))</f>
        <v/>
      </c>
      <c r="M272" s="35">
        <f>IF($B$3="",1E+9,IFERROR(SMALL('入金消込'!$Q$5:$Q$1004,$K272+1),1E+9))</f>
        <v/>
      </c>
      <c r="N272" s="32">
        <f>IF(MIN($L272,$M272)&gt;=1E+9,"",IF($L272&lt;=$M272,"増","減"))</f>
        <v/>
      </c>
      <c r="O272" s="32">
        <f>IF($N272="","",IF($N272="増",MATCH($L272,'請求台帳'!$Z$5:$Z$1004,0),MATCH($M272,'入金消込'!$Q$5:$Q$1004,0)))</f>
        <v/>
      </c>
      <c r="P272" s="56" t="n"/>
      <c r="Q272" s="56" t="n"/>
    </row>
    <row r="273" ht="18" customHeight="1">
      <c r="A273" s="45">
        <f>IF($N273="","",IF($N273="増",INDEX('請求台帳'!$X$5:$X$1004,$O273),INDEX('入金消込'!$A$5:$A$1004,$O273)))</f>
        <v/>
      </c>
      <c r="B273" s="46">
        <f>IF($N273="","",IF($N273="増","売上","入金"))</f>
        <v/>
      </c>
      <c r="C273" s="46">
        <f>IF($N273="","",IF($N273="増",INDEX('請求台帳'!$A$5:$A$1004,$O273)&amp;"","入金No "&amp;INDEX('入金消込'!$B$5:$B$1004,$O273)))</f>
        <v/>
      </c>
      <c r="D273" s="47">
        <f>IF($N273="","",IF($N273="増",INDEX('請求台帳'!$F$5:$F$1004,$O273)&amp;"",IF(INDEX('入金消込'!$F$5:$F$1004,$O273)="","消込先が未定",INDEX('入金消込'!$F$5:$F$1004,$O273)&amp;" の入金")))</f>
        <v/>
      </c>
      <c r="E273" s="48">
        <f>IF($N273&lt;&gt;"増","",INDEX('請求台帳'!$L$5:$L$1004,$O273))</f>
        <v/>
      </c>
      <c r="F273" s="48">
        <f>IF($N273&lt;&gt;"減","",N(INDEX('入金消込'!$G$5:$G$1004,$O273)))</f>
        <v/>
      </c>
      <c r="G273" s="48">
        <f>IF($N273&lt;&gt;"減","",N(INDEX('入金消込'!$H$5:$H$1004,$O273))+N(INDEX('入金消込'!$I$5:$I$1004,$O273)))</f>
        <v/>
      </c>
      <c r="H273" s="49">
        <f>IF($N273="","",$H272+N($E273)-N($F273)-N($G273))</f>
        <v/>
      </c>
      <c r="I273" s="56" t="n"/>
      <c r="J273" s="32">
        <f>$J272+IF($N272="増",1,0)</f>
        <v/>
      </c>
      <c r="K273" s="32">
        <f>$K272+IF($N272="減",1,0)</f>
        <v/>
      </c>
      <c r="L273" s="35">
        <f>IF($B$3="",1E+9,IFERROR(SMALL('請求台帳'!$Z$5:$Z$1004,$J273+1),1E+9))</f>
        <v/>
      </c>
      <c r="M273" s="35">
        <f>IF($B$3="",1E+9,IFERROR(SMALL('入金消込'!$Q$5:$Q$1004,$K273+1),1E+9))</f>
        <v/>
      </c>
      <c r="N273" s="32">
        <f>IF(MIN($L273,$M273)&gt;=1E+9,"",IF($L273&lt;=$M273,"増","減"))</f>
        <v/>
      </c>
      <c r="O273" s="32">
        <f>IF($N273="","",IF($N273="増",MATCH($L273,'請求台帳'!$Z$5:$Z$1004,0),MATCH($M273,'入金消込'!$Q$5:$Q$1004,0)))</f>
        <v/>
      </c>
      <c r="P273" s="56" t="n"/>
      <c r="Q273" s="56" t="n"/>
    </row>
    <row r="274" ht="18" customHeight="1">
      <c r="A274" s="45">
        <f>IF($N274="","",IF($N274="増",INDEX('請求台帳'!$X$5:$X$1004,$O274),INDEX('入金消込'!$A$5:$A$1004,$O274)))</f>
        <v/>
      </c>
      <c r="B274" s="46">
        <f>IF($N274="","",IF($N274="増","売上","入金"))</f>
        <v/>
      </c>
      <c r="C274" s="46">
        <f>IF($N274="","",IF($N274="増",INDEX('請求台帳'!$A$5:$A$1004,$O274)&amp;"","入金No "&amp;INDEX('入金消込'!$B$5:$B$1004,$O274)))</f>
        <v/>
      </c>
      <c r="D274" s="47">
        <f>IF($N274="","",IF($N274="増",INDEX('請求台帳'!$F$5:$F$1004,$O274)&amp;"",IF(INDEX('入金消込'!$F$5:$F$1004,$O274)="","消込先が未定",INDEX('入金消込'!$F$5:$F$1004,$O274)&amp;" の入金")))</f>
        <v/>
      </c>
      <c r="E274" s="48">
        <f>IF($N274&lt;&gt;"増","",INDEX('請求台帳'!$L$5:$L$1004,$O274))</f>
        <v/>
      </c>
      <c r="F274" s="48">
        <f>IF($N274&lt;&gt;"減","",N(INDEX('入金消込'!$G$5:$G$1004,$O274)))</f>
        <v/>
      </c>
      <c r="G274" s="48">
        <f>IF($N274&lt;&gt;"減","",N(INDEX('入金消込'!$H$5:$H$1004,$O274))+N(INDEX('入金消込'!$I$5:$I$1004,$O274)))</f>
        <v/>
      </c>
      <c r="H274" s="49">
        <f>IF($N274="","",$H273+N($E274)-N($F274)-N($G274))</f>
        <v/>
      </c>
      <c r="I274" s="56" t="n"/>
      <c r="J274" s="32">
        <f>$J273+IF($N273="増",1,0)</f>
        <v/>
      </c>
      <c r="K274" s="32">
        <f>$K273+IF($N273="減",1,0)</f>
        <v/>
      </c>
      <c r="L274" s="35">
        <f>IF($B$3="",1E+9,IFERROR(SMALL('請求台帳'!$Z$5:$Z$1004,$J274+1),1E+9))</f>
        <v/>
      </c>
      <c r="M274" s="35">
        <f>IF($B$3="",1E+9,IFERROR(SMALL('入金消込'!$Q$5:$Q$1004,$K274+1),1E+9))</f>
        <v/>
      </c>
      <c r="N274" s="32">
        <f>IF(MIN($L274,$M274)&gt;=1E+9,"",IF($L274&lt;=$M274,"増","減"))</f>
        <v/>
      </c>
      <c r="O274" s="32">
        <f>IF($N274="","",IF($N274="増",MATCH($L274,'請求台帳'!$Z$5:$Z$1004,0),MATCH($M274,'入金消込'!$Q$5:$Q$1004,0)))</f>
        <v/>
      </c>
      <c r="P274" s="56" t="n"/>
      <c r="Q274" s="56" t="n"/>
    </row>
    <row r="275" ht="18" customHeight="1">
      <c r="A275" s="45">
        <f>IF($N275="","",IF($N275="増",INDEX('請求台帳'!$X$5:$X$1004,$O275),INDEX('入金消込'!$A$5:$A$1004,$O275)))</f>
        <v/>
      </c>
      <c r="B275" s="46">
        <f>IF($N275="","",IF($N275="増","売上","入金"))</f>
        <v/>
      </c>
      <c r="C275" s="46">
        <f>IF($N275="","",IF($N275="増",INDEX('請求台帳'!$A$5:$A$1004,$O275)&amp;"","入金No "&amp;INDEX('入金消込'!$B$5:$B$1004,$O275)))</f>
        <v/>
      </c>
      <c r="D275" s="47">
        <f>IF($N275="","",IF($N275="増",INDEX('請求台帳'!$F$5:$F$1004,$O275)&amp;"",IF(INDEX('入金消込'!$F$5:$F$1004,$O275)="","消込先が未定",INDEX('入金消込'!$F$5:$F$1004,$O275)&amp;" の入金")))</f>
        <v/>
      </c>
      <c r="E275" s="48">
        <f>IF($N275&lt;&gt;"増","",INDEX('請求台帳'!$L$5:$L$1004,$O275))</f>
        <v/>
      </c>
      <c r="F275" s="48">
        <f>IF($N275&lt;&gt;"減","",N(INDEX('入金消込'!$G$5:$G$1004,$O275)))</f>
        <v/>
      </c>
      <c r="G275" s="48">
        <f>IF($N275&lt;&gt;"減","",N(INDEX('入金消込'!$H$5:$H$1004,$O275))+N(INDEX('入金消込'!$I$5:$I$1004,$O275)))</f>
        <v/>
      </c>
      <c r="H275" s="49">
        <f>IF($N275="","",$H274+N($E275)-N($F275)-N($G275))</f>
        <v/>
      </c>
      <c r="I275" s="56" t="n"/>
      <c r="J275" s="32">
        <f>$J274+IF($N274="増",1,0)</f>
        <v/>
      </c>
      <c r="K275" s="32">
        <f>$K274+IF($N274="減",1,0)</f>
        <v/>
      </c>
      <c r="L275" s="35">
        <f>IF($B$3="",1E+9,IFERROR(SMALL('請求台帳'!$Z$5:$Z$1004,$J275+1),1E+9))</f>
        <v/>
      </c>
      <c r="M275" s="35">
        <f>IF($B$3="",1E+9,IFERROR(SMALL('入金消込'!$Q$5:$Q$1004,$K275+1),1E+9))</f>
        <v/>
      </c>
      <c r="N275" s="32">
        <f>IF(MIN($L275,$M275)&gt;=1E+9,"",IF($L275&lt;=$M275,"増","減"))</f>
        <v/>
      </c>
      <c r="O275" s="32">
        <f>IF($N275="","",IF($N275="増",MATCH($L275,'請求台帳'!$Z$5:$Z$1004,0),MATCH($M275,'入金消込'!$Q$5:$Q$1004,0)))</f>
        <v/>
      </c>
      <c r="P275" s="56" t="n"/>
      <c r="Q275" s="56" t="n"/>
    </row>
    <row r="276" ht="18" customHeight="1">
      <c r="A276" s="45">
        <f>IF($N276="","",IF($N276="増",INDEX('請求台帳'!$X$5:$X$1004,$O276),INDEX('入金消込'!$A$5:$A$1004,$O276)))</f>
        <v/>
      </c>
      <c r="B276" s="46">
        <f>IF($N276="","",IF($N276="増","売上","入金"))</f>
        <v/>
      </c>
      <c r="C276" s="46">
        <f>IF($N276="","",IF($N276="増",INDEX('請求台帳'!$A$5:$A$1004,$O276)&amp;"","入金No "&amp;INDEX('入金消込'!$B$5:$B$1004,$O276)))</f>
        <v/>
      </c>
      <c r="D276" s="47">
        <f>IF($N276="","",IF($N276="増",INDEX('請求台帳'!$F$5:$F$1004,$O276)&amp;"",IF(INDEX('入金消込'!$F$5:$F$1004,$O276)="","消込先が未定",INDEX('入金消込'!$F$5:$F$1004,$O276)&amp;" の入金")))</f>
        <v/>
      </c>
      <c r="E276" s="48">
        <f>IF($N276&lt;&gt;"増","",INDEX('請求台帳'!$L$5:$L$1004,$O276))</f>
        <v/>
      </c>
      <c r="F276" s="48">
        <f>IF($N276&lt;&gt;"減","",N(INDEX('入金消込'!$G$5:$G$1004,$O276)))</f>
        <v/>
      </c>
      <c r="G276" s="48">
        <f>IF($N276&lt;&gt;"減","",N(INDEX('入金消込'!$H$5:$H$1004,$O276))+N(INDEX('入金消込'!$I$5:$I$1004,$O276)))</f>
        <v/>
      </c>
      <c r="H276" s="49">
        <f>IF($N276="","",$H275+N($E276)-N($F276)-N($G276))</f>
        <v/>
      </c>
      <c r="I276" s="56" t="n"/>
      <c r="J276" s="32">
        <f>$J275+IF($N275="増",1,0)</f>
        <v/>
      </c>
      <c r="K276" s="32">
        <f>$K275+IF($N275="減",1,0)</f>
        <v/>
      </c>
      <c r="L276" s="35">
        <f>IF($B$3="",1E+9,IFERROR(SMALL('請求台帳'!$Z$5:$Z$1004,$J276+1),1E+9))</f>
        <v/>
      </c>
      <c r="M276" s="35">
        <f>IF($B$3="",1E+9,IFERROR(SMALL('入金消込'!$Q$5:$Q$1004,$K276+1),1E+9))</f>
        <v/>
      </c>
      <c r="N276" s="32">
        <f>IF(MIN($L276,$M276)&gt;=1E+9,"",IF($L276&lt;=$M276,"増","減"))</f>
        <v/>
      </c>
      <c r="O276" s="32">
        <f>IF($N276="","",IF($N276="増",MATCH($L276,'請求台帳'!$Z$5:$Z$1004,0),MATCH($M276,'入金消込'!$Q$5:$Q$1004,0)))</f>
        <v/>
      </c>
      <c r="P276" s="56" t="n"/>
      <c r="Q276" s="56" t="n"/>
    </row>
    <row r="277" ht="18" customHeight="1">
      <c r="A277" s="45">
        <f>IF($N277="","",IF($N277="増",INDEX('請求台帳'!$X$5:$X$1004,$O277),INDEX('入金消込'!$A$5:$A$1004,$O277)))</f>
        <v/>
      </c>
      <c r="B277" s="46">
        <f>IF($N277="","",IF($N277="増","売上","入金"))</f>
        <v/>
      </c>
      <c r="C277" s="46">
        <f>IF($N277="","",IF($N277="増",INDEX('請求台帳'!$A$5:$A$1004,$O277)&amp;"","入金No "&amp;INDEX('入金消込'!$B$5:$B$1004,$O277)))</f>
        <v/>
      </c>
      <c r="D277" s="47">
        <f>IF($N277="","",IF($N277="増",INDEX('請求台帳'!$F$5:$F$1004,$O277)&amp;"",IF(INDEX('入金消込'!$F$5:$F$1004,$O277)="","消込先が未定",INDEX('入金消込'!$F$5:$F$1004,$O277)&amp;" の入金")))</f>
        <v/>
      </c>
      <c r="E277" s="48">
        <f>IF($N277&lt;&gt;"増","",INDEX('請求台帳'!$L$5:$L$1004,$O277))</f>
        <v/>
      </c>
      <c r="F277" s="48">
        <f>IF($N277&lt;&gt;"減","",N(INDEX('入金消込'!$G$5:$G$1004,$O277)))</f>
        <v/>
      </c>
      <c r="G277" s="48">
        <f>IF($N277&lt;&gt;"減","",N(INDEX('入金消込'!$H$5:$H$1004,$O277))+N(INDEX('入金消込'!$I$5:$I$1004,$O277)))</f>
        <v/>
      </c>
      <c r="H277" s="49">
        <f>IF($N277="","",$H276+N($E277)-N($F277)-N($G277))</f>
        <v/>
      </c>
      <c r="I277" s="56" t="n"/>
      <c r="J277" s="32">
        <f>$J276+IF($N276="増",1,0)</f>
        <v/>
      </c>
      <c r="K277" s="32">
        <f>$K276+IF($N276="減",1,0)</f>
        <v/>
      </c>
      <c r="L277" s="35">
        <f>IF($B$3="",1E+9,IFERROR(SMALL('請求台帳'!$Z$5:$Z$1004,$J277+1),1E+9))</f>
        <v/>
      </c>
      <c r="M277" s="35">
        <f>IF($B$3="",1E+9,IFERROR(SMALL('入金消込'!$Q$5:$Q$1004,$K277+1),1E+9))</f>
        <v/>
      </c>
      <c r="N277" s="32">
        <f>IF(MIN($L277,$M277)&gt;=1E+9,"",IF($L277&lt;=$M277,"増","減"))</f>
        <v/>
      </c>
      <c r="O277" s="32">
        <f>IF($N277="","",IF($N277="増",MATCH($L277,'請求台帳'!$Z$5:$Z$1004,0),MATCH($M277,'入金消込'!$Q$5:$Q$1004,0)))</f>
        <v/>
      </c>
      <c r="P277" s="56" t="n"/>
      <c r="Q277" s="56" t="n"/>
    </row>
    <row r="278" ht="18" customHeight="1">
      <c r="A278" s="45">
        <f>IF($N278="","",IF($N278="増",INDEX('請求台帳'!$X$5:$X$1004,$O278),INDEX('入金消込'!$A$5:$A$1004,$O278)))</f>
        <v/>
      </c>
      <c r="B278" s="46">
        <f>IF($N278="","",IF($N278="増","売上","入金"))</f>
        <v/>
      </c>
      <c r="C278" s="46">
        <f>IF($N278="","",IF($N278="増",INDEX('請求台帳'!$A$5:$A$1004,$O278)&amp;"","入金No "&amp;INDEX('入金消込'!$B$5:$B$1004,$O278)))</f>
        <v/>
      </c>
      <c r="D278" s="47">
        <f>IF($N278="","",IF($N278="増",INDEX('請求台帳'!$F$5:$F$1004,$O278)&amp;"",IF(INDEX('入金消込'!$F$5:$F$1004,$O278)="","消込先が未定",INDEX('入金消込'!$F$5:$F$1004,$O278)&amp;" の入金")))</f>
        <v/>
      </c>
      <c r="E278" s="48">
        <f>IF($N278&lt;&gt;"増","",INDEX('請求台帳'!$L$5:$L$1004,$O278))</f>
        <v/>
      </c>
      <c r="F278" s="48">
        <f>IF($N278&lt;&gt;"減","",N(INDEX('入金消込'!$G$5:$G$1004,$O278)))</f>
        <v/>
      </c>
      <c r="G278" s="48">
        <f>IF($N278&lt;&gt;"減","",N(INDEX('入金消込'!$H$5:$H$1004,$O278))+N(INDEX('入金消込'!$I$5:$I$1004,$O278)))</f>
        <v/>
      </c>
      <c r="H278" s="49">
        <f>IF($N278="","",$H277+N($E278)-N($F278)-N($G278))</f>
        <v/>
      </c>
      <c r="I278" s="56" t="n"/>
      <c r="J278" s="32">
        <f>$J277+IF($N277="増",1,0)</f>
        <v/>
      </c>
      <c r="K278" s="32">
        <f>$K277+IF($N277="減",1,0)</f>
        <v/>
      </c>
      <c r="L278" s="35">
        <f>IF($B$3="",1E+9,IFERROR(SMALL('請求台帳'!$Z$5:$Z$1004,$J278+1),1E+9))</f>
        <v/>
      </c>
      <c r="M278" s="35">
        <f>IF($B$3="",1E+9,IFERROR(SMALL('入金消込'!$Q$5:$Q$1004,$K278+1),1E+9))</f>
        <v/>
      </c>
      <c r="N278" s="32">
        <f>IF(MIN($L278,$M278)&gt;=1E+9,"",IF($L278&lt;=$M278,"増","減"))</f>
        <v/>
      </c>
      <c r="O278" s="32">
        <f>IF($N278="","",IF($N278="増",MATCH($L278,'請求台帳'!$Z$5:$Z$1004,0),MATCH($M278,'入金消込'!$Q$5:$Q$1004,0)))</f>
        <v/>
      </c>
      <c r="P278" s="56" t="n"/>
      <c r="Q278" s="56" t="n"/>
    </row>
    <row r="279" ht="18" customHeight="1">
      <c r="A279" s="45">
        <f>IF($N279="","",IF($N279="増",INDEX('請求台帳'!$X$5:$X$1004,$O279),INDEX('入金消込'!$A$5:$A$1004,$O279)))</f>
        <v/>
      </c>
      <c r="B279" s="46">
        <f>IF($N279="","",IF($N279="増","売上","入金"))</f>
        <v/>
      </c>
      <c r="C279" s="46">
        <f>IF($N279="","",IF($N279="増",INDEX('請求台帳'!$A$5:$A$1004,$O279)&amp;"","入金No "&amp;INDEX('入金消込'!$B$5:$B$1004,$O279)))</f>
        <v/>
      </c>
      <c r="D279" s="47">
        <f>IF($N279="","",IF($N279="増",INDEX('請求台帳'!$F$5:$F$1004,$O279)&amp;"",IF(INDEX('入金消込'!$F$5:$F$1004,$O279)="","消込先が未定",INDEX('入金消込'!$F$5:$F$1004,$O279)&amp;" の入金")))</f>
        <v/>
      </c>
      <c r="E279" s="48">
        <f>IF($N279&lt;&gt;"増","",INDEX('請求台帳'!$L$5:$L$1004,$O279))</f>
        <v/>
      </c>
      <c r="F279" s="48">
        <f>IF($N279&lt;&gt;"減","",N(INDEX('入金消込'!$G$5:$G$1004,$O279)))</f>
        <v/>
      </c>
      <c r="G279" s="48">
        <f>IF($N279&lt;&gt;"減","",N(INDEX('入金消込'!$H$5:$H$1004,$O279))+N(INDEX('入金消込'!$I$5:$I$1004,$O279)))</f>
        <v/>
      </c>
      <c r="H279" s="49">
        <f>IF($N279="","",$H278+N($E279)-N($F279)-N($G279))</f>
        <v/>
      </c>
      <c r="I279" s="56" t="n"/>
      <c r="J279" s="32">
        <f>$J278+IF($N278="増",1,0)</f>
        <v/>
      </c>
      <c r="K279" s="32">
        <f>$K278+IF($N278="減",1,0)</f>
        <v/>
      </c>
      <c r="L279" s="35">
        <f>IF($B$3="",1E+9,IFERROR(SMALL('請求台帳'!$Z$5:$Z$1004,$J279+1),1E+9))</f>
        <v/>
      </c>
      <c r="M279" s="35">
        <f>IF($B$3="",1E+9,IFERROR(SMALL('入金消込'!$Q$5:$Q$1004,$K279+1),1E+9))</f>
        <v/>
      </c>
      <c r="N279" s="32">
        <f>IF(MIN($L279,$M279)&gt;=1E+9,"",IF($L279&lt;=$M279,"増","減"))</f>
        <v/>
      </c>
      <c r="O279" s="32">
        <f>IF($N279="","",IF($N279="増",MATCH($L279,'請求台帳'!$Z$5:$Z$1004,0),MATCH($M279,'入金消込'!$Q$5:$Q$1004,0)))</f>
        <v/>
      </c>
      <c r="P279" s="56" t="n"/>
      <c r="Q279" s="56" t="n"/>
    </row>
    <row r="280" ht="18" customHeight="1">
      <c r="A280" s="45">
        <f>IF($N280="","",IF($N280="増",INDEX('請求台帳'!$X$5:$X$1004,$O280),INDEX('入金消込'!$A$5:$A$1004,$O280)))</f>
        <v/>
      </c>
      <c r="B280" s="46">
        <f>IF($N280="","",IF($N280="増","売上","入金"))</f>
        <v/>
      </c>
      <c r="C280" s="46">
        <f>IF($N280="","",IF($N280="増",INDEX('請求台帳'!$A$5:$A$1004,$O280)&amp;"","入金No "&amp;INDEX('入金消込'!$B$5:$B$1004,$O280)))</f>
        <v/>
      </c>
      <c r="D280" s="47">
        <f>IF($N280="","",IF($N280="増",INDEX('請求台帳'!$F$5:$F$1004,$O280)&amp;"",IF(INDEX('入金消込'!$F$5:$F$1004,$O280)="","消込先が未定",INDEX('入金消込'!$F$5:$F$1004,$O280)&amp;" の入金")))</f>
        <v/>
      </c>
      <c r="E280" s="48">
        <f>IF($N280&lt;&gt;"増","",INDEX('請求台帳'!$L$5:$L$1004,$O280))</f>
        <v/>
      </c>
      <c r="F280" s="48">
        <f>IF($N280&lt;&gt;"減","",N(INDEX('入金消込'!$G$5:$G$1004,$O280)))</f>
        <v/>
      </c>
      <c r="G280" s="48">
        <f>IF($N280&lt;&gt;"減","",N(INDEX('入金消込'!$H$5:$H$1004,$O280))+N(INDEX('入金消込'!$I$5:$I$1004,$O280)))</f>
        <v/>
      </c>
      <c r="H280" s="49">
        <f>IF($N280="","",$H279+N($E280)-N($F280)-N($G280))</f>
        <v/>
      </c>
      <c r="I280" s="56" t="n"/>
      <c r="J280" s="32">
        <f>$J279+IF($N279="増",1,0)</f>
        <v/>
      </c>
      <c r="K280" s="32">
        <f>$K279+IF($N279="減",1,0)</f>
        <v/>
      </c>
      <c r="L280" s="35">
        <f>IF($B$3="",1E+9,IFERROR(SMALL('請求台帳'!$Z$5:$Z$1004,$J280+1),1E+9))</f>
        <v/>
      </c>
      <c r="M280" s="35">
        <f>IF($B$3="",1E+9,IFERROR(SMALL('入金消込'!$Q$5:$Q$1004,$K280+1),1E+9))</f>
        <v/>
      </c>
      <c r="N280" s="32">
        <f>IF(MIN($L280,$M280)&gt;=1E+9,"",IF($L280&lt;=$M280,"増","減"))</f>
        <v/>
      </c>
      <c r="O280" s="32">
        <f>IF($N280="","",IF($N280="増",MATCH($L280,'請求台帳'!$Z$5:$Z$1004,0),MATCH($M280,'入金消込'!$Q$5:$Q$1004,0)))</f>
        <v/>
      </c>
      <c r="P280" s="56" t="n"/>
      <c r="Q280" s="56" t="n"/>
    </row>
    <row r="281" ht="18" customHeight="1">
      <c r="A281" s="45">
        <f>IF($N281="","",IF($N281="増",INDEX('請求台帳'!$X$5:$X$1004,$O281),INDEX('入金消込'!$A$5:$A$1004,$O281)))</f>
        <v/>
      </c>
      <c r="B281" s="46">
        <f>IF($N281="","",IF($N281="増","売上","入金"))</f>
        <v/>
      </c>
      <c r="C281" s="46">
        <f>IF($N281="","",IF($N281="増",INDEX('請求台帳'!$A$5:$A$1004,$O281)&amp;"","入金No "&amp;INDEX('入金消込'!$B$5:$B$1004,$O281)))</f>
        <v/>
      </c>
      <c r="D281" s="47">
        <f>IF($N281="","",IF($N281="増",INDEX('請求台帳'!$F$5:$F$1004,$O281)&amp;"",IF(INDEX('入金消込'!$F$5:$F$1004,$O281)="","消込先が未定",INDEX('入金消込'!$F$5:$F$1004,$O281)&amp;" の入金")))</f>
        <v/>
      </c>
      <c r="E281" s="48">
        <f>IF($N281&lt;&gt;"増","",INDEX('請求台帳'!$L$5:$L$1004,$O281))</f>
        <v/>
      </c>
      <c r="F281" s="48">
        <f>IF($N281&lt;&gt;"減","",N(INDEX('入金消込'!$G$5:$G$1004,$O281)))</f>
        <v/>
      </c>
      <c r="G281" s="48">
        <f>IF($N281&lt;&gt;"減","",N(INDEX('入金消込'!$H$5:$H$1004,$O281))+N(INDEX('入金消込'!$I$5:$I$1004,$O281)))</f>
        <v/>
      </c>
      <c r="H281" s="49">
        <f>IF($N281="","",$H280+N($E281)-N($F281)-N($G281))</f>
        <v/>
      </c>
      <c r="I281" s="56" t="n"/>
      <c r="J281" s="32">
        <f>$J280+IF($N280="増",1,0)</f>
        <v/>
      </c>
      <c r="K281" s="32">
        <f>$K280+IF($N280="減",1,0)</f>
        <v/>
      </c>
      <c r="L281" s="35">
        <f>IF($B$3="",1E+9,IFERROR(SMALL('請求台帳'!$Z$5:$Z$1004,$J281+1),1E+9))</f>
        <v/>
      </c>
      <c r="M281" s="35">
        <f>IF($B$3="",1E+9,IFERROR(SMALL('入金消込'!$Q$5:$Q$1004,$K281+1),1E+9))</f>
        <v/>
      </c>
      <c r="N281" s="32">
        <f>IF(MIN($L281,$M281)&gt;=1E+9,"",IF($L281&lt;=$M281,"増","減"))</f>
        <v/>
      </c>
      <c r="O281" s="32">
        <f>IF($N281="","",IF($N281="増",MATCH($L281,'請求台帳'!$Z$5:$Z$1004,0),MATCH($M281,'入金消込'!$Q$5:$Q$1004,0)))</f>
        <v/>
      </c>
      <c r="P281" s="56" t="n"/>
      <c r="Q281" s="56" t="n"/>
    </row>
    <row r="282" ht="18" customHeight="1">
      <c r="A282" s="45">
        <f>IF($N282="","",IF($N282="増",INDEX('請求台帳'!$X$5:$X$1004,$O282),INDEX('入金消込'!$A$5:$A$1004,$O282)))</f>
        <v/>
      </c>
      <c r="B282" s="46">
        <f>IF($N282="","",IF($N282="増","売上","入金"))</f>
        <v/>
      </c>
      <c r="C282" s="46">
        <f>IF($N282="","",IF($N282="増",INDEX('請求台帳'!$A$5:$A$1004,$O282)&amp;"","入金No "&amp;INDEX('入金消込'!$B$5:$B$1004,$O282)))</f>
        <v/>
      </c>
      <c r="D282" s="47">
        <f>IF($N282="","",IF($N282="増",INDEX('請求台帳'!$F$5:$F$1004,$O282)&amp;"",IF(INDEX('入金消込'!$F$5:$F$1004,$O282)="","消込先が未定",INDEX('入金消込'!$F$5:$F$1004,$O282)&amp;" の入金")))</f>
        <v/>
      </c>
      <c r="E282" s="48">
        <f>IF($N282&lt;&gt;"増","",INDEX('請求台帳'!$L$5:$L$1004,$O282))</f>
        <v/>
      </c>
      <c r="F282" s="48">
        <f>IF($N282&lt;&gt;"減","",N(INDEX('入金消込'!$G$5:$G$1004,$O282)))</f>
        <v/>
      </c>
      <c r="G282" s="48">
        <f>IF($N282&lt;&gt;"減","",N(INDEX('入金消込'!$H$5:$H$1004,$O282))+N(INDEX('入金消込'!$I$5:$I$1004,$O282)))</f>
        <v/>
      </c>
      <c r="H282" s="49">
        <f>IF($N282="","",$H281+N($E282)-N($F282)-N($G282))</f>
        <v/>
      </c>
      <c r="I282" s="56" t="n"/>
      <c r="J282" s="32">
        <f>$J281+IF($N281="増",1,0)</f>
        <v/>
      </c>
      <c r="K282" s="32">
        <f>$K281+IF($N281="減",1,0)</f>
        <v/>
      </c>
      <c r="L282" s="35">
        <f>IF($B$3="",1E+9,IFERROR(SMALL('請求台帳'!$Z$5:$Z$1004,$J282+1),1E+9))</f>
        <v/>
      </c>
      <c r="M282" s="35">
        <f>IF($B$3="",1E+9,IFERROR(SMALL('入金消込'!$Q$5:$Q$1004,$K282+1),1E+9))</f>
        <v/>
      </c>
      <c r="N282" s="32">
        <f>IF(MIN($L282,$M282)&gt;=1E+9,"",IF($L282&lt;=$M282,"増","減"))</f>
        <v/>
      </c>
      <c r="O282" s="32">
        <f>IF($N282="","",IF($N282="増",MATCH($L282,'請求台帳'!$Z$5:$Z$1004,0),MATCH($M282,'入金消込'!$Q$5:$Q$1004,0)))</f>
        <v/>
      </c>
      <c r="P282" s="56" t="n"/>
      <c r="Q282" s="56" t="n"/>
    </row>
    <row r="283" ht="18" customHeight="1">
      <c r="A283" s="45">
        <f>IF($N283="","",IF($N283="増",INDEX('請求台帳'!$X$5:$X$1004,$O283),INDEX('入金消込'!$A$5:$A$1004,$O283)))</f>
        <v/>
      </c>
      <c r="B283" s="46">
        <f>IF($N283="","",IF($N283="増","売上","入金"))</f>
        <v/>
      </c>
      <c r="C283" s="46">
        <f>IF($N283="","",IF($N283="増",INDEX('請求台帳'!$A$5:$A$1004,$O283)&amp;"","入金No "&amp;INDEX('入金消込'!$B$5:$B$1004,$O283)))</f>
        <v/>
      </c>
      <c r="D283" s="47">
        <f>IF($N283="","",IF($N283="増",INDEX('請求台帳'!$F$5:$F$1004,$O283)&amp;"",IF(INDEX('入金消込'!$F$5:$F$1004,$O283)="","消込先が未定",INDEX('入金消込'!$F$5:$F$1004,$O283)&amp;" の入金")))</f>
        <v/>
      </c>
      <c r="E283" s="48">
        <f>IF($N283&lt;&gt;"増","",INDEX('請求台帳'!$L$5:$L$1004,$O283))</f>
        <v/>
      </c>
      <c r="F283" s="48">
        <f>IF($N283&lt;&gt;"減","",N(INDEX('入金消込'!$G$5:$G$1004,$O283)))</f>
        <v/>
      </c>
      <c r="G283" s="48">
        <f>IF($N283&lt;&gt;"減","",N(INDEX('入金消込'!$H$5:$H$1004,$O283))+N(INDEX('入金消込'!$I$5:$I$1004,$O283)))</f>
        <v/>
      </c>
      <c r="H283" s="49">
        <f>IF($N283="","",$H282+N($E283)-N($F283)-N($G283))</f>
        <v/>
      </c>
      <c r="I283" s="56" t="n"/>
      <c r="J283" s="32">
        <f>$J282+IF($N282="増",1,0)</f>
        <v/>
      </c>
      <c r="K283" s="32">
        <f>$K282+IF($N282="減",1,0)</f>
        <v/>
      </c>
      <c r="L283" s="35">
        <f>IF($B$3="",1E+9,IFERROR(SMALL('請求台帳'!$Z$5:$Z$1004,$J283+1),1E+9))</f>
        <v/>
      </c>
      <c r="M283" s="35">
        <f>IF($B$3="",1E+9,IFERROR(SMALL('入金消込'!$Q$5:$Q$1004,$K283+1),1E+9))</f>
        <v/>
      </c>
      <c r="N283" s="32">
        <f>IF(MIN($L283,$M283)&gt;=1E+9,"",IF($L283&lt;=$M283,"増","減"))</f>
        <v/>
      </c>
      <c r="O283" s="32">
        <f>IF($N283="","",IF($N283="増",MATCH($L283,'請求台帳'!$Z$5:$Z$1004,0),MATCH($M283,'入金消込'!$Q$5:$Q$1004,0)))</f>
        <v/>
      </c>
      <c r="P283" s="56" t="n"/>
      <c r="Q283" s="56" t="n"/>
    </row>
    <row r="284" ht="18" customHeight="1">
      <c r="A284" s="45">
        <f>IF($N284="","",IF($N284="増",INDEX('請求台帳'!$X$5:$X$1004,$O284),INDEX('入金消込'!$A$5:$A$1004,$O284)))</f>
        <v/>
      </c>
      <c r="B284" s="46">
        <f>IF($N284="","",IF($N284="増","売上","入金"))</f>
        <v/>
      </c>
      <c r="C284" s="46">
        <f>IF($N284="","",IF($N284="増",INDEX('請求台帳'!$A$5:$A$1004,$O284)&amp;"","入金No "&amp;INDEX('入金消込'!$B$5:$B$1004,$O284)))</f>
        <v/>
      </c>
      <c r="D284" s="47">
        <f>IF($N284="","",IF($N284="増",INDEX('請求台帳'!$F$5:$F$1004,$O284)&amp;"",IF(INDEX('入金消込'!$F$5:$F$1004,$O284)="","消込先が未定",INDEX('入金消込'!$F$5:$F$1004,$O284)&amp;" の入金")))</f>
        <v/>
      </c>
      <c r="E284" s="48">
        <f>IF($N284&lt;&gt;"増","",INDEX('請求台帳'!$L$5:$L$1004,$O284))</f>
        <v/>
      </c>
      <c r="F284" s="48">
        <f>IF($N284&lt;&gt;"減","",N(INDEX('入金消込'!$G$5:$G$1004,$O284)))</f>
        <v/>
      </c>
      <c r="G284" s="48">
        <f>IF($N284&lt;&gt;"減","",N(INDEX('入金消込'!$H$5:$H$1004,$O284))+N(INDEX('入金消込'!$I$5:$I$1004,$O284)))</f>
        <v/>
      </c>
      <c r="H284" s="49">
        <f>IF($N284="","",$H283+N($E284)-N($F284)-N($G284))</f>
        <v/>
      </c>
      <c r="I284" s="56" t="n"/>
      <c r="J284" s="32">
        <f>$J283+IF($N283="増",1,0)</f>
        <v/>
      </c>
      <c r="K284" s="32">
        <f>$K283+IF($N283="減",1,0)</f>
        <v/>
      </c>
      <c r="L284" s="35">
        <f>IF($B$3="",1E+9,IFERROR(SMALL('請求台帳'!$Z$5:$Z$1004,$J284+1),1E+9))</f>
        <v/>
      </c>
      <c r="M284" s="35">
        <f>IF($B$3="",1E+9,IFERROR(SMALL('入金消込'!$Q$5:$Q$1004,$K284+1),1E+9))</f>
        <v/>
      </c>
      <c r="N284" s="32">
        <f>IF(MIN($L284,$M284)&gt;=1E+9,"",IF($L284&lt;=$M284,"増","減"))</f>
        <v/>
      </c>
      <c r="O284" s="32">
        <f>IF($N284="","",IF($N284="増",MATCH($L284,'請求台帳'!$Z$5:$Z$1004,0),MATCH($M284,'入金消込'!$Q$5:$Q$1004,0)))</f>
        <v/>
      </c>
      <c r="P284" s="56" t="n"/>
      <c r="Q284" s="56" t="n"/>
    </row>
    <row r="285" ht="18" customHeight="1">
      <c r="A285" s="45">
        <f>IF($N285="","",IF($N285="増",INDEX('請求台帳'!$X$5:$X$1004,$O285),INDEX('入金消込'!$A$5:$A$1004,$O285)))</f>
        <v/>
      </c>
      <c r="B285" s="46">
        <f>IF($N285="","",IF($N285="増","売上","入金"))</f>
        <v/>
      </c>
      <c r="C285" s="46">
        <f>IF($N285="","",IF($N285="増",INDEX('請求台帳'!$A$5:$A$1004,$O285)&amp;"","入金No "&amp;INDEX('入金消込'!$B$5:$B$1004,$O285)))</f>
        <v/>
      </c>
      <c r="D285" s="47">
        <f>IF($N285="","",IF($N285="増",INDEX('請求台帳'!$F$5:$F$1004,$O285)&amp;"",IF(INDEX('入金消込'!$F$5:$F$1004,$O285)="","消込先が未定",INDEX('入金消込'!$F$5:$F$1004,$O285)&amp;" の入金")))</f>
        <v/>
      </c>
      <c r="E285" s="48">
        <f>IF($N285&lt;&gt;"増","",INDEX('請求台帳'!$L$5:$L$1004,$O285))</f>
        <v/>
      </c>
      <c r="F285" s="48">
        <f>IF($N285&lt;&gt;"減","",N(INDEX('入金消込'!$G$5:$G$1004,$O285)))</f>
        <v/>
      </c>
      <c r="G285" s="48">
        <f>IF($N285&lt;&gt;"減","",N(INDEX('入金消込'!$H$5:$H$1004,$O285))+N(INDEX('入金消込'!$I$5:$I$1004,$O285)))</f>
        <v/>
      </c>
      <c r="H285" s="49">
        <f>IF($N285="","",$H284+N($E285)-N($F285)-N($G285))</f>
        <v/>
      </c>
      <c r="I285" s="56" t="n"/>
      <c r="J285" s="32">
        <f>$J284+IF($N284="増",1,0)</f>
        <v/>
      </c>
      <c r="K285" s="32">
        <f>$K284+IF($N284="減",1,0)</f>
        <v/>
      </c>
      <c r="L285" s="35">
        <f>IF($B$3="",1E+9,IFERROR(SMALL('請求台帳'!$Z$5:$Z$1004,$J285+1),1E+9))</f>
        <v/>
      </c>
      <c r="M285" s="35">
        <f>IF($B$3="",1E+9,IFERROR(SMALL('入金消込'!$Q$5:$Q$1004,$K285+1),1E+9))</f>
        <v/>
      </c>
      <c r="N285" s="32">
        <f>IF(MIN($L285,$M285)&gt;=1E+9,"",IF($L285&lt;=$M285,"増","減"))</f>
        <v/>
      </c>
      <c r="O285" s="32">
        <f>IF($N285="","",IF($N285="増",MATCH($L285,'請求台帳'!$Z$5:$Z$1004,0),MATCH($M285,'入金消込'!$Q$5:$Q$1004,0)))</f>
        <v/>
      </c>
      <c r="P285" s="56" t="n"/>
      <c r="Q285" s="56" t="n"/>
    </row>
    <row r="286" ht="18" customHeight="1">
      <c r="A286" s="45">
        <f>IF($N286="","",IF($N286="増",INDEX('請求台帳'!$X$5:$X$1004,$O286),INDEX('入金消込'!$A$5:$A$1004,$O286)))</f>
        <v/>
      </c>
      <c r="B286" s="46">
        <f>IF($N286="","",IF($N286="増","売上","入金"))</f>
        <v/>
      </c>
      <c r="C286" s="46">
        <f>IF($N286="","",IF($N286="増",INDEX('請求台帳'!$A$5:$A$1004,$O286)&amp;"","入金No "&amp;INDEX('入金消込'!$B$5:$B$1004,$O286)))</f>
        <v/>
      </c>
      <c r="D286" s="47">
        <f>IF($N286="","",IF($N286="増",INDEX('請求台帳'!$F$5:$F$1004,$O286)&amp;"",IF(INDEX('入金消込'!$F$5:$F$1004,$O286)="","消込先が未定",INDEX('入金消込'!$F$5:$F$1004,$O286)&amp;" の入金")))</f>
        <v/>
      </c>
      <c r="E286" s="48">
        <f>IF($N286&lt;&gt;"増","",INDEX('請求台帳'!$L$5:$L$1004,$O286))</f>
        <v/>
      </c>
      <c r="F286" s="48">
        <f>IF($N286&lt;&gt;"減","",N(INDEX('入金消込'!$G$5:$G$1004,$O286)))</f>
        <v/>
      </c>
      <c r="G286" s="48">
        <f>IF($N286&lt;&gt;"減","",N(INDEX('入金消込'!$H$5:$H$1004,$O286))+N(INDEX('入金消込'!$I$5:$I$1004,$O286)))</f>
        <v/>
      </c>
      <c r="H286" s="49">
        <f>IF($N286="","",$H285+N($E286)-N($F286)-N($G286))</f>
        <v/>
      </c>
      <c r="I286" s="56" t="n"/>
      <c r="J286" s="32">
        <f>$J285+IF($N285="増",1,0)</f>
        <v/>
      </c>
      <c r="K286" s="32">
        <f>$K285+IF($N285="減",1,0)</f>
        <v/>
      </c>
      <c r="L286" s="35">
        <f>IF($B$3="",1E+9,IFERROR(SMALL('請求台帳'!$Z$5:$Z$1004,$J286+1),1E+9))</f>
        <v/>
      </c>
      <c r="M286" s="35">
        <f>IF($B$3="",1E+9,IFERROR(SMALL('入金消込'!$Q$5:$Q$1004,$K286+1),1E+9))</f>
        <v/>
      </c>
      <c r="N286" s="32">
        <f>IF(MIN($L286,$M286)&gt;=1E+9,"",IF($L286&lt;=$M286,"増","減"))</f>
        <v/>
      </c>
      <c r="O286" s="32">
        <f>IF($N286="","",IF($N286="増",MATCH($L286,'請求台帳'!$Z$5:$Z$1004,0),MATCH($M286,'入金消込'!$Q$5:$Q$1004,0)))</f>
        <v/>
      </c>
      <c r="P286" s="56" t="n"/>
      <c r="Q286" s="56" t="n"/>
    </row>
    <row r="287" ht="18" customHeight="1">
      <c r="A287" s="45">
        <f>IF($N287="","",IF($N287="増",INDEX('請求台帳'!$X$5:$X$1004,$O287),INDEX('入金消込'!$A$5:$A$1004,$O287)))</f>
        <v/>
      </c>
      <c r="B287" s="46">
        <f>IF($N287="","",IF($N287="増","売上","入金"))</f>
        <v/>
      </c>
      <c r="C287" s="46">
        <f>IF($N287="","",IF($N287="増",INDEX('請求台帳'!$A$5:$A$1004,$O287)&amp;"","入金No "&amp;INDEX('入金消込'!$B$5:$B$1004,$O287)))</f>
        <v/>
      </c>
      <c r="D287" s="47">
        <f>IF($N287="","",IF($N287="増",INDEX('請求台帳'!$F$5:$F$1004,$O287)&amp;"",IF(INDEX('入金消込'!$F$5:$F$1004,$O287)="","消込先が未定",INDEX('入金消込'!$F$5:$F$1004,$O287)&amp;" の入金")))</f>
        <v/>
      </c>
      <c r="E287" s="48">
        <f>IF($N287&lt;&gt;"増","",INDEX('請求台帳'!$L$5:$L$1004,$O287))</f>
        <v/>
      </c>
      <c r="F287" s="48">
        <f>IF($N287&lt;&gt;"減","",N(INDEX('入金消込'!$G$5:$G$1004,$O287)))</f>
        <v/>
      </c>
      <c r="G287" s="48">
        <f>IF($N287&lt;&gt;"減","",N(INDEX('入金消込'!$H$5:$H$1004,$O287))+N(INDEX('入金消込'!$I$5:$I$1004,$O287)))</f>
        <v/>
      </c>
      <c r="H287" s="49">
        <f>IF($N287="","",$H286+N($E287)-N($F287)-N($G287))</f>
        <v/>
      </c>
      <c r="I287" s="56" t="n"/>
      <c r="J287" s="32">
        <f>$J286+IF($N286="増",1,0)</f>
        <v/>
      </c>
      <c r="K287" s="32">
        <f>$K286+IF($N286="減",1,0)</f>
        <v/>
      </c>
      <c r="L287" s="35">
        <f>IF($B$3="",1E+9,IFERROR(SMALL('請求台帳'!$Z$5:$Z$1004,$J287+1),1E+9))</f>
        <v/>
      </c>
      <c r="M287" s="35">
        <f>IF($B$3="",1E+9,IFERROR(SMALL('入金消込'!$Q$5:$Q$1004,$K287+1),1E+9))</f>
        <v/>
      </c>
      <c r="N287" s="32">
        <f>IF(MIN($L287,$M287)&gt;=1E+9,"",IF($L287&lt;=$M287,"増","減"))</f>
        <v/>
      </c>
      <c r="O287" s="32">
        <f>IF($N287="","",IF($N287="増",MATCH($L287,'請求台帳'!$Z$5:$Z$1004,0),MATCH($M287,'入金消込'!$Q$5:$Q$1004,0)))</f>
        <v/>
      </c>
      <c r="P287" s="56" t="n"/>
      <c r="Q287" s="56" t="n"/>
    </row>
    <row r="288" ht="18" customHeight="1">
      <c r="A288" s="45">
        <f>IF($N288="","",IF($N288="増",INDEX('請求台帳'!$X$5:$X$1004,$O288),INDEX('入金消込'!$A$5:$A$1004,$O288)))</f>
        <v/>
      </c>
      <c r="B288" s="46">
        <f>IF($N288="","",IF($N288="増","売上","入金"))</f>
        <v/>
      </c>
      <c r="C288" s="46">
        <f>IF($N288="","",IF($N288="増",INDEX('請求台帳'!$A$5:$A$1004,$O288)&amp;"","入金No "&amp;INDEX('入金消込'!$B$5:$B$1004,$O288)))</f>
        <v/>
      </c>
      <c r="D288" s="47">
        <f>IF($N288="","",IF($N288="増",INDEX('請求台帳'!$F$5:$F$1004,$O288)&amp;"",IF(INDEX('入金消込'!$F$5:$F$1004,$O288)="","消込先が未定",INDEX('入金消込'!$F$5:$F$1004,$O288)&amp;" の入金")))</f>
        <v/>
      </c>
      <c r="E288" s="48">
        <f>IF($N288&lt;&gt;"増","",INDEX('請求台帳'!$L$5:$L$1004,$O288))</f>
        <v/>
      </c>
      <c r="F288" s="48">
        <f>IF($N288&lt;&gt;"減","",N(INDEX('入金消込'!$G$5:$G$1004,$O288)))</f>
        <v/>
      </c>
      <c r="G288" s="48">
        <f>IF($N288&lt;&gt;"減","",N(INDEX('入金消込'!$H$5:$H$1004,$O288))+N(INDEX('入金消込'!$I$5:$I$1004,$O288)))</f>
        <v/>
      </c>
      <c r="H288" s="49">
        <f>IF($N288="","",$H287+N($E288)-N($F288)-N($G288))</f>
        <v/>
      </c>
      <c r="I288" s="56" t="n"/>
      <c r="J288" s="32">
        <f>$J287+IF($N287="増",1,0)</f>
        <v/>
      </c>
      <c r="K288" s="32">
        <f>$K287+IF($N287="減",1,0)</f>
        <v/>
      </c>
      <c r="L288" s="35">
        <f>IF($B$3="",1E+9,IFERROR(SMALL('請求台帳'!$Z$5:$Z$1004,$J288+1),1E+9))</f>
        <v/>
      </c>
      <c r="M288" s="35">
        <f>IF($B$3="",1E+9,IFERROR(SMALL('入金消込'!$Q$5:$Q$1004,$K288+1),1E+9))</f>
        <v/>
      </c>
      <c r="N288" s="32">
        <f>IF(MIN($L288,$M288)&gt;=1E+9,"",IF($L288&lt;=$M288,"増","減"))</f>
        <v/>
      </c>
      <c r="O288" s="32">
        <f>IF($N288="","",IF($N288="増",MATCH($L288,'請求台帳'!$Z$5:$Z$1004,0),MATCH($M288,'入金消込'!$Q$5:$Q$1004,0)))</f>
        <v/>
      </c>
      <c r="P288" s="56" t="n"/>
      <c r="Q288" s="56" t="n"/>
    </row>
    <row r="289" ht="18" customHeight="1">
      <c r="A289" s="45">
        <f>IF($N289="","",IF($N289="増",INDEX('請求台帳'!$X$5:$X$1004,$O289),INDEX('入金消込'!$A$5:$A$1004,$O289)))</f>
        <v/>
      </c>
      <c r="B289" s="46">
        <f>IF($N289="","",IF($N289="増","売上","入金"))</f>
        <v/>
      </c>
      <c r="C289" s="46">
        <f>IF($N289="","",IF($N289="増",INDEX('請求台帳'!$A$5:$A$1004,$O289)&amp;"","入金No "&amp;INDEX('入金消込'!$B$5:$B$1004,$O289)))</f>
        <v/>
      </c>
      <c r="D289" s="47">
        <f>IF($N289="","",IF($N289="増",INDEX('請求台帳'!$F$5:$F$1004,$O289)&amp;"",IF(INDEX('入金消込'!$F$5:$F$1004,$O289)="","消込先が未定",INDEX('入金消込'!$F$5:$F$1004,$O289)&amp;" の入金")))</f>
        <v/>
      </c>
      <c r="E289" s="48">
        <f>IF($N289&lt;&gt;"増","",INDEX('請求台帳'!$L$5:$L$1004,$O289))</f>
        <v/>
      </c>
      <c r="F289" s="48">
        <f>IF($N289&lt;&gt;"減","",N(INDEX('入金消込'!$G$5:$G$1004,$O289)))</f>
        <v/>
      </c>
      <c r="G289" s="48">
        <f>IF($N289&lt;&gt;"減","",N(INDEX('入金消込'!$H$5:$H$1004,$O289))+N(INDEX('入金消込'!$I$5:$I$1004,$O289)))</f>
        <v/>
      </c>
      <c r="H289" s="49">
        <f>IF($N289="","",$H288+N($E289)-N($F289)-N($G289))</f>
        <v/>
      </c>
      <c r="I289" s="56" t="n"/>
      <c r="J289" s="32">
        <f>$J288+IF($N288="増",1,0)</f>
        <v/>
      </c>
      <c r="K289" s="32">
        <f>$K288+IF($N288="減",1,0)</f>
        <v/>
      </c>
      <c r="L289" s="35">
        <f>IF($B$3="",1E+9,IFERROR(SMALL('請求台帳'!$Z$5:$Z$1004,$J289+1),1E+9))</f>
        <v/>
      </c>
      <c r="M289" s="35">
        <f>IF($B$3="",1E+9,IFERROR(SMALL('入金消込'!$Q$5:$Q$1004,$K289+1),1E+9))</f>
        <v/>
      </c>
      <c r="N289" s="32">
        <f>IF(MIN($L289,$M289)&gt;=1E+9,"",IF($L289&lt;=$M289,"増","減"))</f>
        <v/>
      </c>
      <c r="O289" s="32">
        <f>IF($N289="","",IF($N289="増",MATCH($L289,'請求台帳'!$Z$5:$Z$1004,0),MATCH($M289,'入金消込'!$Q$5:$Q$1004,0)))</f>
        <v/>
      </c>
      <c r="P289" s="56" t="n"/>
      <c r="Q289" s="56" t="n"/>
    </row>
    <row r="290" ht="18" customHeight="1">
      <c r="A290" s="45">
        <f>IF($N290="","",IF($N290="増",INDEX('請求台帳'!$X$5:$X$1004,$O290),INDEX('入金消込'!$A$5:$A$1004,$O290)))</f>
        <v/>
      </c>
      <c r="B290" s="46">
        <f>IF($N290="","",IF($N290="増","売上","入金"))</f>
        <v/>
      </c>
      <c r="C290" s="46">
        <f>IF($N290="","",IF($N290="増",INDEX('請求台帳'!$A$5:$A$1004,$O290)&amp;"","入金No "&amp;INDEX('入金消込'!$B$5:$B$1004,$O290)))</f>
        <v/>
      </c>
      <c r="D290" s="47">
        <f>IF($N290="","",IF($N290="増",INDEX('請求台帳'!$F$5:$F$1004,$O290)&amp;"",IF(INDEX('入金消込'!$F$5:$F$1004,$O290)="","消込先が未定",INDEX('入金消込'!$F$5:$F$1004,$O290)&amp;" の入金")))</f>
        <v/>
      </c>
      <c r="E290" s="48">
        <f>IF($N290&lt;&gt;"増","",INDEX('請求台帳'!$L$5:$L$1004,$O290))</f>
        <v/>
      </c>
      <c r="F290" s="48">
        <f>IF($N290&lt;&gt;"減","",N(INDEX('入金消込'!$G$5:$G$1004,$O290)))</f>
        <v/>
      </c>
      <c r="G290" s="48">
        <f>IF($N290&lt;&gt;"減","",N(INDEX('入金消込'!$H$5:$H$1004,$O290))+N(INDEX('入金消込'!$I$5:$I$1004,$O290)))</f>
        <v/>
      </c>
      <c r="H290" s="49">
        <f>IF($N290="","",$H289+N($E290)-N($F290)-N($G290))</f>
        <v/>
      </c>
      <c r="I290" s="56" t="n"/>
      <c r="J290" s="32">
        <f>$J289+IF($N289="増",1,0)</f>
        <v/>
      </c>
      <c r="K290" s="32">
        <f>$K289+IF($N289="減",1,0)</f>
        <v/>
      </c>
      <c r="L290" s="35">
        <f>IF($B$3="",1E+9,IFERROR(SMALL('請求台帳'!$Z$5:$Z$1004,$J290+1),1E+9))</f>
        <v/>
      </c>
      <c r="M290" s="35">
        <f>IF($B$3="",1E+9,IFERROR(SMALL('入金消込'!$Q$5:$Q$1004,$K290+1),1E+9))</f>
        <v/>
      </c>
      <c r="N290" s="32">
        <f>IF(MIN($L290,$M290)&gt;=1E+9,"",IF($L290&lt;=$M290,"増","減"))</f>
        <v/>
      </c>
      <c r="O290" s="32">
        <f>IF($N290="","",IF($N290="増",MATCH($L290,'請求台帳'!$Z$5:$Z$1004,0),MATCH($M290,'入金消込'!$Q$5:$Q$1004,0)))</f>
        <v/>
      </c>
      <c r="P290" s="56" t="n"/>
      <c r="Q290" s="56" t="n"/>
    </row>
    <row r="291" ht="18" customHeight="1">
      <c r="A291" s="45">
        <f>IF($N291="","",IF($N291="増",INDEX('請求台帳'!$X$5:$X$1004,$O291),INDEX('入金消込'!$A$5:$A$1004,$O291)))</f>
        <v/>
      </c>
      <c r="B291" s="46">
        <f>IF($N291="","",IF($N291="増","売上","入金"))</f>
        <v/>
      </c>
      <c r="C291" s="46">
        <f>IF($N291="","",IF($N291="増",INDEX('請求台帳'!$A$5:$A$1004,$O291)&amp;"","入金No "&amp;INDEX('入金消込'!$B$5:$B$1004,$O291)))</f>
        <v/>
      </c>
      <c r="D291" s="47">
        <f>IF($N291="","",IF($N291="増",INDEX('請求台帳'!$F$5:$F$1004,$O291)&amp;"",IF(INDEX('入金消込'!$F$5:$F$1004,$O291)="","消込先が未定",INDEX('入金消込'!$F$5:$F$1004,$O291)&amp;" の入金")))</f>
        <v/>
      </c>
      <c r="E291" s="48">
        <f>IF($N291&lt;&gt;"増","",INDEX('請求台帳'!$L$5:$L$1004,$O291))</f>
        <v/>
      </c>
      <c r="F291" s="48">
        <f>IF($N291&lt;&gt;"減","",N(INDEX('入金消込'!$G$5:$G$1004,$O291)))</f>
        <v/>
      </c>
      <c r="G291" s="48">
        <f>IF($N291&lt;&gt;"減","",N(INDEX('入金消込'!$H$5:$H$1004,$O291))+N(INDEX('入金消込'!$I$5:$I$1004,$O291)))</f>
        <v/>
      </c>
      <c r="H291" s="49">
        <f>IF($N291="","",$H290+N($E291)-N($F291)-N($G291))</f>
        <v/>
      </c>
      <c r="I291" s="56" t="n"/>
      <c r="J291" s="32">
        <f>$J290+IF($N290="増",1,0)</f>
        <v/>
      </c>
      <c r="K291" s="32">
        <f>$K290+IF($N290="減",1,0)</f>
        <v/>
      </c>
      <c r="L291" s="35">
        <f>IF($B$3="",1E+9,IFERROR(SMALL('請求台帳'!$Z$5:$Z$1004,$J291+1),1E+9))</f>
        <v/>
      </c>
      <c r="M291" s="35">
        <f>IF($B$3="",1E+9,IFERROR(SMALL('入金消込'!$Q$5:$Q$1004,$K291+1),1E+9))</f>
        <v/>
      </c>
      <c r="N291" s="32">
        <f>IF(MIN($L291,$M291)&gt;=1E+9,"",IF($L291&lt;=$M291,"増","減"))</f>
        <v/>
      </c>
      <c r="O291" s="32">
        <f>IF($N291="","",IF($N291="増",MATCH($L291,'請求台帳'!$Z$5:$Z$1004,0),MATCH($M291,'入金消込'!$Q$5:$Q$1004,0)))</f>
        <v/>
      </c>
      <c r="P291" s="56" t="n"/>
      <c r="Q291" s="56" t="n"/>
    </row>
    <row r="292" ht="18" customHeight="1">
      <c r="A292" s="45">
        <f>IF($N292="","",IF($N292="増",INDEX('請求台帳'!$X$5:$X$1004,$O292),INDEX('入金消込'!$A$5:$A$1004,$O292)))</f>
        <v/>
      </c>
      <c r="B292" s="46">
        <f>IF($N292="","",IF($N292="増","売上","入金"))</f>
        <v/>
      </c>
      <c r="C292" s="46">
        <f>IF($N292="","",IF($N292="増",INDEX('請求台帳'!$A$5:$A$1004,$O292)&amp;"","入金No "&amp;INDEX('入金消込'!$B$5:$B$1004,$O292)))</f>
        <v/>
      </c>
      <c r="D292" s="47">
        <f>IF($N292="","",IF($N292="増",INDEX('請求台帳'!$F$5:$F$1004,$O292)&amp;"",IF(INDEX('入金消込'!$F$5:$F$1004,$O292)="","消込先が未定",INDEX('入金消込'!$F$5:$F$1004,$O292)&amp;" の入金")))</f>
        <v/>
      </c>
      <c r="E292" s="48">
        <f>IF($N292&lt;&gt;"増","",INDEX('請求台帳'!$L$5:$L$1004,$O292))</f>
        <v/>
      </c>
      <c r="F292" s="48">
        <f>IF($N292&lt;&gt;"減","",N(INDEX('入金消込'!$G$5:$G$1004,$O292)))</f>
        <v/>
      </c>
      <c r="G292" s="48">
        <f>IF($N292&lt;&gt;"減","",N(INDEX('入金消込'!$H$5:$H$1004,$O292))+N(INDEX('入金消込'!$I$5:$I$1004,$O292)))</f>
        <v/>
      </c>
      <c r="H292" s="49">
        <f>IF($N292="","",$H291+N($E292)-N($F292)-N($G292))</f>
        <v/>
      </c>
      <c r="I292" s="56" t="n"/>
      <c r="J292" s="32">
        <f>$J291+IF($N291="増",1,0)</f>
        <v/>
      </c>
      <c r="K292" s="32">
        <f>$K291+IF($N291="減",1,0)</f>
        <v/>
      </c>
      <c r="L292" s="35">
        <f>IF($B$3="",1E+9,IFERROR(SMALL('請求台帳'!$Z$5:$Z$1004,$J292+1),1E+9))</f>
        <v/>
      </c>
      <c r="M292" s="35">
        <f>IF($B$3="",1E+9,IFERROR(SMALL('入金消込'!$Q$5:$Q$1004,$K292+1),1E+9))</f>
        <v/>
      </c>
      <c r="N292" s="32">
        <f>IF(MIN($L292,$M292)&gt;=1E+9,"",IF($L292&lt;=$M292,"増","減"))</f>
        <v/>
      </c>
      <c r="O292" s="32">
        <f>IF($N292="","",IF($N292="増",MATCH($L292,'請求台帳'!$Z$5:$Z$1004,0),MATCH($M292,'入金消込'!$Q$5:$Q$1004,0)))</f>
        <v/>
      </c>
      <c r="P292" s="56" t="n"/>
      <c r="Q292" s="56" t="n"/>
    </row>
    <row r="293" ht="18" customHeight="1">
      <c r="A293" s="45">
        <f>IF($N293="","",IF($N293="増",INDEX('請求台帳'!$X$5:$X$1004,$O293),INDEX('入金消込'!$A$5:$A$1004,$O293)))</f>
        <v/>
      </c>
      <c r="B293" s="46">
        <f>IF($N293="","",IF($N293="増","売上","入金"))</f>
        <v/>
      </c>
      <c r="C293" s="46">
        <f>IF($N293="","",IF($N293="増",INDEX('請求台帳'!$A$5:$A$1004,$O293)&amp;"","入金No "&amp;INDEX('入金消込'!$B$5:$B$1004,$O293)))</f>
        <v/>
      </c>
      <c r="D293" s="47">
        <f>IF($N293="","",IF($N293="増",INDEX('請求台帳'!$F$5:$F$1004,$O293)&amp;"",IF(INDEX('入金消込'!$F$5:$F$1004,$O293)="","消込先が未定",INDEX('入金消込'!$F$5:$F$1004,$O293)&amp;" の入金")))</f>
        <v/>
      </c>
      <c r="E293" s="48">
        <f>IF($N293&lt;&gt;"増","",INDEX('請求台帳'!$L$5:$L$1004,$O293))</f>
        <v/>
      </c>
      <c r="F293" s="48">
        <f>IF($N293&lt;&gt;"減","",N(INDEX('入金消込'!$G$5:$G$1004,$O293)))</f>
        <v/>
      </c>
      <c r="G293" s="48">
        <f>IF($N293&lt;&gt;"減","",N(INDEX('入金消込'!$H$5:$H$1004,$O293))+N(INDEX('入金消込'!$I$5:$I$1004,$O293)))</f>
        <v/>
      </c>
      <c r="H293" s="49">
        <f>IF($N293="","",$H292+N($E293)-N($F293)-N($G293))</f>
        <v/>
      </c>
      <c r="I293" s="56" t="n"/>
      <c r="J293" s="32">
        <f>$J292+IF($N292="増",1,0)</f>
        <v/>
      </c>
      <c r="K293" s="32">
        <f>$K292+IF($N292="減",1,0)</f>
        <v/>
      </c>
      <c r="L293" s="35">
        <f>IF($B$3="",1E+9,IFERROR(SMALL('請求台帳'!$Z$5:$Z$1004,$J293+1),1E+9))</f>
        <v/>
      </c>
      <c r="M293" s="35">
        <f>IF($B$3="",1E+9,IFERROR(SMALL('入金消込'!$Q$5:$Q$1004,$K293+1),1E+9))</f>
        <v/>
      </c>
      <c r="N293" s="32">
        <f>IF(MIN($L293,$M293)&gt;=1E+9,"",IF($L293&lt;=$M293,"増","減"))</f>
        <v/>
      </c>
      <c r="O293" s="32">
        <f>IF($N293="","",IF($N293="増",MATCH($L293,'請求台帳'!$Z$5:$Z$1004,0),MATCH($M293,'入金消込'!$Q$5:$Q$1004,0)))</f>
        <v/>
      </c>
      <c r="P293" s="56" t="n"/>
      <c r="Q293" s="56" t="n"/>
    </row>
    <row r="294" ht="18" customHeight="1">
      <c r="A294" s="45">
        <f>IF($N294="","",IF($N294="増",INDEX('請求台帳'!$X$5:$X$1004,$O294),INDEX('入金消込'!$A$5:$A$1004,$O294)))</f>
        <v/>
      </c>
      <c r="B294" s="46">
        <f>IF($N294="","",IF($N294="増","売上","入金"))</f>
        <v/>
      </c>
      <c r="C294" s="46">
        <f>IF($N294="","",IF($N294="増",INDEX('請求台帳'!$A$5:$A$1004,$O294)&amp;"","入金No "&amp;INDEX('入金消込'!$B$5:$B$1004,$O294)))</f>
        <v/>
      </c>
      <c r="D294" s="47">
        <f>IF($N294="","",IF($N294="増",INDEX('請求台帳'!$F$5:$F$1004,$O294)&amp;"",IF(INDEX('入金消込'!$F$5:$F$1004,$O294)="","消込先が未定",INDEX('入金消込'!$F$5:$F$1004,$O294)&amp;" の入金")))</f>
        <v/>
      </c>
      <c r="E294" s="48">
        <f>IF($N294&lt;&gt;"増","",INDEX('請求台帳'!$L$5:$L$1004,$O294))</f>
        <v/>
      </c>
      <c r="F294" s="48">
        <f>IF($N294&lt;&gt;"減","",N(INDEX('入金消込'!$G$5:$G$1004,$O294)))</f>
        <v/>
      </c>
      <c r="G294" s="48">
        <f>IF($N294&lt;&gt;"減","",N(INDEX('入金消込'!$H$5:$H$1004,$O294))+N(INDEX('入金消込'!$I$5:$I$1004,$O294)))</f>
        <v/>
      </c>
      <c r="H294" s="49">
        <f>IF($N294="","",$H293+N($E294)-N($F294)-N($G294))</f>
        <v/>
      </c>
      <c r="I294" s="56" t="n"/>
      <c r="J294" s="32">
        <f>$J293+IF($N293="増",1,0)</f>
        <v/>
      </c>
      <c r="K294" s="32">
        <f>$K293+IF($N293="減",1,0)</f>
        <v/>
      </c>
      <c r="L294" s="35">
        <f>IF($B$3="",1E+9,IFERROR(SMALL('請求台帳'!$Z$5:$Z$1004,$J294+1),1E+9))</f>
        <v/>
      </c>
      <c r="M294" s="35">
        <f>IF($B$3="",1E+9,IFERROR(SMALL('入金消込'!$Q$5:$Q$1004,$K294+1),1E+9))</f>
        <v/>
      </c>
      <c r="N294" s="32">
        <f>IF(MIN($L294,$M294)&gt;=1E+9,"",IF($L294&lt;=$M294,"増","減"))</f>
        <v/>
      </c>
      <c r="O294" s="32">
        <f>IF($N294="","",IF($N294="増",MATCH($L294,'請求台帳'!$Z$5:$Z$1004,0),MATCH($M294,'入金消込'!$Q$5:$Q$1004,0)))</f>
        <v/>
      </c>
      <c r="P294" s="56" t="n"/>
      <c r="Q294" s="56" t="n"/>
    </row>
    <row r="295" ht="18" customHeight="1">
      <c r="A295" s="45">
        <f>IF($N295="","",IF($N295="増",INDEX('請求台帳'!$X$5:$X$1004,$O295),INDEX('入金消込'!$A$5:$A$1004,$O295)))</f>
        <v/>
      </c>
      <c r="B295" s="46">
        <f>IF($N295="","",IF($N295="増","売上","入金"))</f>
        <v/>
      </c>
      <c r="C295" s="46">
        <f>IF($N295="","",IF($N295="増",INDEX('請求台帳'!$A$5:$A$1004,$O295)&amp;"","入金No "&amp;INDEX('入金消込'!$B$5:$B$1004,$O295)))</f>
        <v/>
      </c>
      <c r="D295" s="47">
        <f>IF($N295="","",IF($N295="増",INDEX('請求台帳'!$F$5:$F$1004,$O295)&amp;"",IF(INDEX('入金消込'!$F$5:$F$1004,$O295)="","消込先が未定",INDEX('入金消込'!$F$5:$F$1004,$O295)&amp;" の入金")))</f>
        <v/>
      </c>
      <c r="E295" s="48">
        <f>IF($N295&lt;&gt;"増","",INDEX('請求台帳'!$L$5:$L$1004,$O295))</f>
        <v/>
      </c>
      <c r="F295" s="48">
        <f>IF($N295&lt;&gt;"減","",N(INDEX('入金消込'!$G$5:$G$1004,$O295)))</f>
        <v/>
      </c>
      <c r="G295" s="48">
        <f>IF($N295&lt;&gt;"減","",N(INDEX('入金消込'!$H$5:$H$1004,$O295))+N(INDEX('入金消込'!$I$5:$I$1004,$O295)))</f>
        <v/>
      </c>
      <c r="H295" s="49">
        <f>IF($N295="","",$H294+N($E295)-N($F295)-N($G295))</f>
        <v/>
      </c>
      <c r="I295" s="56" t="n"/>
      <c r="J295" s="32">
        <f>$J294+IF($N294="増",1,0)</f>
        <v/>
      </c>
      <c r="K295" s="32">
        <f>$K294+IF($N294="減",1,0)</f>
        <v/>
      </c>
      <c r="L295" s="35">
        <f>IF($B$3="",1E+9,IFERROR(SMALL('請求台帳'!$Z$5:$Z$1004,$J295+1),1E+9))</f>
        <v/>
      </c>
      <c r="M295" s="35">
        <f>IF($B$3="",1E+9,IFERROR(SMALL('入金消込'!$Q$5:$Q$1004,$K295+1),1E+9))</f>
        <v/>
      </c>
      <c r="N295" s="32">
        <f>IF(MIN($L295,$M295)&gt;=1E+9,"",IF($L295&lt;=$M295,"増","減"))</f>
        <v/>
      </c>
      <c r="O295" s="32">
        <f>IF($N295="","",IF($N295="増",MATCH($L295,'請求台帳'!$Z$5:$Z$1004,0),MATCH($M295,'入金消込'!$Q$5:$Q$1004,0)))</f>
        <v/>
      </c>
      <c r="P295" s="56" t="n"/>
      <c r="Q295" s="56" t="n"/>
    </row>
    <row r="296" ht="18" customHeight="1">
      <c r="A296" s="45">
        <f>IF($N296="","",IF($N296="増",INDEX('請求台帳'!$X$5:$X$1004,$O296),INDEX('入金消込'!$A$5:$A$1004,$O296)))</f>
        <v/>
      </c>
      <c r="B296" s="46">
        <f>IF($N296="","",IF($N296="増","売上","入金"))</f>
        <v/>
      </c>
      <c r="C296" s="46">
        <f>IF($N296="","",IF($N296="増",INDEX('請求台帳'!$A$5:$A$1004,$O296)&amp;"","入金No "&amp;INDEX('入金消込'!$B$5:$B$1004,$O296)))</f>
        <v/>
      </c>
      <c r="D296" s="47">
        <f>IF($N296="","",IF($N296="増",INDEX('請求台帳'!$F$5:$F$1004,$O296)&amp;"",IF(INDEX('入金消込'!$F$5:$F$1004,$O296)="","消込先が未定",INDEX('入金消込'!$F$5:$F$1004,$O296)&amp;" の入金")))</f>
        <v/>
      </c>
      <c r="E296" s="48">
        <f>IF($N296&lt;&gt;"増","",INDEX('請求台帳'!$L$5:$L$1004,$O296))</f>
        <v/>
      </c>
      <c r="F296" s="48">
        <f>IF($N296&lt;&gt;"減","",N(INDEX('入金消込'!$G$5:$G$1004,$O296)))</f>
        <v/>
      </c>
      <c r="G296" s="48">
        <f>IF($N296&lt;&gt;"減","",N(INDEX('入金消込'!$H$5:$H$1004,$O296))+N(INDEX('入金消込'!$I$5:$I$1004,$O296)))</f>
        <v/>
      </c>
      <c r="H296" s="49">
        <f>IF($N296="","",$H295+N($E296)-N($F296)-N($G296))</f>
        <v/>
      </c>
      <c r="I296" s="56" t="n"/>
      <c r="J296" s="32">
        <f>$J295+IF($N295="増",1,0)</f>
        <v/>
      </c>
      <c r="K296" s="32">
        <f>$K295+IF($N295="減",1,0)</f>
        <v/>
      </c>
      <c r="L296" s="35">
        <f>IF($B$3="",1E+9,IFERROR(SMALL('請求台帳'!$Z$5:$Z$1004,$J296+1),1E+9))</f>
        <v/>
      </c>
      <c r="M296" s="35">
        <f>IF($B$3="",1E+9,IFERROR(SMALL('入金消込'!$Q$5:$Q$1004,$K296+1),1E+9))</f>
        <v/>
      </c>
      <c r="N296" s="32">
        <f>IF(MIN($L296,$M296)&gt;=1E+9,"",IF($L296&lt;=$M296,"増","減"))</f>
        <v/>
      </c>
      <c r="O296" s="32">
        <f>IF($N296="","",IF($N296="増",MATCH($L296,'請求台帳'!$Z$5:$Z$1004,0),MATCH($M296,'入金消込'!$Q$5:$Q$1004,0)))</f>
        <v/>
      </c>
      <c r="P296" s="56" t="n"/>
      <c r="Q296" s="56" t="n"/>
    </row>
    <row r="297" ht="18" customHeight="1">
      <c r="A297" s="45">
        <f>IF($N297="","",IF($N297="増",INDEX('請求台帳'!$X$5:$X$1004,$O297),INDEX('入金消込'!$A$5:$A$1004,$O297)))</f>
        <v/>
      </c>
      <c r="B297" s="46">
        <f>IF($N297="","",IF($N297="増","売上","入金"))</f>
        <v/>
      </c>
      <c r="C297" s="46">
        <f>IF($N297="","",IF($N297="増",INDEX('請求台帳'!$A$5:$A$1004,$O297)&amp;"","入金No "&amp;INDEX('入金消込'!$B$5:$B$1004,$O297)))</f>
        <v/>
      </c>
      <c r="D297" s="47">
        <f>IF($N297="","",IF($N297="増",INDEX('請求台帳'!$F$5:$F$1004,$O297)&amp;"",IF(INDEX('入金消込'!$F$5:$F$1004,$O297)="","消込先が未定",INDEX('入金消込'!$F$5:$F$1004,$O297)&amp;" の入金")))</f>
        <v/>
      </c>
      <c r="E297" s="48">
        <f>IF($N297&lt;&gt;"増","",INDEX('請求台帳'!$L$5:$L$1004,$O297))</f>
        <v/>
      </c>
      <c r="F297" s="48">
        <f>IF($N297&lt;&gt;"減","",N(INDEX('入金消込'!$G$5:$G$1004,$O297)))</f>
        <v/>
      </c>
      <c r="G297" s="48">
        <f>IF($N297&lt;&gt;"減","",N(INDEX('入金消込'!$H$5:$H$1004,$O297))+N(INDEX('入金消込'!$I$5:$I$1004,$O297)))</f>
        <v/>
      </c>
      <c r="H297" s="49">
        <f>IF($N297="","",$H296+N($E297)-N($F297)-N($G297))</f>
        <v/>
      </c>
      <c r="I297" s="56" t="n"/>
      <c r="J297" s="32">
        <f>$J296+IF($N296="増",1,0)</f>
        <v/>
      </c>
      <c r="K297" s="32">
        <f>$K296+IF($N296="減",1,0)</f>
        <v/>
      </c>
      <c r="L297" s="35">
        <f>IF($B$3="",1E+9,IFERROR(SMALL('請求台帳'!$Z$5:$Z$1004,$J297+1),1E+9))</f>
        <v/>
      </c>
      <c r="M297" s="35">
        <f>IF($B$3="",1E+9,IFERROR(SMALL('入金消込'!$Q$5:$Q$1004,$K297+1),1E+9))</f>
        <v/>
      </c>
      <c r="N297" s="32">
        <f>IF(MIN($L297,$M297)&gt;=1E+9,"",IF($L297&lt;=$M297,"増","減"))</f>
        <v/>
      </c>
      <c r="O297" s="32">
        <f>IF($N297="","",IF($N297="増",MATCH($L297,'請求台帳'!$Z$5:$Z$1004,0),MATCH($M297,'入金消込'!$Q$5:$Q$1004,0)))</f>
        <v/>
      </c>
      <c r="P297" s="56" t="n"/>
      <c r="Q297" s="56" t="n"/>
    </row>
    <row r="298" ht="18" customHeight="1">
      <c r="A298" s="45">
        <f>IF($N298="","",IF($N298="増",INDEX('請求台帳'!$X$5:$X$1004,$O298),INDEX('入金消込'!$A$5:$A$1004,$O298)))</f>
        <v/>
      </c>
      <c r="B298" s="46">
        <f>IF($N298="","",IF($N298="増","売上","入金"))</f>
        <v/>
      </c>
      <c r="C298" s="46">
        <f>IF($N298="","",IF($N298="増",INDEX('請求台帳'!$A$5:$A$1004,$O298)&amp;"","入金No "&amp;INDEX('入金消込'!$B$5:$B$1004,$O298)))</f>
        <v/>
      </c>
      <c r="D298" s="47">
        <f>IF($N298="","",IF($N298="増",INDEX('請求台帳'!$F$5:$F$1004,$O298)&amp;"",IF(INDEX('入金消込'!$F$5:$F$1004,$O298)="","消込先が未定",INDEX('入金消込'!$F$5:$F$1004,$O298)&amp;" の入金")))</f>
        <v/>
      </c>
      <c r="E298" s="48">
        <f>IF($N298&lt;&gt;"増","",INDEX('請求台帳'!$L$5:$L$1004,$O298))</f>
        <v/>
      </c>
      <c r="F298" s="48">
        <f>IF($N298&lt;&gt;"減","",N(INDEX('入金消込'!$G$5:$G$1004,$O298)))</f>
        <v/>
      </c>
      <c r="G298" s="48">
        <f>IF($N298&lt;&gt;"減","",N(INDEX('入金消込'!$H$5:$H$1004,$O298))+N(INDEX('入金消込'!$I$5:$I$1004,$O298)))</f>
        <v/>
      </c>
      <c r="H298" s="49">
        <f>IF($N298="","",$H297+N($E298)-N($F298)-N($G298))</f>
        <v/>
      </c>
      <c r="I298" s="56" t="n"/>
      <c r="J298" s="32">
        <f>$J297+IF($N297="増",1,0)</f>
        <v/>
      </c>
      <c r="K298" s="32">
        <f>$K297+IF($N297="減",1,0)</f>
        <v/>
      </c>
      <c r="L298" s="35">
        <f>IF($B$3="",1E+9,IFERROR(SMALL('請求台帳'!$Z$5:$Z$1004,$J298+1),1E+9))</f>
        <v/>
      </c>
      <c r="M298" s="35">
        <f>IF($B$3="",1E+9,IFERROR(SMALL('入金消込'!$Q$5:$Q$1004,$K298+1),1E+9))</f>
        <v/>
      </c>
      <c r="N298" s="32">
        <f>IF(MIN($L298,$M298)&gt;=1E+9,"",IF($L298&lt;=$M298,"増","減"))</f>
        <v/>
      </c>
      <c r="O298" s="32">
        <f>IF($N298="","",IF($N298="増",MATCH($L298,'請求台帳'!$Z$5:$Z$1004,0),MATCH($M298,'入金消込'!$Q$5:$Q$1004,0)))</f>
        <v/>
      </c>
      <c r="P298" s="56" t="n"/>
      <c r="Q298" s="56" t="n"/>
    </row>
    <row r="299" ht="18" customHeight="1">
      <c r="A299" s="45">
        <f>IF($N299="","",IF($N299="増",INDEX('請求台帳'!$X$5:$X$1004,$O299),INDEX('入金消込'!$A$5:$A$1004,$O299)))</f>
        <v/>
      </c>
      <c r="B299" s="46">
        <f>IF($N299="","",IF($N299="増","売上","入金"))</f>
        <v/>
      </c>
      <c r="C299" s="46">
        <f>IF($N299="","",IF($N299="増",INDEX('請求台帳'!$A$5:$A$1004,$O299)&amp;"","入金No "&amp;INDEX('入金消込'!$B$5:$B$1004,$O299)))</f>
        <v/>
      </c>
      <c r="D299" s="47">
        <f>IF($N299="","",IF($N299="増",INDEX('請求台帳'!$F$5:$F$1004,$O299)&amp;"",IF(INDEX('入金消込'!$F$5:$F$1004,$O299)="","消込先が未定",INDEX('入金消込'!$F$5:$F$1004,$O299)&amp;" の入金")))</f>
        <v/>
      </c>
      <c r="E299" s="48">
        <f>IF($N299&lt;&gt;"増","",INDEX('請求台帳'!$L$5:$L$1004,$O299))</f>
        <v/>
      </c>
      <c r="F299" s="48">
        <f>IF($N299&lt;&gt;"減","",N(INDEX('入金消込'!$G$5:$G$1004,$O299)))</f>
        <v/>
      </c>
      <c r="G299" s="48">
        <f>IF($N299&lt;&gt;"減","",N(INDEX('入金消込'!$H$5:$H$1004,$O299))+N(INDEX('入金消込'!$I$5:$I$1004,$O299)))</f>
        <v/>
      </c>
      <c r="H299" s="49">
        <f>IF($N299="","",$H298+N($E299)-N($F299)-N($G299))</f>
        <v/>
      </c>
      <c r="I299" s="56" t="n"/>
      <c r="J299" s="32">
        <f>$J298+IF($N298="増",1,0)</f>
        <v/>
      </c>
      <c r="K299" s="32">
        <f>$K298+IF($N298="減",1,0)</f>
        <v/>
      </c>
      <c r="L299" s="35">
        <f>IF($B$3="",1E+9,IFERROR(SMALL('請求台帳'!$Z$5:$Z$1004,$J299+1),1E+9))</f>
        <v/>
      </c>
      <c r="M299" s="35">
        <f>IF($B$3="",1E+9,IFERROR(SMALL('入金消込'!$Q$5:$Q$1004,$K299+1),1E+9))</f>
        <v/>
      </c>
      <c r="N299" s="32">
        <f>IF(MIN($L299,$M299)&gt;=1E+9,"",IF($L299&lt;=$M299,"増","減"))</f>
        <v/>
      </c>
      <c r="O299" s="32">
        <f>IF($N299="","",IF($N299="増",MATCH($L299,'請求台帳'!$Z$5:$Z$1004,0),MATCH($M299,'入金消込'!$Q$5:$Q$1004,0)))</f>
        <v/>
      </c>
      <c r="P299" s="56" t="n"/>
      <c r="Q299" s="56" t="n"/>
    </row>
    <row r="300" ht="18" customHeight="1">
      <c r="A300" s="45">
        <f>IF($N300="","",IF($N300="増",INDEX('請求台帳'!$X$5:$X$1004,$O300),INDEX('入金消込'!$A$5:$A$1004,$O300)))</f>
        <v/>
      </c>
      <c r="B300" s="46">
        <f>IF($N300="","",IF($N300="増","売上","入金"))</f>
        <v/>
      </c>
      <c r="C300" s="46">
        <f>IF($N300="","",IF($N300="増",INDEX('請求台帳'!$A$5:$A$1004,$O300)&amp;"","入金No "&amp;INDEX('入金消込'!$B$5:$B$1004,$O300)))</f>
        <v/>
      </c>
      <c r="D300" s="47">
        <f>IF($N300="","",IF($N300="増",INDEX('請求台帳'!$F$5:$F$1004,$O300)&amp;"",IF(INDEX('入金消込'!$F$5:$F$1004,$O300)="","消込先が未定",INDEX('入金消込'!$F$5:$F$1004,$O300)&amp;" の入金")))</f>
        <v/>
      </c>
      <c r="E300" s="48">
        <f>IF($N300&lt;&gt;"増","",INDEX('請求台帳'!$L$5:$L$1004,$O300))</f>
        <v/>
      </c>
      <c r="F300" s="48">
        <f>IF($N300&lt;&gt;"減","",N(INDEX('入金消込'!$G$5:$G$1004,$O300)))</f>
        <v/>
      </c>
      <c r="G300" s="48">
        <f>IF($N300&lt;&gt;"減","",N(INDEX('入金消込'!$H$5:$H$1004,$O300))+N(INDEX('入金消込'!$I$5:$I$1004,$O300)))</f>
        <v/>
      </c>
      <c r="H300" s="49">
        <f>IF($N300="","",$H299+N($E300)-N($F300)-N($G300))</f>
        <v/>
      </c>
      <c r="I300" s="56" t="n"/>
      <c r="J300" s="32">
        <f>$J299+IF($N299="増",1,0)</f>
        <v/>
      </c>
      <c r="K300" s="32">
        <f>$K299+IF($N299="減",1,0)</f>
        <v/>
      </c>
      <c r="L300" s="35">
        <f>IF($B$3="",1E+9,IFERROR(SMALL('請求台帳'!$Z$5:$Z$1004,$J300+1),1E+9))</f>
        <v/>
      </c>
      <c r="M300" s="35">
        <f>IF($B$3="",1E+9,IFERROR(SMALL('入金消込'!$Q$5:$Q$1004,$K300+1),1E+9))</f>
        <v/>
      </c>
      <c r="N300" s="32">
        <f>IF(MIN($L300,$M300)&gt;=1E+9,"",IF($L300&lt;=$M300,"増","減"))</f>
        <v/>
      </c>
      <c r="O300" s="32">
        <f>IF($N300="","",IF($N300="増",MATCH($L300,'請求台帳'!$Z$5:$Z$1004,0),MATCH($M300,'入金消込'!$Q$5:$Q$1004,0)))</f>
        <v/>
      </c>
      <c r="P300" s="56" t="n"/>
      <c r="Q300" s="56" t="n"/>
    </row>
    <row r="301" ht="18" customHeight="1">
      <c r="A301" s="45">
        <f>IF($N301="","",IF($N301="増",INDEX('請求台帳'!$X$5:$X$1004,$O301),INDEX('入金消込'!$A$5:$A$1004,$O301)))</f>
        <v/>
      </c>
      <c r="B301" s="46">
        <f>IF($N301="","",IF($N301="増","売上","入金"))</f>
        <v/>
      </c>
      <c r="C301" s="46">
        <f>IF($N301="","",IF($N301="増",INDEX('請求台帳'!$A$5:$A$1004,$O301)&amp;"","入金No "&amp;INDEX('入金消込'!$B$5:$B$1004,$O301)))</f>
        <v/>
      </c>
      <c r="D301" s="47">
        <f>IF($N301="","",IF($N301="増",INDEX('請求台帳'!$F$5:$F$1004,$O301)&amp;"",IF(INDEX('入金消込'!$F$5:$F$1004,$O301)="","消込先が未定",INDEX('入金消込'!$F$5:$F$1004,$O301)&amp;" の入金")))</f>
        <v/>
      </c>
      <c r="E301" s="48">
        <f>IF($N301&lt;&gt;"増","",INDEX('請求台帳'!$L$5:$L$1004,$O301))</f>
        <v/>
      </c>
      <c r="F301" s="48">
        <f>IF($N301&lt;&gt;"減","",N(INDEX('入金消込'!$G$5:$G$1004,$O301)))</f>
        <v/>
      </c>
      <c r="G301" s="48">
        <f>IF($N301&lt;&gt;"減","",N(INDEX('入金消込'!$H$5:$H$1004,$O301))+N(INDEX('入金消込'!$I$5:$I$1004,$O301)))</f>
        <v/>
      </c>
      <c r="H301" s="49">
        <f>IF($N301="","",$H300+N($E301)-N($F301)-N($G301))</f>
        <v/>
      </c>
      <c r="I301" s="56" t="n"/>
      <c r="J301" s="32">
        <f>$J300+IF($N300="増",1,0)</f>
        <v/>
      </c>
      <c r="K301" s="32">
        <f>$K300+IF($N300="減",1,0)</f>
        <v/>
      </c>
      <c r="L301" s="35">
        <f>IF($B$3="",1E+9,IFERROR(SMALL('請求台帳'!$Z$5:$Z$1004,$J301+1),1E+9))</f>
        <v/>
      </c>
      <c r="M301" s="35">
        <f>IF($B$3="",1E+9,IFERROR(SMALL('入金消込'!$Q$5:$Q$1004,$K301+1),1E+9))</f>
        <v/>
      </c>
      <c r="N301" s="32">
        <f>IF(MIN($L301,$M301)&gt;=1E+9,"",IF($L301&lt;=$M301,"増","減"))</f>
        <v/>
      </c>
      <c r="O301" s="32">
        <f>IF($N301="","",IF($N301="増",MATCH($L301,'請求台帳'!$Z$5:$Z$1004,0),MATCH($M301,'入金消込'!$Q$5:$Q$1004,0)))</f>
        <v/>
      </c>
      <c r="P301" s="56" t="n"/>
      <c r="Q301" s="56" t="n"/>
    </row>
    <row r="302" ht="18" customHeight="1">
      <c r="A302" s="45">
        <f>IF($N302="","",IF($N302="増",INDEX('請求台帳'!$X$5:$X$1004,$O302),INDEX('入金消込'!$A$5:$A$1004,$O302)))</f>
        <v/>
      </c>
      <c r="B302" s="46">
        <f>IF($N302="","",IF($N302="増","売上","入金"))</f>
        <v/>
      </c>
      <c r="C302" s="46">
        <f>IF($N302="","",IF($N302="増",INDEX('請求台帳'!$A$5:$A$1004,$O302)&amp;"","入金No "&amp;INDEX('入金消込'!$B$5:$B$1004,$O302)))</f>
        <v/>
      </c>
      <c r="D302" s="47">
        <f>IF($N302="","",IF($N302="増",INDEX('請求台帳'!$F$5:$F$1004,$O302)&amp;"",IF(INDEX('入金消込'!$F$5:$F$1004,$O302)="","消込先が未定",INDEX('入金消込'!$F$5:$F$1004,$O302)&amp;" の入金")))</f>
        <v/>
      </c>
      <c r="E302" s="48">
        <f>IF($N302&lt;&gt;"増","",INDEX('請求台帳'!$L$5:$L$1004,$O302))</f>
        <v/>
      </c>
      <c r="F302" s="48">
        <f>IF($N302&lt;&gt;"減","",N(INDEX('入金消込'!$G$5:$G$1004,$O302)))</f>
        <v/>
      </c>
      <c r="G302" s="48">
        <f>IF($N302&lt;&gt;"減","",N(INDEX('入金消込'!$H$5:$H$1004,$O302))+N(INDEX('入金消込'!$I$5:$I$1004,$O302)))</f>
        <v/>
      </c>
      <c r="H302" s="49">
        <f>IF($N302="","",$H301+N($E302)-N($F302)-N($G302))</f>
        <v/>
      </c>
      <c r="I302" s="56" t="n"/>
      <c r="J302" s="32">
        <f>$J301+IF($N301="増",1,0)</f>
        <v/>
      </c>
      <c r="K302" s="32">
        <f>$K301+IF($N301="減",1,0)</f>
        <v/>
      </c>
      <c r="L302" s="35">
        <f>IF($B$3="",1E+9,IFERROR(SMALL('請求台帳'!$Z$5:$Z$1004,$J302+1),1E+9))</f>
        <v/>
      </c>
      <c r="M302" s="35">
        <f>IF($B$3="",1E+9,IFERROR(SMALL('入金消込'!$Q$5:$Q$1004,$K302+1),1E+9))</f>
        <v/>
      </c>
      <c r="N302" s="32">
        <f>IF(MIN($L302,$M302)&gt;=1E+9,"",IF($L302&lt;=$M302,"増","減"))</f>
        <v/>
      </c>
      <c r="O302" s="32">
        <f>IF($N302="","",IF($N302="増",MATCH($L302,'請求台帳'!$Z$5:$Z$1004,0),MATCH($M302,'入金消込'!$Q$5:$Q$1004,0)))</f>
        <v/>
      </c>
      <c r="P302" s="56" t="n"/>
      <c r="Q302" s="56" t="n"/>
    </row>
    <row r="303" ht="18" customHeight="1">
      <c r="A303" s="45">
        <f>IF($N303="","",IF($N303="増",INDEX('請求台帳'!$X$5:$X$1004,$O303),INDEX('入金消込'!$A$5:$A$1004,$O303)))</f>
        <v/>
      </c>
      <c r="B303" s="46">
        <f>IF($N303="","",IF($N303="増","売上","入金"))</f>
        <v/>
      </c>
      <c r="C303" s="46">
        <f>IF($N303="","",IF($N303="増",INDEX('請求台帳'!$A$5:$A$1004,$O303)&amp;"","入金No "&amp;INDEX('入金消込'!$B$5:$B$1004,$O303)))</f>
        <v/>
      </c>
      <c r="D303" s="47">
        <f>IF($N303="","",IF($N303="増",INDEX('請求台帳'!$F$5:$F$1004,$O303)&amp;"",IF(INDEX('入金消込'!$F$5:$F$1004,$O303)="","消込先が未定",INDEX('入金消込'!$F$5:$F$1004,$O303)&amp;" の入金")))</f>
        <v/>
      </c>
      <c r="E303" s="48">
        <f>IF($N303&lt;&gt;"増","",INDEX('請求台帳'!$L$5:$L$1004,$O303))</f>
        <v/>
      </c>
      <c r="F303" s="48">
        <f>IF($N303&lt;&gt;"減","",N(INDEX('入金消込'!$G$5:$G$1004,$O303)))</f>
        <v/>
      </c>
      <c r="G303" s="48">
        <f>IF($N303&lt;&gt;"減","",N(INDEX('入金消込'!$H$5:$H$1004,$O303))+N(INDEX('入金消込'!$I$5:$I$1004,$O303)))</f>
        <v/>
      </c>
      <c r="H303" s="49">
        <f>IF($N303="","",$H302+N($E303)-N($F303)-N($G303))</f>
        <v/>
      </c>
      <c r="I303" s="56" t="n"/>
      <c r="J303" s="32">
        <f>$J302+IF($N302="増",1,0)</f>
        <v/>
      </c>
      <c r="K303" s="32">
        <f>$K302+IF($N302="減",1,0)</f>
        <v/>
      </c>
      <c r="L303" s="35">
        <f>IF($B$3="",1E+9,IFERROR(SMALL('請求台帳'!$Z$5:$Z$1004,$J303+1),1E+9))</f>
        <v/>
      </c>
      <c r="M303" s="35">
        <f>IF($B$3="",1E+9,IFERROR(SMALL('入金消込'!$Q$5:$Q$1004,$K303+1),1E+9))</f>
        <v/>
      </c>
      <c r="N303" s="32">
        <f>IF(MIN($L303,$M303)&gt;=1E+9,"",IF($L303&lt;=$M303,"増","減"))</f>
        <v/>
      </c>
      <c r="O303" s="32">
        <f>IF($N303="","",IF($N303="増",MATCH($L303,'請求台帳'!$Z$5:$Z$1004,0),MATCH($M303,'入金消込'!$Q$5:$Q$1004,0)))</f>
        <v/>
      </c>
      <c r="P303" s="56" t="n"/>
      <c r="Q303" s="56" t="n"/>
    </row>
    <row r="304" ht="18" customHeight="1">
      <c r="A304" s="45">
        <f>IF($N304="","",IF($N304="増",INDEX('請求台帳'!$X$5:$X$1004,$O304),INDEX('入金消込'!$A$5:$A$1004,$O304)))</f>
        <v/>
      </c>
      <c r="B304" s="46">
        <f>IF($N304="","",IF($N304="増","売上","入金"))</f>
        <v/>
      </c>
      <c r="C304" s="46">
        <f>IF($N304="","",IF($N304="増",INDEX('請求台帳'!$A$5:$A$1004,$O304)&amp;"","入金No "&amp;INDEX('入金消込'!$B$5:$B$1004,$O304)))</f>
        <v/>
      </c>
      <c r="D304" s="47">
        <f>IF($N304="","",IF($N304="増",INDEX('請求台帳'!$F$5:$F$1004,$O304)&amp;"",IF(INDEX('入金消込'!$F$5:$F$1004,$O304)="","消込先が未定",INDEX('入金消込'!$F$5:$F$1004,$O304)&amp;" の入金")))</f>
        <v/>
      </c>
      <c r="E304" s="48">
        <f>IF($N304&lt;&gt;"増","",INDEX('請求台帳'!$L$5:$L$1004,$O304))</f>
        <v/>
      </c>
      <c r="F304" s="48">
        <f>IF($N304&lt;&gt;"減","",N(INDEX('入金消込'!$G$5:$G$1004,$O304)))</f>
        <v/>
      </c>
      <c r="G304" s="48">
        <f>IF($N304&lt;&gt;"減","",N(INDEX('入金消込'!$H$5:$H$1004,$O304))+N(INDEX('入金消込'!$I$5:$I$1004,$O304)))</f>
        <v/>
      </c>
      <c r="H304" s="49">
        <f>IF($N304="","",$H303+N($E304)-N($F304)-N($G304))</f>
        <v/>
      </c>
      <c r="I304" s="56" t="n"/>
      <c r="J304" s="32">
        <f>$J303+IF($N303="増",1,0)</f>
        <v/>
      </c>
      <c r="K304" s="32">
        <f>$K303+IF($N303="減",1,0)</f>
        <v/>
      </c>
      <c r="L304" s="35">
        <f>IF($B$3="",1E+9,IFERROR(SMALL('請求台帳'!$Z$5:$Z$1004,$J304+1),1E+9))</f>
        <v/>
      </c>
      <c r="M304" s="35">
        <f>IF($B$3="",1E+9,IFERROR(SMALL('入金消込'!$Q$5:$Q$1004,$K304+1),1E+9))</f>
        <v/>
      </c>
      <c r="N304" s="32">
        <f>IF(MIN($L304,$M304)&gt;=1E+9,"",IF($L304&lt;=$M304,"増","減"))</f>
        <v/>
      </c>
      <c r="O304" s="32">
        <f>IF($N304="","",IF($N304="増",MATCH($L304,'請求台帳'!$Z$5:$Z$1004,0),MATCH($M304,'入金消込'!$Q$5:$Q$1004,0)))</f>
        <v/>
      </c>
      <c r="P304" s="56" t="n"/>
      <c r="Q304" s="56" t="n"/>
    </row>
    <row r="305" ht="18" customHeight="1">
      <c r="A305" s="45">
        <f>IF($N305="","",IF($N305="増",INDEX('請求台帳'!$X$5:$X$1004,$O305),INDEX('入金消込'!$A$5:$A$1004,$O305)))</f>
        <v/>
      </c>
      <c r="B305" s="46">
        <f>IF($N305="","",IF($N305="増","売上","入金"))</f>
        <v/>
      </c>
      <c r="C305" s="46">
        <f>IF($N305="","",IF($N305="増",INDEX('請求台帳'!$A$5:$A$1004,$O305)&amp;"","入金No "&amp;INDEX('入金消込'!$B$5:$B$1004,$O305)))</f>
        <v/>
      </c>
      <c r="D305" s="47">
        <f>IF($N305="","",IF($N305="増",INDEX('請求台帳'!$F$5:$F$1004,$O305)&amp;"",IF(INDEX('入金消込'!$F$5:$F$1004,$O305)="","消込先が未定",INDEX('入金消込'!$F$5:$F$1004,$O305)&amp;" の入金")))</f>
        <v/>
      </c>
      <c r="E305" s="48">
        <f>IF($N305&lt;&gt;"増","",INDEX('請求台帳'!$L$5:$L$1004,$O305))</f>
        <v/>
      </c>
      <c r="F305" s="48">
        <f>IF($N305&lt;&gt;"減","",N(INDEX('入金消込'!$G$5:$G$1004,$O305)))</f>
        <v/>
      </c>
      <c r="G305" s="48">
        <f>IF($N305&lt;&gt;"減","",N(INDEX('入金消込'!$H$5:$H$1004,$O305))+N(INDEX('入金消込'!$I$5:$I$1004,$O305)))</f>
        <v/>
      </c>
      <c r="H305" s="49">
        <f>IF($N305="","",$H304+N($E305)-N($F305)-N($G305))</f>
        <v/>
      </c>
      <c r="I305" s="56" t="n"/>
      <c r="J305" s="32">
        <f>$J304+IF($N304="増",1,0)</f>
        <v/>
      </c>
      <c r="K305" s="32">
        <f>$K304+IF($N304="減",1,0)</f>
        <v/>
      </c>
      <c r="L305" s="35">
        <f>IF($B$3="",1E+9,IFERROR(SMALL('請求台帳'!$Z$5:$Z$1004,$J305+1),1E+9))</f>
        <v/>
      </c>
      <c r="M305" s="35">
        <f>IF($B$3="",1E+9,IFERROR(SMALL('入金消込'!$Q$5:$Q$1004,$K305+1),1E+9))</f>
        <v/>
      </c>
      <c r="N305" s="32">
        <f>IF(MIN($L305,$M305)&gt;=1E+9,"",IF($L305&lt;=$M305,"増","減"))</f>
        <v/>
      </c>
      <c r="O305" s="32">
        <f>IF($N305="","",IF($N305="増",MATCH($L305,'請求台帳'!$Z$5:$Z$1004,0),MATCH($M305,'入金消込'!$Q$5:$Q$1004,0)))</f>
        <v/>
      </c>
      <c r="P305" s="56" t="n"/>
      <c r="Q305" s="56" t="n"/>
    </row>
    <row r="306" ht="18" customHeight="1">
      <c r="A306" s="45">
        <f>IF($N306="","",IF($N306="増",INDEX('請求台帳'!$X$5:$X$1004,$O306),INDEX('入金消込'!$A$5:$A$1004,$O306)))</f>
        <v/>
      </c>
      <c r="B306" s="46">
        <f>IF($N306="","",IF($N306="増","売上","入金"))</f>
        <v/>
      </c>
      <c r="C306" s="46">
        <f>IF($N306="","",IF($N306="増",INDEX('請求台帳'!$A$5:$A$1004,$O306)&amp;"","入金No "&amp;INDEX('入金消込'!$B$5:$B$1004,$O306)))</f>
        <v/>
      </c>
      <c r="D306" s="47">
        <f>IF($N306="","",IF($N306="増",INDEX('請求台帳'!$F$5:$F$1004,$O306)&amp;"",IF(INDEX('入金消込'!$F$5:$F$1004,$O306)="","消込先が未定",INDEX('入金消込'!$F$5:$F$1004,$O306)&amp;" の入金")))</f>
        <v/>
      </c>
      <c r="E306" s="48">
        <f>IF($N306&lt;&gt;"増","",INDEX('請求台帳'!$L$5:$L$1004,$O306))</f>
        <v/>
      </c>
      <c r="F306" s="48">
        <f>IF($N306&lt;&gt;"減","",N(INDEX('入金消込'!$G$5:$G$1004,$O306)))</f>
        <v/>
      </c>
      <c r="G306" s="48">
        <f>IF($N306&lt;&gt;"減","",N(INDEX('入金消込'!$H$5:$H$1004,$O306))+N(INDEX('入金消込'!$I$5:$I$1004,$O306)))</f>
        <v/>
      </c>
      <c r="H306" s="49">
        <f>IF($N306="","",$H305+N($E306)-N($F306)-N($G306))</f>
        <v/>
      </c>
      <c r="I306" s="56" t="n"/>
      <c r="J306" s="32">
        <f>$J305+IF($N305="増",1,0)</f>
        <v/>
      </c>
      <c r="K306" s="32">
        <f>$K305+IF($N305="減",1,0)</f>
        <v/>
      </c>
      <c r="L306" s="35">
        <f>IF($B$3="",1E+9,IFERROR(SMALL('請求台帳'!$Z$5:$Z$1004,$J306+1),1E+9))</f>
        <v/>
      </c>
      <c r="M306" s="35">
        <f>IF($B$3="",1E+9,IFERROR(SMALL('入金消込'!$Q$5:$Q$1004,$K306+1),1E+9))</f>
        <v/>
      </c>
      <c r="N306" s="32">
        <f>IF(MIN($L306,$M306)&gt;=1E+9,"",IF($L306&lt;=$M306,"増","減"))</f>
        <v/>
      </c>
      <c r="O306" s="32">
        <f>IF($N306="","",IF($N306="増",MATCH($L306,'請求台帳'!$Z$5:$Z$1004,0),MATCH($M306,'入金消込'!$Q$5:$Q$1004,0)))</f>
        <v/>
      </c>
      <c r="P306" s="56" t="n"/>
      <c r="Q306" s="56" t="n"/>
    </row>
    <row r="307" ht="18" customHeight="1">
      <c r="A307" s="45">
        <f>IF($N307="","",IF($N307="増",INDEX('請求台帳'!$X$5:$X$1004,$O307),INDEX('入金消込'!$A$5:$A$1004,$O307)))</f>
        <v/>
      </c>
      <c r="B307" s="46">
        <f>IF($N307="","",IF($N307="増","売上","入金"))</f>
        <v/>
      </c>
      <c r="C307" s="46">
        <f>IF($N307="","",IF($N307="増",INDEX('請求台帳'!$A$5:$A$1004,$O307)&amp;"","入金No "&amp;INDEX('入金消込'!$B$5:$B$1004,$O307)))</f>
        <v/>
      </c>
      <c r="D307" s="47">
        <f>IF($N307="","",IF($N307="増",INDEX('請求台帳'!$F$5:$F$1004,$O307)&amp;"",IF(INDEX('入金消込'!$F$5:$F$1004,$O307)="","消込先が未定",INDEX('入金消込'!$F$5:$F$1004,$O307)&amp;" の入金")))</f>
        <v/>
      </c>
      <c r="E307" s="48">
        <f>IF($N307&lt;&gt;"増","",INDEX('請求台帳'!$L$5:$L$1004,$O307))</f>
        <v/>
      </c>
      <c r="F307" s="48">
        <f>IF($N307&lt;&gt;"減","",N(INDEX('入金消込'!$G$5:$G$1004,$O307)))</f>
        <v/>
      </c>
      <c r="G307" s="48">
        <f>IF($N307&lt;&gt;"減","",N(INDEX('入金消込'!$H$5:$H$1004,$O307))+N(INDEX('入金消込'!$I$5:$I$1004,$O307)))</f>
        <v/>
      </c>
      <c r="H307" s="49">
        <f>IF($N307="","",$H306+N($E307)-N($F307)-N($G307))</f>
        <v/>
      </c>
      <c r="I307" s="56" t="n"/>
      <c r="J307" s="32">
        <f>$J306+IF($N306="増",1,0)</f>
        <v/>
      </c>
      <c r="K307" s="32">
        <f>$K306+IF($N306="減",1,0)</f>
        <v/>
      </c>
      <c r="L307" s="35">
        <f>IF($B$3="",1E+9,IFERROR(SMALL('請求台帳'!$Z$5:$Z$1004,$J307+1),1E+9))</f>
        <v/>
      </c>
      <c r="M307" s="35">
        <f>IF($B$3="",1E+9,IFERROR(SMALL('入金消込'!$Q$5:$Q$1004,$K307+1),1E+9))</f>
        <v/>
      </c>
      <c r="N307" s="32">
        <f>IF(MIN($L307,$M307)&gt;=1E+9,"",IF($L307&lt;=$M307,"増","減"))</f>
        <v/>
      </c>
      <c r="O307" s="32">
        <f>IF($N307="","",IF($N307="増",MATCH($L307,'請求台帳'!$Z$5:$Z$1004,0),MATCH($M307,'入金消込'!$Q$5:$Q$1004,0)))</f>
        <v/>
      </c>
      <c r="P307" s="56" t="n"/>
      <c r="Q307" s="56" t="n"/>
    </row>
    <row r="308" ht="18" customHeight="1">
      <c r="A308" s="45">
        <f>IF($N308="","",IF($N308="増",INDEX('請求台帳'!$X$5:$X$1004,$O308),INDEX('入金消込'!$A$5:$A$1004,$O308)))</f>
        <v/>
      </c>
      <c r="B308" s="46">
        <f>IF($N308="","",IF($N308="増","売上","入金"))</f>
        <v/>
      </c>
      <c r="C308" s="46">
        <f>IF($N308="","",IF($N308="増",INDEX('請求台帳'!$A$5:$A$1004,$O308)&amp;"","入金No "&amp;INDEX('入金消込'!$B$5:$B$1004,$O308)))</f>
        <v/>
      </c>
      <c r="D308" s="47">
        <f>IF($N308="","",IF($N308="増",INDEX('請求台帳'!$F$5:$F$1004,$O308)&amp;"",IF(INDEX('入金消込'!$F$5:$F$1004,$O308)="","消込先が未定",INDEX('入金消込'!$F$5:$F$1004,$O308)&amp;" の入金")))</f>
        <v/>
      </c>
      <c r="E308" s="48">
        <f>IF($N308&lt;&gt;"増","",INDEX('請求台帳'!$L$5:$L$1004,$O308))</f>
        <v/>
      </c>
      <c r="F308" s="48">
        <f>IF($N308&lt;&gt;"減","",N(INDEX('入金消込'!$G$5:$G$1004,$O308)))</f>
        <v/>
      </c>
      <c r="G308" s="48">
        <f>IF($N308&lt;&gt;"減","",N(INDEX('入金消込'!$H$5:$H$1004,$O308))+N(INDEX('入金消込'!$I$5:$I$1004,$O308)))</f>
        <v/>
      </c>
      <c r="H308" s="49">
        <f>IF($N308="","",$H307+N($E308)-N($F308)-N($G308))</f>
        <v/>
      </c>
      <c r="I308" s="56" t="n"/>
      <c r="J308" s="32">
        <f>$J307+IF($N307="増",1,0)</f>
        <v/>
      </c>
      <c r="K308" s="32">
        <f>$K307+IF($N307="減",1,0)</f>
        <v/>
      </c>
      <c r="L308" s="35">
        <f>IF($B$3="",1E+9,IFERROR(SMALL('請求台帳'!$Z$5:$Z$1004,$J308+1),1E+9))</f>
        <v/>
      </c>
      <c r="M308" s="35">
        <f>IF($B$3="",1E+9,IFERROR(SMALL('入金消込'!$Q$5:$Q$1004,$K308+1),1E+9))</f>
        <v/>
      </c>
      <c r="N308" s="32">
        <f>IF(MIN($L308,$M308)&gt;=1E+9,"",IF($L308&lt;=$M308,"増","減"))</f>
        <v/>
      </c>
      <c r="O308" s="32">
        <f>IF($N308="","",IF($N308="増",MATCH($L308,'請求台帳'!$Z$5:$Z$1004,0),MATCH($M308,'入金消込'!$Q$5:$Q$1004,0)))</f>
        <v/>
      </c>
      <c r="P308" s="56" t="n"/>
      <c r="Q308" s="56" t="n"/>
    </row>
    <row r="309" ht="18" customHeight="1">
      <c r="A309" s="45">
        <f>IF($N309="","",IF($N309="増",INDEX('請求台帳'!$X$5:$X$1004,$O309),INDEX('入金消込'!$A$5:$A$1004,$O309)))</f>
        <v/>
      </c>
      <c r="B309" s="46">
        <f>IF($N309="","",IF($N309="増","売上","入金"))</f>
        <v/>
      </c>
      <c r="C309" s="46">
        <f>IF($N309="","",IF($N309="増",INDEX('請求台帳'!$A$5:$A$1004,$O309)&amp;"","入金No "&amp;INDEX('入金消込'!$B$5:$B$1004,$O309)))</f>
        <v/>
      </c>
      <c r="D309" s="47">
        <f>IF($N309="","",IF($N309="増",INDEX('請求台帳'!$F$5:$F$1004,$O309)&amp;"",IF(INDEX('入金消込'!$F$5:$F$1004,$O309)="","消込先が未定",INDEX('入金消込'!$F$5:$F$1004,$O309)&amp;" の入金")))</f>
        <v/>
      </c>
      <c r="E309" s="48">
        <f>IF($N309&lt;&gt;"増","",INDEX('請求台帳'!$L$5:$L$1004,$O309))</f>
        <v/>
      </c>
      <c r="F309" s="48">
        <f>IF($N309&lt;&gt;"減","",N(INDEX('入金消込'!$G$5:$G$1004,$O309)))</f>
        <v/>
      </c>
      <c r="G309" s="48">
        <f>IF($N309&lt;&gt;"減","",N(INDEX('入金消込'!$H$5:$H$1004,$O309))+N(INDEX('入金消込'!$I$5:$I$1004,$O309)))</f>
        <v/>
      </c>
      <c r="H309" s="49">
        <f>IF($N309="","",$H308+N($E309)-N($F309)-N($G309))</f>
        <v/>
      </c>
      <c r="I309" s="56" t="n"/>
      <c r="J309" s="32">
        <f>$J308+IF($N308="増",1,0)</f>
        <v/>
      </c>
      <c r="K309" s="32">
        <f>$K308+IF($N308="減",1,0)</f>
        <v/>
      </c>
      <c r="L309" s="35">
        <f>IF($B$3="",1E+9,IFERROR(SMALL('請求台帳'!$Z$5:$Z$1004,$J309+1),1E+9))</f>
        <v/>
      </c>
      <c r="M309" s="35">
        <f>IF($B$3="",1E+9,IFERROR(SMALL('入金消込'!$Q$5:$Q$1004,$K309+1),1E+9))</f>
        <v/>
      </c>
      <c r="N309" s="32">
        <f>IF(MIN($L309,$M309)&gt;=1E+9,"",IF($L309&lt;=$M309,"増","減"))</f>
        <v/>
      </c>
      <c r="O309" s="32">
        <f>IF($N309="","",IF($N309="増",MATCH($L309,'請求台帳'!$Z$5:$Z$1004,0),MATCH($M309,'入金消込'!$Q$5:$Q$1004,0)))</f>
        <v/>
      </c>
      <c r="P309" s="56" t="n"/>
      <c r="Q309" s="56" t="n"/>
    </row>
    <row r="310" ht="18" customHeight="1">
      <c r="A310" s="45">
        <f>IF($N310="","",IF($N310="増",INDEX('請求台帳'!$X$5:$X$1004,$O310),INDEX('入金消込'!$A$5:$A$1004,$O310)))</f>
        <v/>
      </c>
      <c r="B310" s="46">
        <f>IF($N310="","",IF($N310="増","売上","入金"))</f>
        <v/>
      </c>
      <c r="C310" s="46">
        <f>IF($N310="","",IF($N310="増",INDEX('請求台帳'!$A$5:$A$1004,$O310)&amp;"","入金No "&amp;INDEX('入金消込'!$B$5:$B$1004,$O310)))</f>
        <v/>
      </c>
      <c r="D310" s="47">
        <f>IF($N310="","",IF($N310="増",INDEX('請求台帳'!$F$5:$F$1004,$O310)&amp;"",IF(INDEX('入金消込'!$F$5:$F$1004,$O310)="","消込先が未定",INDEX('入金消込'!$F$5:$F$1004,$O310)&amp;" の入金")))</f>
        <v/>
      </c>
      <c r="E310" s="48">
        <f>IF($N310&lt;&gt;"増","",INDEX('請求台帳'!$L$5:$L$1004,$O310))</f>
        <v/>
      </c>
      <c r="F310" s="48">
        <f>IF($N310&lt;&gt;"減","",N(INDEX('入金消込'!$G$5:$G$1004,$O310)))</f>
        <v/>
      </c>
      <c r="G310" s="48">
        <f>IF($N310&lt;&gt;"減","",N(INDEX('入金消込'!$H$5:$H$1004,$O310))+N(INDEX('入金消込'!$I$5:$I$1004,$O310)))</f>
        <v/>
      </c>
      <c r="H310" s="49">
        <f>IF($N310="","",$H309+N($E310)-N($F310)-N($G310))</f>
        <v/>
      </c>
      <c r="I310" s="56" t="n"/>
      <c r="J310" s="32">
        <f>$J309+IF($N309="増",1,0)</f>
        <v/>
      </c>
      <c r="K310" s="32">
        <f>$K309+IF($N309="減",1,0)</f>
        <v/>
      </c>
      <c r="L310" s="35">
        <f>IF($B$3="",1E+9,IFERROR(SMALL('請求台帳'!$Z$5:$Z$1004,$J310+1),1E+9))</f>
        <v/>
      </c>
      <c r="M310" s="35">
        <f>IF($B$3="",1E+9,IFERROR(SMALL('入金消込'!$Q$5:$Q$1004,$K310+1),1E+9))</f>
        <v/>
      </c>
      <c r="N310" s="32">
        <f>IF(MIN($L310,$M310)&gt;=1E+9,"",IF($L310&lt;=$M310,"増","減"))</f>
        <v/>
      </c>
      <c r="O310" s="32">
        <f>IF($N310="","",IF($N310="増",MATCH($L310,'請求台帳'!$Z$5:$Z$1004,0),MATCH($M310,'入金消込'!$Q$5:$Q$1004,0)))</f>
        <v/>
      </c>
      <c r="P310" s="56" t="n"/>
      <c r="Q310" s="56" t="n"/>
    </row>
    <row r="311" ht="18" customHeight="1">
      <c r="A311" s="45">
        <f>IF($N311="","",IF($N311="増",INDEX('請求台帳'!$X$5:$X$1004,$O311),INDEX('入金消込'!$A$5:$A$1004,$O311)))</f>
        <v/>
      </c>
      <c r="B311" s="46">
        <f>IF($N311="","",IF($N311="増","売上","入金"))</f>
        <v/>
      </c>
      <c r="C311" s="46">
        <f>IF($N311="","",IF($N311="増",INDEX('請求台帳'!$A$5:$A$1004,$O311)&amp;"","入金No "&amp;INDEX('入金消込'!$B$5:$B$1004,$O311)))</f>
        <v/>
      </c>
      <c r="D311" s="47">
        <f>IF($N311="","",IF($N311="増",INDEX('請求台帳'!$F$5:$F$1004,$O311)&amp;"",IF(INDEX('入金消込'!$F$5:$F$1004,$O311)="","消込先が未定",INDEX('入金消込'!$F$5:$F$1004,$O311)&amp;" の入金")))</f>
        <v/>
      </c>
      <c r="E311" s="48">
        <f>IF($N311&lt;&gt;"増","",INDEX('請求台帳'!$L$5:$L$1004,$O311))</f>
        <v/>
      </c>
      <c r="F311" s="48">
        <f>IF($N311&lt;&gt;"減","",N(INDEX('入金消込'!$G$5:$G$1004,$O311)))</f>
        <v/>
      </c>
      <c r="G311" s="48">
        <f>IF($N311&lt;&gt;"減","",N(INDEX('入金消込'!$H$5:$H$1004,$O311))+N(INDEX('入金消込'!$I$5:$I$1004,$O311)))</f>
        <v/>
      </c>
      <c r="H311" s="49">
        <f>IF($N311="","",$H310+N($E311)-N($F311)-N($G311))</f>
        <v/>
      </c>
      <c r="I311" s="56" t="n"/>
      <c r="J311" s="32">
        <f>$J310+IF($N310="増",1,0)</f>
        <v/>
      </c>
      <c r="K311" s="32">
        <f>$K310+IF($N310="減",1,0)</f>
        <v/>
      </c>
      <c r="L311" s="35">
        <f>IF($B$3="",1E+9,IFERROR(SMALL('請求台帳'!$Z$5:$Z$1004,$J311+1),1E+9))</f>
        <v/>
      </c>
      <c r="M311" s="35">
        <f>IF($B$3="",1E+9,IFERROR(SMALL('入金消込'!$Q$5:$Q$1004,$K311+1),1E+9))</f>
        <v/>
      </c>
      <c r="N311" s="32">
        <f>IF(MIN($L311,$M311)&gt;=1E+9,"",IF($L311&lt;=$M311,"増","減"))</f>
        <v/>
      </c>
      <c r="O311" s="32">
        <f>IF($N311="","",IF($N311="増",MATCH($L311,'請求台帳'!$Z$5:$Z$1004,0),MATCH($M311,'入金消込'!$Q$5:$Q$1004,0)))</f>
        <v/>
      </c>
      <c r="P311" s="56" t="n"/>
      <c r="Q311" s="56" t="n"/>
    </row>
    <row r="312" ht="18" customHeight="1">
      <c r="A312" s="45">
        <f>IF($N312="","",IF($N312="増",INDEX('請求台帳'!$X$5:$X$1004,$O312),INDEX('入金消込'!$A$5:$A$1004,$O312)))</f>
        <v/>
      </c>
      <c r="B312" s="46">
        <f>IF($N312="","",IF($N312="増","売上","入金"))</f>
        <v/>
      </c>
      <c r="C312" s="46">
        <f>IF($N312="","",IF($N312="増",INDEX('請求台帳'!$A$5:$A$1004,$O312)&amp;"","入金No "&amp;INDEX('入金消込'!$B$5:$B$1004,$O312)))</f>
        <v/>
      </c>
      <c r="D312" s="47">
        <f>IF($N312="","",IF($N312="増",INDEX('請求台帳'!$F$5:$F$1004,$O312)&amp;"",IF(INDEX('入金消込'!$F$5:$F$1004,$O312)="","消込先が未定",INDEX('入金消込'!$F$5:$F$1004,$O312)&amp;" の入金")))</f>
        <v/>
      </c>
      <c r="E312" s="48">
        <f>IF($N312&lt;&gt;"増","",INDEX('請求台帳'!$L$5:$L$1004,$O312))</f>
        <v/>
      </c>
      <c r="F312" s="48">
        <f>IF($N312&lt;&gt;"減","",N(INDEX('入金消込'!$G$5:$G$1004,$O312)))</f>
        <v/>
      </c>
      <c r="G312" s="48">
        <f>IF($N312&lt;&gt;"減","",N(INDEX('入金消込'!$H$5:$H$1004,$O312))+N(INDEX('入金消込'!$I$5:$I$1004,$O312)))</f>
        <v/>
      </c>
      <c r="H312" s="49">
        <f>IF($N312="","",$H311+N($E312)-N($F312)-N($G312))</f>
        <v/>
      </c>
      <c r="I312" s="56" t="n"/>
      <c r="J312" s="32">
        <f>$J311+IF($N311="増",1,0)</f>
        <v/>
      </c>
      <c r="K312" s="32">
        <f>$K311+IF($N311="減",1,0)</f>
        <v/>
      </c>
      <c r="L312" s="35">
        <f>IF($B$3="",1E+9,IFERROR(SMALL('請求台帳'!$Z$5:$Z$1004,$J312+1),1E+9))</f>
        <v/>
      </c>
      <c r="M312" s="35">
        <f>IF($B$3="",1E+9,IFERROR(SMALL('入金消込'!$Q$5:$Q$1004,$K312+1),1E+9))</f>
        <v/>
      </c>
      <c r="N312" s="32">
        <f>IF(MIN($L312,$M312)&gt;=1E+9,"",IF($L312&lt;=$M312,"増","減"))</f>
        <v/>
      </c>
      <c r="O312" s="32">
        <f>IF($N312="","",IF($N312="増",MATCH($L312,'請求台帳'!$Z$5:$Z$1004,0),MATCH($M312,'入金消込'!$Q$5:$Q$1004,0)))</f>
        <v/>
      </c>
      <c r="P312" s="56" t="n"/>
      <c r="Q312" s="56" t="n"/>
    </row>
    <row r="313" ht="18" customHeight="1">
      <c r="A313" s="45">
        <f>IF($N313="","",IF($N313="増",INDEX('請求台帳'!$X$5:$X$1004,$O313),INDEX('入金消込'!$A$5:$A$1004,$O313)))</f>
        <v/>
      </c>
      <c r="B313" s="46">
        <f>IF($N313="","",IF($N313="増","売上","入金"))</f>
        <v/>
      </c>
      <c r="C313" s="46">
        <f>IF($N313="","",IF($N313="増",INDEX('請求台帳'!$A$5:$A$1004,$O313)&amp;"","入金No "&amp;INDEX('入金消込'!$B$5:$B$1004,$O313)))</f>
        <v/>
      </c>
      <c r="D313" s="47">
        <f>IF($N313="","",IF($N313="増",INDEX('請求台帳'!$F$5:$F$1004,$O313)&amp;"",IF(INDEX('入金消込'!$F$5:$F$1004,$O313)="","消込先が未定",INDEX('入金消込'!$F$5:$F$1004,$O313)&amp;" の入金")))</f>
        <v/>
      </c>
      <c r="E313" s="48">
        <f>IF($N313&lt;&gt;"増","",INDEX('請求台帳'!$L$5:$L$1004,$O313))</f>
        <v/>
      </c>
      <c r="F313" s="48">
        <f>IF($N313&lt;&gt;"減","",N(INDEX('入金消込'!$G$5:$G$1004,$O313)))</f>
        <v/>
      </c>
      <c r="G313" s="48">
        <f>IF($N313&lt;&gt;"減","",N(INDEX('入金消込'!$H$5:$H$1004,$O313))+N(INDEX('入金消込'!$I$5:$I$1004,$O313)))</f>
        <v/>
      </c>
      <c r="H313" s="49">
        <f>IF($N313="","",$H312+N($E313)-N($F313)-N($G313))</f>
        <v/>
      </c>
      <c r="I313" s="56" t="n"/>
      <c r="J313" s="32">
        <f>$J312+IF($N312="増",1,0)</f>
        <v/>
      </c>
      <c r="K313" s="32">
        <f>$K312+IF($N312="減",1,0)</f>
        <v/>
      </c>
      <c r="L313" s="35">
        <f>IF($B$3="",1E+9,IFERROR(SMALL('請求台帳'!$Z$5:$Z$1004,$J313+1),1E+9))</f>
        <v/>
      </c>
      <c r="M313" s="35">
        <f>IF($B$3="",1E+9,IFERROR(SMALL('入金消込'!$Q$5:$Q$1004,$K313+1),1E+9))</f>
        <v/>
      </c>
      <c r="N313" s="32">
        <f>IF(MIN($L313,$M313)&gt;=1E+9,"",IF($L313&lt;=$M313,"増","減"))</f>
        <v/>
      </c>
      <c r="O313" s="32">
        <f>IF($N313="","",IF($N313="増",MATCH($L313,'請求台帳'!$Z$5:$Z$1004,0),MATCH($M313,'入金消込'!$Q$5:$Q$1004,0)))</f>
        <v/>
      </c>
      <c r="P313" s="56" t="n"/>
      <c r="Q313" s="56" t="n"/>
    </row>
    <row r="314" ht="18" customHeight="1">
      <c r="A314" s="45">
        <f>IF($N314="","",IF($N314="増",INDEX('請求台帳'!$X$5:$X$1004,$O314),INDEX('入金消込'!$A$5:$A$1004,$O314)))</f>
        <v/>
      </c>
      <c r="B314" s="46">
        <f>IF($N314="","",IF($N314="増","売上","入金"))</f>
        <v/>
      </c>
      <c r="C314" s="46">
        <f>IF($N314="","",IF($N314="増",INDEX('請求台帳'!$A$5:$A$1004,$O314)&amp;"","入金No "&amp;INDEX('入金消込'!$B$5:$B$1004,$O314)))</f>
        <v/>
      </c>
      <c r="D314" s="47">
        <f>IF($N314="","",IF($N314="増",INDEX('請求台帳'!$F$5:$F$1004,$O314)&amp;"",IF(INDEX('入金消込'!$F$5:$F$1004,$O314)="","消込先が未定",INDEX('入金消込'!$F$5:$F$1004,$O314)&amp;" の入金")))</f>
        <v/>
      </c>
      <c r="E314" s="48">
        <f>IF($N314&lt;&gt;"増","",INDEX('請求台帳'!$L$5:$L$1004,$O314))</f>
        <v/>
      </c>
      <c r="F314" s="48">
        <f>IF($N314&lt;&gt;"減","",N(INDEX('入金消込'!$G$5:$G$1004,$O314)))</f>
        <v/>
      </c>
      <c r="G314" s="48">
        <f>IF($N314&lt;&gt;"減","",N(INDEX('入金消込'!$H$5:$H$1004,$O314))+N(INDEX('入金消込'!$I$5:$I$1004,$O314)))</f>
        <v/>
      </c>
      <c r="H314" s="49">
        <f>IF($N314="","",$H313+N($E314)-N($F314)-N($G314))</f>
        <v/>
      </c>
      <c r="I314" s="56" t="n"/>
      <c r="J314" s="32">
        <f>$J313+IF($N313="増",1,0)</f>
        <v/>
      </c>
      <c r="K314" s="32">
        <f>$K313+IF($N313="減",1,0)</f>
        <v/>
      </c>
      <c r="L314" s="35">
        <f>IF($B$3="",1E+9,IFERROR(SMALL('請求台帳'!$Z$5:$Z$1004,$J314+1),1E+9))</f>
        <v/>
      </c>
      <c r="M314" s="35">
        <f>IF($B$3="",1E+9,IFERROR(SMALL('入金消込'!$Q$5:$Q$1004,$K314+1),1E+9))</f>
        <v/>
      </c>
      <c r="N314" s="32">
        <f>IF(MIN($L314,$M314)&gt;=1E+9,"",IF($L314&lt;=$M314,"増","減"))</f>
        <v/>
      </c>
      <c r="O314" s="32">
        <f>IF($N314="","",IF($N314="増",MATCH($L314,'請求台帳'!$Z$5:$Z$1004,0),MATCH($M314,'入金消込'!$Q$5:$Q$1004,0)))</f>
        <v/>
      </c>
      <c r="P314" s="56" t="n"/>
      <c r="Q314" s="56" t="n"/>
    </row>
    <row r="315" ht="18" customHeight="1">
      <c r="A315" s="45">
        <f>IF($N315="","",IF($N315="増",INDEX('請求台帳'!$X$5:$X$1004,$O315),INDEX('入金消込'!$A$5:$A$1004,$O315)))</f>
        <v/>
      </c>
      <c r="B315" s="46">
        <f>IF($N315="","",IF($N315="増","売上","入金"))</f>
        <v/>
      </c>
      <c r="C315" s="46">
        <f>IF($N315="","",IF($N315="増",INDEX('請求台帳'!$A$5:$A$1004,$O315)&amp;"","入金No "&amp;INDEX('入金消込'!$B$5:$B$1004,$O315)))</f>
        <v/>
      </c>
      <c r="D315" s="47">
        <f>IF($N315="","",IF($N315="増",INDEX('請求台帳'!$F$5:$F$1004,$O315)&amp;"",IF(INDEX('入金消込'!$F$5:$F$1004,$O315)="","消込先が未定",INDEX('入金消込'!$F$5:$F$1004,$O315)&amp;" の入金")))</f>
        <v/>
      </c>
      <c r="E315" s="48">
        <f>IF($N315&lt;&gt;"増","",INDEX('請求台帳'!$L$5:$L$1004,$O315))</f>
        <v/>
      </c>
      <c r="F315" s="48">
        <f>IF($N315&lt;&gt;"減","",N(INDEX('入金消込'!$G$5:$G$1004,$O315)))</f>
        <v/>
      </c>
      <c r="G315" s="48">
        <f>IF($N315&lt;&gt;"減","",N(INDEX('入金消込'!$H$5:$H$1004,$O315))+N(INDEX('入金消込'!$I$5:$I$1004,$O315)))</f>
        <v/>
      </c>
      <c r="H315" s="49">
        <f>IF($N315="","",$H314+N($E315)-N($F315)-N($G315))</f>
        <v/>
      </c>
      <c r="I315" s="56" t="n"/>
      <c r="J315" s="32">
        <f>$J314+IF($N314="増",1,0)</f>
        <v/>
      </c>
      <c r="K315" s="32">
        <f>$K314+IF($N314="減",1,0)</f>
        <v/>
      </c>
      <c r="L315" s="35">
        <f>IF($B$3="",1E+9,IFERROR(SMALL('請求台帳'!$Z$5:$Z$1004,$J315+1),1E+9))</f>
        <v/>
      </c>
      <c r="M315" s="35">
        <f>IF($B$3="",1E+9,IFERROR(SMALL('入金消込'!$Q$5:$Q$1004,$K315+1),1E+9))</f>
        <v/>
      </c>
      <c r="N315" s="32">
        <f>IF(MIN($L315,$M315)&gt;=1E+9,"",IF($L315&lt;=$M315,"増","減"))</f>
        <v/>
      </c>
      <c r="O315" s="32">
        <f>IF($N315="","",IF($N315="増",MATCH($L315,'請求台帳'!$Z$5:$Z$1004,0),MATCH($M315,'入金消込'!$Q$5:$Q$1004,0)))</f>
        <v/>
      </c>
      <c r="P315" s="56" t="n"/>
      <c r="Q315" s="56" t="n"/>
    </row>
    <row r="316" ht="18" customHeight="1">
      <c r="A316" s="45">
        <f>IF($N316="","",IF($N316="増",INDEX('請求台帳'!$X$5:$X$1004,$O316),INDEX('入金消込'!$A$5:$A$1004,$O316)))</f>
        <v/>
      </c>
      <c r="B316" s="46">
        <f>IF($N316="","",IF($N316="増","売上","入金"))</f>
        <v/>
      </c>
      <c r="C316" s="46">
        <f>IF($N316="","",IF($N316="増",INDEX('請求台帳'!$A$5:$A$1004,$O316)&amp;"","入金No "&amp;INDEX('入金消込'!$B$5:$B$1004,$O316)))</f>
        <v/>
      </c>
      <c r="D316" s="47">
        <f>IF($N316="","",IF($N316="増",INDEX('請求台帳'!$F$5:$F$1004,$O316)&amp;"",IF(INDEX('入金消込'!$F$5:$F$1004,$O316)="","消込先が未定",INDEX('入金消込'!$F$5:$F$1004,$O316)&amp;" の入金")))</f>
        <v/>
      </c>
      <c r="E316" s="48">
        <f>IF($N316&lt;&gt;"増","",INDEX('請求台帳'!$L$5:$L$1004,$O316))</f>
        <v/>
      </c>
      <c r="F316" s="48">
        <f>IF($N316&lt;&gt;"減","",N(INDEX('入金消込'!$G$5:$G$1004,$O316)))</f>
        <v/>
      </c>
      <c r="G316" s="48">
        <f>IF($N316&lt;&gt;"減","",N(INDEX('入金消込'!$H$5:$H$1004,$O316))+N(INDEX('入金消込'!$I$5:$I$1004,$O316)))</f>
        <v/>
      </c>
      <c r="H316" s="49">
        <f>IF($N316="","",$H315+N($E316)-N($F316)-N($G316))</f>
        <v/>
      </c>
      <c r="I316" s="56" t="n"/>
      <c r="J316" s="32">
        <f>$J315+IF($N315="増",1,0)</f>
        <v/>
      </c>
      <c r="K316" s="32">
        <f>$K315+IF($N315="減",1,0)</f>
        <v/>
      </c>
      <c r="L316" s="35">
        <f>IF($B$3="",1E+9,IFERROR(SMALL('請求台帳'!$Z$5:$Z$1004,$J316+1),1E+9))</f>
        <v/>
      </c>
      <c r="M316" s="35">
        <f>IF($B$3="",1E+9,IFERROR(SMALL('入金消込'!$Q$5:$Q$1004,$K316+1),1E+9))</f>
        <v/>
      </c>
      <c r="N316" s="32">
        <f>IF(MIN($L316,$M316)&gt;=1E+9,"",IF($L316&lt;=$M316,"増","減"))</f>
        <v/>
      </c>
      <c r="O316" s="32">
        <f>IF($N316="","",IF($N316="増",MATCH($L316,'請求台帳'!$Z$5:$Z$1004,0),MATCH($M316,'入金消込'!$Q$5:$Q$1004,0)))</f>
        <v/>
      </c>
      <c r="P316" s="56" t="n"/>
      <c r="Q316" s="56" t="n"/>
    </row>
    <row r="317" ht="18" customHeight="1">
      <c r="A317" s="45">
        <f>IF($N317="","",IF($N317="増",INDEX('請求台帳'!$X$5:$X$1004,$O317),INDEX('入金消込'!$A$5:$A$1004,$O317)))</f>
        <v/>
      </c>
      <c r="B317" s="46">
        <f>IF($N317="","",IF($N317="増","売上","入金"))</f>
        <v/>
      </c>
      <c r="C317" s="46">
        <f>IF($N317="","",IF($N317="増",INDEX('請求台帳'!$A$5:$A$1004,$O317)&amp;"","入金No "&amp;INDEX('入金消込'!$B$5:$B$1004,$O317)))</f>
        <v/>
      </c>
      <c r="D317" s="47">
        <f>IF($N317="","",IF($N317="増",INDEX('請求台帳'!$F$5:$F$1004,$O317)&amp;"",IF(INDEX('入金消込'!$F$5:$F$1004,$O317)="","消込先が未定",INDEX('入金消込'!$F$5:$F$1004,$O317)&amp;" の入金")))</f>
        <v/>
      </c>
      <c r="E317" s="48">
        <f>IF($N317&lt;&gt;"増","",INDEX('請求台帳'!$L$5:$L$1004,$O317))</f>
        <v/>
      </c>
      <c r="F317" s="48">
        <f>IF($N317&lt;&gt;"減","",N(INDEX('入金消込'!$G$5:$G$1004,$O317)))</f>
        <v/>
      </c>
      <c r="G317" s="48">
        <f>IF($N317&lt;&gt;"減","",N(INDEX('入金消込'!$H$5:$H$1004,$O317))+N(INDEX('入金消込'!$I$5:$I$1004,$O317)))</f>
        <v/>
      </c>
      <c r="H317" s="49">
        <f>IF($N317="","",$H316+N($E317)-N($F317)-N($G317))</f>
        <v/>
      </c>
      <c r="I317" s="56" t="n"/>
      <c r="J317" s="32">
        <f>$J316+IF($N316="増",1,0)</f>
        <v/>
      </c>
      <c r="K317" s="32">
        <f>$K316+IF($N316="減",1,0)</f>
        <v/>
      </c>
      <c r="L317" s="35">
        <f>IF($B$3="",1E+9,IFERROR(SMALL('請求台帳'!$Z$5:$Z$1004,$J317+1),1E+9))</f>
        <v/>
      </c>
      <c r="M317" s="35">
        <f>IF($B$3="",1E+9,IFERROR(SMALL('入金消込'!$Q$5:$Q$1004,$K317+1),1E+9))</f>
        <v/>
      </c>
      <c r="N317" s="32">
        <f>IF(MIN($L317,$M317)&gt;=1E+9,"",IF($L317&lt;=$M317,"増","減"))</f>
        <v/>
      </c>
      <c r="O317" s="32">
        <f>IF($N317="","",IF($N317="増",MATCH($L317,'請求台帳'!$Z$5:$Z$1004,0),MATCH($M317,'入金消込'!$Q$5:$Q$1004,0)))</f>
        <v/>
      </c>
      <c r="P317" s="56" t="n"/>
      <c r="Q317" s="56" t="n"/>
    </row>
    <row r="318" ht="18" customHeight="1">
      <c r="A318" s="45">
        <f>IF($N318="","",IF($N318="増",INDEX('請求台帳'!$X$5:$X$1004,$O318),INDEX('入金消込'!$A$5:$A$1004,$O318)))</f>
        <v/>
      </c>
      <c r="B318" s="46">
        <f>IF($N318="","",IF($N318="増","売上","入金"))</f>
        <v/>
      </c>
      <c r="C318" s="46">
        <f>IF($N318="","",IF($N318="増",INDEX('請求台帳'!$A$5:$A$1004,$O318)&amp;"","入金No "&amp;INDEX('入金消込'!$B$5:$B$1004,$O318)))</f>
        <v/>
      </c>
      <c r="D318" s="47">
        <f>IF($N318="","",IF($N318="増",INDEX('請求台帳'!$F$5:$F$1004,$O318)&amp;"",IF(INDEX('入金消込'!$F$5:$F$1004,$O318)="","消込先が未定",INDEX('入金消込'!$F$5:$F$1004,$O318)&amp;" の入金")))</f>
        <v/>
      </c>
      <c r="E318" s="48">
        <f>IF($N318&lt;&gt;"増","",INDEX('請求台帳'!$L$5:$L$1004,$O318))</f>
        <v/>
      </c>
      <c r="F318" s="48">
        <f>IF($N318&lt;&gt;"減","",N(INDEX('入金消込'!$G$5:$G$1004,$O318)))</f>
        <v/>
      </c>
      <c r="G318" s="48">
        <f>IF($N318&lt;&gt;"減","",N(INDEX('入金消込'!$H$5:$H$1004,$O318))+N(INDEX('入金消込'!$I$5:$I$1004,$O318)))</f>
        <v/>
      </c>
      <c r="H318" s="49">
        <f>IF($N318="","",$H317+N($E318)-N($F318)-N($G318))</f>
        <v/>
      </c>
      <c r="I318" s="56" t="n"/>
      <c r="J318" s="32">
        <f>$J317+IF($N317="増",1,0)</f>
        <v/>
      </c>
      <c r="K318" s="32">
        <f>$K317+IF($N317="減",1,0)</f>
        <v/>
      </c>
      <c r="L318" s="35">
        <f>IF($B$3="",1E+9,IFERROR(SMALL('請求台帳'!$Z$5:$Z$1004,$J318+1),1E+9))</f>
        <v/>
      </c>
      <c r="M318" s="35">
        <f>IF($B$3="",1E+9,IFERROR(SMALL('入金消込'!$Q$5:$Q$1004,$K318+1),1E+9))</f>
        <v/>
      </c>
      <c r="N318" s="32">
        <f>IF(MIN($L318,$M318)&gt;=1E+9,"",IF($L318&lt;=$M318,"増","減"))</f>
        <v/>
      </c>
      <c r="O318" s="32">
        <f>IF($N318="","",IF($N318="増",MATCH($L318,'請求台帳'!$Z$5:$Z$1004,0),MATCH($M318,'入金消込'!$Q$5:$Q$1004,0)))</f>
        <v/>
      </c>
      <c r="P318" s="56" t="n"/>
      <c r="Q318" s="56" t="n"/>
    </row>
    <row r="319" ht="18" customHeight="1">
      <c r="A319" s="45">
        <f>IF($N319="","",IF($N319="増",INDEX('請求台帳'!$X$5:$X$1004,$O319),INDEX('入金消込'!$A$5:$A$1004,$O319)))</f>
        <v/>
      </c>
      <c r="B319" s="46">
        <f>IF($N319="","",IF($N319="増","売上","入金"))</f>
        <v/>
      </c>
      <c r="C319" s="46">
        <f>IF($N319="","",IF($N319="増",INDEX('請求台帳'!$A$5:$A$1004,$O319)&amp;"","入金No "&amp;INDEX('入金消込'!$B$5:$B$1004,$O319)))</f>
        <v/>
      </c>
      <c r="D319" s="47">
        <f>IF($N319="","",IF($N319="増",INDEX('請求台帳'!$F$5:$F$1004,$O319)&amp;"",IF(INDEX('入金消込'!$F$5:$F$1004,$O319)="","消込先が未定",INDEX('入金消込'!$F$5:$F$1004,$O319)&amp;" の入金")))</f>
        <v/>
      </c>
      <c r="E319" s="48">
        <f>IF($N319&lt;&gt;"増","",INDEX('請求台帳'!$L$5:$L$1004,$O319))</f>
        <v/>
      </c>
      <c r="F319" s="48">
        <f>IF($N319&lt;&gt;"減","",N(INDEX('入金消込'!$G$5:$G$1004,$O319)))</f>
        <v/>
      </c>
      <c r="G319" s="48">
        <f>IF($N319&lt;&gt;"減","",N(INDEX('入金消込'!$H$5:$H$1004,$O319))+N(INDEX('入金消込'!$I$5:$I$1004,$O319)))</f>
        <v/>
      </c>
      <c r="H319" s="49">
        <f>IF($N319="","",$H318+N($E319)-N($F319)-N($G319))</f>
        <v/>
      </c>
      <c r="I319" s="56" t="n"/>
      <c r="J319" s="32">
        <f>$J318+IF($N318="増",1,0)</f>
        <v/>
      </c>
      <c r="K319" s="32">
        <f>$K318+IF($N318="減",1,0)</f>
        <v/>
      </c>
      <c r="L319" s="35">
        <f>IF($B$3="",1E+9,IFERROR(SMALL('請求台帳'!$Z$5:$Z$1004,$J319+1),1E+9))</f>
        <v/>
      </c>
      <c r="M319" s="35">
        <f>IF($B$3="",1E+9,IFERROR(SMALL('入金消込'!$Q$5:$Q$1004,$K319+1),1E+9))</f>
        <v/>
      </c>
      <c r="N319" s="32">
        <f>IF(MIN($L319,$M319)&gt;=1E+9,"",IF($L319&lt;=$M319,"増","減"))</f>
        <v/>
      </c>
      <c r="O319" s="32">
        <f>IF($N319="","",IF($N319="増",MATCH($L319,'請求台帳'!$Z$5:$Z$1004,0),MATCH($M319,'入金消込'!$Q$5:$Q$1004,0)))</f>
        <v/>
      </c>
      <c r="P319" s="56" t="n"/>
      <c r="Q319" s="56" t="n"/>
    </row>
    <row r="320" ht="18" customHeight="1">
      <c r="A320" s="45">
        <f>IF($N320="","",IF($N320="増",INDEX('請求台帳'!$X$5:$X$1004,$O320),INDEX('入金消込'!$A$5:$A$1004,$O320)))</f>
        <v/>
      </c>
      <c r="B320" s="46">
        <f>IF($N320="","",IF($N320="増","売上","入金"))</f>
        <v/>
      </c>
      <c r="C320" s="46">
        <f>IF($N320="","",IF($N320="増",INDEX('請求台帳'!$A$5:$A$1004,$O320)&amp;"","入金No "&amp;INDEX('入金消込'!$B$5:$B$1004,$O320)))</f>
        <v/>
      </c>
      <c r="D320" s="47">
        <f>IF($N320="","",IF($N320="増",INDEX('請求台帳'!$F$5:$F$1004,$O320)&amp;"",IF(INDEX('入金消込'!$F$5:$F$1004,$O320)="","消込先が未定",INDEX('入金消込'!$F$5:$F$1004,$O320)&amp;" の入金")))</f>
        <v/>
      </c>
      <c r="E320" s="48">
        <f>IF($N320&lt;&gt;"増","",INDEX('請求台帳'!$L$5:$L$1004,$O320))</f>
        <v/>
      </c>
      <c r="F320" s="48">
        <f>IF($N320&lt;&gt;"減","",N(INDEX('入金消込'!$G$5:$G$1004,$O320)))</f>
        <v/>
      </c>
      <c r="G320" s="48">
        <f>IF($N320&lt;&gt;"減","",N(INDEX('入金消込'!$H$5:$H$1004,$O320))+N(INDEX('入金消込'!$I$5:$I$1004,$O320)))</f>
        <v/>
      </c>
      <c r="H320" s="49">
        <f>IF($N320="","",$H319+N($E320)-N($F320)-N($G320))</f>
        <v/>
      </c>
      <c r="I320" s="56" t="n"/>
      <c r="J320" s="32">
        <f>$J319+IF($N319="増",1,0)</f>
        <v/>
      </c>
      <c r="K320" s="32">
        <f>$K319+IF($N319="減",1,0)</f>
        <v/>
      </c>
      <c r="L320" s="35">
        <f>IF($B$3="",1E+9,IFERROR(SMALL('請求台帳'!$Z$5:$Z$1004,$J320+1),1E+9))</f>
        <v/>
      </c>
      <c r="M320" s="35">
        <f>IF($B$3="",1E+9,IFERROR(SMALL('入金消込'!$Q$5:$Q$1004,$K320+1),1E+9))</f>
        <v/>
      </c>
      <c r="N320" s="32">
        <f>IF(MIN($L320,$M320)&gt;=1E+9,"",IF($L320&lt;=$M320,"増","減"))</f>
        <v/>
      </c>
      <c r="O320" s="32">
        <f>IF($N320="","",IF($N320="増",MATCH($L320,'請求台帳'!$Z$5:$Z$1004,0),MATCH($M320,'入金消込'!$Q$5:$Q$1004,0)))</f>
        <v/>
      </c>
      <c r="P320" s="56" t="n"/>
      <c r="Q320" s="56" t="n"/>
    </row>
    <row r="321" ht="18" customHeight="1">
      <c r="A321" s="45">
        <f>IF($N321="","",IF($N321="増",INDEX('請求台帳'!$X$5:$X$1004,$O321),INDEX('入金消込'!$A$5:$A$1004,$O321)))</f>
        <v/>
      </c>
      <c r="B321" s="46">
        <f>IF($N321="","",IF($N321="増","売上","入金"))</f>
        <v/>
      </c>
      <c r="C321" s="46">
        <f>IF($N321="","",IF($N321="増",INDEX('請求台帳'!$A$5:$A$1004,$O321)&amp;"","入金No "&amp;INDEX('入金消込'!$B$5:$B$1004,$O321)))</f>
        <v/>
      </c>
      <c r="D321" s="47">
        <f>IF($N321="","",IF($N321="増",INDEX('請求台帳'!$F$5:$F$1004,$O321)&amp;"",IF(INDEX('入金消込'!$F$5:$F$1004,$O321)="","消込先が未定",INDEX('入金消込'!$F$5:$F$1004,$O321)&amp;" の入金")))</f>
        <v/>
      </c>
      <c r="E321" s="48">
        <f>IF($N321&lt;&gt;"増","",INDEX('請求台帳'!$L$5:$L$1004,$O321))</f>
        <v/>
      </c>
      <c r="F321" s="48">
        <f>IF($N321&lt;&gt;"減","",N(INDEX('入金消込'!$G$5:$G$1004,$O321)))</f>
        <v/>
      </c>
      <c r="G321" s="48">
        <f>IF($N321&lt;&gt;"減","",N(INDEX('入金消込'!$H$5:$H$1004,$O321))+N(INDEX('入金消込'!$I$5:$I$1004,$O321)))</f>
        <v/>
      </c>
      <c r="H321" s="49">
        <f>IF($N321="","",$H320+N($E321)-N($F321)-N($G321))</f>
        <v/>
      </c>
      <c r="I321" s="56" t="n"/>
      <c r="J321" s="32">
        <f>$J320+IF($N320="増",1,0)</f>
        <v/>
      </c>
      <c r="K321" s="32">
        <f>$K320+IF($N320="減",1,0)</f>
        <v/>
      </c>
      <c r="L321" s="35">
        <f>IF($B$3="",1E+9,IFERROR(SMALL('請求台帳'!$Z$5:$Z$1004,$J321+1),1E+9))</f>
        <v/>
      </c>
      <c r="M321" s="35">
        <f>IF($B$3="",1E+9,IFERROR(SMALL('入金消込'!$Q$5:$Q$1004,$K321+1),1E+9))</f>
        <v/>
      </c>
      <c r="N321" s="32">
        <f>IF(MIN($L321,$M321)&gt;=1E+9,"",IF($L321&lt;=$M321,"増","減"))</f>
        <v/>
      </c>
      <c r="O321" s="32">
        <f>IF($N321="","",IF($N321="増",MATCH($L321,'請求台帳'!$Z$5:$Z$1004,0),MATCH($M321,'入金消込'!$Q$5:$Q$1004,0)))</f>
        <v/>
      </c>
      <c r="P321" s="56" t="n"/>
      <c r="Q321" s="56" t="n"/>
    </row>
    <row r="322" ht="18" customHeight="1">
      <c r="A322" s="45">
        <f>IF($N322="","",IF($N322="増",INDEX('請求台帳'!$X$5:$X$1004,$O322),INDEX('入金消込'!$A$5:$A$1004,$O322)))</f>
        <v/>
      </c>
      <c r="B322" s="46">
        <f>IF($N322="","",IF($N322="増","売上","入金"))</f>
        <v/>
      </c>
      <c r="C322" s="46">
        <f>IF($N322="","",IF($N322="増",INDEX('請求台帳'!$A$5:$A$1004,$O322)&amp;"","入金No "&amp;INDEX('入金消込'!$B$5:$B$1004,$O322)))</f>
        <v/>
      </c>
      <c r="D322" s="47">
        <f>IF($N322="","",IF($N322="増",INDEX('請求台帳'!$F$5:$F$1004,$O322)&amp;"",IF(INDEX('入金消込'!$F$5:$F$1004,$O322)="","消込先が未定",INDEX('入金消込'!$F$5:$F$1004,$O322)&amp;" の入金")))</f>
        <v/>
      </c>
      <c r="E322" s="48">
        <f>IF($N322&lt;&gt;"増","",INDEX('請求台帳'!$L$5:$L$1004,$O322))</f>
        <v/>
      </c>
      <c r="F322" s="48">
        <f>IF($N322&lt;&gt;"減","",N(INDEX('入金消込'!$G$5:$G$1004,$O322)))</f>
        <v/>
      </c>
      <c r="G322" s="48">
        <f>IF($N322&lt;&gt;"減","",N(INDEX('入金消込'!$H$5:$H$1004,$O322))+N(INDEX('入金消込'!$I$5:$I$1004,$O322)))</f>
        <v/>
      </c>
      <c r="H322" s="49">
        <f>IF($N322="","",$H321+N($E322)-N($F322)-N($G322))</f>
        <v/>
      </c>
      <c r="I322" s="56" t="n"/>
      <c r="J322" s="32">
        <f>$J321+IF($N321="増",1,0)</f>
        <v/>
      </c>
      <c r="K322" s="32">
        <f>$K321+IF($N321="減",1,0)</f>
        <v/>
      </c>
      <c r="L322" s="35">
        <f>IF($B$3="",1E+9,IFERROR(SMALL('請求台帳'!$Z$5:$Z$1004,$J322+1),1E+9))</f>
        <v/>
      </c>
      <c r="M322" s="35">
        <f>IF($B$3="",1E+9,IFERROR(SMALL('入金消込'!$Q$5:$Q$1004,$K322+1),1E+9))</f>
        <v/>
      </c>
      <c r="N322" s="32">
        <f>IF(MIN($L322,$M322)&gt;=1E+9,"",IF($L322&lt;=$M322,"増","減"))</f>
        <v/>
      </c>
      <c r="O322" s="32">
        <f>IF($N322="","",IF($N322="増",MATCH($L322,'請求台帳'!$Z$5:$Z$1004,0),MATCH($M322,'入金消込'!$Q$5:$Q$1004,0)))</f>
        <v/>
      </c>
      <c r="P322" s="56" t="n"/>
      <c r="Q322" s="56" t="n"/>
    </row>
    <row r="323" ht="18" customHeight="1">
      <c r="A323" s="45">
        <f>IF($N323="","",IF($N323="増",INDEX('請求台帳'!$X$5:$X$1004,$O323),INDEX('入金消込'!$A$5:$A$1004,$O323)))</f>
        <v/>
      </c>
      <c r="B323" s="46">
        <f>IF($N323="","",IF($N323="増","売上","入金"))</f>
        <v/>
      </c>
      <c r="C323" s="46">
        <f>IF($N323="","",IF($N323="増",INDEX('請求台帳'!$A$5:$A$1004,$O323)&amp;"","入金No "&amp;INDEX('入金消込'!$B$5:$B$1004,$O323)))</f>
        <v/>
      </c>
      <c r="D323" s="47">
        <f>IF($N323="","",IF($N323="増",INDEX('請求台帳'!$F$5:$F$1004,$O323)&amp;"",IF(INDEX('入金消込'!$F$5:$F$1004,$O323)="","消込先が未定",INDEX('入金消込'!$F$5:$F$1004,$O323)&amp;" の入金")))</f>
        <v/>
      </c>
      <c r="E323" s="48">
        <f>IF($N323&lt;&gt;"増","",INDEX('請求台帳'!$L$5:$L$1004,$O323))</f>
        <v/>
      </c>
      <c r="F323" s="48">
        <f>IF($N323&lt;&gt;"減","",N(INDEX('入金消込'!$G$5:$G$1004,$O323)))</f>
        <v/>
      </c>
      <c r="G323" s="48">
        <f>IF($N323&lt;&gt;"減","",N(INDEX('入金消込'!$H$5:$H$1004,$O323))+N(INDEX('入金消込'!$I$5:$I$1004,$O323)))</f>
        <v/>
      </c>
      <c r="H323" s="49">
        <f>IF($N323="","",$H322+N($E323)-N($F323)-N($G323))</f>
        <v/>
      </c>
      <c r="I323" s="56" t="n"/>
      <c r="J323" s="32">
        <f>$J322+IF($N322="増",1,0)</f>
        <v/>
      </c>
      <c r="K323" s="32">
        <f>$K322+IF($N322="減",1,0)</f>
        <v/>
      </c>
      <c r="L323" s="35">
        <f>IF($B$3="",1E+9,IFERROR(SMALL('請求台帳'!$Z$5:$Z$1004,$J323+1),1E+9))</f>
        <v/>
      </c>
      <c r="M323" s="35">
        <f>IF($B$3="",1E+9,IFERROR(SMALL('入金消込'!$Q$5:$Q$1004,$K323+1),1E+9))</f>
        <v/>
      </c>
      <c r="N323" s="32">
        <f>IF(MIN($L323,$M323)&gt;=1E+9,"",IF($L323&lt;=$M323,"増","減"))</f>
        <v/>
      </c>
      <c r="O323" s="32">
        <f>IF($N323="","",IF($N323="増",MATCH($L323,'請求台帳'!$Z$5:$Z$1004,0),MATCH($M323,'入金消込'!$Q$5:$Q$1004,0)))</f>
        <v/>
      </c>
      <c r="P323" s="56" t="n"/>
      <c r="Q323" s="56" t="n"/>
    </row>
    <row r="324" ht="20" customHeight="1">
      <c r="A324" s="64" t="inlineStr">
        <is>
          <t>合計（期間内）と期間の終わりの残高</t>
        </is>
      </c>
      <c r="B324" s="65" t="n"/>
      <c r="C324" s="65" t="n"/>
      <c r="D324" s="66" t="n"/>
      <c r="E324" s="67">
        <f>IF($B$3="","",SUM(E24:E323))</f>
        <v/>
      </c>
      <c r="F324" s="67">
        <f>IF($B$3="","",SUM(F24:F323))</f>
        <v/>
      </c>
      <c r="G324" s="67">
        <f>IF($B$3="","",SUM(G24:G323))</f>
        <v/>
      </c>
      <c r="H324" s="67">
        <f>IF($B$3="","",$H$23+$E324-$F324-$G324)</f>
        <v/>
      </c>
      <c r="I324" s="56" t="n"/>
      <c r="J324" s="56" t="n"/>
      <c r="K324" s="56" t="n"/>
      <c r="L324" s="56" t="n"/>
      <c r="M324" s="56" t="n"/>
      <c r="N324" s="56" t="n"/>
      <c r="O324" s="56" t="n"/>
      <c r="P324" s="56" t="n"/>
      <c r="Q324" s="56" t="n"/>
    </row>
    <row r="325">
      <c r="A325" s="72">
        <f>IF(COUNT('請求台帳'!$Z$5:$Z$1004)+COUNT('入金消込'!$Q$5:$Q$1004)&gt;300,"※期間内の行が300行を超えています。301行目からは出ません。期間を短くしてください。","")</f>
        <v/>
      </c>
      <c r="B325" s="56" t="n"/>
      <c r="C325" s="56" t="n"/>
      <c r="D325" s="56" t="n"/>
      <c r="E325" s="56" t="n"/>
      <c r="F325" s="56" t="n"/>
      <c r="G325" s="56" t="n"/>
      <c r="H325" s="56" t="n"/>
      <c r="I325" s="56" t="n"/>
      <c r="J325" s="56" t="n"/>
      <c r="K325" s="56" t="n"/>
      <c r="L325" s="56" t="n"/>
      <c r="M325" s="56" t="n"/>
      <c r="N325" s="56" t="n"/>
      <c r="O325" s="56" t="n"/>
      <c r="P325" s="56" t="n"/>
      <c r="Q325" s="56" t="n"/>
    </row>
  </sheetData>
  <mergeCells count="35">
    <mergeCell ref="G12:H12"/>
    <mergeCell ref="A15:B15"/>
    <mergeCell ref="A11:B11"/>
    <mergeCell ref="G11:H11"/>
    <mergeCell ref="A324:D324"/>
    <mergeCell ref="F3:H3"/>
    <mergeCell ref="A1:H1"/>
    <mergeCell ref="G8:H8"/>
    <mergeCell ref="A325:H325"/>
    <mergeCell ref="G17:H17"/>
    <mergeCell ref="A6:H6"/>
    <mergeCell ref="A16:B16"/>
    <mergeCell ref="A7:B7"/>
    <mergeCell ref="G7:H7"/>
    <mergeCell ref="G10:H10"/>
    <mergeCell ref="G19:H19"/>
    <mergeCell ref="G13:H13"/>
    <mergeCell ref="A18:B18"/>
    <mergeCell ref="G18:H18"/>
    <mergeCell ref="A12:B12"/>
    <mergeCell ref="A21:H21"/>
    <mergeCell ref="G15:H15"/>
    <mergeCell ref="A2:H2"/>
    <mergeCell ref="E4:H4"/>
    <mergeCell ref="A14:B14"/>
    <mergeCell ref="G14:H14"/>
    <mergeCell ref="A17:B17"/>
    <mergeCell ref="A8:B8"/>
    <mergeCell ref="G16:H16"/>
    <mergeCell ref="A19:B19"/>
    <mergeCell ref="A10:B10"/>
    <mergeCell ref="A13:B13"/>
    <mergeCell ref="A9:B9"/>
    <mergeCell ref="G9:H9"/>
    <mergeCell ref="C3:D3"/>
  </mergeCells>
  <conditionalFormatting sqref="A325">
    <cfRule type="expression" priority="1" dxfId="0">
      <formula>$A325&lt;&gt;""</formula>
    </cfRule>
  </conditionalFormatting>
  <dataValidations count="3">
    <dataValidation sqref="B3" showDropDown="0" showInputMessage="0" showErrorMessage="1" allowBlank="1" errorTitle="一覧から選んでください" error="「得意先」シートのコードから選んでください。" type="list">
      <formula1>='得意先'!$B$5:$B$104</formula1>
    </dataValidation>
    <dataValidation sqref="B4" showDropDown="0" showInputMessage="0" showErrorMessage="1" allowBlank="1" errorTitle="日付で入力してください" error="2026/9/30 のように、日付として入力してください。" type="date" operator="greaterThanOrEqual">
      <formula1>36526</formula1>
    </dataValidation>
    <dataValidation sqref="D4" showDropDown="0" showInputMessage="0" showErrorMessage="1" allowBlank="1" errorTitle="日付で入力してください" error="2026/9/30 のように、日付として入力してください。" type="date" operator="greaterThanOrEqual">
      <formula1>36526</formula1>
    </dataValidation>
  </dataValidations>
  <pageMargins left="0.4" right="0.4" top="0.45" bottom="0.45" header="0.2" footer="0.2"/>
  <pageSetup orientation="portrait" paperSize="9" fitToHeight="0" fitToWidth="1"/>
</worksheet>
</file>

<file path=xl/worksheets/sheet7.xml><?xml version="1.0" encoding="utf-8"?>
<worksheet xmlns="http://schemas.openxmlformats.org/spreadsheetml/2006/main">
  <sheetPr>
    <tabColor rgb="00B9C4CF"/>
    <outlinePr summaryBelow="1" summaryRight="1"/>
    <pageSetUpPr fitToPage="1"/>
  </sheetPr>
  <dimension ref="A1:O112"/>
  <sheetViews>
    <sheetView showGridLines="0" tabSelected="0" workbookViewId="0">
      <pane xSplit="2" ySplit="10" topLeftCell="C11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8" customWidth="1" min="1" max="1"/>
    <col width="24" customWidth="1" min="2" max="2"/>
    <col width="13" customWidth="1" min="3" max="3"/>
    <col width="13" customWidth="1" min="4" max="4"/>
    <col width="11" customWidth="1" min="5" max="5"/>
    <col width="13" customWidth="1" min="6" max="6"/>
    <col width="12" customWidth="1" min="7" max="7"/>
    <col width="11" customWidth="1" min="8" max="8"/>
    <col width="11" customWidth="1" min="9" max="9"/>
    <col width="11" customWidth="1" min="10" max="10"/>
    <col width="11" customWidth="1" min="11" max="11"/>
    <col width="10" customWidth="1" min="12" max="12"/>
    <col width="10" customWidth="1" min="13" max="13"/>
    <col width="11" customWidth="1" min="14" max="14"/>
    <col width="10" customWidth="1" min="15" max="15"/>
  </cols>
  <sheetData>
    <row r="1" ht="26" customHeight="1">
      <c r="A1" s="55" t="inlineStr">
        <is>
          <t>残高一覧（得意先ごとの売掛金と、回収予定日を過ぎた日数の内訳）</t>
        </is>
      </c>
      <c r="B1" s="56" t="n"/>
      <c r="C1" s="56" t="n"/>
      <c r="D1" s="56" t="n"/>
      <c r="E1" s="56" t="n"/>
      <c r="F1" s="56" t="n"/>
      <c r="G1" s="56" t="n"/>
      <c r="H1" s="56" t="n"/>
      <c r="I1" s="56" t="n"/>
      <c r="J1" s="56" t="n"/>
      <c r="K1" s="56" t="n"/>
      <c r="L1" s="56" t="n"/>
      <c r="M1" s="56" t="n"/>
      <c r="N1" s="56" t="n"/>
      <c r="O1" s="56" t="n"/>
    </row>
    <row r="2" ht="30" customHeight="1">
      <c r="A2" s="59" t="inlineStr">
        <is>
          <t>すべて自動で出ます。売掛金残高 ＝ 請求額の累計 − 入金の累計 − 値引・手数料の累計。内訳は請求ごとの未回収残を、基準日に回収予定日を何日過ぎているかで分けたものです。消込先が未定の入金は残高から引いてあり、内訳には入りません。</t>
        </is>
      </c>
      <c r="B2" s="56" t="n"/>
      <c r="C2" s="56" t="n"/>
      <c r="D2" s="56" t="n"/>
      <c r="E2" s="56" t="n"/>
      <c r="F2" s="56" t="n"/>
      <c r="G2" s="56" t="n"/>
      <c r="H2" s="56" t="n"/>
      <c r="I2" s="56" t="n"/>
      <c r="J2" s="56" t="n"/>
      <c r="K2" s="56" t="n"/>
      <c r="L2" s="56" t="n"/>
      <c r="M2" s="56" t="n"/>
      <c r="N2" s="56" t="n"/>
      <c r="O2" s="56" t="n"/>
    </row>
    <row r="3" ht="18" customHeight="1">
      <c r="A3" s="64" t="inlineStr">
        <is>
          <t>会社名・屋号</t>
        </is>
      </c>
      <c r="B3" s="66" t="n"/>
      <c r="C3" s="64">
        <f>IF('設定'!$B$4="","",'設定'!$B$4)</f>
        <v/>
      </c>
      <c r="D3" s="56" t="n"/>
      <c r="E3" s="56" t="n"/>
      <c r="F3" s="56" t="n"/>
      <c r="G3" s="56" t="n"/>
      <c r="H3" s="56" t="n"/>
      <c r="I3" s="56" t="n"/>
      <c r="J3" s="56" t="n"/>
      <c r="K3" s="56" t="n"/>
      <c r="L3" s="56" t="n"/>
      <c r="M3" s="56" t="n"/>
      <c r="N3" s="56" t="n"/>
      <c r="O3" s="56" t="n"/>
    </row>
    <row r="4" ht="18" customHeight="1">
      <c r="A4" s="64" t="inlineStr">
        <is>
          <t>基準日</t>
        </is>
      </c>
      <c r="B4" s="66" t="n"/>
      <c r="C4" s="73">
        <f>'設定'!$B$7</f>
        <v/>
      </c>
      <c r="D4" s="59" t="inlineStr">
        <is>
          <t>設定シートで変えられます（空なら今日）。</t>
        </is>
      </c>
      <c r="E4" s="56" t="n"/>
      <c r="F4" s="56" t="n"/>
      <c r="G4" s="56" t="n"/>
      <c r="H4" s="56" t="n"/>
      <c r="I4" s="56" t="n"/>
      <c r="J4" s="56" t="n"/>
      <c r="K4" s="56" t="n"/>
      <c r="L4" s="56" t="n"/>
      <c r="M4" s="56" t="n"/>
      <c r="N4" s="56" t="n"/>
      <c r="O4" s="56" t="n"/>
    </row>
    <row r="5" ht="18" customHeight="1">
      <c r="A5" s="64" t="inlineStr">
        <is>
          <t>売掛金残高の合計</t>
        </is>
      </c>
      <c r="B5" s="66" t="n"/>
      <c r="C5" s="67">
        <f>$F$112</f>
        <v/>
      </c>
      <c r="D5" s="56" t="n"/>
      <c r="E5" s="56" t="n"/>
      <c r="F5" s="56" t="n"/>
      <c r="G5" s="56" t="n"/>
      <c r="H5" s="56" t="n"/>
      <c r="I5" s="56" t="n"/>
      <c r="J5" s="56" t="n"/>
      <c r="K5" s="56" t="n"/>
      <c r="L5" s="56" t="n"/>
      <c r="M5" s="56" t="n"/>
      <c r="N5" s="56" t="n"/>
      <c r="O5" s="56" t="n"/>
    </row>
    <row r="6" ht="18" customHeight="1">
      <c r="A6" s="64" t="inlineStr">
        <is>
          <t>うち回収予定日を過ぎた額</t>
        </is>
      </c>
      <c r="B6" s="66" t="n"/>
      <c r="C6" s="67">
        <f>SUM($H$112:$K$112)</f>
        <v/>
      </c>
      <c r="D6" s="59" t="inlineStr">
        <is>
          <t>回収予定日の当日はまだ過ぎていない扱い。</t>
        </is>
      </c>
      <c r="E6" s="56" t="n"/>
      <c r="F6" s="56" t="n"/>
      <c r="G6" s="56" t="n"/>
      <c r="H6" s="56" t="n"/>
      <c r="I6" s="56" t="n"/>
      <c r="J6" s="56" t="n"/>
      <c r="K6" s="56" t="n"/>
      <c r="L6" s="56" t="n"/>
      <c r="M6" s="56" t="n"/>
      <c r="N6" s="56" t="n"/>
      <c r="O6" s="56" t="n"/>
    </row>
    <row r="7" ht="18" customHeight="1">
      <c r="A7" s="64" t="inlineStr">
        <is>
          <t>回収予定日を過ぎた割合</t>
        </is>
      </c>
      <c r="B7" s="66" t="n"/>
      <c r="C7" s="74">
        <f>IF(SUM($G$112:$K$112)&lt;=0,"－",ROUND(SUM($H$112:$K$112)/SUM($G$112:$K$112),4))</f>
        <v/>
      </c>
      <c r="D7" s="59" t="inlineStr">
        <is>
          <t>過ぎた額 ÷（期日前＋過ぎた額）。予定日なし・入金が多い請求・消込先が未定の入金は入れない。</t>
        </is>
      </c>
      <c r="E7" s="56" t="n"/>
      <c r="F7" s="56" t="n"/>
      <c r="G7" s="56" t="n"/>
      <c r="H7" s="56" t="n"/>
      <c r="I7" s="56" t="n"/>
      <c r="J7" s="56" t="n"/>
      <c r="K7" s="56" t="n"/>
      <c r="L7" s="56" t="n"/>
      <c r="M7" s="56" t="n"/>
      <c r="N7" s="56" t="n"/>
      <c r="O7" s="56" t="n"/>
    </row>
    <row r="8" ht="18" customHeight="1">
      <c r="A8" s="64" t="inlineStr">
        <is>
          <t>消込先が未定の入金</t>
        </is>
      </c>
      <c r="B8" s="66" t="n"/>
      <c r="C8" s="67">
        <f>$N$112</f>
        <v/>
      </c>
      <c r="D8" s="59" t="inlineStr">
        <is>
          <t>入金消込で請求Noを空にした（または台帳にない請求Noの）入金。どの請求の入金かを確かめて消し込みます。</t>
        </is>
      </c>
      <c r="E8" s="56" t="n"/>
      <c r="F8" s="56" t="n"/>
      <c r="G8" s="56" t="n"/>
      <c r="H8" s="56" t="n"/>
      <c r="I8" s="56" t="n"/>
      <c r="J8" s="56" t="n"/>
      <c r="K8" s="56" t="n"/>
      <c r="L8" s="56" t="n"/>
      <c r="M8" s="56" t="n"/>
      <c r="N8" s="56" t="n"/>
      <c r="O8" s="56" t="n"/>
    </row>
    <row r="9">
      <c r="A9" s="56" t="n"/>
      <c r="B9" s="56" t="n"/>
      <c r="C9" s="56" t="n"/>
      <c r="D9" s="56" t="n"/>
      <c r="E9" s="56" t="n"/>
      <c r="F9" s="56" t="n"/>
      <c r="G9" s="56" t="n"/>
      <c r="H9" s="56" t="n"/>
      <c r="I9" s="56" t="n"/>
      <c r="J9" s="56" t="n"/>
      <c r="K9" s="56" t="n"/>
      <c r="L9" s="56" t="n"/>
      <c r="M9" s="56" t="n"/>
      <c r="N9" s="56" t="n"/>
      <c r="O9" s="56" t="n"/>
    </row>
    <row r="10" ht="34" customHeight="1">
      <c r="A10" s="16" t="inlineStr">
        <is>
          <t>コード</t>
        </is>
      </c>
      <c r="B10" s="16" t="inlineStr">
        <is>
          <t>得意先名</t>
        </is>
      </c>
      <c r="C10" s="16" t="inlineStr">
        <is>
          <t>請求額の累計</t>
        </is>
      </c>
      <c r="D10" s="16" t="inlineStr">
        <is>
          <t>入金の累計</t>
        </is>
      </c>
      <c r="E10" s="16" t="inlineStr">
        <is>
          <t>値引・手数料の累計</t>
        </is>
      </c>
      <c r="F10" s="16" t="inlineStr">
        <is>
          <t>売掛金残高</t>
        </is>
      </c>
      <c r="G10" s="16">
        <f>'設定'!$B$17</f>
        <v/>
      </c>
      <c r="H10" s="16">
        <f>'設定'!$B$18</f>
        <v/>
      </c>
      <c r="I10" s="16">
        <f>'設定'!$B$19</f>
        <v/>
      </c>
      <c r="J10" s="16">
        <f>'設定'!$B$20</f>
        <v/>
      </c>
      <c r="K10" s="16">
        <f>'設定'!$B$21</f>
        <v/>
      </c>
      <c r="L10" s="16">
        <f>'設定'!$B$22</f>
        <v/>
      </c>
      <c r="M10" s="16" t="inlineStr">
        <is>
          <t>入金が多い請求</t>
        </is>
      </c>
      <c r="N10" s="16" t="inlineStr">
        <is>
          <t>消込先が未定の入金</t>
        </is>
      </c>
      <c r="O10" s="16" t="inlineStr">
        <is>
          <t>検算</t>
        </is>
      </c>
    </row>
    <row r="11" ht="16" customHeight="1">
      <c r="A11" s="30">
        <f>IF('得意先'!$B$5="","",'得意先'!$B$5)</f>
        <v/>
      </c>
      <c r="B11" s="20">
        <f>IF($A11="","",'得意先'!$C$5&amp;"")</f>
        <v/>
      </c>
      <c r="C11" s="28">
        <f>IF($A11="","",SUMIF('請求台帳'!$C$5:$C$1004,$A11,'請求台帳'!$L$5:$L$1004))</f>
        <v/>
      </c>
      <c r="D11" s="28">
        <f>IF($A11="","",SUMIF('入金消込'!$P$5:$P$1004,$A11,'入金消込'!$G$5:$G$1004))</f>
        <v/>
      </c>
      <c r="E11" s="28">
        <f>IF($A11="","",SUMIF('入金消込'!$P$5:$P$1004,$A11,'入金消込'!$H$5:$H$1004)+SUMIF('入金消込'!$P$5:$P$1004,$A11,'入金消込'!$I$5:$I$1004))</f>
        <v/>
      </c>
      <c r="F11" s="67">
        <f>IF($A11="","",$C11-$D11-$E11)</f>
        <v/>
      </c>
      <c r="G11" s="28">
        <f>IF($A11="","",SUMIFS('請求台帳'!$R$5:$R$1004,'請求台帳'!$C$5:$C$1004,$A11,'請求台帳'!$U$5:$U$1004,'設定'!$B$17))</f>
        <v/>
      </c>
      <c r="H11" s="28">
        <f>IF($A11="","",SUMIFS('請求台帳'!$R$5:$R$1004,'請求台帳'!$C$5:$C$1004,$A11,'請求台帳'!$U$5:$U$1004,'設定'!$B$18))</f>
        <v/>
      </c>
      <c r="I11" s="28">
        <f>IF($A11="","",SUMIFS('請求台帳'!$R$5:$R$1004,'請求台帳'!$C$5:$C$1004,$A11,'請求台帳'!$U$5:$U$1004,'設定'!$B$19))</f>
        <v/>
      </c>
      <c r="J11" s="28">
        <f>IF($A11="","",SUMIFS('請求台帳'!$R$5:$R$1004,'請求台帳'!$C$5:$C$1004,$A11,'請求台帳'!$U$5:$U$1004,'設定'!$B$20))</f>
        <v/>
      </c>
      <c r="K11" s="28">
        <f>IF($A11="","",SUMIFS('請求台帳'!$R$5:$R$1004,'請求台帳'!$C$5:$C$1004,$A11,'請求台帳'!$U$5:$U$1004,'設定'!$B$21))</f>
        <v/>
      </c>
      <c r="L11" s="28">
        <f>IF($A11="","",SUMIFS('請求台帳'!$R$5:$R$1004,'請求台帳'!$C$5:$C$1004,$A11,'請求台帳'!$U$5:$U$1004,'設定'!$B$22))</f>
        <v/>
      </c>
      <c r="M11" s="28">
        <f>IF($A11="","",SUMIFS('請求台帳'!$R$5:$R$1004,'請求台帳'!$C$5:$C$1004,$A11,'請求台帳'!$R$5:$R$1004,"&lt;0"))</f>
        <v/>
      </c>
      <c r="N11" s="28">
        <f>IF($A11="","",SUMIFS('入金消込'!$G$5:$G$1004,'入金消込'!$P$5:$P$1004,$A11,'入金消込'!$R$5:$R$1004,1)+SUMIFS('入金消込'!$H$5:$H$1004,'入金消込'!$P$5:$P$1004,$A11,'入金消込'!$R$5:$R$1004,1)+SUMIFS('入金消込'!$I$5:$I$1004,'入金消込'!$P$5:$P$1004,$A11,'入金消込'!$R$5:$R$1004,1))</f>
        <v/>
      </c>
      <c r="O11" s="30">
        <f>IF($A11="","",IF(ROUND($F11-(SUM($G11:$M11)-$N11),0)=0,"OK","差 "&amp;TEXT($F11-(SUM($G11:$M11)-$N11),"#,##0")))</f>
        <v/>
      </c>
    </row>
    <row r="12" ht="16" customHeight="1">
      <c r="A12" s="30">
        <f>IF('得意先'!$B$6="","",'得意先'!$B$6)</f>
        <v/>
      </c>
      <c r="B12" s="20">
        <f>IF($A12="","",'得意先'!$C$6&amp;"")</f>
        <v/>
      </c>
      <c r="C12" s="28">
        <f>IF($A12="","",SUMIF('請求台帳'!$C$5:$C$1004,$A12,'請求台帳'!$L$5:$L$1004))</f>
        <v/>
      </c>
      <c r="D12" s="28">
        <f>IF($A12="","",SUMIF('入金消込'!$P$5:$P$1004,$A12,'入金消込'!$G$5:$G$1004))</f>
        <v/>
      </c>
      <c r="E12" s="28">
        <f>IF($A12="","",SUMIF('入金消込'!$P$5:$P$1004,$A12,'入金消込'!$H$5:$H$1004)+SUMIF('入金消込'!$P$5:$P$1004,$A12,'入金消込'!$I$5:$I$1004))</f>
        <v/>
      </c>
      <c r="F12" s="67">
        <f>IF($A12="","",$C12-$D12-$E12)</f>
        <v/>
      </c>
      <c r="G12" s="28">
        <f>IF($A12="","",SUMIFS('請求台帳'!$R$5:$R$1004,'請求台帳'!$C$5:$C$1004,$A12,'請求台帳'!$U$5:$U$1004,'設定'!$B$17))</f>
        <v/>
      </c>
      <c r="H12" s="28">
        <f>IF($A12="","",SUMIFS('請求台帳'!$R$5:$R$1004,'請求台帳'!$C$5:$C$1004,$A12,'請求台帳'!$U$5:$U$1004,'設定'!$B$18))</f>
        <v/>
      </c>
      <c r="I12" s="28">
        <f>IF($A12="","",SUMIFS('請求台帳'!$R$5:$R$1004,'請求台帳'!$C$5:$C$1004,$A12,'請求台帳'!$U$5:$U$1004,'設定'!$B$19))</f>
        <v/>
      </c>
      <c r="J12" s="28">
        <f>IF($A12="","",SUMIFS('請求台帳'!$R$5:$R$1004,'請求台帳'!$C$5:$C$1004,$A12,'請求台帳'!$U$5:$U$1004,'設定'!$B$20))</f>
        <v/>
      </c>
      <c r="K12" s="28">
        <f>IF($A12="","",SUMIFS('請求台帳'!$R$5:$R$1004,'請求台帳'!$C$5:$C$1004,$A12,'請求台帳'!$U$5:$U$1004,'設定'!$B$21))</f>
        <v/>
      </c>
      <c r="L12" s="28">
        <f>IF($A12="","",SUMIFS('請求台帳'!$R$5:$R$1004,'請求台帳'!$C$5:$C$1004,$A12,'請求台帳'!$U$5:$U$1004,'設定'!$B$22))</f>
        <v/>
      </c>
      <c r="M12" s="28">
        <f>IF($A12="","",SUMIFS('請求台帳'!$R$5:$R$1004,'請求台帳'!$C$5:$C$1004,$A12,'請求台帳'!$R$5:$R$1004,"&lt;0"))</f>
        <v/>
      </c>
      <c r="N12" s="28">
        <f>IF($A12="","",SUMIFS('入金消込'!$G$5:$G$1004,'入金消込'!$P$5:$P$1004,$A12,'入金消込'!$R$5:$R$1004,1)+SUMIFS('入金消込'!$H$5:$H$1004,'入金消込'!$P$5:$P$1004,$A12,'入金消込'!$R$5:$R$1004,1)+SUMIFS('入金消込'!$I$5:$I$1004,'入金消込'!$P$5:$P$1004,$A12,'入金消込'!$R$5:$R$1004,1))</f>
        <v/>
      </c>
      <c r="O12" s="30">
        <f>IF($A12="","",IF(ROUND($F12-(SUM($G12:$M12)-$N12),0)=0,"OK","差 "&amp;TEXT($F12-(SUM($G12:$M12)-$N12),"#,##0")))</f>
        <v/>
      </c>
    </row>
    <row r="13" ht="16" customHeight="1">
      <c r="A13" s="30">
        <f>IF('得意先'!$B$7="","",'得意先'!$B$7)</f>
        <v/>
      </c>
      <c r="B13" s="20">
        <f>IF($A13="","",'得意先'!$C$7&amp;"")</f>
        <v/>
      </c>
      <c r="C13" s="28">
        <f>IF($A13="","",SUMIF('請求台帳'!$C$5:$C$1004,$A13,'請求台帳'!$L$5:$L$1004))</f>
        <v/>
      </c>
      <c r="D13" s="28">
        <f>IF($A13="","",SUMIF('入金消込'!$P$5:$P$1004,$A13,'入金消込'!$G$5:$G$1004))</f>
        <v/>
      </c>
      <c r="E13" s="28">
        <f>IF($A13="","",SUMIF('入金消込'!$P$5:$P$1004,$A13,'入金消込'!$H$5:$H$1004)+SUMIF('入金消込'!$P$5:$P$1004,$A13,'入金消込'!$I$5:$I$1004))</f>
        <v/>
      </c>
      <c r="F13" s="67">
        <f>IF($A13="","",$C13-$D13-$E13)</f>
        <v/>
      </c>
      <c r="G13" s="28">
        <f>IF($A13="","",SUMIFS('請求台帳'!$R$5:$R$1004,'請求台帳'!$C$5:$C$1004,$A13,'請求台帳'!$U$5:$U$1004,'設定'!$B$17))</f>
        <v/>
      </c>
      <c r="H13" s="28">
        <f>IF($A13="","",SUMIFS('請求台帳'!$R$5:$R$1004,'請求台帳'!$C$5:$C$1004,$A13,'請求台帳'!$U$5:$U$1004,'設定'!$B$18))</f>
        <v/>
      </c>
      <c r="I13" s="28">
        <f>IF($A13="","",SUMIFS('請求台帳'!$R$5:$R$1004,'請求台帳'!$C$5:$C$1004,$A13,'請求台帳'!$U$5:$U$1004,'設定'!$B$19))</f>
        <v/>
      </c>
      <c r="J13" s="28">
        <f>IF($A13="","",SUMIFS('請求台帳'!$R$5:$R$1004,'請求台帳'!$C$5:$C$1004,$A13,'請求台帳'!$U$5:$U$1004,'設定'!$B$20))</f>
        <v/>
      </c>
      <c r="K13" s="28">
        <f>IF($A13="","",SUMIFS('請求台帳'!$R$5:$R$1004,'請求台帳'!$C$5:$C$1004,$A13,'請求台帳'!$U$5:$U$1004,'設定'!$B$21))</f>
        <v/>
      </c>
      <c r="L13" s="28">
        <f>IF($A13="","",SUMIFS('請求台帳'!$R$5:$R$1004,'請求台帳'!$C$5:$C$1004,$A13,'請求台帳'!$U$5:$U$1004,'設定'!$B$22))</f>
        <v/>
      </c>
      <c r="M13" s="28">
        <f>IF($A13="","",SUMIFS('請求台帳'!$R$5:$R$1004,'請求台帳'!$C$5:$C$1004,$A13,'請求台帳'!$R$5:$R$1004,"&lt;0"))</f>
        <v/>
      </c>
      <c r="N13" s="28">
        <f>IF($A13="","",SUMIFS('入金消込'!$G$5:$G$1004,'入金消込'!$P$5:$P$1004,$A13,'入金消込'!$R$5:$R$1004,1)+SUMIFS('入金消込'!$H$5:$H$1004,'入金消込'!$P$5:$P$1004,$A13,'入金消込'!$R$5:$R$1004,1)+SUMIFS('入金消込'!$I$5:$I$1004,'入金消込'!$P$5:$P$1004,$A13,'入金消込'!$R$5:$R$1004,1))</f>
        <v/>
      </c>
      <c r="O13" s="30">
        <f>IF($A13="","",IF(ROUND($F13-(SUM($G13:$M13)-$N13),0)=0,"OK","差 "&amp;TEXT($F13-(SUM($G13:$M13)-$N13),"#,##0")))</f>
        <v/>
      </c>
    </row>
    <row r="14" ht="16" customHeight="1">
      <c r="A14" s="30">
        <f>IF('得意先'!$B$8="","",'得意先'!$B$8)</f>
        <v/>
      </c>
      <c r="B14" s="20">
        <f>IF($A14="","",'得意先'!$C$8&amp;"")</f>
        <v/>
      </c>
      <c r="C14" s="28">
        <f>IF($A14="","",SUMIF('請求台帳'!$C$5:$C$1004,$A14,'請求台帳'!$L$5:$L$1004))</f>
        <v/>
      </c>
      <c r="D14" s="28">
        <f>IF($A14="","",SUMIF('入金消込'!$P$5:$P$1004,$A14,'入金消込'!$G$5:$G$1004))</f>
        <v/>
      </c>
      <c r="E14" s="28">
        <f>IF($A14="","",SUMIF('入金消込'!$P$5:$P$1004,$A14,'入金消込'!$H$5:$H$1004)+SUMIF('入金消込'!$P$5:$P$1004,$A14,'入金消込'!$I$5:$I$1004))</f>
        <v/>
      </c>
      <c r="F14" s="67">
        <f>IF($A14="","",$C14-$D14-$E14)</f>
        <v/>
      </c>
      <c r="G14" s="28">
        <f>IF($A14="","",SUMIFS('請求台帳'!$R$5:$R$1004,'請求台帳'!$C$5:$C$1004,$A14,'請求台帳'!$U$5:$U$1004,'設定'!$B$17))</f>
        <v/>
      </c>
      <c r="H14" s="28">
        <f>IF($A14="","",SUMIFS('請求台帳'!$R$5:$R$1004,'請求台帳'!$C$5:$C$1004,$A14,'請求台帳'!$U$5:$U$1004,'設定'!$B$18))</f>
        <v/>
      </c>
      <c r="I14" s="28">
        <f>IF($A14="","",SUMIFS('請求台帳'!$R$5:$R$1004,'請求台帳'!$C$5:$C$1004,$A14,'請求台帳'!$U$5:$U$1004,'設定'!$B$19))</f>
        <v/>
      </c>
      <c r="J14" s="28">
        <f>IF($A14="","",SUMIFS('請求台帳'!$R$5:$R$1004,'請求台帳'!$C$5:$C$1004,$A14,'請求台帳'!$U$5:$U$1004,'設定'!$B$20))</f>
        <v/>
      </c>
      <c r="K14" s="28">
        <f>IF($A14="","",SUMIFS('請求台帳'!$R$5:$R$1004,'請求台帳'!$C$5:$C$1004,$A14,'請求台帳'!$U$5:$U$1004,'設定'!$B$21))</f>
        <v/>
      </c>
      <c r="L14" s="28">
        <f>IF($A14="","",SUMIFS('請求台帳'!$R$5:$R$1004,'請求台帳'!$C$5:$C$1004,$A14,'請求台帳'!$U$5:$U$1004,'設定'!$B$22))</f>
        <v/>
      </c>
      <c r="M14" s="28">
        <f>IF($A14="","",SUMIFS('請求台帳'!$R$5:$R$1004,'請求台帳'!$C$5:$C$1004,$A14,'請求台帳'!$R$5:$R$1004,"&lt;0"))</f>
        <v/>
      </c>
      <c r="N14" s="28">
        <f>IF($A14="","",SUMIFS('入金消込'!$G$5:$G$1004,'入金消込'!$P$5:$P$1004,$A14,'入金消込'!$R$5:$R$1004,1)+SUMIFS('入金消込'!$H$5:$H$1004,'入金消込'!$P$5:$P$1004,$A14,'入金消込'!$R$5:$R$1004,1)+SUMIFS('入金消込'!$I$5:$I$1004,'入金消込'!$P$5:$P$1004,$A14,'入金消込'!$R$5:$R$1004,1))</f>
        <v/>
      </c>
      <c r="O14" s="30">
        <f>IF($A14="","",IF(ROUND($F14-(SUM($G14:$M14)-$N14),0)=0,"OK","差 "&amp;TEXT($F14-(SUM($G14:$M14)-$N14),"#,##0")))</f>
        <v/>
      </c>
    </row>
    <row r="15" ht="16" customHeight="1">
      <c r="A15" s="30">
        <f>IF('得意先'!$B$9="","",'得意先'!$B$9)</f>
        <v/>
      </c>
      <c r="B15" s="20">
        <f>IF($A15="","",'得意先'!$C$9&amp;"")</f>
        <v/>
      </c>
      <c r="C15" s="28">
        <f>IF($A15="","",SUMIF('請求台帳'!$C$5:$C$1004,$A15,'請求台帳'!$L$5:$L$1004))</f>
        <v/>
      </c>
      <c r="D15" s="28">
        <f>IF($A15="","",SUMIF('入金消込'!$P$5:$P$1004,$A15,'入金消込'!$G$5:$G$1004))</f>
        <v/>
      </c>
      <c r="E15" s="28">
        <f>IF($A15="","",SUMIF('入金消込'!$P$5:$P$1004,$A15,'入金消込'!$H$5:$H$1004)+SUMIF('入金消込'!$P$5:$P$1004,$A15,'入金消込'!$I$5:$I$1004))</f>
        <v/>
      </c>
      <c r="F15" s="67">
        <f>IF($A15="","",$C15-$D15-$E15)</f>
        <v/>
      </c>
      <c r="G15" s="28">
        <f>IF($A15="","",SUMIFS('請求台帳'!$R$5:$R$1004,'請求台帳'!$C$5:$C$1004,$A15,'請求台帳'!$U$5:$U$1004,'設定'!$B$17))</f>
        <v/>
      </c>
      <c r="H15" s="28">
        <f>IF($A15="","",SUMIFS('請求台帳'!$R$5:$R$1004,'請求台帳'!$C$5:$C$1004,$A15,'請求台帳'!$U$5:$U$1004,'設定'!$B$18))</f>
        <v/>
      </c>
      <c r="I15" s="28">
        <f>IF($A15="","",SUMIFS('請求台帳'!$R$5:$R$1004,'請求台帳'!$C$5:$C$1004,$A15,'請求台帳'!$U$5:$U$1004,'設定'!$B$19))</f>
        <v/>
      </c>
      <c r="J15" s="28">
        <f>IF($A15="","",SUMIFS('請求台帳'!$R$5:$R$1004,'請求台帳'!$C$5:$C$1004,$A15,'請求台帳'!$U$5:$U$1004,'設定'!$B$20))</f>
        <v/>
      </c>
      <c r="K15" s="28">
        <f>IF($A15="","",SUMIFS('請求台帳'!$R$5:$R$1004,'請求台帳'!$C$5:$C$1004,$A15,'請求台帳'!$U$5:$U$1004,'設定'!$B$21))</f>
        <v/>
      </c>
      <c r="L15" s="28">
        <f>IF($A15="","",SUMIFS('請求台帳'!$R$5:$R$1004,'請求台帳'!$C$5:$C$1004,$A15,'請求台帳'!$U$5:$U$1004,'設定'!$B$22))</f>
        <v/>
      </c>
      <c r="M15" s="28">
        <f>IF($A15="","",SUMIFS('請求台帳'!$R$5:$R$1004,'請求台帳'!$C$5:$C$1004,$A15,'請求台帳'!$R$5:$R$1004,"&lt;0"))</f>
        <v/>
      </c>
      <c r="N15" s="28">
        <f>IF($A15="","",SUMIFS('入金消込'!$G$5:$G$1004,'入金消込'!$P$5:$P$1004,$A15,'入金消込'!$R$5:$R$1004,1)+SUMIFS('入金消込'!$H$5:$H$1004,'入金消込'!$P$5:$P$1004,$A15,'入金消込'!$R$5:$R$1004,1)+SUMIFS('入金消込'!$I$5:$I$1004,'入金消込'!$P$5:$P$1004,$A15,'入金消込'!$R$5:$R$1004,1))</f>
        <v/>
      </c>
      <c r="O15" s="30">
        <f>IF($A15="","",IF(ROUND($F15-(SUM($G15:$M15)-$N15),0)=0,"OK","差 "&amp;TEXT($F15-(SUM($G15:$M15)-$N15),"#,##0")))</f>
        <v/>
      </c>
    </row>
    <row r="16" ht="16" customHeight="1">
      <c r="A16" s="30">
        <f>IF('得意先'!$B$10="","",'得意先'!$B$10)</f>
        <v/>
      </c>
      <c r="B16" s="20">
        <f>IF($A16="","",'得意先'!$C$10&amp;"")</f>
        <v/>
      </c>
      <c r="C16" s="28">
        <f>IF($A16="","",SUMIF('請求台帳'!$C$5:$C$1004,$A16,'請求台帳'!$L$5:$L$1004))</f>
        <v/>
      </c>
      <c r="D16" s="28">
        <f>IF($A16="","",SUMIF('入金消込'!$P$5:$P$1004,$A16,'入金消込'!$G$5:$G$1004))</f>
        <v/>
      </c>
      <c r="E16" s="28">
        <f>IF($A16="","",SUMIF('入金消込'!$P$5:$P$1004,$A16,'入金消込'!$H$5:$H$1004)+SUMIF('入金消込'!$P$5:$P$1004,$A16,'入金消込'!$I$5:$I$1004))</f>
        <v/>
      </c>
      <c r="F16" s="67">
        <f>IF($A16="","",$C16-$D16-$E16)</f>
        <v/>
      </c>
      <c r="G16" s="28">
        <f>IF($A16="","",SUMIFS('請求台帳'!$R$5:$R$1004,'請求台帳'!$C$5:$C$1004,$A16,'請求台帳'!$U$5:$U$1004,'設定'!$B$17))</f>
        <v/>
      </c>
      <c r="H16" s="28">
        <f>IF($A16="","",SUMIFS('請求台帳'!$R$5:$R$1004,'請求台帳'!$C$5:$C$1004,$A16,'請求台帳'!$U$5:$U$1004,'設定'!$B$18))</f>
        <v/>
      </c>
      <c r="I16" s="28">
        <f>IF($A16="","",SUMIFS('請求台帳'!$R$5:$R$1004,'請求台帳'!$C$5:$C$1004,$A16,'請求台帳'!$U$5:$U$1004,'設定'!$B$19))</f>
        <v/>
      </c>
      <c r="J16" s="28">
        <f>IF($A16="","",SUMIFS('請求台帳'!$R$5:$R$1004,'請求台帳'!$C$5:$C$1004,$A16,'請求台帳'!$U$5:$U$1004,'設定'!$B$20))</f>
        <v/>
      </c>
      <c r="K16" s="28">
        <f>IF($A16="","",SUMIFS('請求台帳'!$R$5:$R$1004,'請求台帳'!$C$5:$C$1004,$A16,'請求台帳'!$U$5:$U$1004,'設定'!$B$21))</f>
        <v/>
      </c>
      <c r="L16" s="28">
        <f>IF($A16="","",SUMIFS('請求台帳'!$R$5:$R$1004,'請求台帳'!$C$5:$C$1004,$A16,'請求台帳'!$U$5:$U$1004,'設定'!$B$22))</f>
        <v/>
      </c>
      <c r="M16" s="28">
        <f>IF($A16="","",SUMIFS('請求台帳'!$R$5:$R$1004,'請求台帳'!$C$5:$C$1004,$A16,'請求台帳'!$R$5:$R$1004,"&lt;0"))</f>
        <v/>
      </c>
      <c r="N16" s="28">
        <f>IF($A16="","",SUMIFS('入金消込'!$G$5:$G$1004,'入金消込'!$P$5:$P$1004,$A16,'入金消込'!$R$5:$R$1004,1)+SUMIFS('入金消込'!$H$5:$H$1004,'入金消込'!$P$5:$P$1004,$A16,'入金消込'!$R$5:$R$1004,1)+SUMIFS('入金消込'!$I$5:$I$1004,'入金消込'!$P$5:$P$1004,$A16,'入金消込'!$R$5:$R$1004,1))</f>
        <v/>
      </c>
      <c r="O16" s="30">
        <f>IF($A16="","",IF(ROUND($F16-(SUM($G16:$M16)-$N16),0)=0,"OK","差 "&amp;TEXT($F16-(SUM($G16:$M16)-$N16),"#,##0")))</f>
        <v/>
      </c>
    </row>
    <row r="17" ht="16" customHeight="1">
      <c r="A17" s="30">
        <f>IF('得意先'!$B$11="","",'得意先'!$B$11)</f>
        <v/>
      </c>
      <c r="B17" s="20">
        <f>IF($A17="","",'得意先'!$C$11&amp;"")</f>
        <v/>
      </c>
      <c r="C17" s="28">
        <f>IF($A17="","",SUMIF('請求台帳'!$C$5:$C$1004,$A17,'請求台帳'!$L$5:$L$1004))</f>
        <v/>
      </c>
      <c r="D17" s="28">
        <f>IF($A17="","",SUMIF('入金消込'!$P$5:$P$1004,$A17,'入金消込'!$G$5:$G$1004))</f>
        <v/>
      </c>
      <c r="E17" s="28">
        <f>IF($A17="","",SUMIF('入金消込'!$P$5:$P$1004,$A17,'入金消込'!$H$5:$H$1004)+SUMIF('入金消込'!$P$5:$P$1004,$A17,'入金消込'!$I$5:$I$1004))</f>
        <v/>
      </c>
      <c r="F17" s="67">
        <f>IF($A17="","",$C17-$D17-$E17)</f>
        <v/>
      </c>
      <c r="G17" s="28">
        <f>IF($A17="","",SUMIFS('請求台帳'!$R$5:$R$1004,'請求台帳'!$C$5:$C$1004,$A17,'請求台帳'!$U$5:$U$1004,'設定'!$B$17))</f>
        <v/>
      </c>
      <c r="H17" s="28">
        <f>IF($A17="","",SUMIFS('請求台帳'!$R$5:$R$1004,'請求台帳'!$C$5:$C$1004,$A17,'請求台帳'!$U$5:$U$1004,'設定'!$B$18))</f>
        <v/>
      </c>
      <c r="I17" s="28">
        <f>IF($A17="","",SUMIFS('請求台帳'!$R$5:$R$1004,'請求台帳'!$C$5:$C$1004,$A17,'請求台帳'!$U$5:$U$1004,'設定'!$B$19))</f>
        <v/>
      </c>
      <c r="J17" s="28">
        <f>IF($A17="","",SUMIFS('請求台帳'!$R$5:$R$1004,'請求台帳'!$C$5:$C$1004,$A17,'請求台帳'!$U$5:$U$1004,'設定'!$B$20))</f>
        <v/>
      </c>
      <c r="K17" s="28">
        <f>IF($A17="","",SUMIFS('請求台帳'!$R$5:$R$1004,'請求台帳'!$C$5:$C$1004,$A17,'請求台帳'!$U$5:$U$1004,'設定'!$B$21))</f>
        <v/>
      </c>
      <c r="L17" s="28">
        <f>IF($A17="","",SUMIFS('請求台帳'!$R$5:$R$1004,'請求台帳'!$C$5:$C$1004,$A17,'請求台帳'!$U$5:$U$1004,'設定'!$B$22))</f>
        <v/>
      </c>
      <c r="M17" s="28">
        <f>IF($A17="","",SUMIFS('請求台帳'!$R$5:$R$1004,'請求台帳'!$C$5:$C$1004,$A17,'請求台帳'!$R$5:$R$1004,"&lt;0"))</f>
        <v/>
      </c>
      <c r="N17" s="28">
        <f>IF($A17="","",SUMIFS('入金消込'!$G$5:$G$1004,'入金消込'!$P$5:$P$1004,$A17,'入金消込'!$R$5:$R$1004,1)+SUMIFS('入金消込'!$H$5:$H$1004,'入金消込'!$P$5:$P$1004,$A17,'入金消込'!$R$5:$R$1004,1)+SUMIFS('入金消込'!$I$5:$I$1004,'入金消込'!$P$5:$P$1004,$A17,'入金消込'!$R$5:$R$1004,1))</f>
        <v/>
      </c>
      <c r="O17" s="30">
        <f>IF($A17="","",IF(ROUND($F17-(SUM($G17:$M17)-$N17),0)=0,"OK","差 "&amp;TEXT($F17-(SUM($G17:$M17)-$N17),"#,##0")))</f>
        <v/>
      </c>
    </row>
    <row r="18" ht="16" customHeight="1">
      <c r="A18" s="30">
        <f>IF('得意先'!$B$12="","",'得意先'!$B$12)</f>
        <v/>
      </c>
      <c r="B18" s="20">
        <f>IF($A18="","",'得意先'!$C$12&amp;"")</f>
        <v/>
      </c>
      <c r="C18" s="28">
        <f>IF($A18="","",SUMIF('請求台帳'!$C$5:$C$1004,$A18,'請求台帳'!$L$5:$L$1004))</f>
        <v/>
      </c>
      <c r="D18" s="28">
        <f>IF($A18="","",SUMIF('入金消込'!$P$5:$P$1004,$A18,'入金消込'!$G$5:$G$1004))</f>
        <v/>
      </c>
      <c r="E18" s="28">
        <f>IF($A18="","",SUMIF('入金消込'!$P$5:$P$1004,$A18,'入金消込'!$H$5:$H$1004)+SUMIF('入金消込'!$P$5:$P$1004,$A18,'入金消込'!$I$5:$I$1004))</f>
        <v/>
      </c>
      <c r="F18" s="67">
        <f>IF($A18="","",$C18-$D18-$E18)</f>
        <v/>
      </c>
      <c r="G18" s="28">
        <f>IF($A18="","",SUMIFS('請求台帳'!$R$5:$R$1004,'請求台帳'!$C$5:$C$1004,$A18,'請求台帳'!$U$5:$U$1004,'設定'!$B$17))</f>
        <v/>
      </c>
      <c r="H18" s="28">
        <f>IF($A18="","",SUMIFS('請求台帳'!$R$5:$R$1004,'請求台帳'!$C$5:$C$1004,$A18,'請求台帳'!$U$5:$U$1004,'設定'!$B$18))</f>
        <v/>
      </c>
      <c r="I18" s="28">
        <f>IF($A18="","",SUMIFS('請求台帳'!$R$5:$R$1004,'請求台帳'!$C$5:$C$1004,$A18,'請求台帳'!$U$5:$U$1004,'設定'!$B$19))</f>
        <v/>
      </c>
      <c r="J18" s="28">
        <f>IF($A18="","",SUMIFS('請求台帳'!$R$5:$R$1004,'請求台帳'!$C$5:$C$1004,$A18,'請求台帳'!$U$5:$U$1004,'設定'!$B$20))</f>
        <v/>
      </c>
      <c r="K18" s="28">
        <f>IF($A18="","",SUMIFS('請求台帳'!$R$5:$R$1004,'請求台帳'!$C$5:$C$1004,$A18,'請求台帳'!$U$5:$U$1004,'設定'!$B$21))</f>
        <v/>
      </c>
      <c r="L18" s="28">
        <f>IF($A18="","",SUMIFS('請求台帳'!$R$5:$R$1004,'請求台帳'!$C$5:$C$1004,$A18,'請求台帳'!$U$5:$U$1004,'設定'!$B$22))</f>
        <v/>
      </c>
      <c r="M18" s="28">
        <f>IF($A18="","",SUMIFS('請求台帳'!$R$5:$R$1004,'請求台帳'!$C$5:$C$1004,$A18,'請求台帳'!$R$5:$R$1004,"&lt;0"))</f>
        <v/>
      </c>
      <c r="N18" s="28">
        <f>IF($A18="","",SUMIFS('入金消込'!$G$5:$G$1004,'入金消込'!$P$5:$P$1004,$A18,'入金消込'!$R$5:$R$1004,1)+SUMIFS('入金消込'!$H$5:$H$1004,'入金消込'!$P$5:$P$1004,$A18,'入金消込'!$R$5:$R$1004,1)+SUMIFS('入金消込'!$I$5:$I$1004,'入金消込'!$P$5:$P$1004,$A18,'入金消込'!$R$5:$R$1004,1))</f>
        <v/>
      </c>
      <c r="O18" s="30">
        <f>IF($A18="","",IF(ROUND($F18-(SUM($G18:$M18)-$N18),0)=0,"OK","差 "&amp;TEXT($F18-(SUM($G18:$M18)-$N18),"#,##0")))</f>
        <v/>
      </c>
    </row>
    <row r="19" ht="16" customHeight="1">
      <c r="A19" s="30">
        <f>IF('得意先'!$B$13="","",'得意先'!$B$13)</f>
        <v/>
      </c>
      <c r="B19" s="20">
        <f>IF($A19="","",'得意先'!$C$13&amp;"")</f>
        <v/>
      </c>
      <c r="C19" s="28">
        <f>IF($A19="","",SUMIF('請求台帳'!$C$5:$C$1004,$A19,'請求台帳'!$L$5:$L$1004))</f>
        <v/>
      </c>
      <c r="D19" s="28">
        <f>IF($A19="","",SUMIF('入金消込'!$P$5:$P$1004,$A19,'入金消込'!$G$5:$G$1004))</f>
        <v/>
      </c>
      <c r="E19" s="28">
        <f>IF($A19="","",SUMIF('入金消込'!$P$5:$P$1004,$A19,'入金消込'!$H$5:$H$1004)+SUMIF('入金消込'!$P$5:$P$1004,$A19,'入金消込'!$I$5:$I$1004))</f>
        <v/>
      </c>
      <c r="F19" s="67">
        <f>IF($A19="","",$C19-$D19-$E19)</f>
        <v/>
      </c>
      <c r="G19" s="28">
        <f>IF($A19="","",SUMIFS('請求台帳'!$R$5:$R$1004,'請求台帳'!$C$5:$C$1004,$A19,'請求台帳'!$U$5:$U$1004,'設定'!$B$17))</f>
        <v/>
      </c>
      <c r="H19" s="28">
        <f>IF($A19="","",SUMIFS('請求台帳'!$R$5:$R$1004,'請求台帳'!$C$5:$C$1004,$A19,'請求台帳'!$U$5:$U$1004,'設定'!$B$18))</f>
        <v/>
      </c>
      <c r="I19" s="28">
        <f>IF($A19="","",SUMIFS('請求台帳'!$R$5:$R$1004,'請求台帳'!$C$5:$C$1004,$A19,'請求台帳'!$U$5:$U$1004,'設定'!$B$19))</f>
        <v/>
      </c>
      <c r="J19" s="28">
        <f>IF($A19="","",SUMIFS('請求台帳'!$R$5:$R$1004,'請求台帳'!$C$5:$C$1004,$A19,'請求台帳'!$U$5:$U$1004,'設定'!$B$20))</f>
        <v/>
      </c>
      <c r="K19" s="28">
        <f>IF($A19="","",SUMIFS('請求台帳'!$R$5:$R$1004,'請求台帳'!$C$5:$C$1004,$A19,'請求台帳'!$U$5:$U$1004,'設定'!$B$21))</f>
        <v/>
      </c>
      <c r="L19" s="28">
        <f>IF($A19="","",SUMIFS('請求台帳'!$R$5:$R$1004,'請求台帳'!$C$5:$C$1004,$A19,'請求台帳'!$U$5:$U$1004,'設定'!$B$22))</f>
        <v/>
      </c>
      <c r="M19" s="28">
        <f>IF($A19="","",SUMIFS('請求台帳'!$R$5:$R$1004,'請求台帳'!$C$5:$C$1004,$A19,'請求台帳'!$R$5:$R$1004,"&lt;0"))</f>
        <v/>
      </c>
      <c r="N19" s="28">
        <f>IF($A19="","",SUMIFS('入金消込'!$G$5:$G$1004,'入金消込'!$P$5:$P$1004,$A19,'入金消込'!$R$5:$R$1004,1)+SUMIFS('入金消込'!$H$5:$H$1004,'入金消込'!$P$5:$P$1004,$A19,'入金消込'!$R$5:$R$1004,1)+SUMIFS('入金消込'!$I$5:$I$1004,'入金消込'!$P$5:$P$1004,$A19,'入金消込'!$R$5:$R$1004,1))</f>
        <v/>
      </c>
      <c r="O19" s="30">
        <f>IF($A19="","",IF(ROUND($F19-(SUM($G19:$M19)-$N19),0)=0,"OK","差 "&amp;TEXT($F19-(SUM($G19:$M19)-$N19),"#,##0")))</f>
        <v/>
      </c>
    </row>
    <row r="20" ht="16" customHeight="1">
      <c r="A20" s="30">
        <f>IF('得意先'!$B$14="","",'得意先'!$B$14)</f>
        <v/>
      </c>
      <c r="B20" s="20">
        <f>IF($A20="","",'得意先'!$C$14&amp;"")</f>
        <v/>
      </c>
      <c r="C20" s="28">
        <f>IF($A20="","",SUMIF('請求台帳'!$C$5:$C$1004,$A20,'請求台帳'!$L$5:$L$1004))</f>
        <v/>
      </c>
      <c r="D20" s="28">
        <f>IF($A20="","",SUMIF('入金消込'!$P$5:$P$1004,$A20,'入金消込'!$G$5:$G$1004))</f>
        <v/>
      </c>
      <c r="E20" s="28">
        <f>IF($A20="","",SUMIF('入金消込'!$P$5:$P$1004,$A20,'入金消込'!$H$5:$H$1004)+SUMIF('入金消込'!$P$5:$P$1004,$A20,'入金消込'!$I$5:$I$1004))</f>
        <v/>
      </c>
      <c r="F20" s="67">
        <f>IF($A20="","",$C20-$D20-$E20)</f>
        <v/>
      </c>
      <c r="G20" s="28">
        <f>IF($A20="","",SUMIFS('請求台帳'!$R$5:$R$1004,'請求台帳'!$C$5:$C$1004,$A20,'請求台帳'!$U$5:$U$1004,'設定'!$B$17))</f>
        <v/>
      </c>
      <c r="H20" s="28">
        <f>IF($A20="","",SUMIFS('請求台帳'!$R$5:$R$1004,'請求台帳'!$C$5:$C$1004,$A20,'請求台帳'!$U$5:$U$1004,'設定'!$B$18))</f>
        <v/>
      </c>
      <c r="I20" s="28">
        <f>IF($A20="","",SUMIFS('請求台帳'!$R$5:$R$1004,'請求台帳'!$C$5:$C$1004,$A20,'請求台帳'!$U$5:$U$1004,'設定'!$B$19))</f>
        <v/>
      </c>
      <c r="J20" s="28">
        <f>IF($A20="","",SUMIFS('請求台帳'!$R$5:$R$1004,'請求台帳'!$C$5:$C$1004,$A20,'請求台帳'!$U$5:$U$1004,'設定'!$B$20))</f>
        <v/>
      </c>
      <c r="K20" s="28">
        <f>IF($A20="","",SUMIFS('請求台帳'!$R$5:$R$1004,'請求台帳'!$C$5:$C$1004,$A20,'請求台帳'!$U$5:$U$1004,'設定'!$B$21))</f>
        <v/>
      </c>
      <c r="L20" s="28">
        <f>IF($A20="","",SUMIFS('請求台帳'!$R$5:$R$1004,'請求台帳'!$C$5:$C$1004,$A20,'請求台帳'!$U$5:$U$1004,'設定'!$B$22))</f>
        <v/>
      </c>
      <c r="M20" s="28">
        <f>IF($A20="","",SUMIFS('請求台帳'!$R$5:$R$1004,'請求台帳'!$C$5:$C$1004,$A20,'請求台帳'!$R$5:$R$1004,"&lt;0"))</f>
        <v/>
      </c>
      <c r="N20" s="28">
        <f>IF($A20="","",SUMIFS('入金消込'!$G$5:$G$1004,'入金消込'!$P$5:$P$1004,$A20,'入金消込'!$R$5:$R$1004,1)+SUMIFS('入金消込'!$H$5:$H$1004,'入金消込'!$P$5:$P$1004,$A20,'入金消込'!$R$5:$R$1004,1)+SUMIFS('入金消込'!$I$5:$I$1004,'入金消込'!$P$5:$P$1004,$A20,'入金消込'!$R$5:$R$1004,1))</f>
        <v/>
      </c>
      <c r="O20" s="30">
        <f>IF($A20="","",IF(ROUND($F20-(SUM($G20:$M20)-$N20),0)=0,"OK","差 "&amp;TEXT($F20-(SUM($G20:$M20)-$N20),"#,##0")))</f>
        <v/>
      </c>
    </row>
    <row r="21" ht="16" customHeight="1">
      <c r="A21" s="30">
        <f>IF('得意先'!$B$15="","",'得意先'!$B$15)</f>
        <v/>
      </c>
      <c r="B21" s="20">
        <f>IF($A21="","",'得意先'!$C$15&amp;"")</f>
        <v/>
      </c>
      <c r="C21" s="28">
        <f>IF($A21="","",SUMIF('請求台帳'!$C$5:$C$1004,$A21,'請求台帳'!$L$5:$L$1004))</f>
        <v/>
      </c>
      <c r="D21" s="28">
        <f>IF($A21="","",SUMIF('入金消込'!$P$5:$P$1004,$A21,'入金消込'!$G$5:$G$1004))</f>
        <v/>
      </c>
      <c r="E21" s="28">
        <f>IF($A21="","",SUMIF('入金消込'!$P$5:$P$1004,$A21,'入金消込'!$H$5:$H$1004)+SUMIF('入金消込'!$P$5:$P$1004,$A21,'入金消込'!$I$5:$I$1004))</f>
        <v/>
      </c>
      <c r="F21" s="67">
        <f>IF($A21="","",$C21-$D21-$E21)</f>
        <v/>
      </c>
      <c r="G21" s="28">
        <f>IF($A21="","",SUMIFS('請求台帳'!$R$5:$R$1004,'請求台帳'!$C$5:$C$1004,$A21,'請求台帳'!$U$5:$U$1004,'設定'!$B$17))</f>
        <v/>
      </c>
      <c r="H21" s="28">
        <f>IF($A21="","",SUMIFS('請求台帳'!$R$5:$R$1004,'請求台帳'!$C$5:$C$1004,$A21,'請求台帳'!$U$5:$U$1004,'設定'!$B$18))</f>
        <v/>
      </c>
      <c r="I21" s="28">
        <f>IF($A21="","",SUMIFS('請求台帳'!$R$5:$R$1004,'請求台帳'!$C$5:$C$1004,$A21,'請求台帳'!$U$5:$U$1004,'設定'!$B$19))</f>
        <v/>
      </c>
      <c r="J21" s="28">
        <f>IF($A21="","",SUMIFS('請求台帳'!$R$5:$R$1004,'請求台帳'!$C$5:$C$1004,$A21,'請求台帳'!$U$5:$U$1004,'設定'!$B$20))</f>
        <v/>
      </c>
      <c r="K21" s="28">
        <f>IF($A21="","",SUMIFS('請求台帳'!$R$5:$R$1004,'請求台帳'!$C$5:$C$1004,$A21,'請求台帳'!$U$5:$U$1004,'設定'!$B$21))</f>
        <v/>
      </c>
      <c r="L21" s="28">
        <f>IF($A21="","",SUMIFS('請求台帳'!$R$5:$R$1004,'請求台帳'!$C$5:$C$1004,$A21,'請求台帳'!$U$5:$U$1004,'設定'!$B$22))</f>
        <v/>
      </c>
      <c r="M21" s="28">
        <f>IF($A21="","",SUMIFS('請求台帳'!$R$5:$R$1004,'請求台帳'!$C$5:$C$1004,$A21,'請求台帳'!$R$5:$R$1004,"&lt;0"))</f>
        <v/>
      </c>
      <c r="N21" s="28">
        <f>IF($A21="","",SUMIFS('入金消込'!$G$5:$G$1004,'入金消込'!$P$5:$P$1004,$A21,'入金消込'!$R$5:$R$1004,1)+SUMIFS('入金消込'!$H$5:$H$1004,'入金消込'!$P$5:$P$1004,$A21,'入金消込'!$R$5:$R$1004,1)+SUMIFS('入金消込'!$I$5:$I$1004,'入金消込'!$P$5:$P$1004,$A21,'入金消込'!$R$5:$R$1004,1))</f>
        <v/>
      </c>
      <c r="O21" s="30">
        <f>IF($A21="","",IF(ROUND($F21-(SUM($G21:$M21)-$N21),0)=0,"OK","差 "&amp;TEXT($F21-(SUM($G21:$M21)-$N21),"#,##0")))</f>
        <v/>
      </c>
    </row>
    <row r="22" ht="16" customHeight="1">
      <c r="A22" s="30">
        <f>IF('得意先'!$B$16="","",'得意先'!$B$16)</f>
        <v/>
      </c>
      <c r="B22" s="20">
        <f>IF($A22="","",'得意先'!$C$16&amp;"")</f>
        <v/>
      </c>
      <c r="C22" s="28">
        <f>IF($A22="","",SUMIF('請求台帳'!$C$5:$C$1004,$A22,'請求台帳'!$L$5:$L$1004))</f>
        <v/>
      </c>
      <c r="D22" s="28">
        <f>IF($A22="","",SUMIF('入金消込'!$P$5:$P$1004,$A22,'入金消込'!$G$5:$G$1004))</f>
        <v/>
      </c>
      <c r="E22" s="28">
        <f>IF($A22="","",SUMIF('入金消込'!$P$5:$P$1004,$A22,'入金消込'!$H$5:$H$1004)+SUMIF('入金消込'!$P$5:$P$1004,$A22,'入金消込'!$I$5:$I$1004))</f>
        <v/>
      </c>
      <c r="F22" s="67">
        <f>IF($A22="","",$C22-$D22-$E22)</f>
        <v/>
      </c>
      <c r="G22" s="28">
        <f>IF($A22="","",SUMIFS('請求台帳'!$R$5:$R$1004,'請求台帳'!$C$5:$C$1004,$A22,'請求台帳'!$U$5:$U$1004,'設定'!$B$17))</f>
        <v/>
      </c>
      <c r="H22" s="28">
        <f>IF($A22="","",SUMIFS('請求台帳'!$R$5:$R$1004,'請求台帳'!$C$5:$C$1004,$A22,'請求台帳'!$U$5:$U$1004,'設定'!$B$18))</f>
        <v/>
      </c>
      <c r="I22" s="28">
        <f>IF($A22="","",SUMIFS('請求台帳'!$R$5:$R$1004,'請求台帳'!$C$5:$C$1004,$A22,'請求台帳'!$U$5:$U$1004,'設定'!$B$19))</f>
        <v/>
      </c>
      <c r="J22" s="28">
        <f>IF($A22="","",SUMIFS('請求台帳'!$R$5:$R$1004,'請求台帳'!$C$5:$C$1004,$A22,'請求台帳'!$U$5:$U$1004,'設定'!$B$20))</f>
        <v/>
      </c>
      <c r="K22" s="28">
        <f>IF($A22="","",SUMIFS('請求台帳'!$R$5:$R$1004,'請求台帳'!$C$5:$C$1004,$A22,'請求台帳'!$U$5:$U$1004,'設定'!$B$21))</f>
        <v/>
      </c>
      <c r="L22" s="28">
        <f>IF($A22="","",SUMIFS('請求台帳'!$R$5:$R$1004,'請求台帳'!$C$5:$C$1004,$A22,'請求台帳'!$U$5:$U$1004,'設定'!$B$22))</f>
        <v/>
      </c>
      <c r="M22" s="28">
        <f>IF($A22="","",SUMIFS('請求台帳'!$R$5:$R$1004,'請求台帳'!$C$5:$C$1004,$A22,'請求台帳'!$R$5:$R$1004,"&lt;0"))</f>
        <v/>
      </c>
      <c r="N22" s="28">
        <f>IF($A22="","",SUMIFS('入金消込'!$G$5:$G$1004,'入金消込'!$P$5:$P$1004,$A22,'入金消込'!$R$5:$R$1004,1)+SUMIFS('入金消込'!$H$5:$H$1004,'入金消込'!$P$5:$P$1004,$A22,'入金消込'!$R$5:$R$1004,1)+SUMIFS('入金消込'!$I$5:$I$1004,'入金消込'!$P$5:$P$1004,$A22,'入金消込'!$R$5:$R$1004,1))</f>
        <v/>
      </c>
      <c r="O22" s="30">
        <f>IF($A22="","",IF(ROUND($F22-(SUM($G22:$M22)-$N22),0)=0,"OK","差 "&amp;TEXT($F22-(SUM($G22:$M22)-$N22),"#,##0")))</f>
        <v/>
      </c>
    </row>
    <row r="23" ht="16" customHeight="1">
      <c r="A23" s="30">
        <f>IF('得意先'!$B$17="","",'得意先'!$B$17)</f>
        <v/>
      </c>
      <c r="B23" s="20">
        <f>IF($A23="","",'得意先'!$C$17&amp;"")</f>
        <v/>
      </c>
      <c r="C23" s="28">
        <f>IF($A23="","",SUMIF('請求台帳'!$C$5:$C$1004,$A23,'請求台帳'!$L$5:$L$1004))</f>
        <v/>
      </c>
      <c r="D23" s="28">
        <f>IF($A23="","",SUMIF('入金消込'!$P$5:$P$1004,$A23,'入金消込'!$G$5:$G$1004))</f>
        <v/>
      </c>
      <c r="E23" s="28">
        <f>IF($A23="","",SUMIF('入金消込'!$P$5:$P$1004,$A23,'入金消込'!$H$5:$H$1004)+SUMIF('入金消込'!$P$5:$P$1004,$A23,'入金消込'!$I$5:$I$1004))</f>
        <v/>
      </c>
      <c r="F23" s="67">
        <f>IF($A23="","",$C23-$D23-$E23)</f>
        <v/>
      </c>
      <c r="G23" s="28">
        <f>IF($A23="","",SUMIFS('請求台帳'!$R$5:$R$1004,'請求台帳'!$C$5:$C$1004,$A23,'請求台帳'!$U$5:$U$1004,'設定'!$B$17))</f>
        <v/>
      </c>
      <c r="H23" s="28">
        <f>IF($A23="","",SUMIFS('請求台帳'!$R$5:$R$1004,'請求台帳'!$C$5:$C$1004,$A23,'請求台帳'!$U$5:$U$1004,'設定'!$B$18))</f>
        <v/>
      </c>
      <c r="I23" s="28">
        <f>IF($A23="","",SUMIFS('請求台帳'!$R$5:$R$1004,'請求台帳'!$C$5:$C$1004,$A23,'請求台帳'!$U$5:$U$1004,'設定'!$B$19))</f>
        <v/>
      </c>
      <c r="J23" s="28">
        <f>IF($A23="","",SUMIFS('請求台帳'!$R$5:$R$1004,'請求台帳'!$C$5:$C$1004,$A23,'請求台帳'!$U$5:$U$1004,'設定'!$B$20))</f>
        <v/>
      </c>
      <c r="K23" s="28">
        <f>IF($A23="","",SUMIFS('請求台帳'!$R$5:$R$1004,'請求台帳'!$C$5:$C$1004,$A23,'請求台帳'!$U$5:$U$1004,'設定'!$B$21))</f>
        <v/>
      </c>
      <c r="L23" s="28">
        <f>IF($A23="","",SUMIFS('請求台帳'!$R$5:$R$1004,'請求台帳'!$C$5:$C$1004,$A23,'請求台帳'!$U$5:$U$1004,'設定'!$B$22))</f>
        <v/>
      </c>
      <c r="M23" s="28">
        <f>IF($A23="","",SUMIFS('請求台帳'!$R$5:$R$1004,'請求台帳'!$C$5:$C$1004,$A23,'請求台帳'!$R$5:$R$1004,"&lt;0"))</f>
        <v/>
      </c>
      <c r="N23" s="28">
        <f>IF($A23="","",SUMIFS('入金消込'!$G$5:$G$1004,'入金消込'!$P$5:$P$1004,$A23,'入金消込'!$R$5:$R$1004,1)+SUMIFS('入金消込'!$H$5:$H$1004,'入金消込'!$P$5:$P$1004,$A23,'入金消込'!$R$5:$R$1004,1)+SUMIFS('入金消込'!$I$5:$I$1004,'入金消込'!$P$5:$P$1004,$A23,'入金消込'!$R$5:$R$1004,1))</f>
        <v/>
      </c>
      <c r="O23" s="30">
        <f>IF($A23="","",IF(ROUND($F23-(SUM($G23:$M23)-$N23),0)=0,"OK","差 "&amp;TEXT($F23-(SUM($G23:$M23)-$N23),"#,##0")))</f>
        <v/>
      </c>
    </row>
    <row r="24" ht="16" customHeight="1">
      <c r="A24" s="30">
        <f>IF('得意先'!$B$18="","",'得意先'!$B$18)</f>
        <v/>
      </c>
      <c r="B24" s="20">
        <f>IF($A24="","",'得意先'!$C$18&amp;"")</f>
        <v/>
      </c>
      <c r="C24" s="28">
        <f>IF($A24="","",SUMIF('請求台帳'!$C$5:$C$1004,$A24,'請求台帳'!$L$5:$L$1004))</f>
        <v/>
      </c>
      <c r="D24" s="28">
        <f>IF($A24="","",SUMIF('入金消込'!$P$5:$P$1004,$A24,'入金消込'!$G$5:$G$1004))</f>
        <v/>
      </c>
      <c r="E24" s="28">
        <f>IF($A24="","",SUMIF('入金消込'!$P$5:$P$1004,$A24,'入金消込'!$H$5:$H$1004)+SUMIF('入金消込'!$P$5:$P$1004,$A24,'入金消込'!$I$5:$I$1004))</f>
        <v/>
      </c>
      <c r="F24" s="67">
        <f>IF($A24="","",$C24-$D24-$E24)</f>
        <v/>
      </c>
      <c r="G24" s="28">
        <f>IF($A24="","",SUMIFS('請求台帳'!$R$5:$R$1004,'請求台帳'!$C$5:$C$1004,$A24,'請求台帳'!$U$5:$U$1004,'設定'!$B$17))</f>
        <v/>
      </c>
      <c r="H24" s="28">
        <f>IF($A24="","",SUMIFS('請求台帳'!$R$5:$R$1004,'請求台帳'!$C$5:$C$1004,$A24,'請求台帳'!$U$5:$U$1004,'設定'!$B$18))</f>
        <v/>
      </c>
      <c r="I24" s="28">
        <f>IF($A24="","",SUMIFS('請求台帳'!$R$5:$R$1004,'請求台帳'!$C$5:$C$1004,$A24,'請求台帳'!$U$5:$U$1004,'設定'!$B$19))</f>
        <v/>
      </c>
      <c r="J24" s="28">
        <f>IF($A24="","",SUMIFS('請求台帳'!$R$5:$R$1004,'請求台帳'!$C$5:$C$1004,$A24,'請求台帳'!$U$5:$U$1004,'設定'!$B$20))</f>
        <v/>
      </c>
      <c r="K24" s="28">
        <f>IF($A24="","",SUMIFS('請求台帳'!$R$5:$R$1004,'請求台帳'!$C$5:$C$1004,$A24,'請求台帳'!$U$5:$U$1004,'設定'!$B$21))</f>
        <v/>
      </c>
      <c r="L24" s="28">
        <f>IF($A24="","",SUMIFS('請求台帳'!$R$5:$R$1004,'請求台帳'!$C$5:$C$1004,$A24,'請求台帳'!$U$5:$U$1004,'設定'!$B$22))</f>
        <v/>
      </c>
      <c r="M24" s="28">
        <f>IF($A24="","",SUMIFS('請求台帳'!$R$5:$R$1004,'請求台帳'!$C$5:$C$1004,$A24,'請求台帳'!$R$5:$R$1004,"&lt;0"))</f>
        <v/>
      </c>
      <c r="N24" s="28">
        <f>IF($A24="","",SUMIFS('入金消込'!$G$5:$G$1004,'入金消込'!$P$5:$P$1004,$A24,'入金消込'!$R$5:$R$1004,1)+SUMIFS('入金消込'!$H$5:$H$1004,'入金消込'!$P$5:$P$1004,$A24,'入金消込'!$R$5:$R$1004,1)+SUMIFS('入金消込'!$I$5:$I$1004,'入金消込'!$P$5:$P$1004,$A24,'入金消込'!$R$5:$R$1004,1))</f>
        <v/>
      </c>
      <c r="O24" s="30">
        <f>IF($A24="","",IF(ROUND($F24-(SUM($G24:$M24)-$N24),0)=0,"OK","差 "&amp;TEXT($F24-(SUM($G24:$M24)-$N24),"#,##0")))</f>
        <v/>
      </c>
    </row>
    <row r="25" ht="16" customHeight="1">
      <c r="A25" s="30">
        <f>IF('得意先'!$B$19="","",'得意先'!$B$19)</f>
        <v/>
      </c>
      <c r="B25" s="20">
        <f>IF($A25="","",'得意先'!$C$19&amp;"")</f>
        <v/>
      </c>
      <c r="C25" s="28">
        <f>IF($A25="","",SUMIF('請求台帳'!$C$5:$C$1004,$A25,'請求台帳'!$L$5:$L$1004))</f>
        <v/>
      </c>
      <c r="D25" s="28">
        <f>IF($A25="","",SUMIF('入金消込'!$P$5:$P$1004,$A25,'入金消込'!$G$5:$G$1004))</f>
        <v/>
      </c>
      <c r="E25" s="28">
        <f>IF($A25="","",SUMIF('入金消込'!$P$5:$P$1004,$A25,'入金消込'!$H$5:$H$1004)+SUMIF('入金消込'!$P$5:$P$1004,$A25,'入金消込'!$I$5:$I$1004))</f>
        <v/>
      </c>
      <c r="F25" s="67">
        <f>IF($A25="","",$C25-$D25-$E25)</f>
        <v/>
      </c>
      <c r="G25" s="28">
        <f>IF($A25="","",SUMIFS('請求台帳'!$R$5:$R$1004,'請求台帳'!$C$5:$C$1004,$A25,'請求台帳'!$U$5:$U$1004,'設定'!$B$17))</f>
        <v/>
      </c>
      <c r="H25" s="28">
        <f>IF($A25="","",SUMIFS('請求台帳'!$R$5:$R$1004,'請求台帳'!$C$5:$C$1004,$A25,'請求台帳'!$U$5:$U$1004,'設定'!$B$18))</f>
        <v/>
      </c>
      <c r="I25" s="28">
        <f>IF($A25="","",SUMIFS('請求台帳'!$R$5:$R$1004,'請求台帳'!$C$5:$C$1004,$A25,'請求台帳'!$U$5:$U$1004,'設定'!$B$19))</f>
        <v/>
      </c>
      <c r="J25" s="28">
        <f>IF($A25="","",SUMIFS('請求台帳'!$R$5:$R$1004,'請求台帳'!$C$5:$C$1004,$A25,'請求台帳'!$U$5:$U$1004,'設定'!$B$20))</f>
        <v/>
      </c>
      <c r="K25" s="28">
        <f>IF($A25="","",SUMIFS('請求台帳'!$R$5:$R$1004,'請求台帳'!$C$5:$C$1004,$A25,'請求台帳'!$U$5:$U$1004,'設定'!$B$21))</f>
        <v/>
      </c>
      <c r="L25" s="28">
        <f>IF($A25="","",SUMIFS('請求台帳'!$R$5:$R$1004,'請求台帳'!$C$5:$C$1004,$A25,'請求台帳'!$U$5:$U$1004,'設定'!$B$22))</f>
        <v/>
      </c>
      <c r="M25" s="28">
        <f>IF($A25="","",SUMIFS('請求台帳'!$R$5:$R$1004,'請求台帳'!$C$5:$C$1004,$A25,'請求台帳'!$R$5:$R$1004,"&lt;0"))</f>
        <v/>
      </c>
      <c r="N25" s="28">
        <f>IF($A25="","",SUMIFS('入金消込'!$G$5:$G$1004,'入金消込'!$P$5:$P$1004,$A25,'入金消込'!$R$5:$R$1004,1)+SUMIFS('入金消込'!$H$5:$H$1004,'入金消込'!$P$5:$P$1004,$A25,'入金消込'!$R$5:$R$1004,1)+SUMIFS('入金消込'!$I$5:$I$1004,'入金消込'!$P$5:$P$1004,$A25,'入金消込'!$R$5:$R$1004,1))</f>
        <v/>
      </c>
      <c r="O25" s="30">
        <f>IF($A25="","",IF(ROUND($F25-(SUM($G25:$M25)-$N25),0)=0,"OK","差 "&amp;TEXT($F25-(SUM($G25:$M25)-$N25),"#,##0")))</f>
        <v/>
      </c>
    </row>
    <row r="26" ht="16" customHeight="1">
      <c r="A26" s="30">
        <f>IF('得意先'!$B$20="","",'得意先'!$B$20)</f>
        <v/>
      </c>
      <c r="B26" s="20">
        <f>IF($A26="","",'得意先'!$C$20&amp;"")</f>
        <v/>
      </c>
      <c r="C26" s="28">
        <f>IF($A26="","",SUMIF('請求台帳'!$C$5:$C$1004,$A26,'請求台帳'!$L$5:$L$1004))</f>
        <v/>
      </c>
      <c r="D26" s="28">
        <f>IF($A26="","",SUMIF('入金消込'!$P$5:$P$1004,$A26,'入金消込'!$G$5:$G$1004))</f>
        <v/>
      </c>
      <c r="E26" s="28">
        <f>IF($A26="","",SUMIF('入金消込'!$P$5:$P$1004,$A26,'入金消込'!$H$5:$H$1004)+SUMIF('入金消込'!$P$5:$P$1004,$A26,'入金消込'!$I$5:$I$1004))</f>
        <v/>
      </c>
      <c r="F26" s="67">
        <f>IF($A26="","",$C26-$D26-$E26)</f>
        <v/>
      </c>
      <c r="G26" s="28">
        <f>IF($A26="","",SUMIFS('請求台帳'!$R$5:$R$1004,'請求台帳'!$C$5:$C$1004,$A26,'請求台帳'!$U$5:$U$1004,'設定'!$B$17))</f>
        <v/>
      </c>
      <c r="H26" s="28">
        <f>IF($A26="","",SUMIFS('請求台帳'!$R$5:$R$1004,'請求台帳'!$C$5:$C$1004,$A26,'請求台帳'!$U$5:$U$1004,'設定'!$B$18))</f>
        <v/>
      </c>
      <c r="I26" s="28">
        <f>IF($A26="","",SUMIFS('請求台帳'!$R$5:$R$1004,'請求台帳'!$C$5:$C$1004,$A26,'請求台帳'!$U$5:$U$1004,'設定'!$B$19))</f>
        <v/>
      </c>
      <c r="J26" s="28">
        <f>IF($A26="","",SUMIFS('請求台帳'!$R$5:$R$1004,'請求台帳'!$C$5:$C$1004,$A26,'請求台帳'!$U$5:$U$1004,'設定'!$B$20))</f>
        <v/>
      </c>
      <c r="K26" s="28">
        <f>IF($A26="","",SUMIFS('請求台帳'!$R$5:$R$1004,'請求台帳'!$C$5:$C$1004,$A26,'請求台帳'!$U$5:$U$1004,'設定'!$B$21))</f>
        <v/>
      </c>
      <c r="L26" s="28">
        <f>IF($A26="","",SUMIFS('請求台帳'!$R$5:$R$1004,'請求台帳'!$C$5:$C$1004,$A26,'請求台帳'!$U$5:$U$1004,'設定'!$B$22))</f>
        <v/>
      </c>
      <c r="M26" s="28">
        <f>IF($A26="","",SUMIFS('請求台帳'!$R$5:$R$1004,'請求台帳'!$C$5:$C$1004,$A26,'請求台帳'!$R$5:$R$1004,"&lt;0"))</f>
        <v/>
      </c>
      <c r="N26" s="28">
        <f>IF($A26="","",SUMIFS('入金消込'!$G$5:$G$1004,'入金消込'!$P$5:$P$1004,$A26,'入金消込'!$R$5:$R$1004,1)+SUMIFS('入金消込'!$H$5:$H$1004,'入金消込'!$P$5:$P$1004,$A26,'入金消込'!$R$5:$R$1004,1)+SUMIFS('入金消込'!$I$5:$I$1004,'入金消込'!$P$5:$P$1004,$A26,'入金消込'!$R$5:$R$1004,1))</f>
        <v/>
      </c>
      <c r="O26" s="30">
        <f>IF($A26="","",IF(ROUND($F26-(SUM($G26:$M26)-$N26),0)=0,"OK","差 "&amp;TEXT($F26-(SUM($G26:$M26)-$N26),"#,##0")))</f>
        <v/>
      </c>
    </row>
    <row r="27" ht="16" customHeight="1">
      <c r="A27" s="30">
        <f>IF('得意先'!$B$21="","",'得意先'!$B$21)</f>
        <v/>
      </c>
      <c r="B27" s="20">
        <f>IF($A27="","",'得意先'!$C$21&amp;"")</f>
        <v/>
      </c>
      <c r="C27" s="28">
        <f>IF($A27="","",SUMIF('請求台帳'!$C$5:$C$1004,$A27,'請求台帳'!$L$5:$L$1004))</f>
        <v/>
      </c>
      <c r="D27" s="28">
        <f>IF($A27="","",SUMIF('入金消込'!$P$5:$P$1004,$A27,'入金消込'!$G$5:$G$1004))</f>
        <v/>
      </c>
      <c r="E27" s="28">
        <f>IF($A27="","",SUMIF('入金消込'!$P$5:$P$1004,$A27,'入金消込'!$H$5:$H$1004)+SUMIF('入金消込'!$P$5:$P$1004,$A27,'入金消込'!$I$5:$I$1004))</f>
        <v/>
      </c>
      <c r="F27" s="67">
        <f>IF($A27="","",$C27-$D27-$E27)</f>
        <v/>
      </c>
      <c r="G27" s="28">
        <f>IF($A27="","",SUMIFS('請求台帳'!$R$5:$R$1004,'請求台帳'!$C$5:$C$1004,$A27,'請求台帳'!$U$5:$U$1004,'設定'!$B$17))</f>
        <v/>
      </c>
      <c r="H27" s="28">
        <f>IF($A27="","",SUMIFS('請求台帳'!$R$5:$R$1004,'請求台帳'!$C$5:$C$1004,$A27,'請求台帳'!$U$5:$U$1004,'設定'!$B$18))</f>
        <v/>
      </c>
      <c r="I27" s="28">
        <f>IF($A27="","",SUMIFS('請求台帳'!$R$5:$R$1004,'請求台帳'!$C$5:$C$1004,$A27,'請求台帳'!$U$5:$U$1004,'設定'!$B$19))</f>
        <v/>
      </c>
      <c r="J27" s="28">
        <f>IF($A27="","",SUMIFS('請求台帳'!$R$5:$R$1004,'請求台帳'!$C$5:$C$1004,$A27,'請求台帳'!$U$5:$U$1004,'設定'!$B$20))</f>
        <v/>
      </c>
      <c r="K27" s="28">
        <f>IF($A27="","",SUMIFS('請求台帳'!$R$5:$R$1004,'請求台帳'!$C$5:$C$1004,$A27,'請求台帳'!$U$5:$U$1004,'設定'!$B$21))</f>
        <v/>
      </c>
      <c r="L27" s="28">
        <f>IF($A27="","",SUMIFS('請求台帳'!$R$5:$R$1004,'請求台帳'!$C$5:$C$1004,$A27,'請求台帳'!$U$5:$U$1004,'設定'!$B$22))</f>
        <v/>
      </c>
      <c r="M27" s="28">
        <f>IF($A27="","",SUMIFS('請求台帳'!$R$5:$R$1004,'請求台帳'!$C$5:$C$1004,$A27,'請求台帳'!$R$5:$R$1004,"&lt;0"))</f>
        <v/>
      </c>
      <c r="N27" s="28">
        <f>IF($A27="","",SUMIFS('入金消込'!$G$5:$G$1004,'入金消込'!$P$5:$P$1004,$A27,'入金消込'!$R$5:$R$1004,1)+SUMIFS('入金消込'!$H$5:$H$1004,'入金消込'!$P$5:$P$1004,$A27,'入金消込'!$R$5:$R$1004,1)+SUMIFS('入金消込'!$I$5:$I$1004,'入金消込'!$P$5:$P$1004,$A27,'入金消込'!$R$5:$R$1004,1))</f>
        <v/>
      </c>
      <c r="O27" s="30">
        <f>IF($A27="","",IF(ROUND($F27-(SUM($G27:$M27)-$N27),0)=0,"OK","差 "&amp;TEXT($F27-(SUM($G27:$M27)-$N27),"#,##0")))</f>
        <v/>
      </c>
    </row>
    <row r="28" ht="16" customHeight="1">
      <c r="A28" s="30">
        <f>IF('得意先'!$B$22="","",'得意先'!$B$22)</f>
        <v/>
      </c>
      <c r="B28" s="20">
        <f>IF($A28="","",'得意先'!$C$22&amp;"")</f>
        <v/>
      </c>
      <c r="C28" s="28">
        <f>IF($A28="","",SUMIF('請求台帳'!$C$5:$C$1004,$A28,'請求台帳'!$L$5:$L$1004))</f>
        <v/>
      </c>
      <c r="D28" s="28">
        <f>IF($A28="","",SUMIF('入金消込'!$P$5:$P$1004,$A28,'入金消込'!$G$5:$G$1004))</f>
        <v/>
      </c>
      <c r="E28" s="28">
        <f>IF($A28="","",SUMIF('入金消込'!$P$5:$P$1004,$A28,'入金消込'!$H$5:$H$1004)+SUMIF('入金消込'!$P$5:$P$1004,$A28,'入金消込'!$I$5:$I$1004))</f>
        <v/>
      </c>
      <c r="F28" s="67">
        <f>IF($A28="","",$C28-$D28-$E28)</f>
        <v/>
      </c>
      <c r="G28" s="28">
        <f>IF($A28="","",SUMIFS('請求台帳'!$R$5:$R$1004,'請求台帳'!$C$5:$C$1004,$A28,'請求台帳'!$U$5:$U$1004,'設定'!$B$17))</f>
        <v/>
      </c>
      <c r="H28" s="28">
        <f>IF($A28="","",SUMIFS('請求台帳'!$R$5:$R$1004,'請求台帳'!$C$5:$C$1004,$A28,'請求台帳'!$U$5:$U$1004,'設定'!$B$18))</f>
        <v/>
      </c>
      <c r="I28" s="28">
        <f>IF($A28="","",SUMIFS('請求台帳'!$R$5:$R$1004,'請求台帳'!$C$5:$C$1004,$A28,'請求台帳'!$U$5:$U$1004,'設定'!$B$19))</f>
        <v/>
      </c>
      <c r="J28" s="28">
        <f>IF($A28="","",SUMIFS('請求台帳'!$R$5:$R$1004,'請求台帳'!$C$5:$C$1004,$A28,'請求台帳'!$U$5:$U$1004,'設定'!$B$20))</f>
        <v/>
      </c>
      <c r="K28" s="28">
        <f>IF($A28="","",SUMIFS('請求台帳'!$R$5:$R$1004,'請求台帳'!$C$5:$C$1004,$A28,'請求台帳'!$U$5:$U$1004,'設定'!$B$21))</f>
        <v/>
      </c>
      <c r="L28" s="28">
        <f>IF($A28="","",SUMIFS('請求台帳'!$R$5:$R$1004,'請求台帳'!$C$5:$C$1004,$A28,'請求台帳'!$U$5:$U$1004,'設定'!$B$22))</f>
        <v/>
      </c>
      <c r="M28" s="28">
        <f>IF($A28="","",SUMIFS('請求台帳'!$R$5:$R$1004,'請求台帳'!$C$5:$C$1004,$A28,'請求台帳'!$R$5:$R$1004,"&lt;0"))</f>
        <v/>
      </c>
      <c r="N28" s="28">
        <f>IF($A28="","",SUMIFS('入金消込'!$G$5:$G$1004,'入金消込'!$P$5:$P$1004,$A28,'入金消込'!$R$5:$R$1004,1)+SUMIFS('入金消込'!$H$5:$H$1004,'入金消込'!$P$5:$P$1004,$A28,'入金消込'!$R$5:$R$1004,1)+SUMIFS('入金消込'!$I$5:$I$1004,'入金消込'!$P$5:$P$1004,$A28,'入金消込'!$R$5:$R$1004,1))</f>
        <v/>
      </c>
      <c r="O28" s="30">
        <f>IF($A28="","",IF(ROUND($F28-(SUM($G28:$M28)-$N28),0)=0,"OK","差 "&amp;TEXT($F28-(SUM($G28:$M28)-$N28),"#,##0")))</f>
        <v/>
      </c>
    </row>
    <row r="29" ht="16" customHeight="1">
      <c r="A29" s="30">
        <f>IF('得意先'!$B$23="","",'得意先'!$B$23)</f>
        <v/>
      </c>
      <c r="B29" s="20">
        <f>IF($A29="","",'得意先'!$C$23&amp;"")</f>
        <v/>
      </c>
      <c r="C29" s="28">
        <f>IF($A29="","",SUMIF('請求台帳'!$C$5:$C$1004,$A29,'請求台帳'!$L$5:$L$1004))</f>
        <v/>
      </c>
      <c r="D29" s="28">
        <f>IF($A29="","",SUMIF('入金消込'!$P$5:$P$1004,$A29,'入金消込'!$G$5:$G$1004))</f>
        <v/>
      </c>
      <c r="E29" s="28">
        <f>IF($A29="","",SUMIF('入金消込'!$P$5:$P$1004,$A29,'入金消込'!$H$5:$H$1004)+SUMIF('入金消込'!$P$5:$P$1004,$A29,'入金消込'!$I$5:$I$1004))</f>
        <v/>
      </c>
      <c r="F29" s="67">
        <f>IF($A29="","",$C29-$D29-$E29)</f>
        <v/>
      </c>
      <c r="G29" s="28">
        <f>IF($A29="","",SUMIFS('請求台帳'!$R$5:$R$1004,'請求台帳'!$C$5:$C$1004,$A29,'請求台帳'!$U$5:$U$1004,'設定'!$B$17))</f>
        <v/>
      </c>
      <c r="H29" s="28">
        <f>IF($A29="","",SUMIFS('請求台帳'!$R$5:$R$1004,'請求台帳'!$C$5:$C$1004,$A29,'請求台帳'!$U$5:$U$1004,'設定'!$B$18))</f>
        <v/>
      </c>
      <c r="I29" s="28">
        <f>IF($A29="","",SUMIFS('請求台帳'!$R$5:$R$1004,'請求台帳'!$C$5:$C$1004,$A29,'請求台帳'!$U$5:$U$1004,'設定'!$B$19))</f>
        <v/>
      </c>
      <c r="J29" s="28">
        <f>IF($A29="","",SUMIFS('請求台帳'!$R$5:$R$1004,'請求台帳'!$C$5:$C$1004,$A29,'請求台帳'!$U$5:$U$1004,'設定'!$B$20))</f>
        <v/>
      </c>
      <c r="K29" s="28">
        <f>IF($A29="","",SUMIFS('請求台帳'!$R$5:$R$1004,'請求台帳'!$C$5:$C$1004,$A29,'請求台帳'!$U$5:$U$1004,'設定'!$B$21))</f>
        <v/>
      </c>
      <c r="L29" s="28">
        <f>IF($A29="","",SUMIFS('請求台帳'!$R$5:$R$1004,'請求台帳'!$C$5:$C$1004,$A29,'請求台帳'!$U$5:$U$1004,'設定'!$B$22))</f>
        <v/>
      </c>
      <c r="M29" s="28">
        <f>IF($A29="","",SUMIFS('請求台帳'!$R$5:$R$1004,'請求台帳'!$C$5:$C$1004,$A29,'請求台帳'!$R$5:$R$1004,"&lt;0"))</f>
        <v/>
      </c>
      <c r="N29" s="28">
        <f>IF($A29="","",SUMIFS('入金消込'!$G$5:$G$1004,'入金消込'!$P$5:$P$1004,$A29,'入金消込'!$R$5:$R$1004,1)+SUMIFS('入金消込'!$H$5:$H$1004,'入金消込'!$P$5:$P$1004,$A29,'入金消込'!$R$5:$R$1004,1)+SUMIFS('入金消込'!$I$5:$I$1004,'入金消込'!$P$5:$P$1004,$A29,'入金消込'!$R$5:$R$1004,1))</f>
        <v/>
      </c>
      <c r="O29" s="30">
        <f>IF($A29="","",IF(ROUND($F29-(SUM($G29:$M29)-$N29),0)=0,"OK","差 "&amp;TEXT($F29-(SUM($G29:$M29)-$N29),"#,##0")))</f>
        <v/>
      </c>
    </row>
    <row r="30" ht="16" customHeight="1">
      <c r="A30" s="30">
        <f>IF('得意先'!$B$24="","",'得意先'!$B$24)</f>
        <v/>
      </c>
      <c r="B30" s="20">
        <f>IF($A30="","",'得意先'!$C$24&amp;"")</f>
        <v/>
      </c>
      <c r="C30" s="28">
        <f>IF($A30="","",SUMIF('請求台帳'!$C$5:$C$1004,$A30,'請求台帳'!$L$5:$L$1004))</f>
        <v/>
      </c>
      <c r="D30" s="28">
        <f>IF($A30="","",SUMIF('入金消込'!$P$5:$P$1004,$A30,'入金消込'!$G$5:$G$1004))</f>
        <v/>
      </c>
      <c r="E30" s="28">
        <f>IF($A30="","",SUMIF('入金消込'!$P$5:$P$1004,$A30,'入金消込'!$H$5:$H$1004)+SUMIF('入金消込'!$P$5:$P$1004,$A30,'入金消込'!$I$5:$I$1004))</f>
        <v/>
      </c>
      <c r="F30" s="67">
        <f>IF($A30="","",$C30-$D30-$E30)</f>
        <v/>
      </c>
      <c r="G30" s="28">
        <f>IF($A30="","",SUMIFS('請求台帳'!$R$5:$R$1004,'請求台帳'!$C$5:$C$1004,$A30,'請求台帳'!$U$5:$U$1004,'設定'!$B$17))</f>
        <v/>
      </c>
      <c r="H30" s="28">
        <f>IF($A30="","",SUMIFS('請求台帳'!$R$5:$R$1004,'請求台帳'!$C$5:$C$1004,$A30,'請求台帳'!$U$5:$U$1004,'設定'!$B$18))</f>
        <v/>
      </c>
      <c r="I30" s="28">
        <f>IF($A30="","",SUMIFS('請求台帳'!$R$5:$R$1004,'請求台帳'!$C$5:$C$1004,$A30,'請求台帳'!$U$5:$U$1004,'設定'!$B$19))</f>
        <v/>
      </c>
      <c r="J30" s="28">
        <f>IF($A30="","",SUMIFS('請求台帳'!$R$5:$R$1004,'請求台帳'!$C$5:$C$1004,$A30,'請求台帳'!$U$5:$U$1004,'設定'!$B$20))</f>
        <v/>
      </c>
      <c r="K30" s="28">
        <f>IF($A30="","",SUMIFS('請求台帳'!$R$5:$R$1004,'請求台帳'!$C$5:$C$1004,$A30,'請求台帳'!$U$5:$U$1004,'設定'!$B$21))</f>
        <v/>
      </c>
      <c r="L30" s="28">
        <f>IF($A30="","",SUMIFS('請求台帳'!$R$5:$R$1004,'請求台帳'!$C$5:$C$1004,$A30,'請求台帳'!$U$5:$U$1004,'設定'!$B$22))</f>
        <v/>
      </c>
      <c r="M30" s="28">
        <f>IF($A30="","",SUMIFS('請求台帳'!$R$5:$R$1004,'請求台帳'!$C$5:$C$1004,$A30,'請求台帳'!$R$5:$R$1004,"&lt;0"))</f>
        <v/>
      </c>
      <c r="N30" s="28">
        <f>IF($A30="","",SUMIFS('入金消込'!$G$5:$G$1004,'入金消込'!$P$5:$P$1004,$A30,'入金消込'!$R$5:$R$1004,1)+SUMIFS('入金消込'!$H$5:$H$1004,'入金消込'!$P$5:$P$1004,$A30,'入金消込'!$R$5:$R$1004,1)+SUMIFS('入金消込'!$I$5:$I$1004,'入金消込'!$P$5:$P$1004,$A30,'入金消込'!$R$5:$R$1004,1))</f>
        <v/>
      </c>
      <c r="O30" s="30">
        <f>IF($A30="","",IF(ROUND($F30-(SUM($G30:$M30)-$N30),0)=0,"OK","差 "&amp;TEXT($F30-(SUM($G30:$M30)-$N30),"#,##0")))</f>
        <v/>
      </c>
    </row>
    <row r="31" ht="16" customHeight="1">
      <c r="A31" s="30">
        <f>IF('得意先'!$B$25="","",'得意先'!$B$25)</f>
        <v/>
      </c>
      <c r="B31" s="20">
        <f>IF($A31="","",'得意先'!$C$25&amp;"")</f>
        <v/>
      </c>
      <c r="C31" s="28">
        <f>IF($A31="","",SUMIF('請求台帳'!$C$5:$C$1004,$A31,'請求台帳'!$L$5:$L$1004))</f>
        <v/>
      </c>
      <c r="D31" s="28">
        <f>IF($A31="","",SUMIF('入金消込'!$P$5:$P$1004,$A31,'入金消込'!$G$5:$G$1004))</f>
        <v/>
      </c>
      <c r="E31" s="28">
        <f>IF($A31="","",SUMIF('入金消込'!$P$5:$P$1004,$A31,'入金消込'!$H$5:$H$1004)+SUMIF('入金消込'!$P$5:$P$1004,$A31,'入金消込'!$I$5:$I$1004))</f>
        <v/>
      </c>
      <c r="F31" s="67">
        <f>IF($A31="","",$C31-$D31-$E31)</f>
        <v/>
      </c>
      <c r="G31" s="28">
        <f>IF($A31="","",SUMIFS('請求台帳'!$R$5:$R$1004,'請求台帳'!$C$5:$C$1004,$A31,'請求台帳'!$U$5:$U$1004,'設定'!$B$17))</f>
        <v/>
      </c>
      <c r="H31" s="28">
        <f>IF($A31="","",SUMIFS('請求台帳'!$R$5:$R$1004,'請求台帳'!$C$5:$C$1004,$A31,'請求台帳'!$U$5:$U$1004,'設定'!$B$18))</f>
        <v/>
      </c>
      <c r="I31" s="28">
        <f>IF($A31="","",SUMIFS('請求台帳'!$R$5:$R$1004,'請求台帳'!$C$5:$C$1004,$A31,'請求台帳'!$U$5:$U$1004,'設定'!$B$19))</f>
        <v/>
      </c>
      <c r="J31" s="28">
        <f>IF($A31="","",SUMIFS('請求台帳'!$R$5:$R$1004,'請求台帳'!$C$5:$C$1004,$A31,'請求台帳'!$U$5:$U$1004,'設定'!$B$20))</f>
        <v/>
      </c>
      <c r="K31" s="28">
        <f>IF($A31="","",SUMIFS('請求台帳'!$R$5:$R$1004,'請求台帳'!$C$5:$C$1004,$A31,'請求台帳'!$U$5:$U$1004,'設定'!$B$21))</f>
        <v/>
      </c>
      <c r="L31" s="28">
        <f>IF($A31="","",SUMIFS('請求台帳'!$R$5:$R$1004,'請求台帳'!$C$5:$C$1004,$A31,'請求台帳'!$U$5:$U$1004,'設定'!$B$22))</f>
        <v/>
      </c>
      <c r="M31" s="28">
        <f>IF($A31="","",SUMIFS('請求台帳'!$R$5:$R$1004,'請求台帳'!$C$5:$C$1004,$A31,'請求台帳'!$R$5:$R$1004,"&lt;0"))</f>
        <v/>
      </c>
      <c r="N31" s="28">
        <f>IF($A31="","",SUMIFS('入金消込'!$G$5:$G$1004,'入金消込'!$P$5:$P$1004,$A31,'入金消込'!$R$5:$R$1004,1)+SUMIFS('入金消込'!$H$5:$H$1004,'入金消込'!$P$5:$P$1004,$A31,'入金消込'!$R$5:$R$1004,1)+SUMIFS('入金消込'!$I$5:$I$1004,'入金消込'!$P$5:$P$1004,$A31,'入金消込'!$R$5:$R$1004,1))</f>
        <v/>
      </c>
      <c r="O31" s="30">
        <f>IF($A31="","",IF(ROUND($F31-(SUM($G31:$M31)-$N31),0)=0,"OK","差 "&amp;TEXT($F31-(SUM($G31:$M31)-$N31),"#,##0")))</f>
        <v/>
      </c>
    </row>
    <row r="32" ht="16" customHeight="1">
      <c r="A32" s="30">
        <f>IF('得意先'!$B$26="","",'得意先'!$B$26)</f>
        <v/>
      </c>
      <c r="B32" s="20">
        <f>IF($A32="","",'得意先'!$C$26&amp;"")</f>
        <v/>
      </c>
      <c r="C32" s="28">
        <f>IF($A32="","",SUMIF('請求台帳'!$C$5:$C$1004,$A32,'請求台帳'!$L$5:$L$1004))</f>
        <v/>
      </c>
      <c r="D32" s="28">
        <f>IF($A32="","",SUMIF('入金消込'!$P$5:$P$1004,$A32,'入金消込'!$G$5:$G$1004))</f>
        <v/>
      </c>
      <c r="E32" s="28">
        <f>IF($A32="","",SUMIF('入金消込'!$P$5:$P$1004,$A32,'入金消込'!$H$5:$H$1004)+SUMIF('入金消込'!$P$5:$P$1004,$A32,'入金消込'!$I$5:$I$1004))</f>
        <v/>
      </c>
      <c r="F32" s="67">
        <f>IF($A32="","",$C32-$D32-$E32)</f>
        <v/>
      </c>
      <c r="G32" s="28">
        <f>IF($A32="","",SUMIFS('請求台帳'!$R$5:$R$1004,'請求台帳'!$C$5:$C$1004,$A32,'請求台帳'!$U$5:$U$1004,'設定'!$B$17))</f>
        <v/>
      </c>
      <c r="H32" s="28">
        <f>IF($A32="","",SUMIFS('請求台帳'!$R$5:$R$1004,'請求台帳'!$C$5:$C$1004,$A32,'請求台帳'!$U$5:$U$1004,'設定'!$B$18))</f>
        <v/>
      </c>
      <c r="I32" s="28">
        <f>IF($A32="","",SUMIFS('請求台帳'!$R$5:$R$1004,'請求台帳'!$C$5:$C$1004,$A32,'請求台帳'!$U$5:$U$1004,'設定'!$B$19))</f>
        <v/>
      </c>
      <c r="J32" s="28">
        <f>IF($A32="","",SUMIFS('請求台帳'!$R$5:$R$1004,'請求台帳'!$C$5:$C$1004,$A32,'請求台帳'!$U$5:$U$1004,'設定'!$B$20))</f>
        <v/>
      </c>
      <c r="K32" s="28">
        <f>IF($A32="","",SUMIFS('請求台帳'!$R$5:$R$1004,'請求台帳'!$C$5:$C$1004,$A32,'請求台帳'!$U$5:$U$1004,'設定'!$B$21))</f>
        <v/>
      </c>
      <c r="L32" s="28">
        <f>IF($A32="","",SUMIFS('請求台帳'!$R$5:$R$1004,'請求台帳'!$C$5:$C$1004,$A32,'請求台帳'!$U$5:$U$1004,'設定'!$B$22))</f>
        <v/>
      </c>
      <c r="M32" s="28">
        <f>IF($A32="","",SUMIFS('請求台帳'!$R$5:$R$1004,'請求台帳'!$C$5:$C$1004,$A32,'請求台帳'!$R$5:$R$1004,"&lt;0"))</f>
        <v/>
      </c>
      <c r="N32" s="28">
        <f>IF($A32="","",SUMIFS('入金消込'!$G$5:$G$1004,'入金消込'!$P$5:$P$1004,$A32,'入金消込'!$R$5:$R$1004,1)+SUMIFS('入金消込'!$H$5:$H$1004,'入金消込'!$P$5:$P$1004,$A32,'入金消込'!$R$5:$R$1004,1)+SUMIFS('入金消込'!$I$5:$I$1004,'入金消込'!$P$5:$P$1004,$A32,'入金消込'!$R$5:$R$1004,1))</f>
        <v/>
      </c>
      <c r="O32" s="30">
        <f>IF($A32="","",IF(ROUND($F32-(SUM($G32:$M32)-$N32),0)=0,"OK","差 "&amp;TEXT($F32-(SUM($G32:$M32)-$N32),"#,##0")))</f>
        <v/>
      </c>
    </row>
    <row r="33" ht="16" customHeight="1">
      <c r="A33" s="30">
        <f>IF('得意先'!$B$27="","",'得意先'!$B$27)</f>
        <v/>
      </c>
      <c r="B33" s="20">
        <f>IF($A33="","",'得意先'!$C$27&amp;"")</f>
        <v/>
      </c>
      <c r="C33" s="28">
        <f>IF($A33="","",SUMIF('請求台帳'!$C$5:$C$1004,$A33,'請求台帳'!$L$5:$L$1004))</f>
        <v/>
      </c>
      <c r="D33" s="28">
        <f>IF($A33="","",SUMIF('入金消込'!$P$5:$P$1004,$A33,'入金消込'!$G$5:$G$1004))</f>
        <v/>
      </c>
      <c r="E33" s="28">
        <f>IF($A33="","",SUMIF('入金消込'!$P$5:$P$1004,$A33,'入金消込'!$H$5:$H$1004)+SUMIF('入金消込'!$P$5:$P$1004,$A33,'入金消込'!$I$5:$I$1004))</f>
        <v/>
      </c>
      <c r="F33" s="67">
        <f>IF($A33="","",$C33-$D33-$E33)</f>
        <v/>
      </c>
      <c r="G33" s="28">
        <f>IF($A33="","",SUMIFS('請求台帳'!$R$5:$R$1004,'請求台帳'!$C$5:$C$1004,$A33,'請求台帳'!$U$5:$U$1004,'設定'!$B$17))</f>
        <v/>
      </c>
      <c r="H33" s="28">
        <f>IF($A33="","",SUMIFS('請求台帳'!$R$5:$R$1004,'請求台帳'!$C$5:$C$1004,$A33,'請求台帳'!$U$5:$U$1004,'設定'!$B$18))</f>
        <v/>
      </c>
      <c r="I33" s="28">
        <f>IF($A33="","",SUMIFS('請求台帳'!$R$5:$R$1004,'請求台帳'!$C$5:$C$1004,$A33,'請求台帳'!$U$5:$U$1004,'設定'!$B$19))</f>
        <v/>
      </c>
      <c r="J33" s="28">
        <f>IF($A33="","",SUMIFS('請求台帳'!$R$5:$R$1004,'請求台帳'!$C$5:$C$1004,$A33,'請求台帳'!$U$5:$U$1004,'設定'!$B$20))</f>
        <v/>
      </c>
      <c r="K33" s="28">
        <f>IF($A33="","",SUMIFS('請求台帳'!$R$5:$R$1004,'請求台帳'!$C$5:$C$1004,$A33,'請求台帳'!$U$5:$U$1004,'設定'!$B$21))</f>
        <v/>
      </c>
      <c r="L33" s="28">
        <f>IF($A33="","",SUMIFS('請求台帳'!$R$5:$R$1004,'請求台帳'!$C$5:$C$1004,$A33,'請求台帳'!$U$5:$U$1004,'設定'!$B$22))</f>
        <v/>
      </c>
      <c r="M33" s="28">
        <f>IF($A33="","",SUMIFS('請求台帳'!$R$5:$R$1004,'請求台帳'!$C$5:$C$1004,$A33,'請求台帳'!$R$5:$R$1004,"&lt;0"))</f>
        <v/>
      </c>
      <c r="N33" s="28">
        <f>IF($A33="","",SUMIFS('入金消込'!$G$5:$G$1004,'入金消込'!$P$5:$P$1004,$A33,'入金消込'!$R$5:$R$1004,1)+SUMIFS('入金消込'!$H$5:$H$1004,'入金消込'!$P$5:$P$1004,$A33,'入金消込'!$R$5:$R$1004,1)+SUMIFS('入金消込'!$I$5:$I$1004,'入金消込'!$P$5:$P$1004,$A33,'入金消込'!$R$5:$R$1004,1))</f>
        <v/>
      </c>
      <c r="O33" s="30">
        <f>IF($A33="","",IF(ROUND($F33-(SUM($G33:$M33)-$N33),0)=0,"OK","差 "&amp;TEXT($F33-(SUM($G33:$M33)-$N33),"#,##0")))</f>
        <v/>
      </c>
    </row>
    <row r="34" ht="16" customHeight="1">
      <c r="A34" s="30">
        <f>IF('得意先'!$B$28="","",'得意先'!$B$28)</f>
        <v/>
      </c>
      <c r="B34" s="20">
        <f>IF($A34="","",'得意先'!$C$28&amp;"")</f>
        <v/>
      </c>
      <c r="C34" s="28">
        <f>IF($A34="","",SUMIF('請求台帳'!$C$5:$C$1004,$A34,'請求台帳'!$L$5:$L$1004))</f>
        <v/>
      </c>
      <c r="D34" s="28">
        <f>IF($A34="","",SUMIF('入金消込'!$P$5:$P$1004,$A34,'入金消込'!$G$5:$G$1004))</f>
        <v/>
      </c>
      <c r="E34" s="28">
        <f>IF($A34="","",SUMIF('入金消込'!$P$5:$P$1004,$A34,'入金消込'!$H$5:$H$1004)+SUMIF('入金消込'!$P$5:$P$1004,$A34,'入金消込'!$I$5:$I$1004))</f>
        <v/>
      </c>
      <c r="F34" s="67">
        <f>IF($A34="","",$C34-$D34-$E34)</f>
        <v/>
      </c>
      <c r="G34" s="28">
        <f>IF($A34="","",SUMIFS('請求台帳'!$R$5:$R$1004,'請求台帳'!$C$5:$C$1004,$A34,'請求台帳'!$U$5:$U$1004,'設定'!$B$17))</f>
        <v/>
      </c>
      <c r="H34" s="28">
        <f>IF($A34="","",SUMIFS('請求台帳'!$R$5:$R$1004,'請求台帳'!$C$5:$C$1004,$A34,'請求台帳'!$U$5:$U$1004,'設定'!$B$18))</f>
        <v/>
      </c>
      <c r="I34" s="28">
        <f>IF($A34="","",SUMIFS('請求台帳'!$R$5:$R$1004,'請求台帳'!$C$5:$C$1004,$A34,'請求台帳'!$U$5:$U$1004,'設定'!$B$19))</f>
        <v/>
      </c>
      <c r="J34" s="28">
        <f>IF($A34="","",SUMIFS('請求台帳'!$R$5:$R$1004,'請求台帳'!$C$5:$C$1004,$A34,'請求台帳'!$U$5:$U$1004,'設定'!$B$20))</f>
        <v/>
      </c>
      <c r="K34" s="28">
        <f>IF($A34="","",SUMIFS('請求台帳'!$R$5:$R$1004,'請求台帳'!$C$5:$C$1004,$A34,'請求台帳'!$U$5:$U$1004,'設定'!$B$21))</f>
        <v/>
      </c>
      <c r="L34" s="28">
        <f>IF($A34="","",SUMIFS('請求台帳'!$R$5:$R$1004,'請求台帳'!$C$5:$C$1004,$A34,'請求台帳'!$U$5:$U$1004,'設定'!$B$22))</f>
        <v/>
      </c>
      <c r="M34" s="28">
        <f>IF($A34="","",SUMIFS('請求台帳'!$R$5:$R$1004,'請求台帳'!$C$5:$C$1004,$A34,'請求台帳'!$R$5:$R$1004,"&lt;0"))</f>
        <v/>
      </c>
      <c r="N34" s="28">
        <f>IF($A34="","",SUMIFS('入金消込'!$G$5:$G$1004,'入金消込'!$P$5:$P$1004,$A34,'入金消込'!$R$5:$R$1004,1)+SUMIFS('入金消込'!$H$5:$H$1004,'入金消込'!$P$5:$P$1004,$A34,'入金消込'!$R$5:$R$1004,1)+SUMIFS('入金消込'!$I$5:$I$1004,'入金消込'!$P$5:$P$1004,$A34,'入金消込'!$R$5:$R$1004,1))</f>
        <v/>
      </c>
      <c r="O34" s="30">
        <f>IF($A34="","",IF(ROUND($F34-(SUM($G34:$M34)-$N34),0)=0,"OK","差 "&amp;TEXT($F34-(SUM($G34:$M34)-$N34),"#,##0")))</f>
        <v/>
      </c>
    </row>
    <row r="35" ht="16" customHeight="1">
      <c r="A35" s="30">
        <f>IF('得意先'!$B$29="","",'得意先'!$B$29)</f>
        <v/>
      </c>
      <c r="B35" s="20">
        <f>IF($A35="","",'得意先'!$C$29&amp;"")</f>
        <v/>
      </c>
      <c r="C35" s="28">
        <f>IF($A35="","",SUMIF('請求台帳'!$C$5:$C$1004,$A35,'請求台帳'!$L$5:$L$1004))</f>
        <v/>
      </c>
      <c r="D35" s="28">
        <f>IF($A35="","",SUMIF('入金消込'!$P$5:$P$1004,$A35,'入金消込'!$G$5:$G$1004))</f>
        <v/>
      </c>
      <c r="E35" s="28">
        <f>IF($A35="","",SUMIF('入金消込'!$P$5:$P$1004,$A35,'入金消込'!$H$5:$H$1004)+SUMIF('入金消込'!$P$5:$P$1004,$A35,'入金消込'!$I$5:$I$1004))</f>
        <v/>
      </c>
      <c r="F35" s="67">
        <f>IF($A35="","",$C35-$D35-$E35)</f>
        <v/>
      </c>
      <c r="G35" s="28">
        <f>IF($A35="","",SUMIFS('請求台帳'!$R$5:$R$1004,'請求台帳'!$C$5:$C$1004,$A35,'請求台帳'!$U$5:$U$1004,'設定'!$B$17))</f>
        <v/>
      </c>
      <c r="H35" s="28">
        <f>IF($A35="","",SUMIFS('請求台帳'!$R$5:$R$1004,'請求台帳'!$C$5:$C$1004,$A35,'請求台帳'!$U$5:$U$1004,'設定'!$B$18))</f>
        <v/>
      </c>
      <c r="I35" s="28">
        <f>IF($A35="","",SUMIFS('請求台帳'!$R$5:$R$1004,'請求台帳'!$C$5:$C$1004,$A35,'請求台帳'!$U$5:$U$1004,'設定'!$B$19))</f>
        <v/>
      </c>
      <c r="J35" s="28">
        <f>IF($A35="","",SUMIFS('請求台帳'!$R$5:$R$1004,'請求台帳'!$C$5:$C$1004,$A35,'請求台帳'!$U$5:$U$1004,'設定'!$B$20))</f>
        <v/>
      </c>
      <c r="K35" s="28">
        <f>IF($A35="","",SUMIFS('請求台帳'!$R$5:$R$1004,'請求台帳'!$C$5:$C$1004,$A35,'請求台帳'!$U$5:$U$1004,'設定'!$B$21))</f>
        <v/>
      </c>
      <c r="L35" s="28">
        <f>IF($A35="","",SUMIFS('請求台帳'!$R$5:$R$1004,'請求台帳'!$C$5:$C$1004,$A35,'請求台帳'!$U$5:$U$1004,'設定'!$B$22))</f>
        <v/>
      </c>
      <c r="M35" s="28">
        <f>IF($A35="","",SUMIFS('請求台帳'!$R$5:$R$1004,'請求台帳'!$C$5:$C$1004,$A35,'請求台帳'!$R$5:$R$1004,"&lt;0"))</f>
        <v/>
      </c>
      <c r="N35" s="28">
        <f>IF($A35="","",SUMIFS('入金消込'!$G$5:$G$1004,'入金消込'!$P$5:$P$1004,$A35,'入金消込'!$R$5:$R$1004,1)+SUMIFS('入金消込'!$H$5:$H$1004,'入金消込'!$P$5:$P$1004,$A35,'入金消込'!$R$5:$R$1004,1)+SUMIFS('入金消込'!$I$5:$I$1004,'入金消込'!$P$5:$P$1004,$A35,'入金消込'!$R$5:$R$1004,1))</f>
        <v/>
      </c>
      <c r="O35" s="30">
        <f>IF($A35="","",IF(ROUND($F35-(SUM($G35:$M35)-$N35),0)=0,"OK","差 "&amp;TEXT($F35-(SUM($G35:$M35)-$N35),"#,##0")))</f>
        <v/>
      </c>
    </row>
    <row r="36" ht="16" customHeight="1">
      <c r="A36" s="30">
        <f>IF('得意先'!$B$30="","",'得意先'!$B$30)</f>
        <v/>
      </c>
      <c r="B36" s="20">
        <f>IF($A36="","",'得意先'!$C$30&amp;"")</f>
        <v/>
      </c>
      <c r="C36" s="28">
        <f>IF($A36="","",SUMIF('請求台帳'!$C$5:$C$1004,$A36,'請求台帳'!$L$5:$L$1004))</f>
        <v/>
      </c>
      <c r="D36" s="28">
        <f>IF($A36="","",SUMIF('入金消込'!$P$5:$P$1004,$A36,'入金消込'!$G$5:$G$1004))</f>
        <v/>
      </c>
      <c r="E36" s="28">
        <f>IF($A36="","",SUMIF('入金消込'!$P$5:$P$1004,$A36,'入金消込'!$H$5:$H$1004)+SUMIF('入金消込'!$P$5:$P$1004,$A36,'入金消込'!$I$5:$I$1004))</f>
        <v/>
      </c>
      <c r="F36" s="67">
        <f>IF($A36="","",$C36-$D36-$E36)</f>
        <v/>
      </c>
      <c r="G36" s="28">
        <f>IF($A36="","",SUMIFS('請求台帳'!$R$5:$R$1004,'請求台帳'!$C$5:$C$1004,$A36,'請求台帳'!$U$5:$U$1004,'設定'!$B$17))</f>
        <v/>
      </c>
      <c r="H36" s="28">
        <f>IF($A36="","",SUMIFS('請求台帳'!$R$5:$R$1004,'請求台帳'!$C$5:$C$1004,$A36,'請求台帳'!$U$5:$U$1004,'設定'!$B$18))</f>
        <v/>
      </c>
      <c r="I36" s="28">
        <f>IF($A36="","",SUMIFS('請求台帳'!$R$5:$R$1004,'請求台帳'!$C$5:$C$1004,$A36,'請求台帳'!$U$5:$U$1004,'設定'!$B$19))</f>
        <v/>
      </c>
      <c r="J36" s="28">
        <f>IF($A36="","",SUMIFS('請求台帳'!$R$5:$R$1004,'請求台帳'!$C$5:$C$1004,$A36,'請求台帳'!$U$5:$U$1004,'設定'!$B$20))</f>
        <v/>
      </c>
      <c r="K36" s="28">
        <f>IF($A36="","",SUMIFS('請求台帳'!$R$5:$R$1004,'請求台帳'!$C$5:$C$1004,$A36,'請求台帳'!$U$5:$U$1004,'設定'!$B$21))</f>
        <v/>
      </c>
      <c r="L36" s="28">
        <f>IF($A36="","",SUMIFS('請求台帳'!$R$5:$R$1004,'請求台帳'!$C$5:$C$1004,$A36,'請求台帳'!$U$5:$U$1004,'設定'!$B$22))</f>
        <v/>
      </c>
      <c r="M36" s="28">
        <f>IF($A36="","",SUMIFS('請求台帳'!$R$5:$R$1004,'請求台帳'!$C$5:$C$1004,$A36,'請求台帳'!$R$5:$R$1004,"&lt;0"))</f>
        <v/>
      </c>
      <c r="N36" s="28">
        <f>IF($A36="","",SUMIFS('入金消込'!$G$5:$G$1004,'入金消込'!$P$5:$P$1004,$A36,'入金消込'!$R$5:$R$1004,1)+SUMIFS('入金消込'!$H$5:$H$1004,'入金消込'!$P$5:$P$1004,$A36,'入金消込'!$R$5:$R$1004,1)+SUMIFS('入金消込'!$I$5:$I$1004,'入金消込'!$P$5:$P$1004,$A36,'入金消込'!$R$5:$R$1004,1))</f>
        <v/>
      </c>
      <c r="O36" s="30">
        <f>IF($A36="","",IF(ROUND($F36-(SUM($G36:$M36)-$N36),0)=0,"OK","差 "&amp;TEXT($F36-(SUM($G36:$M36)-$N36),"#,##0")))</f>
        <v/>
      </c>
    </row>
    <row r="37" ht="16" customHeight="1">
      <c r="A37" s="30">
        <f>IF('得意先'!$B$31="","",'得意先'!$B$31)</f>
        <v/>
      </c>
      <c r="B37" s="20">
        <f>IF($A37="","",'得意先'!$C$31&amp;"")</f>
        <v/>
      </c>
      <c r="C37" s="28">
        <f>IF($A37="","",SUMIF('請求台帳'!$C$5:$C$1004,$A37,'請求台帳'!$L$5:$L$1004))</f>
        <v/>
      </c>
      <c r="D37" s="28">
        <f>IF($A37="","",SUMIF('入金消込'!$P$5:$P$1004,$A37,'入金消込'!$G$5:$G$1004))</f>
        <v/>
      </c>
      <c r="E37" s="28">
        <f>IF($A37="","",SUMIF('入金消込'!$P$5:$P$1004,$A37,'入金消込'!$H$5:$H$1004)+SUMIF('入金消込'!$P$5:$P$1004,$A37,'入金消込'!$I$5:$I$1004))</f>
        <v/>
      </c>
      <c r="F37" s="67">
        <f>IF($A37="","",$C37-$D37-$E37)</f>
        <v/>
      </c>
      <c r="G37" s="28">
        <f>IF($A37="","",SUMIFS('請求台帳'!$R$5:$R$1004,'請求台帳'!$C$5:$C$1004,$A37,'請求台帳'!$U$5:$U$1004,'設定'!$B$17))</f>
        <v/>
      </c>
      <c r="H37" s="28">
        <f>IF($A37="","",SUMIFS('請求台帳'!$R$5:$R$1004,'請求台帳'!$C$5:$C$1004,$A37,'請求台帳'!$U$5:$U$1004,'設定'!$B$18))</f>
        <v/>
      </c>
      <c r="I37" s="28">
        <f>IF($A37="","",SUMIFS('請求台帳'!$R$5:$R$1004,'請求台帳'!$C$5:$C$1004,$A37,'請求台帳'!$U$5:$U$1004,'設定'!$B$19))</f>
        <v/>
      </c>
      <c r="J37" s="28">
        <f>IF($A37="","",SUMIFS('請求台帳'!$R$5:$R$1004,'請求台帳'!$C$5:$C$1004,$A37,'請求台帳'!$U$5:$U$1004,'設定'!$B$20))</f>
        <v/>
      </c>
      <c r="K37" s="28">
        <f>IF($A37="","",SUMIFS('請求台帳'!$R$5:$R$1004,'請求台帳'!$C$5:$C$1004,$A37,'請求台帳'!$U$5:$U$1004,'設定'!$B$21))</f>
        <v/>
      </c>
      <c r="L37" s="28">
        <f>IF($A37="","",SUMIFS('請求台帳'!$R$5:$R$1004,'請求台帳'!$C$5:$C$1004,$A37,'請求台帳'!$U$5:$U$1004,'設定'!$B$22))</f>
        <v/>
      </c>
      <c r="M37" s="28">
        <f>IF($A37="","",SUMIFS('請求台帳'!$R$5:$R$1004,'請求台帳'!$C$5:$C$1004,$A37,'請求台帳'!$R$5:$R$1004,"&lt;0"))</f>
        <v/>
      </c>
      <c r="N37" s="28">
        <f>IF($A37="","",SUMIFS('入金消込'!$G$5:$G$1004,'入金消込'!$P$5:$P$1004,$A37,'入金消込'!$R$5:$R$1004,1)+SUMIFS('入金消込'!$H$5:$H$1004,'入金消込'!$P$5:$P$1004,$A37,'入金消込'!$R$5:$R$1004,1)+SUMIFS('入金消込'!$I$5:$I$1004,'入金消込'!$P$5:$P$1004,$A37,'入金消込'!$R$5:$R$1004,1))</f>
        <v/>
      </c>
      <c r="O37" s="30">
        <f>IF($A37="","",IF(ROUND($F37-(SUM($G37:$M37)-$N37),0)=0,"OK","差 "&amp;TEXT($F37-(SUM($G37:$M37)-$N37),"#,##0")))</f>
        <v/>
      </c>
    </row>
    <row r="38" ht="16" customHeight="1">
      <c r="A38" s="30">
        <f>IF('得意先'!$B$32="","",'得意先'!$B$32)</f>
        <v/>
      </c>
      <c r="B38" s="20">
        <f>IF($A38="","",'得意先'!$C$32&amp;"")</f>
        <v/>
      </c>
      <c r="C38" s="28">
        <f>IF($A38="","",SUMIF('請求台帳'!$C$5:$C$1004,$A38,'請求台帳'!$L$5:$L$1004))</f>
        <v/>
      </c>
      <c r="D38" s="28">
        <f>IF($A38="","",SUMIF('入金消込'!$P$5:$P$1004,$A38,'入金消込'!$G$5:$G$1004))</f>
        <v/>
      </c>
      <c r="E38" s="28">
        <f>IF($A38="","",SUMIF('入金消込'!$P$5:$P$1004,$A38,'入金消込'!$H$5:$H$1004)+SUMIF('入金消込'!$P$5:$P$1004,$A38,'入金消込'!$I$5:$I$1004))</f>
        <v/>
      </c>
      <c r="F38" s="67">
        <f>IF($A38="","",$C38-$D38-$E38)</f>
        <v/>
      </c>
      <c r="G38" s="28">
        <f>IF($A38="","",SUMIFS('請求台帳'!$R$5:$R$1004,'請求台帳'!$C$5:$C$1004,$A38,'請求台帳'!$U$5:$U$1004,'設定'!$B$17))</f>
        <v/>
      </c>
      <c r="H38" s="28">
        <f>IF($A38="","",SUMIFS('請求台帳'!$R$5:$R$1004,'請求台帳'!$C$5:$C$1004,$A38,'請求台帳'!$U$5:$U$1004,'設定'!$B$18))</f>
        <v/>
      </c>
      <c r="I38" s="28">
        <f>IF($A38="","",SUMIFS('請求台帳'!$R$5:$R$1004,'請求台帳'!$C$5:$C$1004,$A38,'請求台帳'!$U$5:$U$1004,'設定'!$B$19))</f>
        <v/>
      </c>
      <c r="J38" s="28">
        <f>IF($A38="","",SUMIFS('請求台帳'!$R$5:$R$1004,'請求台帳'!$C$5:$C$1004,$A38,'請求台帳'!$U$5:$U$1004,'設定'!$B$20))</f>
        <v/>
      </c>
      <c r="K38" s="28">
        <f>IF($A38="","",SUMIFS('請求台帳'!$R$5:$R$1004,'請求台帳'!$C$5:$C$1004,$A38,'請求台帳'!$U$5:$U$1004,'設定'!$B$21))</f>
        <v/>
      </c>
      <c r="L38" s="28">
        <f>IF($A38="","",SUMIFS('請求台帳'!$R$5:$R$1004,'請求台帳'!$C$5:$C$1004,$A38,'請求台帳'!$U$5:$U$1004,'設定'!$B$22))</f>
        <v/>
      </c>
      <c r="M38" s="28">
        <f>IF($A38="","",SUMIFS('請求台帳'!$R$5:$R$1004,'請求台帳'!$C$5:$C$1004,$A38,'請求台帳'!$R$5:$R$1004,"&lt;0"))</f>
        <v/>
      </c>
      <c r="N38" s="28">
        <f>IF($A38="","",SUMIFS('入金消込'!$G$5:$G$1004,'入金消込'!$P$5:$P$1004,$A38,'入金消込'!$R$5:$R$1004,1)+SUMIFS('入金消込'!$H$5:$H$1004,'入金消込'!$P$5:$P$1004,$A38,'入金消込'!$R$5:$R$1004,1)+SUMIFS('入金消込'!$I$5:$I$1004,'入金消込'!$P$5:$P$1004,$A38,'入金消込'!$R$5:$R$1004,1))</f>
        <v/>
      </c>
      <c r="O38" s="30">
        <f>IF($A38="","",IF(ROUND($F38-(SUM($G38:$M38)-$N38),0)=0,"OK","差 "&amp;TEXT($F38-(SUM($G38:$M38)-$N38),"#,##0")))</f>
        <v/>
      </c>
    </row>
    <row r="39" ht="16" customHeight="1">
      <c r="A39" s="30">
        <f>IF('得意先'!$B$33="","",'得意先'!$B$33)</f>
        <v/>
      </c>
      <c r="B39" s="20">
        <f>IF($A39="","",'得意先'!$C$33&amp;"")</f>
        <v/>
      </c>
      <c r="C39" s="28">
        <f>IF($A39="","",SUMIF('請求台帳'!$C$5:$C$1004,$A39,'請求台帳'!$L$5:$L$1004))</f>
        <v/>
      </c>
      <c r="D39" s="28">
        <f>IF($A39="","",SUMIF('入金消込'!$P$5:$P$1004,$A39,'入金消込'!$G$5:$G$1004))</f>
        <v/>
      </c>
      <c r="E39" s="28">
        <f>IF($A39="","",SUMIF('入金消込'!$P$5:$P$1004,$A39,'入金消込'!$H$5:$H$1004)+SUMIF('入金消込'!$P$5:$P$1004,$A39,'入金消込'!$I$5:$I$1004))</f>
        <v/>
      </c>
      <c r="F39" s="67">
        <f>IF($A39="","",$C39-$D39-$E39)</f>
        <v/>
      </c>
      <c r="G39" s="28">
        <f>IF($A39="","",SUMIFS('請求台帳'!$R$5:$R$1004,'請求台帳'!$C$5:$C$1004,$A39,'請求台帳'!$U$5:$U$1004,'設定'!$B$17))</f>
        <v/>
      </c>
      <c r="H39" s="28">
        <f>IF($A39="","",SUMIFS('請求台帳'!$R$5:$R$1004,'請求台帳'!$C$5:$C$1004,$A39,'請求台帳'!$U$5:$U$1004,'設定'!$B$18))</f>
        <v/>
      </c>
      <c r="I39" s="28">
        <f>IF($A39="","",SUMIFS('請求台帳'!$R$5:$R$1004,'請求台帳'!$C$5:$C$1004,$A39,'請求台帳'!$U$5:$U$1004,'設定'!$B$19))</f>
        <v/>
      </c>
      <c r="J39" s="28">
        <f>IF($A39="","",SUMIFS('請求台帳'!$R$5:$R$1004,'請求台帳'!$C$5:$C$1004,$A39,'請求台帳'!$U$5:$U$1004,'設定'!$B$20))</f>
        <v/>
      </c>
      <c r="K39" s="28">
        <f>IF($A39="","",SUMIFS('請求台帳'!$R$5:$R$1004,'請求台帳'!$C$5:$C$1004,$A39,'請求台帳'!$U$5:$U$1004,'設定'!$B$21))</f>
        <v/>
      </c>
      <c r="L39" s="28">
        <f>IF($A39="","",SUMIFS('請求台帳'!$R$5:$R$1004,'請求台帳'!$C$5:$C$1004,$A39,'請求台帳'!$U$5:$U$1004,'設定'!$B$22))</f>
        <v/>
      </c>
      <c r="M39" s="28">
        <f>IF($A39="","",SUMIFS('請求台帳'!$R$5:$R$1004,'請求台帳'!$C$5:$C$1004,$A39,'請求台帳'!$R$5:$R$1004,"&lt;0"))</f>
        <v/>
      </c>
      <c r="N39" s="28">
        <f>IF($A39="","",SUMIFS('入金消込'!$G$5:$G$1004,'入金消込'!$P$5:$P$1004,$A39,'入金消込'!$R$5:$R$1004,1)+SUMIFS('入金消込'!$H$5:$H$1004,'入金消込'!$P$5:$P$1004,$A39,'入金消込'!$R$5:$R$1004,1)+SUMIFS('入金消込'!$I$5:$I$1004,'入金消込'!$P$5:$P$1004,$A39,'入金消込'!$R$5:$R$1004,1))</f>
        <v/>
      </c>
      <c r="O39" s="30">
        <f>IF($A39="","",IF(ROUND($F39-(SUM($G39:$M39)-$N39),0)=0,"OK","差 "&amp;TEXT($F39-(SUM($G39:$M39)-$N39),"#,##0")))</f>
        <v/>
      </c>
    </row>
    <row r="40" ht="16" customHeight="1">
      <c r="A40" s="30">
        <f>IF('得意先'!$B$34="","",'得意先'!$B$34)</f>
        <v/>
      </c>
      <c r="B40" s="20">
        <f>IF($A40="","",'得意先'!$C$34&amp;"")</f>
        <v/>
      </c>
      <c r="C40" s="28">
        <f>IF($A40="","",SUMIF('請求台帳'!$C$5:$C$1004,$A40,'請求台帳'!$L$5:$L$1004))</f>
        <v/>
      </c>
      <c r="D40" s="28">
        <f>IF($A40="","",SUMIF('入金消込'!$P$5:$P$1004,$A40,'入金消込'!$G$5:$G$1004))</f>
        <v/>
      </c>
      <c r="E40" s="28">
        <f>IF($A40="","",SUMIF('入金消込'!$P$5:$P$1004,$A40,'入金消込'!$H$5:$H$1004)+SUMIF('入金消込'!$P$5:$P$1004,$A40,'入金消込'!$I$5:$I$1004))</f>
        <v/>
      </c>
      <c r="F40" s="67">
        <f>IF($A40="","",$C40-$D40-$E40)</f>
        <v/>
      </c>
      <c r="G40" s="28">
        <f>IF($A40="","",SUMIFS('請求台帳'!$R$5:$R$1004,'請求台帳'!$C$5:$C$1004,$A40,'請求台帳'!$U$5:$U$1004,'設定'!$B$17))</f>
        <v/>
      </c>
      <c r="H40" s="28">
        <f>IF($A40="","",SUMIFS('請求台帳'!$R$5:$R$1004,'請求台帳'!$C$5:$C$1004,$A40,'請求台帳'!$U$5:$U$1004,'設定'!$B$18))</f>
        <v/>
      </c>
      <c r="I40" s="28">
        <f>IF($A40="","",SUMIFS('請求台帳'!$R$5:$R$1004,'請求台帳'!$C$5:$C$1004,$A40,'請求台帳'!$U$5:$U$1004,'設定'!$B$19))</f>
        <v/>
      </c>
      <c r="J40" s="28">
        <f>IF($A40="","",SUMIFS('請求台帳'!$R$5:$R$1004,'請求台帳'!$C$5:$C$1004,$A40,'請求台帳'!$U$5:$U$1004,'設定'!$B$20))</f>
        <v/>
      </c>
      <c r="K40" s="28">
        <f>IF($A40="","",SUMIFS('請求台帳'!$R$5:$R$1004,'請求台帳'!$C$5:$C$1004,$A40,'請求台帳'!$U$5:$U$1004,'設定'!$B$21))</f>
        <v/>
      </c>
      <c r="L40" s="28">
        <f>IF($A40="","",SUMIFS('請求台帳'!$R$5:$R$1004,'請求台帳'!$C$5:$C$1004,$A40,'請求台帳'!$U$5:$U$1004,'設定'!$B$22))</f>
        <v/>
      </c>
      <c r="M40" s="28">
        <f>IF($A40="","",SUMIFS('請求台帳'!$R$5:$R$1004,'請求台帳'!$C$5:$C$1004,$A40,'請求台帳'!$R$5:$R$1004,"&lt;0"))</f>
        <v/>
      </c>
      <c r="N40" s="28">
        <f>IF($A40="","",SUMIFS('入金消込'!$G$5:$G$1004,'入金消込'!$P$5:$P$1004,$A40,'入金消込'!$R$5:$R$1004,1)+SUMIFS('入金消込'!$H$5:$H$1004,'入金消込'!$P$5:$P$1004,$A40,'入金消込'!$R$5:$R$1004,1)+SUMIFS('入金消込'!$I$5:$I$1004,'入金消込'!$P$5:$P$1004,$A40,'入金消込'!$R$5:$R$1004,1))</f>
        <v/>
      </c>
      <c r="O40" s="30">
        <f>IF($A40="","",IF(ROUND($F40-(SUM($G40:$M40)-$N40),0)=0,"OK","差 "&amp;TEXT($F40-(SUM($G40:$M40)-$N40),"#,##0")))</f>
        <v/>
      </c>
    </row>
    <row r="41" ht="16" customHeight="1">
      <c r="A41" s="30">
        <f>IF('得意先'!$B$35="","",'得意先'!$B$35)</f>
        <v/>
      </c>
      <c r="B41" s="20">
        <f>IF($A41="","",'得意先'!$C$35&amp;"")</f>
        <v/>
      </c>
      <c r="C41" s="28">
        <f>IF($A41="","",SUMIF('請求台帳'!$C$5:$C$1004,$A41,'請求台帳'!$L$5:$L$1004))</f>
        <v/>
      </c>
      <c r="D41" s="28">
        <f>IF($A41="","",SUMIF('入金消込'!$P$5:$P$1004,$A41,'入金消込'!$G$5:$G$1004))</f>
        <v/>
      </c>
      <c r="E41" s="28">
        <f>IF($A41="","",SUMIF('入金消込'!$P$5:$P$1004,$A41,'入金消込'!$H$5:$H$1004)+SUMIF('入金消込'!$P$5:$P$1004,$A41,'入金消込'!$I$5:$I$1004))</f>
        <v/>
      </c>
      <c r="F41" s="67">
        <f>IF($A41="","",$C41-$D41-$E41)</f>
        <v/>
      </c>
      <c r="G41" s="28">
        <f>IF($A41="","",SUMIFS('請求台帳'!$R$5:$R$1004,'請求台帳'!$C$5:$C$1004,$A41,'請求台帳'!$U$5:$U$1004,'設定'!$B$17))</f>
        <v/>
      </c>
      <c r="H41" s="28">
        <f>IF($A41="","",SUMIFS('請求台帳'!$R$5:$R$1004,'請求台帳'!$C$5:$C$1004,$A41,'請求台帳'!$U$5:$U$1004,'設定'!$B$18))</f>
        <v/>
      </c>
      <c r="I41" s="28">
        <f>IF($A41="","",SUMIFS('請求台帳'!$R$5:$R$1004,'請求台帳'!$C$5:$C$1004,$A41,'請求台帳'!$U$5:$U$1004,'設定'!$B$19))</f>
        <v/>
      </c>
      <c r="J41" s="28">
        <f>IF($A41="","",SUMIFS('請求台帳'!$R$5:$R$1004,'請求台帳'!$C$5:$C$1004,$A41,'請求台帳'!$U$5:$U$1004,'設定'!$B$20))</f>
        <v/>
      </c>
      <c r="K41" s="28">
        <f>IF($A41="","",SUMIFS('請求台帳'!$R$5:$R$1004,'請求台帳'!$C$5:$C$1004,$A41,'請求台帳'!$U$5:$U$1004,'設定'!$B$21))</f>
        <v/>
      </c>
      <c r="L41" s="28">
        <f>IF($A41="","",SUMIFS('請求台帳'!$R$5:$R$1004,'請求台帳'!$C$5:$C$1004,$A41,'請求台帳'!$U$5:$U$1004,'設定'!$B$22))</f>
        <v/>
      </c>
      <c r="M41" s="28">
        <f>IF($A41="","",SUMIFS('請求台帳'!$R$5:$R$1004,'請求台帳'!$C$5:$C$1004,$A41,'請求台帳'!$R$5:$R$1004,"&lt;0"))</f>
        <v/>
      </c>
      <c r="N41" s="28">
        <f>IF($A41="","",SUMIFS('入金消込'!$G$5:$G$1004,'入金消込'!$P$5:$P$1004,$A41,'入金消込'!$R$5:$R$1004,1)+SUMIFS('入金消込'!$H$5:$H$1004,'入金消込'!$P$5:$P$1004,$A41,'入金消込'!$R$5:$R$1004,1)+SUMIFS('入金消込'!$I$5:$I$1004,'入金消込'!$P$5:$P$1004,$A41,'入金消込'!$R$5:$R$1004,1))</f>
        <v/>
      </c>
      <c r="O41" s="30">
        <f>IF($A41="","",IF(ROUND($F41-(SUM($G41:$M41)-$N41),0)=0,"OK","差 "&amp;TEXT($F41-(SUM($G41:$M41)-$N41),"#,##0")))</f>
        <v/>
      </c>
    </row>
    <row r="42" ht="16" customHeight="1">
      <c r="A42" s="30">
        <f>IF('得意先'!$B$36="","",'得意先'!$B$36)</f>
        <v/>
      </c>
      <c r="B42" s="20">
        <f>IF($A42="","",'得意先'!$C$36&amp;"")</f>
        <v/>
      </c>
      <c r="C42" s="28">
        <f>IF($A42="","",SUMIF('請求台帳'!$C$5:$C$1004,$A42,'請求台帳'!$L$5:$L$1004))</f>
        <v/>
      </c>
      <c r="D42" s="28">
        <f>IF($A42="","",SUMIF('入金消込'!$P$5:$P$1004,$A42,'入金消込'!$G$5:$G$1004))</f>
        <v/>
      </c>
      <c r="E42" s="28">
        <f>IF($A42="","",SUMIF('入金消込'!$P$5:$P$1004,$A42,'入金消込'!$H$5:$H$1004)+SUMIF('入金消込'!$P$5:$P$1004,$A42,'入金消込'!$I$5:$I$1004))</f>
        <v/>
      </c>
      <c r="F42" s="67">
        <f>IF($A42="","",$C42-$D42-$E42)</f>
        <v/>
      </c>
      <c r="G42" s="28">
        <f>IF($A42="","",SUMIFS('請求台帳'!$R$5:$R$1004,'請求台帳'!$C$5:$C$1004,$A42,'請求台帳'!$U$5:$U$1004,'設定'!$B$17))</f>
        <v/>
      </c>
      <c r="H42" s="28">
        <f>IF($A42="","",SUMIFS('請求台帳'!$R$5:$R$1004,'請求台帳'!$C$5:$C$1004,$A42,'請求台帳'!$U$5:$U$1004,'設定'!$B$18))</f>
        <v/>
      </c>
      <c r="I42" s="28">
        <f>IF($A42="","",SUMIFS('請求台帳'!$R$5:$R$1004,'請求台帳'!$C$5:$C$1004,$A42,'請求台帳'!$U$5:$U$1004,'設定'!$B$19))</f>
        <v/>
      </c>
      <c r="J42" s="28">
        <f>IF($A42="","",SUMIFS('請求台帳'!$R$5:$R$1004,'請求台帳'!$C$5:$C$1004,$A42,'請求台帳'!$U$5:$U$1004,'設定'!$B$20))</f>
        <v/>
      </c>
      <c r="K42" s="28">
        <f>IF($A42="","",SUMIFS('請求台帳'!$R$5:$R$1004,'請求台帳'!$C$5:$C$1004,$A42,'請求台帳'!$U$5:$U$1004,'設定'!$B$21))</f>
        <v/>
      </c>
      <c r="L42" s="28">
        <f>IF($A42="","",SUMIFS('請求台帳'!$R$5:$R$1004,'請求台帳'!$C$5:$C$1004,$A42,'請求台帳'!$U$5:$U$1004,'設定'!$B$22))</f>
        <v/>
      </c>
      <c r="M42" s="28">
        <f>IF($A42="","",SUMIFS('請求台帳'!$R$5:$R$1004,'請求台帳'!$C$5:$C$1004,$A42,'請求台帳'!$R$5:$R$1004,"&lt;0"))</f>
        <v/>
      </c>
      <c r="N42" s="28">
        <f>IF($A42="","",SUMIFS('入金消込'!$G$5:$G$1004,'入金消込'!$P$5:$P$1004,$A42,'入金消込'!$R$5:$R$1004,1)+SUMIFS('入金消込'!$H$5:$H$1004,'入金消込'!$P$5:$P$1004,$A42,'入金消込'!$R$5:$R$1004,1)+SUMIFS('入金消込'!$I$5:$I$1004,'入金消込'!$P$5:$P$1004,$A42,'入金消込'!$R$5:$R$1004,1))</f>
        <v/>
      </c>
      <c r="O42" s="30">
        <f>IF($A42="","",IF(ROUND($F42-(SUM($G42:$M42)-$N42),0)=0,"OK","差 "&amp;TEXT($F42-(SUM($G42:$M42)-$N42),"#,##0")))</f>
        <v/>
      </c>
    </row>
    <row r="43" ht="16" customHeight="1">
      <c r="A43" s="30">
        <f>IF('得意先'!$B$37="","",'得意先'!$B$37)</f>
        <v/>
      </c>
      <c r="B43" s="20">
        <f>IF($A43="","",'得意先'!$C$37&amp;"")</f>
        <v/>
      </c>
      <c r="C43" s="28">
        <f>IF($A43="","",SUMIF('請求台帳'!$C$5:$C$1004,$A43,'請求台帳'!$L$5:$L$1004))</f>
        <v/>
      </c>
      <c r="D43" s="28">
        <f>IF($A43="","",SUMIF('入金消込'!$P$5:$P$1004,$A43,'入金消込'!$G$5:$G$1004))</f>
        <v/>
      </c>
      <c r="E43" s="28">
        <f>IF($A43="","",SUMIF('入金消込'!$P$5:$P$1004,$A43,'入金消込'!$H$5:$H$1004)+SUMIF('入金消込'!$P$5:$P$1004,$A43,'入金消込'!$I$5:$I$1004))</f>
        <v/>
      </c>
      <c r="F43" s="67">
        <f>IF($A43="","",$C43-$D43-$E43)</f>
        <v/>
      </c>
      <c r="G43" s="28">
        <f>IF($A43="","",SUMIFS('請求台帳'!$R$5:$R$1004,'請求台帳'!$C$5:$C$1004,$A43,'請求台帳'!$U$5:$U$1004,'設定'!$B$17))</f>
        <v/>
      </c>
      <c r="H43" s="28">
        <f>IF($A43="","",SUMIFS('請求台帳'!$R$5:$R$1004,'請求台帳'!$C$5:$C$1004,$A43,'請求台帳'!$U$5:$U$1004,'設定'!$B$18))</f>
        <v/>
      </c>
      <c r="I43" s="28">
        <f>IF($A43="","",SUMIFS('請求台帳'!$R$5:$R$1004,'請求台帳'!$C$5:$C$1004,$A43,'請求台帳'!$U$5:$U$1004,'設定'!$B$19))</f>
        <v/>
      </c>
      <c r="J43" s="28">
        <f>IF($A43="","",SUMIFS('請求台帳'!$R$5:$R$1004,'請求台帳'!$C$5:$C$1004,$A43,'請求台帳'!$U$5:$U$1004,'設定'!$B$20))</f>
        <v/>
      </c>
      <c r="K43" s="28">
        <f>IF($A43="","",SUMIFS('請求台帳'!$R$5:$R$1004,'請求台帳'!$C$5:$C$1004,$A43,'請求台帳'!$U$5:$U$1004,'設定'!$B$21))</f>
        <v/>
      </c>
      <c r="L43" s="28">
        <f>IF($A43="","",SUMIFS('請求台帳'!$R$5:$R$1004,'請求台帳'!$C$5:$C$1004,$A43,'請求台帳'!$U$5:$U$1004,'設定'!$B$22))</f>
        <v/>
      </c>
      <c r="M43" s="28">
        <f>IF($A43="","",SUMIFS('請求台帳'!$R$5:$R$1004,'請求台帳'!$C$5:$C$1004,$A43,'請求台帳'!$R$5:$R$1004,"&lt;0"))</f>
        <v/>
      </c>
      <c r="N43" s="28">
        <f>IF($A43="","",SUMIFS('入金消込'!$G$5:$G$1004,'入金消込'!$P$5:$P$1004,$A43,'入金消込'!$R$5:$R$1004,1)+SUMIFS('入金消込'!$H$5:$H$1004,'入金消込'!$P$5:$P$1004,$A43,'入金消込'!$R$5:$R$1004,1)+SUMIFS('入金消込'!$I$5:$I$1004,'入金消込'!$P$5:$P$1004,$A43,'入金消込'!$R$5:$R$1004,1))</f>
        <v/>
      </c>
      <c r="O43" s="30">
        <f>IF($A43="","",IF(ROUND($F43-(SUM($G43:$M43)-$N43),0)=0,"OK","差 "&amp;TEXT($F43-(SUM($G43:$M43)-$N43),"#,##0")))</f>
        <v/>
      </c>
    </row>
    <row r="44" ht="16" customHeight="1">
      <c r="A44" s="30">
        <f>IF('得意先'!$B$38="","",'得意先'!$B$38)</f>
        <v/>
      </c>
      <c r="B44" s="20">
        <f>IF($A44="","",'得意先'!$C$38&amp;"")</f>
        <v/>
      </c>
      <c r="C44" s="28">
        <f>IF($A44="","",SUMIF('請求台帳'!$C$5:$C$1004,$A44,'請求台帳'!$L$5:$L$1004))</f>
        <v/>
      </c>
      <c r="D44" s="28">
        <f>IF($A44="","",SUMIF('入金消込'!$P$5:$P$1004,$A44,'入金消込'!$G$5:$G$1004))</f>
        <v/>
      </c>
      <c r="E44" s="28">
        <f>IF($A44="","",SUMIF('入金消込'!$P$5:$P$1004,$A44,'入金消込'!$H$5:$H$1004)+SUMIF('入金消込'!$P$5:$P$1004,$A44,'入金消込'!$I$5:$I$1004))</f>
        <v/>
      </c>
      <c r="F44" s="67">
        <f>IF($A44="","",$C44-$D44-$E44)</f>
        <v/>
      </c>
      <c r="G44" s="28">
        <f>IF($A44="","",SUMIFS('請求台帳'!$R$5:$R$1004,'請求台帳'!$C$5:$C$1004,$A44,'請求台帳'!$U$5:$U$1004,'設定'!$B$17))</f>
        <v/>
      </c>
      <c r="H44" s="28">
        <f>IF($A44="","",SUMIFS('請求台帳'!$R$5:$R$1004,'請求台帳'!$C$5:$C$1004,$A44,'請求台帳'!$U$5:$U$1004,'設定'!$B$18))</f>
        <v/>
      </c>
      <c r="I44" s="28">
        <f>IF($A44="","",SUMIFS('請求台帳'!$R$5:$R$1004,'請求台帳'!$C$5:$C$1004,$A44,'請求台帳'!$U$5:$U$1004,'設定'!$B$19))</f>
        <v/>
      </c>
      <c r="J44" s="28">
        <f>IF($A44="","",SUMIFS('請求台帳'!$R$5:$R$1004,'請求台帳'!$C$5:$C$1004,$A44,'請求台帳'!$U$5:$U$1004,'設定'!$B$20))</f>
        <v/>
      </c>
      <c r="K44" s="28">
        <f>IF($A44="","",SUMIFS('請求台帳'!$R$5:$R$1004,'請求台帳'!$C$5:$C$1004,$A44,'請求台帳'!$U$5:$U$1004,'設定'!$B$21))</f>
        <v/>
      </c>
      <c r="L44" s="28">
        <f>IF($A44="","",SUMIFS('請求台帳'!$R$5:$R$1004,'請求台帳'!$C$5:$C$1004,$A44,'請求台帳'!$U$5:$U$1004,'設定'!$B$22))</f>
        <v/>
      </c>
      <c r="M44" s="28">
        <f>IF($A44="","",SUMIFS('請求台帳'!$R$5:$R$1004,'請求台帳'!$C$5:$C$1004,$A44,'請求台帳'!$R$5:$R$1004,"&lt;0"))</f>
        <v/>
      </c>
      <c r="N44" s="28">
        <f>IF($A44="","",SUMIFS('入金消込'!$G$5:$G$1004,'入金消込'!$P$5:$P$1004,$A44,'入金消込'!$R$5:$R$1004,1)+SUMIFS('入金消込'!$H$5:$H$1004,'入金消込'!$P$5:$P$1004,$A44,'入金消込'!$R$5:$R$1004,1)+SUMIFS('入金消込'!$I$5:$I$1004,'入金消込'!$P$5:$P$1004,$A44,'入金消込'!$R$5:$R$1004,1))</f>
        <v/>
      </c>
      <c r="O44" s="30">
        <f>IF($A44="","",IF(ROUND($F44-(SUM($G44:$M44)-$N44),0)=0,"OK","差 "&amp;TEXT($F44-(SUM($G44:$M44)-$N44),"#,##0")))</f>
        <v/>
      </c>
    </row>
    <row r="45" ht="16" customHeight="1">
      <c r="A45" s="30">
        <f>IF('得意先'!$B$39="","",'得意先'!$B$39)</f>
        <v/>
      </c>
      <c r="B45" s="20">
        <f>IF($A45="","",'得意先'!$C$39&amp;"")</f>
        <v/>
      </c>
      <c r="C45" s="28">
        <f>IF($A45="","",SUMIF('請求台帳'!$C$5:$C$1004,$A45,'請求台帳'!$L$5:$L$1004))</f>
        <v/>
      </c>
      <c r="D45" s="28">
        <f>IF($A45="","",SUMIF('入金消込'!$P$5:$P$1004,$A45,'入金消込'!$G$5:$G$1004))</f>
        <v/>
      </c>
      <c r="E45" s="28">
        <f>IF($A45="","",SUMIF('入金消込'!$P$5:$P$1004,$A45,'入金消込'!$H$5:$H$1004)+SUMIF('入金消込'!$P$5:$P$1004,$A45,'入金消込'!$I$5:$I$1004))</f>
        <v/>
      </c>
      <c r="F45" s="67">
        <f>IF($A45="","",$C45-$D45-$E45)</f>
        <v/>
      </c>
      <c r="G45" s="28">
        <f>IF($A45="","",SUMIFS('請求台帳'!$R$5:$R$1004,'請求台帳'!$C$5:$C$1004,$A45,'請求台帳'!$U$5:$U$1004,'設定'!$B$17))</f>
        <v/>
      </c>
      <c r="H45" s="28">
        <f>IF($A45="","",SUMIFS('請求台帳'!$R$5:$R$1004,'請求台帳'!$C$5:$C$1004,$A45,'請求台帳'!$U$5:$U$1004,'設定'!$B$18))</f>
        <v/>
      </c>
      <c r="I45" s="28">
        <f>IF($A45="","",SUMIFS('請求台帳'!$R$5:$R$1004,'請求台帳'!$C$5:$C$1004,$A45,'請求台帳'!$U$5:$U$1004,'設定'!$B$19))</f>
        <v/>
      </c>
      <c r="J45" s="28">
        <f>IF($A45="","",SUMIFS('請求台帳'!$R$5:$R$1004,'請求台帳'!$C$5:$C$1004,$A45,'請求台帳'!$U$5:$U$1004,'設定'!$B$20))</f>
        <v/>
      </c>
      <c r="K45" s="28">
        <f>IF($A45="","",SUMIFS('請求台帳'!$R$5:$R$1004,'請求台帳'!$C$5:$C$1004,$A45,'請求台帳'!$U$5:$U$1004,'設定'!$B$21))</f>
        <v/>
      </c>
      <c r="L45" s="28">
        <f>IF($A45="","",SUMIFS('請求台帳'!$R$5:$R$1004,'請求台帳'!$C$5:$C$1004,$A45,'請求台帳'!$U$5:$U$1004,'設定'!$B$22))</f>
        <v/>
      </c>
      <c r="M45" s="28">
        <f>IF($A45="","",SUMIFS('請求台帳'!$R$5:$R$1004,'請求台帳'!$C$5:$C$1004,$A45,'請求台帳'!$R$5:$R$1004,"&lt;0"))</f>
        <v/>
      </c>
      <c r="N45" s="28">
        <f>IF($A45="","",SUMIFS('入金消込'!$G$5:$G$1004,'入金消込'!$P$5:$P$1004,$A45,'入金消込'!$R$5:$R$1004,1)+SUMIFS('入金消込'!$H$5:$H$1004,'入金消込'!$P$5:$P$1004,$A45,'入金消込'!$R$5:$R$1004,1)+SUMIFS('入金消込'!$I$5:$I$1004,'入金消込'!$P$5:$P$1004,$A45,'入金消込'!$R$5:$R$1004,1))</f>
        <v/>
      </c>
      <c r="O45" s="30">
        <f>IF($A45="","",IF(ROUND($F45-(SUM($G45:$M45)-$N45),0)=0,"OK","差 "&amp;TEXT($F45-(SUM($G45:$M45)-$N45),"#,##0")))</f>
        <v/>
      </c>
    </row>
    <row r="46" ht="16" customHeight="1">
      <c r="A46" s="30">
        <f>IF('得意先'!$B$40="","",'得意先'!$B$40)</f>
        <v/>
      </c>
      <c r="B46" s="20">
        <f>IF($A46="","",'得意先'!$C$40&amp;"")</f>
        <v/>
      </c>
      <c r="C46" s="28">
        <f>IF($A46="","",SUMIF('請求台帳'!$C$5:$C$1004,$A46,'請求台帳'!$L$5:$L$1004))</f>
        <v/>
      </c>
      <c r="D46" s="28">
        <f>IF($A46="","",SUMIF('入金消込'!$P$5:$P$1004,$A46,'入金消込'!$G$5:$G$1004))</f>
        <v/>
      </c>
      <c r="E46" s="28">
        <f>IF($A46="","",SUMIF('入金消込'!$P$5:$P$1004,$A46,'入金消込'!$H$5:$H$1004)+SUMIF('入金消込'!$P$5:$P$1004,$A46,'入金消込'!$I$5:$I$1004))</f>
        <v/>
      </c>
      <c r="F46" s="67">
        <f>IF($A46="","",$C46-$D46-$E46)</f>
        <v/>
      </c>
      <c r="G46" s="28">
        <f>IF($A46="","",SUMIFS('請求台帳'!$R$5:$R$1004,'請求台帳'!$C$5:$C$1004,$A46,'請求台帳'!$U$5:$U$1004,'設定'!$B$17))</f>
        <v/>
      </c>
      <c r="H46" s="28">
        <f>IF($A46="","",SUMIFS('請求台帳'!$R$5:$R$1004,'請求台帳'!$C$5:$C$1004,$A46,'請求台帳'!$U$5:$U$1004,'設定'!$B$18))</f>
        <v/>
      </c>
      <c r="I46" s="28">
        <f>IF($A46="","",SUMIFS('請求台帳'!$R$5:$R$1004,'請求台帳'!$C$5:$C$1004,$A46,'請求台帳'!$U$5:$U$1004,'設定'!$B$19))</f>
        <v/>
      </c>
      <c r="J46" s="28">
        <f>IF($A46="","",SUMIFS('請求台帳'!$R$5:$R$1004,'請求台帳'!$C$5:$C$1004,$A46,'請求台帳'!$U$5:$U$1004,'設定'!$B$20))</f>
        <v/>
      </c>
      <c r="K46" s="28">
        <f>IF($A46="","",SUMIFS('請求台帳'!$R$5:$R$1004,'請求台帳'!$C$5:$C$1004,$A46,'請求台帳'!$U$5:$U$1004,'設定'!$B$21))</f>
        <v/>
      </c>
      <c r="L46" s="28">
        <f>IF($A46="","",SUMIFS('請求台帳'!$R$5:$R$1004,'請求台帳'!$C$5:$C$1004,$A46,'請求台帳'!$U$5:$U$1004,'設定'!$B$22))</f>
        <v/>
      </c>
      <c r="M46" s="28">
        <f>IF($A46="","",SUMIFS('請求台帳'!$R$5:$R$1004,'請求台帳'!$C$5:$C$1004,$A46,'請求台帳'!$R$5:$R$1004,"&lt;0"))</f>
        <v/>
      </c>
      <c r="N46" s="28">
        <f>IF($A46="","",SUMIFS('入金消込'!$G$5:$G$1004,'入金消込'!$P$5:$P$1004,$A46,'入金消込'!$R$5:$R$1004,1)+SUMIFS('入金消込'!$H$5:$H$1004,'入金消込'!$P$5:$P$1004,$A46,'入金消込'!$R$5:$R$1004,1)+SUMIFS('入金消込'!$I$5:$I$1004,'入金消込'!$P$5:$P$1004,$A46,'入金消込'!$R$5:$R$1004,1))</f>
        <v/>
      </c>
      <c r="O46" s="30">
        <f>IF($A46="","",IF(ROUND($F46-(SUM($G46:$M46)-$N46),0)=0,"OK","差 "&amp;TEXT($F46-(SUM($G46:$M46)-$N46),"#,##0")))</f>
        <v/>
      </c>
    </row>
    <row r="47" ht="16" customHeight="1">
      <c r="A47" s="30">
        <f>IF('得意先'!$B$41="","",'得意先'!$B$41)</f>
        <v/>
      </c>
      <c r="B47" s="20">
        <f>IF($A47="","",'得意先'!$C$41&amp;"")</f>
        <v/>
      </c>
      <c r="C47" s="28">
        <f>IF($A47="","",SUMIF('請求台帳'!$C$5:$C$1004,$A47,'請求台帳'!$L$5:$L$1004))</f>
        <v/>
      </c>
      <c r="D47" s="28">
        <f>IF($A47="","",SUMIF('入金消込'!$P$5:$P$1004,$A47,'入金消込'!$G$5:$G$1004))</f>
        <v/>
      </c>
      <c r="E47" s="28">
        <f>IF($A47="","",SUMIF('入金消込'!$P$5:$P$1004,$A47,'入金消込'!$H$5:$H$1004)+SUMIF('入金消込'!$P$5:$P$1004,$A47,'入金消込'!$I$5:$I$1004))</f>
        <v/>
      </c>
      <c r="F47" s="67">
        <f>IF($A47="","",$C47-$D47-$E47)</f>
        <v/>
      </c>
      <c r="G47" s="28">
        <f>IF($A47="","",SUMIFS('請求台帳'!$R$5:$R$1004,'請求台帳'!$C$5:$C$1004,$A47,'請求台帳'!$U$5:$U$1004,'設定'!$B$17))</f>
        <v/>
      </c>
      <c r="H47" s="28">
        <f>IF($A47="","",SUMIFS('請求台帳'!$R$5:$R$1004,'請求台帳'!$C$5:$C$1004,$A47,'請求台帳'!$U$5:$U$1004,'設定'!$B$18))</f>
        <v/>
      </c>
      <c r="I47" s="28">
        <f>IF($A47="","",SUMIFS('請求台帳'!$R$5:$R$1004,'請求台帳'!$C$5:$C$1004,$A47,'請求台帳'!$U$5:$U$1004,'設定'!$B$19))</f>
        <v/>
      </c>
      <c r="J47" s="28">
        <f>IF($A47="","",SUMIFS('請求台帳'!$R$5:$R$1004,'請求台帳'!$C$5:$C$1004,$A47,'請求台帳'!$U$5:$U$1004,'設定'!$B$20))</f>
        <v/>
      </c>
      <c r="K47" s="28">
        <f>IF($A47="","",SUMIFS('請求台帳'!$R$5:$R$1004,'請求台帳'!$C$5:$C$1004,$A47,'請求台帳'!$U$5:$U$1004,'設定'!$B$21))</f>
        <v/>
      </c>
      <c r="L47" s="28">
        <f>IF($A47="","",SUMIFS('請求台帳'!$R$5:$R$1004,'請求台帳'!$C$5:$C$1004,$A47,'請求台帳'!$U$5:$U$1004,'設定'!$B$22))</f>
        <v/>
      </c>
      <c r="M47" s="28">
        <f>IF($A47="","",SUMIFS('請求台帳'!$R$5:$R$1004,'請求台帳'!$C$5:$C$1004,$A47,'請求台帳'!$R$5:$R$1004,"&lt;0"))</f>
        <v/>
      </c>
      <c r="N47" s="28">
        <f>IF($A47="","",SUMIFS('入金消込'!$G$5:$G$1004,'入金消込'!$P$5:$P$1004,$A47,'入金消込'!$R$5:$R$1004,1)+SUMIFS('入金消込'!$H$5:$H$1004,'入金消込'!$P$5:$P$1004,$A47,'入金消込'!$R$5:$R$1004,1)+SUMIFS('入金消込'!$I$5:$I$1004,'入金消込'!$P$5:$P$1004,$A47,'入金消込'!$R$5:$R$1004,1))</f>
        <v/>
      </c>
      <c r="O47" s="30">
        <f>IF($A47="","",IF(ROUND($F47-(SUM($G47:$M47)-$N47),0)=0,"OK","差 "&amp;TEXT($F47-(SUM($G47:$M47)-$N47),"#,##0")))</f>
        <v/>
      </c>
    </row>
    <row r="48" ht="16" customHeight="1">
      <c r="A48" s="30">
        <f>IF('得意先'!$B$42="","",'得意先'!$B$42)</f>
        <v/>
      </c>
      <c r="B48" s="20">
        <f>IF($A48="","",'得意先'!$C$42&amp;"")</f>
        <v/>
      </c>
      <c r="C48" s="28">
        <f>IF($A48="","",SUMIF('請求台帳'!$C$5:$C$1004,$A48,'請求台帳'!$L$5:$L$1004))</f>
        <v/>
      </c>
      <c r="D48" s="28">
        <f>IF($A48="","",SUMIF('入金消込'!$P$5:$P$1004,$A48,'入金消込'!$G$5:$G$1004))</f>
        <v/>
      </c>
      <c r="E48" s="28">
        <f>IF($A48="","",SUMIF('入金消込'!$P$5:$P$1004,$A48,'入金消込'!$H$5:$H$1004)+SUMIF('入金消込'!$P$5:$P$1004,$A48,'入金消込'!$I$5:$I$1004))</f>
        <v/>
      </c>
      <c r="F48" s="67">
        <f>IF($A48="","",$C48-$D48-$E48)</f>
        <v/>
      </c>
      <c r="G48" s="28">
        <f>IF($A48="","",SUMIFS('請求台帳'!$R$5:$R$1004,'請求台帳'!$C$5:$C$1004,$A48,'請求台帳'!$U$5:$U$1004,'設定'!$B$17))</f>
        <v/>
      </c>
      <c r="H48" s="28">
        <f>IF($A48="","",SUMIFS('請求台帳'!$R$5:$R$1004,'請求台帳'!$C$5:$C$1004,$A48,'請求台帳'!$U$5:$U$1004,'設定'!$B$18))</f>
        <v/>
      </c>
      <c r="I48" s="28">
        <f>IF($A48="","",SUMIFS('請求台帳'!$R$5:$R$1004,'請求台帳'!$C$5:$C$1004,$A48,'請求台帳'!$U$5:$U$1004,'設定'!$B$19))</f>
        <v/>
      </c>
      <c r="J48" s="28">
        <f>IF($A48="","",SUMIFS('請求台帳'!$R$5:$R$1004,'請求台帳'!$C$5:$C$1004,$A48,'請求台帳'!$U$5:$U$1004,'設定'!$B$20))</f>
        <v/>
      </c>
      <c r="K48" s="28">
        <f>IF($A48="","",SUMIFS('請求台帳'!$R$5:$R$1004,'請求台帳'!$C$5:$C$1004,$A48,'請求台帳'!$U$5:$U$1004,'設定'!$B$21))</f>
        <v/>
      </c>
      <c r="L48" s="28">
        <f>IF($A48="","",SUMIFS('請求台帳'!$R$5:$R$1004,'請求台帳'!$C$5:$C$1004,$A48,'請求台帳'!$U$5:$U$1004,'設定'!$B$22))</f>
        <v/>
      </c>
      <c r="M48" s="28">
        <f>IF($A48="","",SUMIFS('請求台帳'!$R$5:$R$1004,'請求台帳'!$C$5:$C$1004,$A48,'請求台帳'!$R$5:$R$1004,"&lt;0"))</f>
        <v/>
      </c>
      <c r="N48" s="28">
        <f>IF($A48="","",SUMIFS('入金消込'!$G$5:$G$1004,'入金消込'!$P$5:$P$1004,$A48,'入金消込'!$R$5:$R$1004,1)+SUMIFS('入金消込'!$H$5:$H$1004,'入金消込'!$P$5:$P$1004,$A48,'入金消込'!$R$5:$R$1004,1)+SUMIFS('入金消込'!$I$5:$I$1004,'入金消込'!$P$5:$P$1004,$A48,'入金消込'!$R$5:$R$1004,1))</f>
        <v/>
      </c>
      <c r="O48" s="30">
        <f>IF($A48="","",IF(ROUND($F48-(SUM($G48:$M48)-$N48),0)=0,"OK","差 "&amp;TEXT($F48-(SUM($G48:$M48)-$N48),"#,##0")))</f>
        <v/>
      </c>
    </row>
    <row r="49" ht="16" customHeight="1">
      <c r="A49" s="30">
        <f>IF('得意先'!$B$43="","",'得意先'!$B$43)</f>
        <v/>
      </c>
      <c r="B49" s="20">
        <f>IF($A49="","",'得意先'!$C$43&amp;"")</f>
        <v/>
      </c>
      <c r="C49" s="28">
        <f>IF($A49="","",SUMIF('請求台帳'!$C$5:$C$1004,$A49,'請求台帳'!$L$5:$L$1004))</f>
        <v/>
      </c>
      <c r="D49" s="28">
        <f>IF($A49="","",SUMIF('入金消込'!$P$5:$P$1004,$A49,'入金消込'!$G$5:$G$1004))</f>
        <v/>
      </c>
      <c r="E49" s="28">
        <f>IF($A49="","",SUMIF('入金消込'!$P$5:$P$1004,$A49,'入金消込'!$H$5:$H$1004)+SUMIF('入金消込'!$P$5:$P$1004,$A49,'入金消込'!$I$5:$I$1004))</f>
        <v/>
      </c>
      <c r="F49" s="67">
        <f>IF($A49="","",$C49-$D49-$E49)</f>
        <v/>
      </c>
      <c r="G49" s="28">
        <f>IF($A49="","",SUMIFS('請求台帳'!$R$5:$R$1004,'請求台帳'!$C$5:$C$1004,$A49,'請求台帳'!$U$5:$U$1004,'設定'!$B$17))</f>
        <v/>
      </c>
      <c r="H49" s="28">
        <f>IF($A49="","",SUMIFS('請求台帳'!$R$5:$R$1004,'請求台帳'!$C$5:$C$1004,$A49,'請求台帳'!$U$5:$U$1004,'設定'!$B$18))</f>
        <v/>
      </c>
      <c r="I49" s="28">
        <f>IF($A49="","",SUMIFS('請求台帳'!$R$5:$R$1004,'請求台帳'!$C$5:$C$1004,$A49,'請求台帳'!$U$5:$U$1004,'設定'!$B$19))</f>
        <v/>
      </c>
      <c r="J49" s="28">
        <f>IF($A49="","",SUMIFS('請求台帳'!$R$5:$R$1004,'請求台帳'!$C$5:$C$1004,$A49,'請求台帳'!$U$5:$U$1004,'設定'!$B$20))</f>
        <v/>
      </c>
      <c r="K49" s="28">
        <f>IF($A49="","",SUMIFS('請求台帳'!$R$5:$R$1004,'請求台帳'!$C$5:$C$1004,$A49,'請求台帳'!$U$5:$U$1004,'設定'!$B$21))</f>
        <v/>
      </c>
      <c r="L49" s="28">
        <f>IF($A49="","",SUMIFS('請求台帳'!$R$5:$R$1004,'請求台帳'!$C$5:$C$1004,$A49,'請求台帳'!$U$5:$U$1004,'設定'!$B$22))</f>
        <v/>
      </c>
      <c r="M49" s="28">
        <f>IF($A49="","",SUMIFS('請求台帳'!$R$5:$R$1004,'請求台帳'!$C$5:$C$1004,$A49,'請求台帳'!$R$5:$R$1004,"&lt;0"))</f>
        <v/>
      </c>
      <c r="N49" s="28">
        <f>IF($A49="","",SUMIFS('入金消込'!$G$5:$G$1004,'入金消込'!$P$5:$P$1004,$A49,'入金消込'!$R$5:$R$1004,1)+SUMIFS('入金消込'!$H$5:$H$1004,'入金消込'!$P$5:$P$1004,$A49,'入金消込'!$R$5:$R$1004,1)+SUMIFS('入金消込'!$I$5:$I$1004,'入金消込'!$P$5:$P$1004,$A49,'入金消込'!$R$5:$R$1004,1))</f>
        <v/>
      </c>
      <c r="O49" s="30">
        <f>IF($A49="","",IF(ROUND($F49-(SUM($G49:$M49)-$N49),0)=0,"OK","差 "&amp;TEXT($F49-(SUM($G49:$M49)-$N49),"#,##0")))</f>
        <v/>
      </c>
    </row>
    <row r="50" ht="16" customHeight="1">
      <c r="A50" s="30">
        <f>IF('得意先'!$B$44="","",'得意先'!$B$44)</f>
        <v/>
      </c>
      <c r="B50" s="20">
        <f>IF($A50="","",'得意先'!$C$44&amp;"")</f>
        <v/>
      </c>
      <c r="C50" s="28">
        <f>IF($A50="","",SUMIF('請求台帳'!$C$5:$C$1004,$A50,'請求台帳'!$L$5:$L$1004))</f>
        <v/>
      </c>
      <c r="D50" s="28">
        <f>IF($A50="","",SUMIF('入金消込'!$P$5:$P$1004,$A50,'入金消込'!$G$5:$G$1004))</f>
        <v/>
      </c>
      <c r="E50" s="28">
        <f>IF($A50="","",SUMIF('入金消込'!$P$5:$P$1004,$A50,'入金消込'!$H$5:$H$1004)+SUMIF('入金消込'!$P$5:$P$1004,$A50,'入金消込'!$I$5:$I$1004))</f>
        <v/>
      </c>
      <c r="F50" s="67">
        <f>IF($A50="","",$C50-$D50-$E50)</f>
        <v/>
      </c>
      <c r="G50" s="28">
        <f>IF($A50="","",SUMIFS('請求台帳'!$R$5:$R$1004,'請求台帳'!$C$5:$C$1004,$A50,'請求台帳'!$U$5:$U$1004,'設定'!$B$17))</f>
        <v/>
      </c>
      <c r="H50" s="28">
        <f>IF($A50="","",SUMIFS('請求台帳'!$R$5:$R$1004,'請求台帳'!$C$5:$C$1004,$A50,'請求台帳'!$U$5:$U$1004,'設定'!$B$18))</f>
        <v/>
      </c>
      <c r="I50" s="28">
        <f>IF($A50="","",SUMIFS('請求台帳'!$R$5:$R$1004,'請求台帳'!$C$5:$C$1004,$A50,'請求台帳'!$U$5:$U$1004,'設定'!$B$19))</f>
        <v/>
      </c>
      <c r="J50" s="28">
        <f>IF($A50="","",SUMIFS('請求台帳'!$R$5:$R$1004,'請求台帳'!$C$5:$C$1004,$A50,'請求台帳'!$U$5:$U$1004,'設定'!$B$20))</f>
        <v/>
      </c>
      <c r="K50" s="28">
        <f>IF($A50="","",SUMIFS('請求台帳'!$R$5:$R$1004,'請求台帳'!$C$5:$C$1004,$A50,'請求台帳'!$U$5:$U$1004,'設定'!$B$21))</f>
        <v/>
      </c>
      <c r="L50" s="28">
        <f>IF($A50="","",SUMIFS('請求台帳'!$R$5:$R$1004,'請求台帳'!$C$5:$C$1004,$A50,'請求台帳'!$U$5:$U$1004,'設定'!$B$22))</f>
        <v/>
      </c>
      <c r="M50" s="28">
        <f>IF($A50="","",SUMIFS('請求台帳'!$R$5:$R$1004,'請求台帳'!$C$5:$C$1004,$A50,'請求台帳'!$R$5:$R$1004,"&lt;0"))</f>
        <v/>
      </c>
      <c r="N50" s="28">
        <f>IF($A50="","",SUMIFS('入金消込'!$G$5:$G$1004,'入金消込'!$P$5:$P$1004,$A50,'入金消込'!$R$5:$R$1004,1)+SUMIFS('入金消込'!$H$5:$H$1004,'入金消込'!$P$5:$P$1004,$A50,'入金消込'!$R$5:$R$1004,1)+SUMIFS('入金消込'!$I$5:$I$1004,'入金消込'!$P$5:$P$1004,$A50,'入金消込'!$R$5:$R$1004,1))</f>
        <v/>
      </c>
      <c r="O50" s="30">
        <f>IF($A50="","",IF(ROUND($F50-(SUM($G50:$M50)-$N50),0)=0,"OK","差 "&amp;TEXT($F50-(SUM($G50:$M50)-$N50),"#,##0")))</f>
        <v/>
      </c>
    </row>
    <row r="51" ht="16" customHeight="1">
      <c r="A51" s="30">
        <f>IF('得意先'!$B$45="","",'得意先'!$B$45)</f>
        <v/>
      </c>
      <c r="B51" s="20">
        <f>IF($A51="","",'得意先'!$C$45&amp;"")</f>
        <v/>
      </c>
      <c r="C51" s="28">
        <f>IF($A51="","",SUMIF('請求台帳'!$C$5:$C$1004,$A51,'請求台帳'!$L$5:$L$1004))</f>
        <v/>
      </c>
      <c r="D51" s="28">
        <f>IF($A51="","",SUMIF('入金消込'!$P$5:$P$1004,$A51,'入金消込'!$G$5:$G$1004))</f>
        <v/>
      </c>
      <c r="E51" s="28">
        <f>IF($A51="","",SUMIF('入金消込'!$P$5:$P$1004,$A51,'入金消込'!$H$5:$H$1004)+SUMIF('入金消込'!$P$5:$P$1004,$A51,'入金消込'!$I$5:$I$1004))</f>
        <v/>
      </c>
      <c r="F51" s="67">
        <f>IF($A51="","",$C51-$D51-$E51)</f>
        <v/>
      </c>
      <c r="G51" s="28">
        <f>IF($A51="","",SUMIFS('請求台帳'!$R$5:$R$1004,'請求台帳'!$C$5:$C$1004,$A51,'請求台帳'!$U$5:$U$1004,'設定'!$B$17))</f>
        <v/>
      </c>
      <c r="H51" s="28">
        <f>IF($A51="","",SUMIFS('請求台帳'!$R$5:$R$1004,'請求台帳'!$C$5:$C$1004,$A51,'請求台帳'!$U$5:$U$1004,'設定'!$B$18))</f>
        <v/>
      </c>
      <c r="I51" s="28">
        <f>IF($A51="","",SUMIFS('請求台帳'!$R$5:$R$1004,'請求台帳'!$C$5:$C$1004,$A51,'請求台帳'!$U$5:$U$1004,'設定'!$B$19))</f>
        <v/>
      </c>
      <c r="J51" s="28">
        <f>IF($A51="","",SUMIFS('請求台帳'!$R$5:$R$1004,'請求台帳'!$C$5:$C$1004,$A51,'請求台帳'!$U$5:$U$1004,'設定'!$B$20))</f>
        <v/>
      </c>
      <c r="K51" s="28">
        <f>IF($A51="","",SUMIFS('請求台帳'!$R$5:$R$1004,'請求台帳'!$C$5:$C$1004,$A51,'請求台帳'!$U$5:$U$1004,'設定'!$B$21))</f>
        <v/>
      </c>
      <c r="L51" s="28">
        <f>IF($A51="","",SUMIFS('請求台帳'!$R$5:$R$1004,'請求台帳'!$C$5:$C$1004,$A51,'請求台帳'!$U$5:$U$1004,'設定'!$B$22))</f>
        <v/>
      </c>
      <c r="M51" s="28">
        <f>IF($A51="","",SUMIFS('請求台帳'!$R$5:$R$1004,'請求台帳'!$C$5:$C$1004,$A51,'請求台帳'!$R$5:$R$1004,"&lt;0"))</f>
        <v/>
      </c>
      <c r="N51" s="28">
        <f>IF($A51="","",SUMIFS('入金消込'!$G$5:$G$1004,'入金消込'!$P$5:$P$1004,$A51,'入金消込'!$R$5:$R$1004,1)+SUMIFS('入金消込'!$H$5:$H$1004,'入金消込'!$P$5:$P$1004,$A51,'入金消込'!$R$5:$R$1004,1)+SUMIFS('入金消込'!$I$5:$I$1004,'入金消込'!$P$5:$P$1004,$A51,'入金消込'!$R$5:$R$1004,1))</f>
        <v/>
      </c>
      <c r="O51" s="30">
        <f>IF($A51="","",IF(ROUND($F51-(SUM($G51:$M51)-$N51),0)=0,"OK","差 "&amp;TEXT($F51-(SUM($G51:$M51)-$N51),"#,##0")))</f>
        <v/>
      </c>
    </row>
    <row r="52" ht="16" customHeight="1">
      <c r="A52" s="30">
        <f>IF('得意先'!$B$46="","",'得意先'!$B$46)</f>
        <v/>
      </c>
      <c r="B52" s="20">
        <f>IF($A52="","",'得意先'!$C$46&amp;"")</f>
        <v/>
      </c>
      <c r="C52" s="28">
        <f>IF($A52="","",SUMIF('請求台帳'!$C$5:$C$1004,$A52,'請求台帳'!$L$5:$L$1004))</f>
        <v/>
      </c>
      <c r="D52" s="28">
        <f>IF($A52="","",SUMIF('入金消込'!$P$5:$P$1004,$A52,'入金消込'!$G$5:$G$1004))</f>
        <v/>
      </c>
      <c r="E52" s="28">
        <f>IF($A52="","",SUMIF('入金消込'!$P$5:$P$1004,$A52,'入金消込'!$H$5:$H$1004)+SUMIF('入金消込'!$P$5:$P$1004,$A52,'入金消込'!$I$5:$I$1004))</f>
        <v/>
      </c>
      <c r="F52" s="67">
        <f>IF($A52="","",$C52-$D52-$E52)</f>
        <v/>
      </c>
      <c r="G52" s="28">
        <f>IF($A52="","",SUMIFS('請求台帳'!$R$5:$R$1004,'請求台帳'!$C$5:$C$1004,$A52,'請求台帳'!$U$5:$U$1004,'設定'!$B$17))</f>
        <v/>
      </c>
      <c r="H52" s="28">
        <f>IF($A52="","",SUMIFS('請求台帳'!$R$5:$R$1004,'請求台帳'!$C$5:$C$1004,$A52,'請求台帳'!$U$5:$U$1004,'設定'!$B$18))</f>
        <v/>
      </c>
      <c r="I52" s="28">
        <f>IF($A52="","",SUMIFS('請求台帳'!$R$5:$R$1004,'請求台帳'!$C$5:$C$1004,$A52,'請求台帳'!$U$5:$U$1004,'設定'!$B$19))</f>
        <v/>
      </c>
      <c r="J52" s="28">
        <f>IF($A52="","",SUMIFS('請求台帳'!$R$5:$R$1004,'請求台帳'!$C$5:$C$1004,$A52,'請求台帳'!$U$5:$U$1004,'設定'!$B$20))</f>
        <v/>
      </c>
      <c r="K52" s="28">
        <f>IF($A52="","",SUMIFS('請求台帳'!$R$5:$R$1004,'請求台帳'!$C$5:$C$1004,$A52,'請求台帳'!$U$5:$U$1004,'設定'!$B$21))</f>
        <v/>
      </c>
      <c r="L52" s="28">
        <f>IF($A52="","",SUMIFS('請求台帳'!$R$5:$R$1004,'請求台帳'!$C$5:$C$1004,$A52,'請求台帳'!$U$5:$U$1004,'設定'!$B$22))</f>
        <v/>
      </c>
      <c r="M52" s="28">
        <f>IF($A52="","",SUMIFS('請求台帳'!$R$5:$R$1004,'請求台帳'!$C$5:$C$1004,$A52,'請求台帳'!$R$5:$R$1004,"&lt;0"))</f>
        <v/>
      </c>
      <c r="N52" s="28">
        <f>IF($A52="","",SUMIFS('入金消込'!$G$5:$G$1004,'入金消込'!$P$5:$P$1004,$A52,'入金消込'!$R$5:$R$1004,1)+SUMIFS('入金消込'!$H$5:$H$1004,'入金消込'!$P$5:$P$1004,$A52,'入金消込'!$R$5:$R$1004,1)+SUMIFS('入金消込'!$I$5:$I$1004,'入金消込'!$P$5:$P$1004,$A52,'入金消込'!$R$5:$R$1004,1))</f>
        <v/>
      </c>
      <c r="O52" s="30">
        <f>IF($A52="","",IF(ROUND($F52-(SUM($G52:$M52)-$N52),0)=0,"OK","差 "&amp;TEXT($F52-(SUM($G52:$M52)-$N52),"#,##0")))</f>
        <v/>
      </c>
    </row>
    <row r="53" ht="16" customHeight="1">
      <c r="A53" s="30">
        <f>IF('得意先'!$B$47="","",'得意先'!$B$47)</f>
        <v/>
      </c>
      <c r="B53" s="20">
        <f>IF($A53="","",'得意先'!$C$47&amp;"")</f>
        <v/>
      </c>
      <c r="C53" s="28">
        <f>IF($A53="","",SUMIF('請求台帳'!$C$5:$C$1004,$A53,'請求台帳'!$L$5:$L$1004))</f>
        <v/>
      </c>
      <c r="D53" s="28">
        <f>IF($A53="","",SUMIF('入金消込'!$P$5:$P$1004,$A53,'入金消込'!$G$5:$G$1004))</f>
        <v/>
      </c>
      <c r="E53" s="28">
        <f>IF($A53="","",SUMIF('入金消込'!$P$5:$P$1004,$A53,'入金消込'!$H$5:$H$1004)+SUMIF('入金消込'!$P$5:$P$1004,$A53,'入金消込'!$I$5:$I$1004))</f>
        <v/>
      </c>
      <c r="F53" s="67">
        <f>IF($A53="","",$C53-$D53-$E53)</f>
        <v/>
      </c>
      <c r="G53" s="28">
        <f>IF($A53="","",SUMIFS('請求台帳'!$R$5:$R$1004,'請求台帳'!$C$5:$C$1004,$A53,'請求台帳'!$U$5:$U$1004,'設定'!$B$17))</f>
        <v/>
      </c>
      <c r="H53" s="28">
        <f>IF($A53="","",SUMIFS('請求台帳'!$R$5:$R$1004,'請求台帳'!$C$5:$C$1004,$A53,'請求台帳'!$U$5:$U$1004,'設定'!$B$18))</f>
        <v/>
      </c>
      <c r="I53" s="28">
        <f>IF($A53="","",SUMIFS('請求台帳'!$R$5:$R$1004,'請求台帳'!$C$5:$C$1004,$A53,'請求台帳'!$U$5:$U$1004,'設定'!$B$19))</f>
        <v/>
      </c>
      <c r="J53" s="28">
        <f>IF($A53="","",SUMIFS('請求台帳'!$R$5:$R$1004,'請求台帳'!$C$5:$C$1004,$A53,'請求台帳'!$U$5:$U$1004,'設定'!$B$20))</f>
        <v/>
      </c>
      <c r="K53" s="28">
        <f>IF($A53="","",SUMIFS('請求台帳'!$R$5:$R$1004,'請求台帳'!$C$5:$C$1004,$A53,'請求台帳'!$U$5:$U$1004,'設定'!$B$21))</f>
        <v/>
      </c>
      <c r="L53" s="28">
        <f>IF($A53="","",SUMIFS('請求台帳'!$R$5:$R$1004,'請求台帳'!$C$5:$C$1004,$A53,'請求台帳'!$U$5:$U$1004,'設定'!$B$22))</f>
        <v/>
      </c>
      <c r="M53" s="28">
        <f>IF($A53="","",SUMIFS('請求台帳'!$R$5:$R$1004,'請求台帳'!$C$5:$C$1004,$A53,'請求台帳'!$R$5:$R$1004,"&lt;0"))</f>
        <v/>
      </c>
      <c r="N53" s="28">
        <f>IF($A53="","",SUMIFS('入金消込'!$G$5:$G$1004,'入金消込'!$P$5:$P$1004,$A53,'入金消込'!$R$5:$R$1004,1)+SUMIFS('入金消込'!$H$5:$H$1004,'入金消込'!$P$5:$P$1004,$A53,'入金消込'!$R$5:$R$1004,1)+SUMIFS('入金消込'!$I$5:$I$1004,'入金消込'!$P$5:$P$1004,$A53,'入金消込'!$R$5:$R$1004,1))</f>
        <v/>
      </c>
      <c r="O53" s="30">
        <f>IF($A53="","",IF(ROUND($F53-(SUM($G53:$M53)-$N53),0)=0,"OK","差 "&amp;TEXT($F53-(SUM($G53:$M53)-$N53),"#,##0")))</f>
        <v/>
      </c>
    </row>
    <row r="54" ht="16" customHeight="1">
      <c r="A54" s="30">
        <f>IF('得意先'!$B$48="","",'得意先'!$B$48)</f>
        <v/>
      </c>
      <c r="B54" s="20">
        <f>IF($A54="","",'得意先'!$C$48&amp;"")</f>
        <v/>
      </c>
      <c r="C54" s="28">
        <f>IF($A54="","",SUMIF('請求台帳'!$C$5:$C$1004,$A54,'請求台帳'!$L$5:$L$1004))</f>
        <v/>
      </c>
      <c r="D54" s="28">
        <f>IF($A54="","",SUMIF('入金消込'!$P$5:$P$1004,$A54,'入金消込'!$G$5:$G$1004))</f>
        <v/>
      </c>
      <c r="E54" s="28">
        <f>IF($A54="","",SUMIF('入金消込'!$P$5:$P$1004,$A54,'入金消込'!$H$5:$H$1004)+SUMIF('入金消込'!$P$5:$P$1004,$A54,'入金消込'!$I$5:$I$1004))</f>
        <v/>
      </c>
      <c r="F54" s="67">
        <f>IF($A54="","",$C54-$D54-$E54)</f>
        <v/>
      </c>
      <c r="G54" s="28">
        <f>IF($A54="","",SUMIFS('請求台帳'!$R$5:$R$1004,'請求台帳'!$C$5:$C$1004,$A54,'請求台帳'!$U$5:$U$1004,'設定'!$B$17))</f>
        <v/>
      </c>
      <c r="H54" s="28">
        <f>IF($A54="","",SUMIFS('請求台帳'!$R$5:$R$1004,'請求台帳'!$C$5:$C$1004,$A54,'請求台帳'!$U$5:$U$1004,'設定'!$B$18))</f>
        <v/>
      </c>
      <c r="I54" s="28">
        <f>IF($A54="","",SUMIFS('請求台帳'!$R$5:$R$1004,'請求台帳'!$C$5:$C$1004,$A54,'請求台帳'!$U$5:$U$1004,'設定'!$B$19))</f>
        <v/>
      </c>
      <c r="J54" s="28">
        <f>IF($A54="","",SUMIFS('請求台帳'!$R$5:$R$1004,'請求台帳'!$C$5:$C$1004,$A54,'請求台帳'!$U$5:$U$1004,'設定'!$B$20))</f>
        <v/>
      </c>
      <c r="K54" s="28">
        <f>IF($A54="","",SUMIFS('請求台帳'!$R$5:$R$1004,'請求台帳'!$C$5:$C$1004,$A54,'請求台帳'!$U$5:$U$1004,'設定'!$B$21))</f>
        <v/>
      </c>
      <c r="L54" s="28">
        <f>IF($A54="","",SUMIFS('請求台帳'!$R$5:$R$1004,'請求台帳'!$C$5:$C$1004,$A54,'請求台帳'!$U$5:$U$1004,'設定'!$B$22))</f>
        <v/>
      </c>
      <c r="M54" s="28">
        <f>IF($A54="","",SUMIFS('請求台帳'!$R$5:$R$1004,'請求台帳'!$C$5:$C$1004,$A54,'請求台帳'!$R$5:$R$1004,"&lt;0"))</f>
        <v/>
      </c>
      <c r="N54" s="28">
        <f>IF($A54="","",SUMIFS('入金消込'!$G$5:$G$1004,'入金消込'!$P$5:$P$1004,$A54,'入金消込'!$R$5:$R$1004,1)+SUMIFS('入金消込'!$H$5:$H$1004,'入金消込'!$P$5:$P$1004,$A54,'入金消込'!$R$5:$R$1004,1)+SUMIFS('入金消込'!$I$5:$I$1004,'入金消込'!$P$5:$P$1004,$A54,'入金消込'!$R$5:$R$1004,1))</f>
        <v/>
      </c>
      <c r="O54" s="30">
        <f>IF($A54="","",IF(ROUND($F54-(SUM($G54:$M54)-$N54),0)=0,"OK","差 "&amp;TEXT($F54-(SUM($G54:$M54)-$N54),"#,##0")))</f>
        <v/>
      </c>
    </row>
    <row r="55" ht="16" customHeight="1">
      <c r="A55" s="30">
        <f>IF('得意先'!$B$49="","",'得意先'!$B$49)</f>
        <v/>
      </c>
      <c r="B55" s="20">
        <f>IF($A55="","",'得意先'!$C$49&amp;"")</f>
        <v/>
      </c>
      <c r="C55" s="28">
        <f>IF($A55="","",SUMIF('請求台帳'!$C$5:$C$1004,$A55,'請求台帳'!$L$5:$L$1004))</f>
        <v/>
      </c>
      <c r="D55" s="28">
        <f>IF($A55="","",SUMIF('入金消込'!$P$5:$P$1004,$A55,'入金消込'!$G$5:$G$1004))</f>
        <v/>
      </c>
      <c r="E55" s="28">
        <f>IF($A55="","",SUMIF('入金消込'!$P$5:$P$1004,$A55,'入金消込'!$H$5:$H$1004)+SUMIF('入金消込'!$P$5:$P$1004,$A55,'入金消込'!$I$5:$I$1004))</f>
        <v/>
      </c>
      <c r="F55" s="67">
        <f>IF($A55="","",$C55-$D55-$E55)</f>
        <v/>
      </c>
      <c r="G55" s="28">
        <f>IF($A55="","",SUMIFS('請求台帳'!$R$5:$R$1004,'請求台帳'!$C$5:$C$1004,$A55,'請求台帳'!$U$5:$U$1004,'設定'!$B$17))</f>
        <v/>
      </c>
      <c r="H55" s="28">
        <f>IF($A55="","",SUMIFS('請求台帳'!$R$5:$R$1004,'請求台帳'!$C$5:$C$1004,$A55,'請求台帳'!$U$5:$U$1004,'設定'!$B$18))</f>
        <v/>
      </c>
      <c r="I55" s="28">
        <f>IF($A55="","",SUMIFS('請求台帳'!$R$5:$R$1004,'請求台帳'!$C$5:$C$1004,$A55,'請求台帳'!$U$5:$U$1004,'設定'!$B$19))</f>
        <v/>
      </c>
      <c r="J55" s="28">
        <f>IF($A55="","",SUMIFS('請求台帳'!$R$5:$R$1004,'請求台帳'!$C$5:$C$1004,$A55,'請求台帳'!$U$5:$U$1004,'設定'!$B$20))</f>
        <v/>
      </c>
      <c r="K55" s="28">
        <f>IF($A55="","",SUMIFS('請求台帳'!$R$5:$R$1004,'請求台帳'!$C$5:$C$1004,$A55,'請求台帳'!$U$5:$U$1004,'設定'!$B$21))</f>
        <v/>
      </c>
      <c r="L55" s="28">
        <f>IF($A55="","",SUMIFS('請求台帳'!$R$5:$R$1004,'請求台帳'!$C$5:$C$1004,$A55,'請求台帳'!$U$5:$U$1004,'設定'!$B$22))</f>
        <v/>
      </c>
      <c r="M55" s="28">
        <f>IF($A55="","",SUMIFS('請求台帳'!$R$5:$R$1004,'請求台帳'!$C$5:$C$1004,$A55,'請求台帳'!$R$5:$R$1004,"&lt;0"))</f>
        <v/>
      </c>
      <c r="N55" s="28">
        <f>IF($A55="","",SUMIFS('入金消込'!$G$5:$G$1004,'入金消込'!$P$5:$P$1004,$A55,'入金消込'!$R$5:$R$1004,1)+SUMIFS('入金消込'!$H$5:$H$1004,'入金消込'!$P$5:$P$1004,$A55,'入金消込'!$R$5:$R$1004,1)+SUMIFS('入金消込'!$I$5:$I$1004,'入金消込'!$P$5:$P$1004,$A55,'入金消込'!$R$5:$R$1004,1))</f>
        <v/>
      </c>
      <c r="O55" s="30">
        <f>IF($A55="","",IF(ROUND($F55-(SUM($G55:$M55)-$N55),0)=0,"OK","差 "&amp;TEXT($F55-(SUM($G55:$M55)-$N55),"#,##0")))</f>
        <v/>
      </c>
    </row>
    <row r="56" ht="16" customHeight="1">
      <c r="A56" s="30">
        <f>IF('得意先'!$B$50="","",'得意先'!$B$50)</f>
        <v/>
      </c>
      <c r="B56" s="20">
        <f>IF($A56="","",'得意先'!$C$50&amp;"")</f>
        <v/>
      </c>
      <c r="C56" s="28">
        <f>IF($A56="","",SUMIF('請求台帳'!$C$5:$C$1004,$A56,'請求台帳'!$L$5:$L$1004))</f>
        <v/>
      </c>
      <c r="D56" s="28">
        <f>IF($A56="","",SUMIF('入金消込'!$P$5:$P$1004,$A56,'入金消込'!$G$5:$G$1004))</f>
        <v/>
      </c>
      <c r="E56" s="28">
        <f>IF($A56="","",SUMIF('入金消込'!$P$5:$P$1004,$A56,'入金消込'!$H$5:$H$1004)+SUMIF('入金消込'!$P$5:$P$1004,$A56,'入金消込'!$I$5:$I$1004))</f>
        <v/>
      </c>
      <c r="F56" s="67">
        <f>IF($A56="","",$C56-$D56-$E56)</f>
        <v/>
      </c>
      <c r="G56" s="28">
        <f>IF($A56="","",SUMIFS('請求台帳'!$R$5:$R$1004,'請求台帳'!$C$5:$C$1004,$A56,'請求台帳'!$U$5:$U$1004,'設定'!$B$17))</f>
        <v/>
      </c>
      <c r="H56" s="28">
        <f>IF($A56="","",SUMIFS('請求台帳'!$R$5:$R$1004,'請求台帳'!$C$5:$C$1004,$A56,'請求台帳'!$U$5:$U$1004,'設定'!$B$18))</f>
        <v/>
      </c>
      <c r="I56" s="28">
        <f>IF($A56="","",SUMIFS('請求台帳'!$R$5:$R$1004,'請求台帳'!$C$5:$C$1004,$A56,'請求台帳'!$U$5:$U$1004,'設定'!$B$19))</f>
        <v/>
      </c>
      <c r="J56" s="28">
        <f>IF($A56="","",SUMIFS('請求台帳'!$R$5:$R$1004,'請求台帳'!$C$5:$C$1004,$A56,'請求台帳'!$U$5:$U$1004,'設定'!$B$20))</f>
        <v/>
      </c>
      <c r="K56" s="28">
        <f>IF($A56="","",SUMIFS('請求台帳'!$R$5:$R$1004,'請求台帳'!$C$5:$C$1004,$A56,'請求台帳'!$U$5:$U$1004,'設定'!$B$21))</f>
        <v/>
      </c>
      <c r="L56" s="28">
        <f>IF($A56="","",SUMIFS('請求台帳'!$R$5:$R$1004,'請求台帳'!$C$5:$C$1004,$A56,'請求台帳'!$U$5:$U$1004,'設定'!$B$22))</f>
        <v/>
      </c>
      <c r="M56" s="28">
        <f>IF($A56="","",SUMIFS('請求台帳'!$R$5:$R$1004,'請求台帳'!$C$5:$C$1004,$A56,'請求台帳'!$R$5:$R$1004,"&lt;0"))</f>
        <v/>
      </c>
      <c r="N56" s="28">
        <f>IF($A56="","",SUMIFS('入金消込'!$G$5:$G$1004,'入金消込'!$P$5:$P$1004,$A56,'入金消込'!$R$5:$R$1004,1)+SUMIFS('入金消込'!$H$5:$H$1004,'入金消込'!$P$5:$P$1004,$A56,'入金消込'!$R$5:$R$1004,1)+SUMIFS('入金消込'!$I$5:$I$1004,'入金消込'!$P$5:$P$1004,$A56,'入金消込'!$R$5:$R$1004,1))</f>
        <v/>
      </c>
      <c r="O56" s="30">
        <f>IF($A56="","",IF(ROUND($F56-(SUM($G56:$M56)-$N56),0)=0,"OK","差 "&amp;TEXT($F56-(SUM($G56:$M56)-$N56),"#,##0")))</f>
        <v/>
      </c>
    </row>
    <row r="57" ht="16" customHeight="1">
      <c r="A57" s="30">
        <f>IF('得意先'!$B$51="","",'得意先'!$B$51)</f>
        <v/>
      </c>
      <c r="B57" s="20">
        <f>IF($A57="","",'得意先'!$C$51&amp;"")</f>
        <v/>
      </c>
      <c r="C57" s="28">
        <f>IF($A57="","",SUMIF('請求台帳'!$C$5:$C$1004,$A57,'請求台帳'!$L$5:$L$1004))</f>
        <v/>
      </c>
      <c r="D57" s="28">
        <f>IF($A57="","",SUMIF('入金消込'!$P$5:$P$1004,$A57,'入金消込'!$G$5:$G$1004))</f>
        <v/>
      </c>
      <c r="E57" s="28">
        <f>IF($A57="","",SUMIF('入金消込'!$P$5:$P$1004,$A57,'入金消込'!$H$5:$H$1004)+SUMIF('入金消込'!$P$5:$P$1004,$A57,'入金消込'!$I$5:$I$1004))</f>
        <v/>
      </c>
      <c r="F57" s="67">
        <f>IF($A57="","",$C57-$D57-$E57)</f>
        <v/>
      </c>
      <c r="G57" s="28">
        <f>IF($A57="","",SUMIFS('請求台帳'!$R$5:$R$1004,'請求台帳'!$C$5:$C$1004,$A57,'請求台帳'!$U$5:$U$1004,'設定'!$B$17))</f>
        <v/>
      </c>
      <c r="H57" s="28">
        <f>IF($A57="","",SUMIFS('請求台帳'!$R$5:$R$1004,'請求台帳'!$C$5:$C$1004,$A57,'請求台帳'!$U$5:$U$1004,'設定'!$B$18))</f>
        <v/>
      </c>
      <c r="I57" s="28">
        <f>IF($A57="","",SUMIFS('請求台帳'!$R$5:$R$1004,'請求台帳'!$C$5:$C$1004,$A57,'請求台帳'!$U$5:$U$1004,'設定'!$B$19))</f>
        <v/>
      </c>
      <c r="J57" s="28">
        <f>IF($A57="","",SUMIFS('請求台帳'!$R$5:$R$1004,'請求台帳'!$C$5:$C$1004,$A57,'請求台帳'!$U$5:$U$1004,'設定'!$B$20))</f>
        <v/>
      </c>
      <c r="K57" s="28">
        <f>IF($A57="","",SUMIFS('請求台帳'!$R$5:$R$1004,'請求台帳'!$C$5:$C$1004,$A57,'請求台帳'!$U$5:$U$1004,'設定'!$B$21))</f>
        <v/>
      </c>
      <c r="L57" s="28">
        <f>IF($A57="","",SUMIFS('請求台帳'!$R$5:$R$1004,'請求台帳'!$C$5:$C$1004,$A57,'請求台帳'!$U$5:$U$1004,'設定'!$B$22))</f>
        <v/>
      </c>
      <c r="M57" s="28">
        <f>IF($A57="","",SUMIFS('請求台帳'!$R$5:$R$1004,'請求台帳'!$C$5:$C$1004,$A57,'請求台帳'!$R$5:$R$1004,"&lt;0"))</f>
        <v/>
      </c>
      <c r="N57" s="28">
        <f>IF($A57="","",SUMIFS('入金消込'!$G$5:$G$1004,'入金消込'!$P$5:$P$1004,$A57,'入金消込'!$R$5:$R$1004,1)+SUMIFS('入金消込'!$H$5:$H$1004,'入金消込'!$P$5:$P$1004,$A57,'入金消込'!$R$5:$R$1004,1)+SUMIFS('入金消込'!$I$5:$I$1004,'入金消込'!$P$5:$P$1004,$A57,'入金消込'!$R$5:$R$1004,1))</f>
        <v/>
      </c>
      <c r="O57" s="30">
        <f>IF($A57="","",IF(ROUND($F57-(SUM($G57:$M57)-$N57),0)=0,"OK","差 "&amp;TEXT($F57-(SUM($G57:$M57)-$N57),"#,##0")))</f>
        <v/>
      </c>
    </row>
    <row r="58" ht="16" customHeight="1">
      <c r="A58" s="30">
        <f>IF('得意先'!$B$52="","",'得意先'!$B$52)</f>
        <v/>
      </c>
      <c r="B58" s="20">
        <f>IF($A58="","",'得意先'!$C$52&amp;"")</f>
        <v/>
      </c>
      <c r="C58" s="28">
        <f>IF($A58="","",SUMIF('請求台帳'!$C$5:$C$1004,$A58,'請求台帳'!$L$5:$L$1004))</f>
        <v/>
      </c>
      <c r="D58" s="28">
        <f>IF($A58="","",SUMIF('入金消込'!$P$5:$P$1004,$A58,'入金消込'!$G$5:$G$1004))</f>
        <v/>
      </c>
      <c r="E58" s="28">
        <f>IF($A58="","",SUMIF('入金消込'!$P$5:$P$1004,$A58,'入金消込'!$H$5:$H$1004)+SUMIF('入金消込'!$P$5:$P$1004,$A58,'入金消込'!$I$5:$I$1004))</f>
        <v/>
      </c>
      <c r="F58" s="67">
        <f>IF($A58="","",$C58-$D58-$E58)</f>
        <v/>
      </c>
      <c r="G58" s="28">
        <f>IF($A58="","",SUMIFS('請求台帳'!$R$5:$R$1004,'請求台帳'!$C$5:$C$1004,$A58,'請求台帳'!$U$5:$U$1004,'設定'!$B$17))</f>
        <v/>
      </c>
      <c r="H58" s="28">
        <f>IF($A58="","",SUMIFS('請求台帳'!$R$5:$R$1004,'請求台帳'!$C$5:$C$1004,$A58,'請求台帳'!$U$5:$U$1004,'設定'!$B$18))</f>
        <v/>
      </c>
      <c r="I58" s="28">
        <f>IF($A58="","",SUMIFS('請求台帳'!$R$5:$R$1004,'請求台帳'!$C$5:$C$1004,$A58,'請求台帳'!$U$5:$U$1004,'設定'!$B$19))</f>
        <v/>
      </c>
      <c r="J58" s="28">
        <f>IF($A58="","",SUMIFS('請求台帳'!$R$5:$R$1004,'請求台帳'!$C$5:$C$1004,$A58,'請求台帳'!$U$5:$U$1004,'設定'!$B$20))</f>
        <v/>
      </c>
      <c r="K58" s="28">
        <f>IF($A58="","",SUMIFS('請求台帳'!$R$5:$R$1004,'請求台帳'!$C$5:$C$1004,$A58,'請求台帳'!$U$5:$U$1004,'設定'!$B$21))</f>
        <v/>
      </c>
      <c r="L58" s="28">
        <f>IF($A58="","",SUMIFS('請求台帳'!$R$5:$R$1004,'請求台帳'!$C$5:$C$1004,$A58,'請求台帳'!$U$5:$U$1004,'設定'!$B$22))</f>
        <v/>
      </c>
      <c r="M58" s="28">
        <f>IF($A58="","",SUMIFS('請求台帳'!$R$5:$R$1004,'請求台帳'!$C$5:$C$1004,$A58,'請求台帳'!$R$5:$R$1004,"&lt;0"))</f>
        <v/>
      </c>
      <c r="N58" s="28">
        <f>IF($A58="","",SUMIFS('入金消込'!$G$5:$G$1004,'入金消込'!$P$5:$P$1004,$A58,'入金消込'!$R$5:$R$1004,1)+SUMIFS('入金消込'!$H$5:$H$1004,'入金消込'!$P$5:$P$1004,$A58,'入金消込'!$R$5:$R$1004,1)+SUMIFS('入金消込'!$I$5:$I$1004,'入金消込'!$P$5:$P$1004,$A58,'入金消込'!$R$5:$R$1004,1))</f>
        <v/>
      </c>
      <c r="O58" s="30">
        <f>IF($A58="","",IF(ROUND($F58-(SUM($G58:$M58)-$N58),0)=0,"OK","差 "&amp;TEXT($F58-(SUM($G58:$M58)-$N58),"#,##0")))</f>
        <v/>
      </c>
    </row>
    <row r="59" ht="16" customHeight="1">
      <c r="A59" s="30">
        <f>IF('得意先'!$B$53="","",'得意先'!$B$53)</f>
        <v/>
      </c>
      <c r="B59" s="20">
        <f>IF($A59="","",'得意先'!$C$53&amp;"")</f>
        <v/>
      </c>
      <c r="C59" s="28">
        <f>IF($A59="","",SUMIF('請求台帳'!$C$5:$C$1004,$A59,'請求台帳'!$L$5:$L$1004))</f>
        <v/>
      </c>
      <c r="D59" s="28">
        <f>IF($A59="","",SUMIF('入金消込'!$P$5:$P$1004,$A59,'入金消込'!$G$5:$G$1004))</f>
        <v/>
      </c>
      <c r="E59" s="28">
        <f>IF($A59="","",SUMIF('入金消込'!$P$5:$P$1004,$A59,'入金消込'!$H$5:$H$1004)+SUMIF('入金消込'!$P$5:$P$1004,$A59,'入金消込'!$I$5:$I$1004))</f>
        <v/>
      </c>
      <c r="F59" s="67">
        <f>IF($A59="","",$C59-$D59-$E59)</f>
        <v/>
      </c>
      <c r="G59" s="28">
        <f>IF($A59="","",SUMIFS('請求台帳'!$R$5:$R$1004,'請求台帳'!$C$5:$C$1004,$A59,'請求台帳'!$U$5:$U$1004,'設定'!$B$17))</f>
        <v/>
      </c>
      <c r="H59" s="28">
        <f>IF($A59="","",SUMIFS('請求台帳'!$R$5:$R$1004,'請求台帳'!$C$5:$C$1004,$A59,'請求台帳'!$U$5:$U$1004,'設定'!$B$18))</f>
        <v/>
      </c>
      <c r="I59" s="28">
        <f>IF($A59="","",SUMIFS('請求台帳'!$R$5:$R$1004,'請求台帳'!$C$5:$C$1004,$A59,'請求台帳'!$U$5:$U$1004,'設定'!$B$19))</f>
        <v/>
      </c>
      <c r="J59" s="28">
        <f>IF($A59="","",SUMIFS('請求台帳'!$R$5:$R$1004,'請求台帳'!$C$5:$C$1004,$A59,'請求台帳'!$U$5:$U$1004,'設定'!$B$20))</f>
        <v/>
      </c>
      <c r="K59" s="28">
        <f>IF($A59="","",SUMIFS('請求台帳'!$R$5:$R$1004,'請求台帳'!$C$5:$C$1004,$A59,'請求台帳'!$U$5:$U$1004,'設定'!$B$21))</f>
        <v/>
      </c>
      <c r="L59" s="28">
        <f>IF($A59="","",SUMIFS('請求台帳'!$R$5:$R$1004,'請求台帳'!$C$5:$C$1004,$A59,'請求台帳'!$U$5:$U$1004,'設定'!$B$22))</f>
        <v/>
      </c>
      <c r="M59" s="28">
        <f>IF($A59="","",SUMIFS('請求台帳'!$R$5:$R$1004,'請求台帳'!$C$5:$C$1004,$A59,'請求台帳'!$R$5:$R$1004,"&lt;0"))</f>
        <v/>
      </c>
      <c r="N59" s="28">
        <f>IF($A59="","",SUMIFS('入金消込'!$G$5:$G$1004,'入金消込'!$P$5:$P$1004,$A59,'入金消込'!$R$5:$R$1004,1)+SUMIFS('入金消込'!$H$5:$H$1004,'入金消込'!$P$5:$P$1004,$A59,'入金消込'!$R$5:$R$1004,1)+SUMIFS('入金消込'!$I$5:$I$1004,'入金消込'!$P$5:$P$1004,$A59,'入金消込'!$R$5:$R$1004,1))</f>
        <v/>
      </c>
      <c r="O59" s="30">
        <f>IF($A59="","",IF(ROUND($F59-(SUM($G59:$M59)-$N59),0)=0,"OK","差 "&amp;TEXT($F59-(SUM($G59:$M59)-$N59),"#,##0")))</f>
        <v/>
      </c>
    </row>
    <row r="60" ht="16" customHeight="1">
      <c r="A60" s="30">
        <f>IF('得意先'!$B$54="","",'得意先'!$B$54)</f>
        <v/>
      </c>
      <c r="B60" s="20">
        <f>IF($A60="","",'得意先'!$C$54&amp;"")</f>
        <v/>
      </c>
      <c r="C60" s="28">
        <f>IF($A60="","",SUMIF('請求台帳'!$C$5:$C$1004,$A60,'請求台帳'!$L$5:$L$1004))</f>
        <v/>
      </c>
      <c r="D60" s="28">
        <f>IF($A60="","",SUMIF('入金消込'!$P$5:$P$1004,$A60,'入金消込'!$G$5:$G$1004))</f>
        <v/>
      </c>
      <c r="E60" s="28">
        <f>IF($A60="","",SUMIF('入金消込'!$P$5:$P$1004,$A60,'入金消込'!$H$5:$H$1004)+SUMIF('入金消込'!$P$5:$P$1004,$A60,'入金消込'!$I$5:$I$1004))</f>
        <v/>
      </c>
      <c r="F60" s="67">
        <f>IF($A60="","",$C60-$D60-$E60)</f>
        <v/>
      </c>
      <c r="G60" s="28">
        <f>IF($A60="","",SUMIFS('請求台帳'!$R$5:$R$1004,'請求台帳'!$C$5:$C$1004,$A60,'請求台帳'!$U$5:$U$1004,'設定'!$B$17))</f>
        <v/>
      </c>
      <c r="H60" s="28">
        <f>IF($A60="","",SUMIFS('請求台帳'!$R$5:$R$1004,'請求台帳'!$C$5:$C$1004,$A60,'請求台帳'!$U$5:$U$1004,'設定'!$B$18))</f>
        <v/>
      </c>
      <c r="I60" s="28">
        <f>IF($A60="","",SUMIFS('請求台帳'!$R$5:$R$1004,'請求台帳'!$C$5:$C$1004,$A60,'請求台帳'!$U$5:$U$1004,'設定'!$B$19))</f>
        <v/>
      </c>
      <c r="J60" s="28">
        <f>IF($A60="","",SUMIFS('請求台帳'!$R$5:$R$1004,'請求台帳'!$C$5:$C$1004,$A60,'請求台帳'!$U$5:$U$1004,'設定'!$B$20))</f>
        <v/>
      </c>
      <c r="K60" s="28">
        <f>IF($A60="","",SUMIFS('請求台帳'!$R$5:$R$1004,'請求台帳'!$C$5:$C$1004,$A60,'請求台帳'!$U$5:$U$1004,'設定'!$B$21))</f>
        <v/>
      </c>
      <c r="L60" s="28">
        <f>IF($A60="","",SUMIFS('請求台帳'!$R$5:$R$1004,'請求台帳'!$C$5:$C$1004,$A60,'請求台帳'!$U$5:$U$1004,'設定'!$B$22))</f>
        <v/>
      </c>
      <c r="M60" s="28">
        <f>IF($A60="","",SUMIFS('請求台帳'!$R$5:$R$1004,'請求台帳'!$C$5:$C$1004,$A60,'請求台帳'!$R$5:$R$1004,"&lt;0"))</f>
        <v/>
      </c>
      <c r="N60" s="28">
        <f>IF($A60="","",SUMIFS('入金消込'!$G$5:$G$1004,'入金消込'!$P$5:$P$1004,$A60,'入金消込'!$R$5:$R$1004,1)+SUMIFS('入金消込'!$H$5:$H$1004,'入金消込'!$P$5:$P$1004,$A60,'入金消込'!$R$5:$R$1004,1)+SUMIFS('入金消込'!$I$5:$I$1004,'入金消込'!$P$5:$P$1004,$A60,'入金消込'!$R$5:$R$1004,1))</f>
        <v/>
      </c>
      <c r="O60" s="30">
        <f>IF($A60="","",IF(ROUND($F60-(SUM($G60:$M60)-$N60),0)=0,"OK","差 "&amp;TEXT($F60-(SUM($G60:$M60)-$N60),"#,##0")))</f>
        <v/>
      </c>
    </row>
    <row r="61" ht="16" customHeight="1">
      <c r="A61" s="30">
        <f>IF('得意先'!$B$55="","",'得意先'!$B$55)</f>
        <v/>
      </c>
      <c r="B61" s="20">
        <f>IF($A61="","",'得意先'!$C$55&amp;"")</f>
        <v/>
      </c>
      <c r="C61" s="28">
        <f>IF($A61="","",SUMIF('請求台帳'!$C$5:$C$1004,$A61,'請求台帳'!$L$5:$L$1004))</f>
        <v/>
      </c>
      <c r="D61" s="28">
        <f>IF($A61="","",SUMIF('入金消込'!$P$5:$P$1004,$A61,'入金消込'!$G$5:$G$1004))</f>
        <v/>
      </c>
      <c r="E61" s="28">
        <f>IF($A61="","",SUMIF('入金消込'!$P$5:$P$1004,$A61,'入金消込'!$H$5:$H$1004)+SUMIF('入金消込'!$P$5:$P$1004,$A61,'入金消込'!$I$5:$I$1004))</f>
        <v/>
      </c>
      <c r="F61" s="67">
        <f>IF($A61="","",$C61-$D61-$E61)</f>
        <v/>
      </c>
      <c r="G61" s="28">
        <f>IF($A61="","",SUMIFS('請求台帳'!$R$5:$R$1004,'請求台帳'!$C$5:$C$1004,$A61,'請求台帳'!$U$5:$U$1004,'設定'!$B$17))</f>
        <v/>
      </c>
      <c r="H61" s="28">
        <f>IF($A61="","",SUMIFS('請求台帳'!$R$5:$R$1004,'請求台帳'!$C$5:$C$1004,$A61,'請求台帳'!$U$5:$U$1004,'設定'!$B$18))</f>
        <v/>
      </c>
      <c r="I61" s="28">
        <f>IF($A61="","",SUMIFS('請求台帳'!$R$5:$R$1004,'請求台帳'!$C$5:$C$1004,$A61,'請求台帳'!$U$5:$U$1004,'設定'!$B$19))</f>
        <v/>
      </c>
      <c r="J61" s="28">
        <f>IF($A61="","",SUMIFS('請求台帳'!$R$5:$R$1004,'請求台帳'!$C$5:$C$1004,$A61,'請求台帳'!$U$5:$U$1004,'設定'!$B$20))</f>
        <v/>
      </c>
      <c r="K61" s="28">
        <f>IF($A61="","",SUMIFS('請求台帳'!$R$5:$R$1004,'請求台帳'!$C$5:$C$1004,$A61,'請求台帳'!$U$5:$U$1004,'設定'!$B$21))</f>
        <v/>
      </c>
      <c r="L61" s="28">
        <f>IF($A61="","",SUMIFS('請求台帳'!$R$5:$R$1004,'請求台帳'!$C$5:$C$1004,$A61,'請求台帳'!$U$5:$U$1004,'設定'!$B$22))</f>
        <v/>
      </c>
      <c r="M61" s="28">
        <f>IF($A61="","",SUMIFS('請求台帳'!$R$5:$R$1004,'請求台帳'!$C$5:$C$1004,$A61,'請求台帳'!$R$5:$R$1004,"&lt;0"))</f>
        <v/>
      </c>
      <c r="N61" s="28">
        <f>IF($A61="","",SUMIFS('入金消込'!$G$5:$G$1004,'入金消込'!$P$5:$P$1004,$A61,'入金消込'!$R$5:$R$1004,1)+SUMIFS('入金消込'!$H$5:$H$1004,'入金消込'!$P$5:$P$1004,$A61,'入金消込'!$R$5:$R$1004,1)+SUMIFS('入金消込'!$I$5:$I$1004,'入金消込'!$P$5:$P$1004,$A61,'入金消込'!$R$5:$R$1004,1))</f>
        <v/>
      </c>
      <c r="O61" s="30">
        <f>IF($A61="","",IF(ROUND($F61-(SUM($G61:$M61)-$N61),0)=0,"OK","差 "&amp;TEXT($F61-(SUM($G61:$M61)-$N61),"#,##0")))</f>
        <v/>
      </c>
    </row>
    <row r="62" ht="16" customHeight="1">
      <c r="A62" s="30">
        <f>IF('得意先'!$B$56="","",'得意先'!$B$56)</f>
        <v/>
      </c>
      <c r="B62" s="20">
        <f>IF($A62="","",'得意先'!$C$56&amp;"")</f>
        <v/>
      </c>
      <c r="C62" s="28">
        <f>IF($A62="","",SUMIF('請求台帳'!$C$5:$C$1004,$A62,'請求台帳'!$L$5:$L$1004))</f>
        <v/>
      </c>
      <c r="D62" s="28">
        <f>IF($A62="","",SUMIF('入金消込'!$P$5:$P$1004,$A62,'入金消込'!$G$5:$G$1004))</f>
        <v/>
      </c>
      <c r="E62" s="28">
        <f>IF($A62="","",SUMIF('入金消込'!$P$5:$P$1004,$A62,'入金消込'!$H$5:$H$1004)+SUMIF('入金消込'!$P$5:$P$1004,$A62,'入金消込'!$I$5:$I$1004))</f>
        <v/>
      </c>
      <c r="F62" s="67">
        <f>IF($A62="","",$C62-$D62-$E62)</f>
        <v/>
      </c>
      <c r="G62" s="28">
        <f>IF($A62="","",SUMIFS('請求台帳'!$R$5:$R$1004,'請求台帳'!$C$5:$C$1004,$A62,'請求台帳'!$U$5:$U$1004,'設定'!$B$17))</f>
        <v/>
      </c>
      <c r="H62" s="28">
        <f>IF($A62="","",SUMIFS('請求台帳'!$R$5:$R$1004,'請求台帳'!$C$5:$C$1004,$A62,'請求台帳'!$U$5:$U$1004,'設定'!$B$18))</f>
        <v/>
      </c>
      <c r="I62" s="28">
        <f>IF($A62="","",SUMIFS('請求台帳'!$R$5:$R$1004,'請求台帳'!$C$5:$C$1004,$A62,'請求台帳'!$U$5:$U$1004,'設定'!$B$19))</f>
        <v/>
      </c>
      <c r="J62" s="28">
        <f>IF($A62="","",SUMIFS('請求台帳'!$R$5:$R$1004,'請求台帳'!$C$5:$C$1004,$A62,'請求台帳'!$U$5:$U$1004,'設定'!$B$20))</f>
        <v/>
      </c>
      <c r="K62" s="28">
        <f>IF($A62="","",SUMIFS('請求台帳'!$R$5:$R$1004,'請求台帳'!$C$5:$C$1004,$A62,'請求台帳'!$U$5:$U$1004,'設定'!$B$21))</f>
        <v/>
      </c>
      <c r="L62" s="28">
        <f>IF($A62="","",SUMIFS('請求台帳'!$R$5:$R$1004,'請求台帳'!$C$5:$C$1004,$A62,'請求台帳'!$U$5:$U$1004,'設定'!$B$22))</f>
        <v/>
      </c>
      <c r="M62" s="28">
        <f>IF($A62="","",SUMIFS('請求台帳'!$R$5:$R$1004,'請求台帳'!$C$5:$C$1004,$A62,'請求台帳'!$R$5:$R$1004,"&lt;0"))</f>
        <v/>
      </c>
      <c r="N62" s="28">
        <f>IF($A62="","",SUMIFS('入金消込'!$G$5:$G$1004,'入金消込'!$P$5:$P$1004,$A62,'入金消込'!$R$5:$R$1004,1)+SUMIFS('入金消込'!$H$5:$H$1004,'入金消込'!$P$5:$P$1004,$A62,'入金消込'!$R$5:$R$1004,1)+SUMIFS('入金消込'!$I$5:$I$1004,'入金消込'!$P$5:$P$1004,$A62,'入金消込'!$R$5:$R$1004,1))</f>
        <v/>
      </c>
      <c r="O62" s="30">
        <f>IF($A62="","",IF(ROUND($F62-(SUM($G62:$M62)-$N62),0)=0,"OK","差 "&amp;TEXT($F62-(SUM($G62:$M62)-$N62),"#,##0")))</f>
        <v/>
      </c>
    </row>
    <row r="63" ht="16" customHeight="1">
      <c r="A63" s="30">
        <f>IF('得意先'!$B$57="","",'得意先'!$B$57)</f>
        <v/>
      </c>
      <c r="B63" s="20">
        <f>IF($A63="","",'得意先'!$C$57&amp;"")</f>
        <v/>
      </c>
      <c r="C63" s="28">
        <f>IF($A63="","",SUMIF('請求台帳'!$C$5:$C$1004,$A63,'請求台帳'!$L$5:$L$1004))</f>
        <v/>
      </c>
      <c r="D63" s="28">
        <f>IF($A63="","",SUMIF('入金消込'!$P$5:$P$1004,$A63,'入金消込'!$G$5:$G$1004))</f>
        <v/>
      </c>
      <c r="E63" s="28">
        <f>IF($A63="","",SUMIF('入金消込'!$P$5:$P$1004,$A63,'入金消込'!$H$5:$H$1004)+SUMIF('入金消込'!$P$5:$P$1004,$A63,'入金消込'!$I$5:$I$1004))</f>
        <v/>
      </c>
      <c r="F63" s="67">
        <f>IF($A63="","",$C63-$D63-$E63)</f>
        <v/>
      </c>
      <c r="G63" s="28">
        <f>IF($A63="","",SUMIFS('請求台帳'!$R$5:$R$1004,'請求台帳'!$C$5:$C$1004,$A63,'請求台帳'!$U$5:$U$1004,'設定'!$B$17))</f>
        <v/>
      </c>
      <c r="H63" s="28">
        <f>IF($A63="","",SUMIFS('請求台帳'!$R$5:$R$1004,'請求台帳'!$C$5:$C$1004,$A63,'請求台帳'!$U$5:$U$1004,'設定'!$B$18))</f>
        <v/>
      </c>
      <c r="I63" s="28">
        <f>IF($A63="","",SUMIFS('請求台帳'!$R$5:$R$1004,'請求台帳'!$C$5:$C$1004,$A63,'請求台帳'!$U$5:$U$1004,'設定'!$B$19))</f>
        <v/>
      </c>
      <c r="J63" s="28">
        <f>IF($A63="","",SUMIFS('請求台帳'!$R$5:$R$1004,'請求台帳'!$C$5:$C$1004,$A63,'請求台帳'!$U$5:$U$1004,'設定'!$B$20))</f>
        <v/>
      </c>
      <c r="K63" s="28">
        <f>IF($A63="","",SUMIFS('請求台帳'!$R$5:$R$1004,'請求台帳'!$C$5:$C$1004,$A63,'請求台帳'!$U$5:$U$1004,'設定'!$B$21))</f>
        <v/>
      </c>
      <c r="L63" s="28">
        <f>IF($A63="","",SUMIFS('請求台帳'!$R$5:$R$1004,'請求台帳'!$C$5:$C$1004,$A63,'請求台帳'!$U$5:$U$1004,'設定'!$B$22))</f>
        <v/>
      </c>
      <c r="M63" s="28">
        <f>IF($A63="","",SUMIFS('請求台帳'!$R$5:$R$1004,'請求台帳'!$C$5:$C$1004,$A63,'請求台帳'!$R$5:$R$1004,"&lt;0"))</f>
        <v/>
      </c>
      <c r="N63" s="28">
        <f>IF($A63="","",SUMIFS('入金消込'!$G$5:$G$1004,'入金消込'!$P$5:$P$1004,$A63,'入金消込'!$R$5:$R$1004,1)+SUMIFS('入金消込'!$H$5:$H$1004,'入金消込'!$P$5:$P$1004,$A63,'入金消込'!$R$5:$R$1004,1)+SUMIFS('入金消込'!$I$5:$I$1004,'入金消込'!$P$5:$P$1004,$A63,'入金消込'!$R$5:$R$1004,1))</f>
        <v/>
      </c>
      <c r="O63" s="30">
        <f>IF($A63="","",IF(ROUND($F63-(SUM($G63:$M63)-$N63),0)=0,"OK","差 "&amp;TEXT($F63-(SUM($G63:$M63)-$N63),"#,##0")))</f>
        <v/>
      </c>
    </row>
    <row r="64" ht="16" customHeight="1">
      <c r="A64" s="30">
        <f>IF('得意先'!$B$58="","",'得意先'!$B$58)</f>
        <v/>
      </c>
      <c r="B64" s="20">
        <f>IF($A64="","",'得意先'!$C$58&amp;"")</f>
        <v/>
      </c>
      <c r="C64" s="28">
        <f>IF($A64="","",SUMIF('請求台帳'!$C$5:$C$1004,$A64,'請求台帳'!$L$5:$L$1004))</f>
        <v/>
      </c>
      <c r="D64" s="28">
        <f>IF($A64="","",SUMIF('入金消込'!$P$5:$P$1004,$A64,'入金消込'!$G$5:$G$1004))</f>
        <v/>
      </c>
      <c r="E64" s="28">
        <f>IF($A64="","",SUMIF('入金消込'!$P$5:$P$1004,$A64,'入金消込'!$H$5:$H$1004)+SUMIF('入金消込'!$P$5:$P$1004,$A64,'入金消込'!$I$5:$I$1004))</f>
        <v/>
      </c>
      <c r="F64" s="67">
        <f>IF($A64="","",$C64-$D64-$E64)</f>
        <v/>
      </c>
      <c r="G64" s="28">
        <f>IF($A64="","",SUMIFS('請求台帳'!$R$5:$R$1004,'請求台帳'!$C$5:$C$1004,$A64,'請求台帳'!$U$5:$U$1004,'設定'!$B$17))</f>
        <v/>
      </c>
      <c r="H64" s="28">
        <f>IF($A64="","",SUMIFS('請求台帳'!$R$5:$R$1004,'請求台帳'!$C$5:$C$1004,$A64,'請求台帳'!$U$5:$U$1004,'設定'!$B$18))</f>
        <v/>
      </c>
      <c r="I64" s="28">
        <f>IF($A64="","",SUMIFS('請求台帳'!$R$5:$R$1004,'請求台帳'!$C$5:$C$1004,$A64,'請求台帳'!$U$5:$U$1004,'設定'!$B$19))</f>
        <v/>
      </c>
      <c r="J64" s="28">
        <f>IF($A64="","",SUMIFS('請求台帳'!$R$5:$R$1004,'請求台帳'!$C$5:$C$1004,$A64,'請求台帳'!$U$5:$U$1004,'設定'!$B$20))</f>
        <v/>
      </c>
      <c r="K64" s="28">
        <f>IF($A64="","",SUMIFS('請求台帳'!$R$5:$R$1004,'請求台帳'!$C$5:$C$1004,$A64,'請求台帳'!$U$5:$U$1004,'設定'!$B$21))</f>
        <v/>
      </c>
      <c r="L64" s="28">
        <f>IF($A64="","",SUMIFS('請求台帳'!$R$5:$R$1004,'請求台帳'!$C$5:$C$1004,$A64,'請求台帳'!$U$5:$U$1004,'設定'!$B$22))</f>
        <v/>
      </c>
      <c r="M64" s="28">
        <f>IF($A64="","",SUMIFS('請求台帳'!$R$5:$R$1004,'請求台帳'!$C$5:$C$1004,$A64,'請求台帳'!$R$5:$R$1004,"&lt;0"))</f>
        <v/>
      </c>
      <c r="N64" s="28">
        <f>IF($A64="","",SUMIFS('入金消込'!$G$5:$G$1004,'入金消込'!$P$5:$P$1004,$A64,'入金消込'!$R$5:$R$1004,1)+SUMIFS('入金消込'!$H$5:$H$1004,'入金消込'!$P$5:$P$1004,$A64,'入金消込'!$R$5:$R$1004,1)+SUMIFS('入金消込'!$I$5:$I$1004,'入金消込'!$P$5:$P$1004,$A64,'入金消込'!$R$5:$R$1004,1))</f>
        <v/>
      </c>
      <c r="O64" s="30">
        <f>IF($A64="","",IF(ROUND($F64-(SUM($G64:$M64)-$N64),0)=0,"OK","差 "&amp;TEXT($F64-(SUM($G64:$M64)-$N64),"#,##0")))</f>
        <v/>
      </c>
    </row>
    <row r="65" ht="16" customHeight="1">
      <c r="A65" s="30">
        <f>IF('得意先'!$B$59="","",'得意先'!$B$59)</f>
        <v/>
      </c>
      <c r="B65" s="20">
        <f>IF($A65="","",'得意先'!$C$59&amp;"")</f>
        <v/>
      </c>
      <c r="C65" s="28">
        <f>IF($A65="","",SUMIF('請求台帳'!$C$5:$C$1004,$A65,'請求台帳'!$L$5:$L$1004))</f>
        <v/>
      </c>
      <c r="D65" s="28">
        <f>IF($A65="","",SUMIF('入金消込'!$P$5:$P$1004,$A65,'入金消込'!$G$5:$G$1004))</f>
        <v/>
      </c>
      <c r="E65" s="28">
        <f>IF($A65="","",SUMIF('入金消込'!$P$5:$P$1004,$A65,'入金消込'!$H$5:$H$1004)+SUMIF('入金消込'!$P$5:$P$1004,$A65,'入金消込'!$I$5:$I$1004))</f>
        <v/>
      </c>
      <c r="F65" s="67">
        <f>IF($A65="","",$C65-$D65-$E65)</f>
        <v/>
      </c>
      <c r="G65" s="28">
        <f>IF($A65="","",SUMIFS('請求台帳'!$R$5:$R$1004,'請求台帳'!$C$5:$C$1004,$A65,'請求台帳'!$U$5:$U$1004,'設定'!$B$17))</f>
        <v/>
      </c>
      <c r="H65" s="28">
        <f>IF($A65="","",SUMIFS('請求台帳'!$R$5:$R$1004,'請求台帳'!$C$5:$C$1004,$A65,'請求台帳'!$U$5:$U$1004,'設定'!$B$18))</f>
        <v/>
      </c>
      <c r="I65" s="28">
        <f>IF($A65="","",SUMIFS('請求台帳'!$R$5:$R$1004,'請求台帳'!$C$5:$C$1004,$A65,'請求台帳'!$U$5:$U$1004,'設定'!$B$19))</f>
        <v/>
      </c>
      <c r="J65" s="28">
        <f>IF($A65="","",SUMIFS('請求台帳'!$R$5:$R$1004,'請求台帳'!$C$5:$C$1004,$A65,'請求台帳'!$U$5:$U$1004,'設定'!$B$20))</f>
        <v/>
      </c>
      <c r="K65" s="28">
        <f>IF($A65="","",SUMIFS('請求台帳'!$R$5:$R$1004,'請求台帳'!$C$5:$C$1004,$A65,'請求台帳'!$U$5:$U$1004,'設定'!$B$21))</f>
        <v/>
      </c>
      <c r="L65" s="28">
        <f>IF($A65="","",SUMIFS('請求台帳'!$R$5:$R$1004,'請求台帳'!$C$5:$C$1004,$A65,'請求台帳'!$U$5:$U$1004,'設定'!$B$22))</f>
        <v/>
      </c>
      <c r="M65" s="28">
        <f>IF($A65="","",SUMIFS('請求台帳'!$R$5:$R$1004,'請求台帳'!$C$5:$C$1004,$A65,'請求台帳'!$R$5:$R$1004,"&lt;0"))</f>
        <v/>
      </c>
      <c r="N65" s="28">
        <f>IF($A65="","",SUMIFS('入金消込'!$G$5:$G$1004,'入金消込'!$P$5:$P$1004,$A65,'入金消込'!$R$5:$R$1004,1)+SUMIFS('入金消込'!$H$5:$H$1004,'入金消込'!$P$5:$P$1004,$A65,'入金消込'!$R$5:$R$1004,1)+SUMIFS('入金消込'!$I$5:$I$1004,'入金消込'!$P$5:$P$1004,$A65,'入金消込'!$R$5:$R$1004,1))</f>
        <v/>
      </c>
      <c r="O65" s="30">
        <f>IF($A65="","",IF(ROUND($F65-(SUM($G65:$M65)-$N65),0)=0,"OK","差 "&amp;TEXT($F65-(SUM($G65:$M65)-$N65),"#,##0")))</f>
        <v/>
      </c>
    </row>
    <row r="66" ht="16" customHeight="1">
      <c r="A66" s="30">
        <f>IF('得意先'!$B$60="","",'得意先'!$B$60)</f>
        <v/>
      </c>
      <c r="B66" s="20">
        <f>IF($A66="","",'得意先'!$C$60&amp;"")</f>
        <v/>
      </c>
      <c r="C66" s="28">
        <f>IF($A66="","",SUMIF('請求台帳'!$C$5:$C$1004,$A66,'請求台帳'!$L$5:$L$1004))</f>
        <v/>
      </c>
      <c r="D66" s="28">
        <f>IF($A66="","",SUMIF('入金消込'!$P$5:$P$1004,$A66,'入金消込'!$G$5:$G$1004))</f>
        <v/>
      </c>
      <c r="E66" s="28">
        <f>IF($A66="","",SUMIF('入金消込'!$P$5:$P$1004,$A66,'入金消込'!$H$5:$H$1004)+SUMIF('入金消込'!$P$5:$P$1004,$A66,'入金消込'!$I$5:$I$1004))</f>
        <v/>
      </c>
      <c r="F66" s="67">
        <f>IF($A66="","",$C66-$D66-$E66)</f>
        <v/>
      </c>
      <c r="G66" s="28">
        <f>IF($A66="","",SUMIFS('請求台帳'!$R$5:$R$1004,'請求台帳'!$C$5:$C$1004,$A66,'請求台帳'!$U$5:$U$1004,'設定'!$B$17))</f>
        <v/>
      </c>
      <c r="H66" s="28">
        <f>IF($A66="","",SUMIFS('請求台帳'!$R$5:$R$1004,'請求台帳'!$C$5:$C$1004,$A66,'請求台帳'!$U$5:$U$1004,'設定'!$B$18))</f>
        <v/>
      </c>
      <c r="I66" s="28">
        <f>IF($A66="","",SUMIFS('請求台帳'!$R$5:$R$1004,'請求台帳'!$C$5:$C$1004,$A66,'請求台帳'!$U$5:$U$1004,'設定'!$B$19))</f>
        <v/>
      </c>
      <c r="J66" s="28">
        <f>IF($A66="","",SUMIFS('請求台帳'!$R$5:$R$1004,'請求台帳'!$C$5:$C$1004,$A66,'請求台帳'!$U$5:$U$1004,'設定'!$B$20))</f>
        <v/>
      </c>
      <c r="K66" s="28">
        <f>IF($A66="","",SUMIFS('請求台帳'!$R$5:$R$1004,'請求台帳'!$C$5:$C$1004,$A66,'請求台帳'!$U$5:$U$1004,'設定'!$B$21))</f>
        <v/>
      </c>
      <c r="L66" s="28">
        <f>IF($A66="","",SUMIFS('請求台帳'!$R$5:$R$1004,'請求台帳'!$C$5:$C$1004,$A66,'請求台帳'!$U$5:$U$1004,'設定'!$B$22))</f>
        <v/>
      </c>
      <c r="M66" s="28">
        <f>IF($A66="","",SUMIFS('請求台帳'!$R$5:$R$1004,'請求台帳'!$C$5:$C$1004,$A66,'請求台帳'!$R$5:$R$1004,"&lt;0"))</f>
        <v/>
      </c>
      <c r="N66" s="28">
        <f>IF($A66="","",SUMIFS('入金消込'!$G$5:$G$1004,'入金消込'!$P$5:$P$1004,$A66,'入金消込'!$R$5:$R$1004,1)+SUMIFS('入金消込'!$H$5:$H$1004,'入金消込'!$P$5:$P$1004,$A66,'入金消込'!$R$5:$R$1004,1)+SUMIFS('入金消込'!$I$5:$I$1004,'入金消込'!$P$5:$P$1004,$A66,'入金消込'!$R$5:$R$1004,1))</f>
        <v/>
      </c>
      <c r="O66" s="30">
        <f>IF($A66="","",IF(ROUND($F66-(SUM($G66:$M66)-$N66),0)=0,"OK","差 "&amp;TEXT($F66-(SUM($G66:$M66)-$N66),"#,##0")))</f>
        <v/>
      </c>
    </row>
    <row r="67" ht="16" customHeight="1">
      <c r="A67" s="30">
        <f>IF('得意先'!$B$61="","",'得意先'!$B$61)</f>
        <v/>
      </c>
      <c r="B67" s="20">
        <f>IF($A67="","",'得意先'!$C$61&amp;"")</f>
        <v/>
      </c>
      <c r="C67" s="28">
        <f>IF($A67="","",SUMIF('請求台帳'!$C$5:$C$1004,$A67,'請求台帳'!$L$5:$L$1004))</f>
        <v/>
      </c>
      <c r="D67" s="28">
        <f>IF($A67="","",SUMIF('入金消込'!$P$5:$P$1004,$A67,'入金消込'!$G$5:$G$1004))</f>
        <v/>
      </c>
      <c r="E67" s="28">
        <f>IF($A67="","",SUMIF('入金消込'!$P$5:$P$1004,$A67,'入金消込'!$H$5:$H$1004)+SUMIF('入金消込'!$P$5:$P$1004,$A67,'入金消込'!$I$5:$I$1004))</f>
        <v/>
      </c>
      <c r="F67" s="67">
        <f>IF($A67="","",$C67-$D67-$E67)</f>
        <v/>
      </c>
      <c r="G67" s="28">
        <f>IF($A67="","",SUMIFS('請求台帳'!$R$5:$R$1004,'請求台帳'!$C$5:$C$1004,$A67,'請求台帳'!$U$5:$U$1004,'設定'!$B$17))</f>
        <v/>
      </c>
      <c r="H67" s="28">
        <f>IF($A67="","",SUMIFS('請求台帳'!$R$5:$R$1004,'請求台帳'!$C$5:$C$1004,$A67,'請求台帳'!$U$5:$U$1004,'設定'!$B$18))</f>
        <v/>
      </c>
      <c r="I67" s="28">
        <f>IF($A67="","",SUMIFS('請求台帳'!$R$5:$R$1004,'請求台帳'!$C$5:$C$1004,$A67,'請求台帳'!$U$5:$U$1004,'設定'!$B$19))</f>
        <v/>
      </c>
      <c r="J67" s="28">
        <f>IF($A67="","",SUMIFS('請求台帳'!$R$5:$R$1004,'請求台帳'!$C$5:$C$1004,$A67,'請求台帳'!$U$5:$U$1004,'設定'!$B$20))</f>
        <v/>
      </c>
      <c r="K67" s="28">
        <f>IF($A67="","",SUMIFS('請求台帳'!$R$5:$R$1004,'請求台帳'!$C$5:$C$1004,$A67,'請求台帳'!$U$5:$U$1004,'設定'!$B$21))</f>
        <v/>
      </c>
      <c r="L67" s="28">
        <f>IF($A67="","",SUMIFS('請求台帳'!$R$5:$R$1004,'請求台帳'!$C$5:$C$1004,$A67,'請求台帳'!$U$5:$U$1004,'設定'!$B$22))</f>
        <v/>
      </c>
      <c r="M67" s="28">
        <f>IF($A67="","",SUMIFS('請求台帳'!$R$5:$R$1004,'請求台帳'!$C$5:$C$1004,$A67,'請求台帳'!$R$5:$R$1004,"&lt;0"))</f>
        <v/>
      </c>
      <c r="N67" s="28">
        <f>IF($A67="","",SUMIFS('入金消込'!$G$5:$G$1004,'入金消込'!$P$5:$P$1004,$A67,'入金消込'!$R$5:$R$1004,1)+SUMIFS('入金消込'!$H$5:$H$1004,'入金消込'!$P$5:$P$1004,$A67,'入金消込'!$R$5:$R$1004,1)+SUMIFS('入金消込'!$I$5:$I$1004,'入金消込'!$P$5:$P$1004,$A67,'入金消込'!$R$5:$R$1004,1))</f>
        <v/>
      </c>
      <c r="O67" s="30">
        <f>IF($A67="","",IF(ROUND($F67-(SUM($G67:$M67)-$N67),0)=0,"OK","差 "&amp;TEXT($F67-(SUM($G67:$M67)-$N67),"#,##0")))</f>
        <v/>
      </c>
    </row>
    <row r="68" ht="16" customHeight="1">
      <c r="A68" s="30">
        <f>IF('得意先'!$B$62="","",'得意先'!$B$62)</f>
        <v/>
      </c>
      <c r="B68" s="20">
        <f>IF($A68="","",'得意先'!$C$62&amp;"")</f>
        <v/>
      </c>
      <c r="C68" s="28">
        <f>IF($A68="","",SUMIF('請求台帳'!$C$5:$C$1004,$A68,'請求台帳'!$L$5:$L$1004))</f>
        <v/>
      </c>
      <c r="D68" s="28">
        <f>IF($A68="","",SUMIF('入金消込'!$P$5:$P$1004,$A68,'入金消込'!$G$5:$G$1004))</f>
        <v/>
      </c>
      <c r="E68" s="28">
        <f>IF($A68="","",SUMIF('入金消込'!$P$5:$P$1004,$A68,'入金消込'!$H$5:$H$1004)+SUMIF('入金消込'!$P$5:$P$1004,$A68,'入金消込'!$I$5:$I$1004))</f>
        <v/>
      </c>
      <c r="F68" s="67">
        <f>IF($A68="","",$C68-$D68-$E68)</f>
        <v/>
      </c>
      <c r="G68" s="28">
        <f>IF($A68="","",SUMIFS('請求台帳'!$R$5:$R$1004,'請求台帳'!$C$5:$C$1004,$A68,'請求台帳'!$U$5:$U$1004,'設定'!$B$17))</f>
        <v/>
      </c>
      <c r="H68" s="28">
        <f>IF($A68="","",SUMIFS('請求台帳'!$R$5:$R$1004,'請求台帳'!$C$5:$C$1004,$A68,'請求台帳'!$U$5:$U$1004,'設定'!$B$18))</f>
        <v/>
      </c>
      <c r="I68" s="28">
        <f>IF($A68="","",SUMIFS('請求台帳'!$R$5:$R$1004,'請求台帳'!$C$5:$C$1004,$A68,'請求台帳'!$U$5:$U$1004,'設定'!$B$19))</f>
        <v/>
      </c>
      <c r="J68" s="28">
        <f>IF($A68="","",SUMIFS('請求台帳'!$R$5:$R$1004,'請求台帳'!$C$5:$C$1004,$A68,'請求台帳'!$U$5:$U$1004,'設定'!$B$20))</f>
        <v/>
      </c>
      <c r="K68" s="28">
        <f>IF($A68="","",SUMIFS('請求台帳'!$R$5:$R$1004,'請求台帳'!$C$5:$C$1004,$A68,'請求台帳'!$U$5:$U$1004,'設定'!$B$21))</f>
        <v/>
      </c>
      <c r="L68" s="28">
        <f>IF($A68="","",SUMIFS('請求台帳'!$R$5:$R$1004,'請求台帳'!$C$5:$C$1004,$A68,'請求台帳'!$U$5:$U$1004,'設定'!$B$22))</f>
        <v/>
      </c>
      <c r="M68" s="28">
        <f>IF($A68="","",SUMIFS('請求台帳'!$R$5:$R$1004,'請求台帳'!$C$5:$C$1004,$A68,'請求台帳'!$R$5:$R$1004,"&lt;0"))</f>
        <v/>
      </c>
      <c r="N68" s="28">
        <f>IF($A68="","",SUMIFS('入金消込'!$G$5:$G$1004,'入金消込'!$P$5:$P$1004,$A68,'入金消込'!$R$5:$R$1004,1)+SUMIFS('入金消込'!$H$5:$H$1004,'入金消込'!$P$5:$P$1004,$A68,'入金消込'!$R$5:$R$1004,1)+SUMIFS('入金消込'!$I$5:$I$1004,'入金消込'!$P$5:$P$1004,$A68,'入金消込'!$R$5:$R$1004,1))</f>
        <v/>
      </c>
      <c r="O68" s="30">
        <f>IF($A68="","",IF(ROUND($F68-(SUM($G68:$M68)-$N68),0)=0,"OK","差 "&amp;TEXT($F68-(SUM($G68:$M68)-$N68),"#,##0")))</f>
        <v/>
      </c>
    </row>
    <row r="69" ht="16" customHeight="1">
      <c r="A69" s="30">
        <f>IF('得意先'!$B$63="","",'得意先'!$B$63)</f>
        <v/>
      </c>
      <c r="B69" s="20">
        <f>IF($A69="","",'得意先'!$C$63&amp;"")</f>
        <v/>
      </c>
      <c r="C69" s="28">
        <f>IF($A69="","",SUMIF('請求台帳'!$C$5:$C$1004,$A69,'請求台帳'!$L$5:$L$1004))</f>
        <v/>
      </c>
      <c r="D69" s="28">
        <f>IF($A69="","",SUMIF('入金消込'!$P$5:$P$1004,$A69,'入金消込'!$G$5:$G$1004))</f>
        <v/>
      </c>
      <c r="E69" s="28">
        <f>IF($A69="","",SUMIF('入金消込'!$P$5:$P$1004,$A69,'入金消込'!$H$5:$H$1004)+SUMIF('入金消込'!$P$5:$P$1004,$A69,'入金消込'!$I$5:$I$1004))</f>
        <v/>
      </c>
      <c r="F69" s="67">
        <f>IF($A69="","",$C69-$D69-$E69)</f>
        <v/>
      </c>
      <c r="G69" s="28">
        <f>IF($A69="","",SUMIFS('請求台帳'!$R$5:$R$1004,'請求台帳'!$C$5:$C$1004,$A69,'請求台帳'!$U$5:$U$1004,'設定'!$B$17))</f>
        <v/>
      </c>
      <c r="H69" s="28">
        <f>IF($A69="","",SUMIFS('請求台帳'!$R$5:$R$1004,'請求台帳'!$C$5:$C$1004,$A69,'請求台帳'!$U$5:$U$1004,'設定'!$B$18))</f>
        <v/>
      </c>
      <c r="I69" s="28">
        <f>IF($A69="","",SUMIFS('請求台帳'!$R$5:$R$1004,'請求台帳'!$C$5:$C$1004,$A69,'請求台帳'!$U$5:$U$1004,'設定'!$B$19))</f>
        <v/>
      </c>
      <c r="J69" s="28">
        <f>IF($A69="","",SUMIFS('請求台帳'!$R$5:$R$1004,'請求台帳'!$C$5:$C$1004,$A69,'請求台帳'!$U$5:$U$1004,'設定'!$B$20))</f>
        <v/>
      </c>
      <c r="K69" s="28">
        <f>IF($A69="","",SUMIFS('請求台帳'!$R$5:$R$1004,'請求台帳'!$C$5:$C$1004,$A69,'請求台帳'!$U$5:$U$1004,'設定'!$B$21))</f>
        <v/>
      </c>
      <c r="L69" s="28">
        <f>IF($A69="","",SUMIFS('請求台帳'!$R$5:$R$1004,'請求台帳'!$C$5:$C$1004,$A69,'請求台帳'!$U$5:$U$1004,'設定'!$B$22))</f>
        <v/>
      </c>
      <c r="M69" s="28">
        <f>IF($A69="","",SUMIFS('請求台帳'!$R$5:$R$1004,'請求台帳'!$C$5:$C$1004,$A69,'請求台帳'!$R$5:$R$1004,"&lt;0"))</f>
        <v/>
      </c>
      <c r="N69" s="28">
        <f>IF($A69="","",SUMIFS('入金消込'!$G$5:$G$1004,'入金消込'!$P$5:$P$1004,$A69,'入金消込'!$R$5:$R$1004,1)+SUMIFS('入金消込'!$H$5:$H$1004,'入金消込'!$P$5:$P$1004,$A69,'入金消込'!$R$5:$R$1004,1)+SUMIFS('入金消込'!$I$5:$I$1004,'入金消込'!$P$5:$P$1004,$A69,'入金消込'!$R$5:$R$1004,1))</f>
        <v/>
      </c>
      <c r="O69" s="30">
        <f>IF($A69="","",IF(ROUND($F69-(SUM($G69:$M69)-$N69),0)=0,"OK","差 "&amp;TEXT($F69-(SUM($G69:$M69)-$N69),"#,##0")))</f>
        <v/>
      </c>
    </row>
    <row r="70" ht="16" customHeight="1">
      <c r="A70" s="30">
        <f>IF('得意先'!$B$64="","",'得意先'!$B$64)</f>
        <v/>
      </c>
      <c r="B70" s="20">
        <f>IF($A70="","",'得意先'!$C$64&amp;"")</f>
        <v/>
      </c>
      <c r="C70" s="28">
        <f>IF($A70="","",SUMIF('請求台帳'!$C$5:$C$1004,$A70,'請求台帳'!$L$5:$L$1004))</f>
        <v/>
      </c>
      <c r="D70" s="28">
        <f>IF($A70="","",SUMIF('入金消込'!$P$5:$P$1004,$A70,'入金消込'!$G$5:$G$1004))</f>
        <v/>
      </c>
      <c r="E70" s="28">
        <f>IF($A70="","",SUMIF('入金消込'!$P$5:$P$1004,$A70,'入金消込'!$H$5:$H$1004)+SUMIF('入金消込'!$P$5:$P$1004,$A70,'入金消込'!$I$5:$I$1004))</f>
        <v/>
      </c>
      <c r="F70" s="67">
        <f>IF($A70="","",$C70-$D70-$E70)</f>
        <v/>
      </c>
      <c r="G70" s="28">
        <f>IF($A70="","",SUMIFS('請求台帳'!$R$5:$R$1004,'請求台帳'!$C$5:$C$1004,$A70,'請求台帳'!$U$5:$U$1004,'設定'!$B$17))</f>
        <v/>
      </c>
      <c r="H70" s="28">
        <f>IF($A70="","",SUMIFS('請求台帳'!$R$5:$R$1004,'請求台帳'!$C$5:$C$1004,$A70,'請求台帳'!$U$5:$U$1004,'設定'!$B$18))</f>
        <v/>
      </c>
      <c r="I70" s="28">
        <f>IF($A70="","",SUMIFS('請求台帳'!$R$5:$R$1004,'請求台帳'!$C$5:$C$1004,$A70,'請求台帳'!$U$5:$U$1004,'設定'!$B$19))</f>
        <v/>
      </c>
      <c r="J70" s="28">
        <f>IF($A70="","",SUMIFS('請求台帳'!$R$5:$R$1004,'請求台帳'!$C$5:$C$1004,$A70,'請求台帳'!$U$5:$U$1004,'設定'!$B$20))</f>
        <v/>
      </c>
      <c r="K70" s="28">
        <f>IF($A70="","",SUMIFS('請求台帳'!$R$5:$R$1004,'請求台帳'!$C$5:$C$1004,$A70,'請求台帳'!$U$5:$U$1004,'設定'!$B$21))</f>
        <v/>
      </c>
      <c r="L70" s="28">
        <f>IF($A70="","",SUMIFS('請求台帳'!$R$5:$R$1004,'請求台帳'!$C$5:$C$1004,$A70,'請求台帳'!$U$5:$U$1004,'設定'!$B$22))</f>
        <v/>
      </c>
      <c r="M70" s="28">
        <f>IF($A70="","",SUMIFS('請求台帳'!$R$5:$R$1004,'請求台帳'!$C$5:$C$1004,$A70,'請求台帳'!$R$5:$R$1004,"&lt;0"))</f>
        <v/>
      </c>
      <c r="N70" s="28">
        <f>IF($A70="","",SUMIFS('入金消込'!$G$5:$G$1004,'入金消込'!$P$5:$P$1004,$A70,'入金消込'!$R$5:$R$1004,1)+SUMIFS('入金消込'!$H$5:$H$1004,'入金消込'!$P$5:$P$1004,$A70,'入金消込'!$R$5:$R$1004,1)+SUMIFS('入金消込'!$I$5:$I$1004,'入金消込'!$P$5:$P$1004,$A70,'入金消込'!$R$5:$R$1004,1))</f>
        <v/>
      </c>
      <c r="O70" s="30">
        <f>IF($A70="","",IF(ROUND($F70-(SUM($G70:$M70)-$N70),0)=0,"OK","差 "&amp;TEXT($F70-(SUM($G70:$M70)-$N70),"#,##0")))</f>
        <v/>
      </c>
    </row>
    <row r="71" ht="16" customHeight="1">
      <c r="A71" s="30">
        <f>IF('得意先'!$B$65="","",'得意先'!$B$65)</f>
        <v/>
      </c>
      <c r="B71" s="20">
        <f>IF($A71="","",'得意先'!$C$65&amp;"")</f>
        <v/>
      </c>
      <c r="C71" s="28">
        <f>IF($A71="","",SUMIF('請求台帳'!$C$5:$C$1004,$A71,'請求台帳'!$L$5:$L$1004))</f>
        <v/>
      </c>
      <c r="D71" s="28">
        <f>IF($A71="","",SUMIF('入金消込'!$P$5:$P$1004,$A71,'入金消込'!$G$5:$G$1004))</f>
        <v/>
      </c>
      <c r="E71" s="28">
        <f>IF($A71="","",SUMIF('入金消込'!$P$5:$P$1004,$A71,'入金消込'!$H$5:$H$1004)+SUMIF('入金消込'!$P$5:$P$1004,$A71,'入金消込'!$I$5:$I$1004))</f>
        <v/>
      </c>
      <c r="F71" s="67">
        <f>IF($A71="","",$C71-$D71-$E71)</f>
        <v/>
      </c>
      <c r="G71" s="28">
        <f>IF($A71="","",SUMIFS('請求台帳'!$R$5:$R$1004,'請求台帳'!$C$5:$C$1004,$A71,'請求台帳'!$U$5:$U$1004,'設定'!$B$17))</f>
        <v/>
      </c>
      <c r="H71" s="28">
        <f>IF($A71="","",SUMIFS('請求台帳'!$R$5:$R$1004,'請求台帳'!$C$5:$C$1004,$A71,'請求台帳'!$U$5:$U$1004,'設定'!$B$18))</f>
        <v/>
      </c>
      <c r="I71" s="28">
        <f>IF($A71="","",SUMIFS('請求台帳'!$R$5:$R$1004,'請求台帳'!$C$5:$C$1004,$A71,'請求台帳'!$U$5:$U$1004,'設定'!$B$19))</f>
        <v/>
      </c>
      <c r="J71" s="28">
        <f>IF($A71="","",SUMIFS('請求台帳'!$R$5:$R$1004,'請求台帳'!$C$5:$C$1004,$A71,'請求台帳'!$U$5:$U$1004,'設定'!$B$20))</f>
        <v/>
      </c>
      <c r="K71" s="28">
        <f>IF($A71="","",SUMIFS('請求台帳'!$R$5:$R$1004,'請求台帳'!$C$5:$C$1004,$A71,'請求台帳'!$U$5:$U$1004,'設定'!$B$21))</f>
        <v/>
      </c>
      <c r="L71" s="28">
        <f>IF($A71="","",SUMIFS('請求台帳'!$R$5:$R$1004,'請求台帳'!$C$5:$C$1004,$A71,'請求台帳'!$U$5:$U$1004,'設定'!$B$22))</f>
        <v/>
      </c>
      <c r="M71" s="28">
        <f>IF($A71="","",SUMIFS('請求台帳'!$R$5:$R$1004,'請求台帳'!$C$5:$C$1004,$A71,'請求台帳'!$R$5:$R$1004,"&lt;0"))</f>
        <v/>
      </c>
      <c r="N71" s="28">
        <f>IF($A71="","",SUMIFS('入金消込'!$G$5:$G$1004,'入金消込'!$P$5:$P$1004,$A71,'入金消込'!$R$5:$R$1004,1)+SUMIFS('入金消込'!$H$5:$H$1004,'入金消込'!$P$5:$P$1004,$A71,'入金消込'!$R$5:$R$1004,1)+SUMIFS('入金消込'!$I$5:$I$1004,'入金消込'!$P$5:$P$1004,$A71,'入金消込'!$R$5:$R$1004,1))</f>
        <v/>
      </c>
      <c r="O71" s="30">
        <f>IF($A71="","",IF(ROUND($F71-(SUM($G71:$M71)-$N71),0)=0,"OK","差 "&amp;TEXT($F71-(SUM($G71:$M71)-$N71),"#,##0")))</f>
        <v/>
      </c>
    </row>
    <row r="72" ht="16" customHeight="1">
      <c r="A72" s="30">
        <f>IF('得意先'!$B$66="","",'得意先'!$B$66)</f>
        <v/>
      </c>
      <c r="B72" s="20">
        <f>IF($A72="","",'得意先'!$C$66&amp;"")</f>
        <v/>
      </c>
      <c r="C72" s="28">
        <f>IF($A72="","",SUMIF('請求台帳'!$C$5:$C$1004,$A72,'請求台帳'!$L$5:$L$1004))</f>
        <v/>
      </c>
      <c r="D72" s="28">
        <f>IF($A72="","",SUMIF('入金消込'!$P$5:$P$1004,$A72,'入金消込'!$G$5:$G$1004))</f>
        <v/>
      </c>
      <c r="E72" s="28">
        <f>IF($A72="","",SUMIF('入金消込'!$P$5:$P$1004,$A72,'入金消込'!$H$5:$H$1004)+SUMIF('入金消込'!$P$5:$P$1004,$A72,'入金消込'!$I$5:$I$1004))</f>
        <v/>
      </c>
      <c r="F72" s="67">
        <f>IF($A72="","",$C72-$D72-$E72)</f>
        <v/>
      </c>
      <c r="G72" s="28">
        <f>IF($A72="","",SUMIFS('請求台帳'!$R$5:$R$1004,'請求台帳'!$C$5:$C$1004,$A72,'請求台帳'!$U$5:$U$1004,'設定'!$B$17))</f>
        <v/>
      </c>
      <c r="H72" s="28">
        <f>IF($A72="","",SUMIFS('請求台帳'!$R$5:$R$1004,'請求台帳'!$C$5:$C$1004,$A72,'請求台帳'!$U$5:$U$1004,'設定'!$B$18))</f>
        <v/>
      </c>
      <c r="I72" s="28">
        <f>IF($A72="","",SUMIFS('請求台帳'!$R$5:$R$1004,'請求台帳'!$C$5:$C$1004,$A72,'請求台帳'!$U$5:$U$1004,'設定'!$B$19))</f>
        <v/>
      </c>
      <c r="J72" s="28">
        <f>IF($A72="","",SUMIFS('請求台帳'!$R$5:$R$1004,'請求台帳'!$C$5:$C$1004,$A72,'請求台帳'!$U$5:$U$1004,'設定'!$B$20))</f>
        <v/>
      </c>
      <c r="K72" s="28">
        <f>IF($A72="","",SUMIFS('請求台帳'!$R$5:$R$1004,'請求台帳'!$C$5:$C$1004,$A72,'請求台帳'!$U$5:$U$1004,'設定'!$B$21))</f>
        <v/>
      </c>
      <c r="L72" s="28">
        <f>IF($A72="","",SUMIFS('請求台帳'!$R$5:$R$1004,'請求台帳'!$C$5:$C$1004,$A72,'請求台帳'!$U$5:$U$1004,'設定'!$B$22))</f>
        <v/>
      </c>
      <c r="M72" s="28">
        <f>IF($A72="","",SUMIFS('請求台帳'!$R$5:$R$1004,'請求台帳'!$C$5:$C$1004,$A72,'請求台帳'!$R$5:$R$1004,"&lt;0"))</f>
        <v/>
      </c>
      <c r="N72" s="28">
        <f>IF($A72="","",SUMIFS('入金消込'!$G$5:$G$1004,'入金消込'!$P$5:$P$1004,$A72,'入金消込'!$R$5:$R$1004,1)+SUMIFS('入金消込'!$H$5:$H$1004,'入金消込'!$P$5:$P$1004,$A72,'入金消込'!$R$5:$R$1004,1)+SUMIFS('入金消込'!$I$5:$I$1004,'入金消込'!$P$5:$P$1004,$A72,'入金消込'!$R$5:$R$1004,1))</f>
        <v/>
      </c>
      <c r="O72" s="30">
        <f>IF($A72="","",IF(ROUND($F72-(SUM($G72:$M72)-$N72),0)=0,"OK","差 "&amp;TEXT($F72-(SUM($G72:$M72)-$N72),"#,##0")))</f>
        <v/>
      </c>
    </row>
    <row r="73" ht="16" customHeight="1">
      <c r="A73" s="30">
        <f>IF('得意先'!$B$67="","",'得意先'!$B$67)</f>
        <v/>
      </c>
      <c r="B73" s="20">
        <f>IF($A73="","",'得意先'!$C$67&amp;"")</f>
        <v/>
      </c>
      <c r="C73" s="28">
        <f>IF($A73="","",SUMIF('請求台帳'!$C$5:$C$1004,$A73,'請求台帳'!$L$5:$L$1004))</f>
        <v/>
      </c>
      <c r="D73" s="28">
        <f>IF($A73="","",SUMIF('入金消込'!$P$5:$P$1004,$A73,'入金消込'!$G$5:$G$1004))</f>
        <v/>
      </c>
      <c r="E73" s="28">
        <f>IF($A73="","",SUMIF('入金消込'!$P$5:$P$1004,$A73,'入金消込'!$H$5:$H$1004)+SUMIF('入金消込'!$P$5:$P$1004,$A73,'入金消込'!$I$5:$I$1004))</f>
        <v/>
      </c>
      <c r="F73" s="67">
        <f>IF($A73="","",$C73-$D73-$E73)</f>
        <v/>
      </c>
      <c r="G73" s="28">
        <f>IF($A73="","",SUMIFS('請求台帳'!$R$5:$R$1004,'請求台帳'!$C$5:$C$1004,$A73,'請求台帳'!$U$5:$U$1004,'設定'!$B$17))</f>
        <v/>
      </c>
      <c r="H73" s="28">
        <f>IF($A73="","",SUMIFS('請求台帳'!$R$5:$R$1004,'請求台帳'!$C$5:$C$1004,$A73,'請求台帳'!$U$5:$U$1004,'設定'!$B$18))</f>
        <v/>
      </c>
      <c r="I73" s="28">
        <f>IF($A73="","",SUMIFS('請求台帳'!$R$5:$R$1004,'請求台帳'!$C$5:$C$1004,$A73,'請求台帳'!$U$5:$U$1004,'設定'!$B$19))</f>
        <v/>
      </c>
      <c r="J73" s="28">
        <f>IF($A73="","",SUMIFS('請求台帳'!$R$5:$R$1004,'請求台帳'!$C$5:$C$1004,$A73,'請求台帳'!$U$5:$U$1004,'設定'!$B$20))</f>
        <v/>
      </c>
      <c r="K73" s="28">
        <f>IF($A73="","",SUMIFS('請求台帳'!$R$5:$R$1004,'請求台帳'!$C$5:$C$1004,$A73,'請求台帳'!$U$5:$U$1004,'設定'!$B$21))</f>
        <v/>
      </c>
      <c r="L73" s="28">
        <f>IF($A73="","",SUMIFS('請求台帳'!$R$5:$R$1004,'請求台帳'!$C$5:$C$1004,$A73,'請求台帳'!$U$5:$U$1004,'設定'!$B$22))</f>
        <v/>
      </c>
      <c r="M73" s="28">
        <f>IF($A73="","",SUMIFS('請求台帳'!$R$5:$R$1004,'請求台帳'!$C$5:$C$1004,$A73,'請求台帳'!$R$5:$R$1004,"&lt;0"))</f>
        <v/>
      </c>
      <c r="N73" s="28">
        <f>IF($A73="","",SUMIFS('入金消込'!$G$5:$G$1004,'入金消込'!$P$5:$P$1004,$A73,'入金消込'!$R$5:$R$1004,1)+SUMIFS('入金消込'!$H$5:$H$1004,'入金消込'!$P$5:$P$1004,$A73,'入金消込'!$R$5:$R$1004,1)+SUMIFS('入金消込'!$I$5:$I$1004,'入金消込'!$P$5:$P$1004,$A73,'入金消込'!$R$5:$R$1004,1))</f>
        <v/>
      </c>
      <c r="O73" s="30">
        <f>IF($A73="","",IF(ROUND($F73-(SUM($G73:$M73)-$N73),0)=0,"OK","差 "&amp;TEXT($F73-(SUM($G73:$M73)-$N73),"#,##0")))</f>
        <v/>
      </c>
    </row>
    <row r="74" ht="16" customHeight="1">
      <c r="A74" s="30">
        <f>IF('得意先'!$B$68="","",'得意先'!$B$68)</f>
        <v/>
      </c>
      <c r="B74" s="20">
        <f>IF($A74="","",'得意先'!$C$68&amp;"")</f>
        <v/>
      </c>
      <c r="C74" s="28">
        <f>IF($A74="","",SUMIF('請求台帳'!$C$5:$C$1004,$A74,'請求台帳'!$L$5:$L$1004))</f>
        <v/>
      </c>
      <c r="D74" s="28">
        <f>IF($A74="","",SUMIF('入金消込'!$P$5:$P$1004,$A74,'入金消込'!$G$5:$G$1004))</f>
        <v/>
      </c>
      <c r="E74" s="28">
        <f>IF($A74="","",SUMIF('入金消込'!$P$5:$P$1004,$A74,'入金消込'!$H$5:$H$1004)+SUMIF('入金消込'!$P$5:$P$1004,$A74,'入金消込'!$I$5:$I$1004))</f>
        <v/>
      </c>
      <c r="F74" s="67">
        <f>IF($A74="","",$C74-$D74-$E74)</f>
        <v/>
      </c>
      <c r="G74" s="28">
        <f>IF($A74="","",SUMIFS('請求台帳'!$R$5:$R$1004,'請求台帳'!$C$5:$C$1004,$A74,'請求台帳'!$U$5:$U$1004,'設定'!$B$17))</f>
        <v/>
      </c>
      <c r="H74" s="28">
        <f>IF($A74="","",SUMIFS('請求台帳'!$R$5:$R$1004,'請求台帳'!$C$5:$C$1004,$A74,'請求台帳'!$U$5:$U$1004,'設定'!$B$18))</f>
        <v/>
      </c>
      <c r="I74" s="28">
        <f>IF($A74="","",SUMIFS('請求台帳'!$R$5:$R$1004,'請求台帳'!$C$5:$C$1004,$A74,'請求台帳'!$U$5:$U$1004,'設定'!$B$19))</f>
        <v/>
      </c>
      <c r="J74" s="28">
        <f>IF($A74="","",SUMIFS('請求台帳'!$R$5:$R$1004,'請求台帳'!$C$5:$C$1004,$A74,'請求台帳'!$U$5:$U$1004,'設定'!$B$20))</f>
        <v/>
      </c>
      <c r="K74" s="28">
        <f>IF($A74="","",SUMIFS('請求台帳'!$R$5:$R$1004,'請求台帳'!$C$5:$C$1004,$A74,'請求台帳'!$U$5:$U$1004,'設定'!$B$21))</f>
        <v/>
      </c>
      <c r="L74" s="28">
        <f>IF($A74="","",SUMIFS('請求台帳'!$R$5:$R$1004,'請求台帳'!$C$5:$C$1004,$A74,'請求台帳'!$U$5:$U$1004,'設定'!$B$22))</f>
        <v/>
      </c>
      <c r="M74" s="28">
        <f>IF($A74="","",SUMIFS('請求台帳'!$R$5:$R$1004,'請求台帳'!$C$5:$C$1004,$A74,'請求台帳'!$R$5:$R$1004,"&lt;0"))</f>
        <v/>
      </c>
      <c r="N74" s="28">
        <f>IF($A74="","",SUMIFS('入金消込'!$G$5:$G$1004,'入金消込'!$P$5:$P$1004,$A74,'入金消込'!$R$5:$R$1004,1)+SUMIFS('入金消込'!$H$5:$H$1004,'入金消込'!$P$5:$P$1004,$A74,'入金消込'!$R$5:$R$1004,1)+SUMIFS('入金消込'!$I$5:$I$1004,'入金消込'!$P$5:$P$1004,$A74,'入金消込'!$R$5:$R$1004,1))</f>
        <v/>
      </c>
      <c r="O74" s="30">
        <f>IF($A74="","",IF(ROUND($F74-(SUM($G74:$M74)-$N74),0)=0,"OK","差 "&amp;TEXT($F74-(SUM($G74:$M74)-$N74),"#,##0")))</f>
        <v/>
      </c>
    </row>
    <row r="75" ht="16" customHeight="1">
      <c r="A75" s="30">
        <f>IF('得意先'!$B$69="","",'得意先'!$B$69)</f>
        <v/>
      </c>
      <c r="B75" s="20">
        <f>IF($A75="","",'得意先'!$C$69&amp;"")</f>
        <v/>
      </c>
      <c r="C75" s="28">
        <f>IF($A75="","",SUMIF('請求台帳'!$C$5:$C$1004,$A75,'請求台帳'!$L$5:$L$1004))</f>
        <v/>
      </c>
      <c r="D75" s="28">
        <f>IF($A75="","",SUMIF('入金消込'!$P$5:$P$1004,$A75,'入金消込'!$G$5:$G$1004))</f>
        <v/>
      </c>
      <c r="E75" s="28">
        <f>IF($A75="","",SUMIF('入金消込'!$P$5:$P$1004,$A75,'入金消込'!$H$5:$H$1004)+SUMIF('入金消込'!$P$5:$P$1004,$A75,'入金消込'!$I$5:$I$1004))</f>
        <v/>
      </c>
      <c r="F75" s="67">
        <f>IF($A75="","",$C75-$D75-$E75)</f>
        <v/>
      </c>
      <c r="G75" s="28">
        <f>IF($A75="","",SUMIFS('請求台帳'!$R$5:$R$1004,'請求台帳'!$C$5:$C$1004,$A75,'請求台帳'!$U$5:$U$1004,'設定'!$B$17))</f>
        <v/>
      </c>
      <c r="H75" s="28">
        <f>IF($A75="","",SUMIFS('請求台帳'!$R$5:$R$1004,'請求台帳'!$C$5:$C$1004,$A75,'請求台帳'!$U$5:$U$1004,'設定'!$B$18))</f>
        <v/>
      </c>
      <c r="I75" s="28">
        <f>IF($A75="","",SUMIFS('請求台帳'!$R$5:$R$1004,'請求台帳'!$C$5:$C$1004,$A75,'請求台帳'!$U$5:$U$1004,'設定'!$B$19))</f>
        <v/>
      </c>
      <c r="J75" s="28">
        <f>IF($A75="","",SUMIFS('請求台帳'!$R$5:$R$1004,'請求台帳'!$C$5:$C$1004,$A75,'請求台帳'!$U$5:$U$1004,'設定'!$B$20))</f>
        <v/>
      </c>
      <c r="K75" s="28">
        <f>IF($A75="","",SUMIFS('請求台帳'!$R$5:$R$1004,'請求台帳'!$C$5:$C$1004,$A75,'請求台帳'!$U$5:$U$1004,'設定'!$B$21))</f>
        <v/>
      </c>
      <c r="L75" s="28">
        <f>IF($A75="","",SUMIFS('請求台帳'!$R$5:$R$1004,'請求台帳'!$C$5:$C$1004,$A75,'請求台帳'!$U$5:$U$1004,'設定'!$B$22))</f>
        <v/>
      </c>
      <c r="M75" s="28">
        <f>IF($A75="","",SUMIFS('請求台帳'!$R$5:$R$1004,'請求台帳'!$C$5:$C$1004,$A75,'請求台帳'!$R$5:$R$1004,"&lt;0"))</f>
        <v/>
      </c>
      <c r="N75" s="28">
        <f>IF($A75="","",SUMIFS('入金消込'!$G$5:$G$1004,'入金消込'!$P$5:$P$1004,$A75,'入金消込'!$R$5:$R$1004,1)+SUMIFS('入金消込'!$H$5:$H$1004,'入金消込'!$P$5:$P$1004,$A75,'入金消込'!$R$5:$R$1004,1)+SUMIFS('入金消込'!$I$5:$I$1004,'入金消込'!$P$5:$P$1004,$A75,'入金消込'!$R$5:$R$1004,1))</f>
        <v/>
      </c>
      <c r="O75" s="30">
        <f>IF($A75="","",IF(ROUND($F75-(SUM($G75:$M75)-$N75),0)=0,"OK","差 "&amp;TEXT($F75-(SUM($G75:$M75)-$N75),"#,##0")))</f>
        <v/>
      </c>
    </row>
    <row r="76" ht="16" customHeight="1">
      <c r="A76" s="30">
        <f>IF('得意先'!$B$70="","",'得意先'!$B$70)</f>
        <v/>
      </c>
      <c r="B76" s="20">
        <f>IF($A76="","",'得意先'!$C$70&amp;"")</f>
        <v/>
      </c>
      <c r="C76" s="28">
        <f>IF($A76="","",SUMIF('請求台帳'!$C$5:$C$1004,$A76,'請求台帳'!$L$5:$L$1004))</f>
        <v/>
      </c>
      <c r="D76" s="28">
        <f>IF($A76="","",SUMIF('入金消込'!$P$5:$P$1004,$A76,'入金消込'!$G$5:$G$1004))</f>
        <v/>
      </c>
      <c r="E76" s="28">
        <f>IF($A76="","",SUMIF('入金消込'!$P$5:$P$1004,$A76,'入金消込'!$H$5:$H$1004)+SUMIF('入金消込'!$P$5:$P$1004,$A76,'入金消込'!$I$5:$I$1004))</f>
        <v/>
      </c>
      <c r="F76" s="67">
        <f>IF($A76="","",$C76-$D76-$E76)</f>
        <v/>
      </c>
      <c r="G76" s="28">
        <f>IF($A76="","",SUMIFS('請求台帳'!$R$5:$R$1004,'請求台帳'!$C$5:$C$1004,$A76,'請求台帳'!$U$5:$U$1004,'設定'!$B$17))</f>
        <v/>
      </c>
      <c r="H76" s="28">
        <f>IF($A76="","",SUMIFS('請求台帳'!$R$5:$R$1004,'請求台帳'!$C$5:$C$1004,$A76,'請求台帳'!$U$5:$U$1004,'設定'!$B$18))</f>
        <v/>
      </c>
      <c r="I76" s="28">
        <f>IF($A76="","",SUMIFS('請求台帳'!$R$5:$R$1004,'請求台帳'!$C$5:$C$1004,$A76,'請求台帳'!$U$5:$U$1004,'設定'!$B$19))</f>
        <v/>
      </c>
      <c r="J76" s="28">
        <f>IF($A76="","",SUMIFS('請求台帳'!$R$5:$R$1004,'請求台帳'!$C$5:$C$1004,$A76,'請求台帳'!$U$5:$U$1004,'設定'!$B$20))</f>
        <v/>
      </c>
      <c r="K76" s="28">
        <f>IF($A76="","",SUMIFS('請求台帳'!$R$5:$R$1004,'請求台帳'!$C$5:$C$1004,$A76,'請求台帳'!$U$5:$U$1004,'設定'!$B$21))</f>
        <v/>
      </c>
      <c r="L76" s="28">
        <f>IF($A76="","",SUMIFS('請求台帳'!$R$5:$R$1004,'請求台帳'!$C$5:$C$1004,$A76,'請求台帳'!$U$5:$U$1004,'設定'!$B$22))</f>
        <v/>
      </c>
      <c r="M76" s="28">
        <f>IF($A76="","",SUMIFS('請求台帳'!$R$5:$R$1004,'請求台帳'!$C$5:$C$1004,$A76,'請求台帳'!$R$5:$R$1004,"&lt;0"))</f>
        <v/>
      </c>
      <c r="N76" s="28">
        <f>IF($A76="","",SUMIFS('入金消込'!$G$5:$G$1004,'入金消込'!$P$5:$P$1004,$A76,'入金消込'!$R$5:$R$1004,1)+SUMIFS('入金消込'!$H$5:$H$1004,'入金消込'!$P$5:$P$1004,$A76,'入金消込'!$R$5:$R$1004,1)+SUMIFS('入金消込'!$I$5:$I$1004,'入金消込'!$P$5:$P$1004,$A76,'入金消込'!$R$5:$R$1004,1))</f>
        <v/>
      </c>
      <c r="O76" s="30">
        <f>IF($A76="","",IF(ROUND($F76-(SUM($G76:$M76)-$N76),0)=0,"OK","差 "&amp;TEXT($F76-(SUM($G76:$M76)-$N76),"#,##0")))</f>
        <v/>
      </c>
    </row>
    <row r="77" ht="16" customHeight="1">
      <c r="A77" s="30">
        <f>IF('得意先'!$B$71="","",'得意先'!$B$71)</f>
        <v/>
      </c>
      <c r="B77" s="20">
        <f>IF($A77="","",'得意先'!$C$71&amp;"")</f>
        <v/>
      </c>
      <c r="C77" s="28">
        <f>IF($A77="","",SUMIF('請求台帳'!$C$5:$C$1004,$A77,'請求台帳'!$L$5:$L$1004))</f>
        <v/>
      </c>
      <c r="D77" s="28">
        <f>IF($A77="","",SUMIF('入金消込'!$P$5:$P$1004,$A77,'入金消込'!$G$5:$G$1004))</f>
        <v/>
      </c>
      <c r="E77" s="28">
        <f>IF($A77="","",SUMIF('入金消込'!$P$5:$P$1004,$A77,'入金消込'!$H$5:$H$1004)+SUMIF('入金消込'!$P$5:$P$1004,$A77,'入金消込'!$I$5:$I$1004))</f>
        <v/>
      </c>
      <c r="F77" s="67">
        <f>IF($A77="","",$C77-$D77-$E77)</f>
        <v/>
      </c>
      <c r="G77" s="28">
        <f>IF($A77="","",SUMIFS('請求台帳'!$R$5:$R$1004,'請求台帳'!$C$5:$C$1004,$A77,'請求台帳'!$U$5:$U$1004,'設定'!$B$17))</f>
        <v/>
      </c>
      <c r="H77" s="28">
        <f>IF($A77="","",SUMIFS('請求台帳'!$R$5:$R$1004,'請求台帳'!$C$5:$C$1004,$A77,'請求台帳'!$U$5:$U$1004,'設定'!$B$18))</f>
        <v/>
      </c>
      <c r="I77" s="28">
        <f>IF($A77="","",SUMIFS('請求台帳'!$R$5:$R$1004,'請求台帳'!$C$5:$C$1004,$A77,'請求台帳'!$U$5:$U$1004,'設定'!$B$19))</f>
        <v/>
      </c>
      <c r="J77" s="28">
        <f>IF($A77="","",SUMIFS('請求台帳'!$R$5:$R$1004,'請求台帳'!$C$5:$C$1004,$A77,'請求台帳'!$U$5:$U$1004,'設定'!$B$20))</f>
        <v/>
      </c>
      <c r="K77" s="28">
        <f>IF($A77="","",SUMIFS('請求台帳'!$R$5:$R$1004,'請求台帳'!$C$5:$C$1004,$A77,'請求台帳'!$U$5:$U$1004,'設定'!$B$21))</f>
        <v/>
      </c>
      <c r="L77" s="28">
        <f>IF($A77="","",SUMIFS('請求台帳'!$R$5:$R$1004,'請求台帳'!$C$5:$C$1004,$A77,'請求台帳'!$U$5:$U$1004,'設定'!$B$22))</f>
        <v/>
      </c>
      <c r="M77" s="28">
        <f>IF($A77="","",SUMIFS('請求台帳'!$R$5:$R$1004,'請求台帳'!$C$5:$C$1004,$A77,'請求台帳'!$R$5:$R$1004,"&lt;0"))</f>
        <v/>
      </c>
      <c r="N77" s="28">
        <f>IF($A77="","",SUMIFS('入金消込'!$G$5:$G$1004,'入金消込'!$P$5:$P$1004,$A77,'入金消込'!$R$5:$R$1004,1)+SUMIFS('入金消込'!$H$5:$H$1004,'入金消込'!$P$5:$P$1004,$A77,'入金消込'!$R$5:$R$1004,1)+SUMIFS('入金消込'!$I$5:$I$1004,'入金消込'!$P$5:$P$1004,$A77,'入金消込'!$R$5:$R$1004,1))</f>
        <v/>
      </c>
      <c r="O77" s="30">
        <f>IF($A77="","",IF(ROUND($F77-(SUM($G77:$M77)-$N77),0)=0,"OK","差 "&amp;TEXT($F77-(SUM($G77:$M77)-$N77),"#,##0")))</f>
        <v/>
      </c>
    </row>
    <row r="78" ht="16" customHeight="1">
      <c r="A78" s="30">
        <f>IF('得意先'!$B$72="","",'得意先'!$B$72)</f>
        <v/>
      </c>
      <c r="B78" s="20">
        <f>IF($A78="","",'得意先'!$C$72&amp;"")</f>
        <v/>
      </c>
      <c r="C78" s="28">
        <f>IF($A78="","",SUMIF('請求台帳'!$C$5:$C$1004,$A78,'請求台帳'!$L$5:$L$1004))</f>
        <v/>
      </c>
      <c r="D78" s="28">
        <f>IF($A78="","",SUMIF('入金消込'!$P$5:$P$1004,$A78,'入金消込'!$G$5:$G$1004))</f>
        <v/>
      </c>
      <c r="E78" s="28">
        <f>IF($A78="","",SUMIF('入金消込'!$P$5:$P$1004,$A78,'入金消込'!$H$5:$H$1004)+SUMIF('入金消込'!$P$5:$P$1004,$A78,'入金消込'!$I$5:$I$1004))</f>
        <v/>
      </c>
      <c r="F78" s="67">
        <f>IF($A78="","",$C78-$D78-$E78)</f>
        <v/>
      </c>
      <c r="G78" s="28">
        <f>IF($A78="","",SUMIFS('請求台帳'!$R$5:$R$1004,'請求台帳'!$C$5:$C$1004,$A78,'請求台帳'!$U$5:$U$1004,'設定'!$B$17))</f>
        <v/>
      </c>
      <c r="H78" s="28">
        <f>IF($A78="","",SUMIFS('請求台帳'!$R$5:$R$1004,'請求台帳'!$C$5:$C$1004,$A78,'請求台帳'!$U$5:$U$1004,'設定'!$B$18))</f>
        <v/>
      </c>
      <c r="I78" s="28">
        <f>IF($A78="","",SUMIFS('請求台帳'!$R$5:$R$1004,'請求台帳'!$C$5:$C$1004,$A78,'請求台帳'!$U$5:$U$1004,'設定'!$B$19))</f>
        <v/>
      </c>
      <c r="J78" s="28">
        <f>IF($A78="","",SUMIFS('請求台帳'!$R$5:$R$1004,'請求台帳'!$C$5:$C$1004,$A78,'請求台帳'!$U$5:$U$1004,'設定'!$B$20))</f>
        <v/>
      </c>
      <c r="K78" s="28">
        <f>IF($A78="","",SUMIFS('請求台帳'!$R$5:$R$1004,'請求台帳'!$C$5:$C$1004,$A78,'請求台帳'!$U$5:$U$1004,'設定'!$B$21))</f>
        <v/>
      </c>
      <c r="L78" s="28">
        <f>IF($A78="","",SUMIFS('請求台帳'!$R$5:$R$1004,'請求台帳'!$C$5:$C$1004,$A78,'請求台帳'!$U$5:$U$1004,'設定'!$B$22))</f>
        <v/>
      </c>
      <c r="M78" s="28">
        <f>IF($A78="","",SUMIFS('請求台帳'!$R$5:$R$1004,'請求台帳'!$C$5:$C$1004,$A78,'請求台帳'!$R$5:$R$1004,"&lt;0"))</f>
        <v/>
      </c>
      <c r="N78" s="28">
        <f>IF($A78="","",SUMIFS('入金消込'!$G$5:$G$1004,'入金消込'!$P$5:$P$1004,$A78,'入金消込'!$R$5:$R$1004,1)+SUMIFS('入金消込'!$H$5:$H$1004,'入金消込'!$P$5:$P$1004,$A78,'入金消込'!$R$5:$R$1004,1)+SUMIFS('入金消込'!$I$5:$I$1004,'入金消込'!$P$5:$P$1004,$A78,'入金消込'!$R$5:$R$1004,1))</f>
        <v/>
      </c>
      <c r="O78" s="30">
        <f>IF($A78="","",IF(ROUND($F78-(SUM($G78:$M78)-$N78),0)=0,"OK","差 "&amp;TEXT($F78-(SUM($G78:$M78)-$N78),"#,##0")))</f>
        <v/>
      </c>
    </row>
    <row r="79" ht="16" customHeight="1">
      <c r="A79" s="30">
        <f>IF('得意先'!$B$73="","",'得意先'!$B$73)</f>
        <v/>
      </c>
      <c r="B79" s="20">
        <f>IF($A79="","",'得意先'!$C$73&amp;"")</f>
        <v/>
      </c>
      <c r="C79" s="28">
        <f>IF($A79="","",SUMIF('請求台帳'!$C$5:$C$1004,$A79,'請求台帳'!$L$5:$L$1004))</f>
        <v/>
      </c>
      <c r="D79" s="28">
        <f>IF($A79="","",SUMIF('入金消込'!$P$5:$P$1004,$A79,'入金消込'!$G$5:$G$1004))</f>
        <v/>
      </c>
      <c r="E79" s="28">
        <f>IF($A79="","",SUMIF('入金消込'!$P$5:$P$1004,$A79,'入金消込'!$H$5:$H$1004)+SUMIF('入金消込'!$P$5:$P$1004,$A79,'入金消込'!$I$5:$I$1004))</f>
        <v/>
      </c>
      <c r="F79" s="67">
        <f>IF($A79="","",$C79-$D79-$E79)</f>
        <v/>
      </c>
      <c r="G79" s="28">
        <f>IF($A79="","",SUMIFS('請求台帳'!$R$5:$R$1004,'請求台帳'!$C$5:$C$1004,$A79,'請求台帳'!$U$5:$U$1004,'設定'!$B$17))</f>
        <v/>
      </c>
      <c r="H79" s="28">
        <f>IF($A79="","",SUMIFS('請求台帳'!$R$5:$R$1004,'請求台帳'!$C$5:$C$1004,$A79,'請求台帳'!$U$5:$U$1004,'設定'!$B$18))</f>
        <v/>
      </c>
      <c r="I79" s="28">
        <f>IF($A79="","",SUMIFS('請求台帳'!$R$5:$R$1004,'請求台帳'!$C$5:$C$1004,$A79,'請求台帳'!$U$5:$U$1004,'設定'!$B$19))</f>
        <v/>
      </c>
      <c r="J79" s="28">
        <f>IF($A79="","",SUMIFS('請求台帳'!$R$5:$R$1004,'請求台帳'!$C$5:$C$1004,$A79,'請求台帳'!$U$5:$U$1004,'設定'!$B$20))</f>
        <v/>
      </c>
      <c r="K79" s="28">
        <f>IF($A79="","",SUMIFS('請求台帳'!$R$5:$R$1004,'請求台帳'!$C$5:$C$1004,$A79,'請求台帳'!$U$5:$U$1004,'設定'!$B$21))</f>
        <v/>
      </c>
      <c r="L79" s="28">
        <f>IF($A79="","",SUMIFS('請求台帳'!$R$5:$R$1004,'請求台帳'!$C$5:$C$1004,$A79,'請求台帳'!$U$5:$U$1004,'設定'!$B$22))</f>
        <v/>
      </c>
      <c r="M79" s="28">
        <f>IF($A79="","",SUMIFS('請求台帳'!$R$5:$R$1004,'請求台帳'!$C$5:$C$1004,$A79,'請求台帳'!$R$5:$R$1004,"&lt;0"))</f>
        <v/>
      </c>
      <c r="N79" s="28">
        <f>IF($A79="","",SUMIFS('入金消込'!$G$5:$G$1004,'入金消込'!$P$5:$P$1004,$A79,'入金消込'!$R$5:$R$1004,1)+SUMIFS('入金消込'!$H$5:$H$1004,'入金消込'!$P$5:$P$1004,$A79,'入金消込'!$R$5:$R$1004,1)+SUMIFS('入金消込'!$I$5:$I$1004,'入金消込'!$P$5:$P$1004,$A79,'入金消込'!$R$5:$R$1004,1))</f>
        <v/>
      </c>
      <c r="O79" s="30">
        <f>IF($A79="","",IF(ROUND($F79-(SUM($G79:$M79)-$N79),0)=0,"OK","差 "&amp;TEXT($F79-(SUM($G79:$M79)-$N79),"#,##0")))</f>
        <v/>
      </c>
    </row>
    <row r="80" ht="16" customHeight="1">
      <c r="A80" s="30">
        <f>IF('得意先'!$B$74="","",'得意先'!$B$74)</f>
        <v/>
      </c>
      <c r="B80" s="20">
        <f>IF($A80="","",'得意先'!$C$74&amp;"")</f>
        <v/>
      </c>
      <c r="C80" s="28">
        <f>IF($A80="","",SUMIF('請求台帳'!$C$5:$C$1004,$A80,'請求台帳'!$L$5:$L$1004))</f>
        <v/>
      </c>
      <c r="D80" s="28">
        <f>IF($A80="","",SUMIF('入金消込'!$P$5:$P$1004,$A80,'入金消込'!$G$5:$G$1004))</f>
        <v/>
      </c>
      <c r="E80" s="28">
        <f>IF($A80="","",SUMIF('入金消込'!$P$5:$P$1004,$A80,'入金消込'!$H$5:$H$1004)+SUMIF('入金消込'!$P$5:$P$1004,$A80,'入金消込'!$I$5:$I$1004))</f>
        <v/>
      </c>
      <c r="F80" s="67">
        <f>IF($A80="","",$C80-$D80-$E80)</f>
        <v/>
      </c>
      <c r="G80" s="28">
        <f>IF($A80="","",SUMIFS('請求台帳'!$R$5:$R$1004,'請求台帳'!$C$5:$C$1004,$A80,'請求台帳'!$U$5:$U$1004,'設定'!$B$17))</f>
        <v/>
      </c>
      <c r="H80" s="28">
        <f>IF($A80="","",SUMIFS('請求台帳'!$R$5:$R$1004,'請求台帳'!$C$5:$C$1004,$A80,'請求台帳'!$U$5:$U$1004,'設定'!$B$18))</f>
        <v/>
      </c>
      <c r="I80" s="28">
        <f>IF($A80="","",SUMIFS('請求台帳'!$R$5:$R$1004,'請求台帳'!$C$5:$C$1004,$A80,'請求台帳'!$U$5:$U$1004,'設定'!$B$19))</f>
        <v/>
      </c>
      <c r="J80" s="28">
        <f>IF($A80="","",SUMIFS('請求台帳'!$R$5:$R$1004,'請求台帳'!$C$5:$C$1004,$A80,'請求台帳'!$U$5:$U$1004,'設定'!$B$20))</f>
        <v/>
      </c>
      <c r="K80" s="28">
        <f>IF($A80="","",SUMIFS('請求台帳'!$R$5:$R$1004,'請求台帳'!$C$5:$C$1004,$A80,'請求台帳'!$U$5:$U$1004,'設定'!$B$21))</f>
        <v/>
      </c>
      <c r="L80" s="28">
        <f>IF($A80="","",SUMIFS('請求台帳'!$R$5:$R$1004,'請求台帳'!$C$5:$C$1004,$A80,'請求台帳'!$U$5:$U$1004,'設定'!$B$22))</f>
        <v/>
      </c>
      <c r="M80" s="28">
        <f>IF($A80="","",SUMIFS('請求台帳'!$R$5:$R$1004,'請求台帳'!$C$5:$C$1004,$A80,'請求台帳'!$R$5:$R$1004,"&lt;0"))</f>
        <v/>
      </c>
      <c r="N80" s="28">
        <f>IF($A80="","",SUMIFS('入金消込'!$G$5:$G$1004,'入金消込'!$P$5:$P$1004,$A80,'入金消込'!$R$5:$R$1004,1)+SUMIFS('入金消込'!$H$5:$H$1004,'入金消込'!$P$5:$P$1004,$A80,'入金消込'!$R$5:$R$1004,1)+SUMIFS('入金消込'!$I$5:$I$1004,'入金消込'!$P$5:$P$1004,$A80,'入金消込'!$R$5:$R$1004,1))</f>
        <v/>
      </c>
      <c r="O80" s="30">
        <f>IF($A80="","",IF(ROUND($F80-(SUM($G80:$M80)-$N80),0)=0,"OK","差 "&amp;TEXT($F80-(SUM($G80:$M80)-$N80),"#,##0")))</f>
        <v/>
      </c>
    </row>
    <row r="81" ht="16" customHeight="1">
      <c r="A81" s="30">
        <f>IF('得意先'!$B$75="","",'得意先'!$B$75)</f>
        <v/>
      </c>
      <c r="B81" s="20">
        <f>IF($A81="","",'得意先'!$C$75&amp;"")</f>
        <v/>
      </c>
      <c r="C81" s="28">
        <f>IF($A81="","",SUMIF('請求台帳'!$C$5:$C$1004,$A81,'請求台帳'!$L$5:$L$1004))</f>
        <v/>
      </c>
      <c r="D81" s="28">
        <f>IF($A81="","",SUMIF('入金消込'!$P$5:$P$1004,$A81,'入金消込'!$G$5:$G$1004))</f>
        <v/>
      </c>
      <c r="E81" s="28">
        <f>IF($A81="","",SUMIF('入金消込'!$P$5:$P$1004,$A81,'入金消込'!$H$5:$H$1004)+SUMIF('入金消込'!$P$5:$P$1004,$A81,'入金消込'!$I$5:$I$1004))</f>
        <v/>
      </c>
      <c r="F81" s="67">
        <f>IF($A81="","",$C81-$D81-$E81)</f>
        <v/>
      </c>
      <c r="G81" s="28">
        <f>IF($A81="","",SUMIFS('請求台帳'!$R$5:$R$1004,'請求台帳'!$C$5:$C$1004,$A81,'請求台帳'!$U$5:$U$1004,'設定'!$B$17))</f>
        <v/>
      </c>
      <c r="H81" s="28">
        <f>IF($A81="","",SUMIFS('請求台帳'!$R$5:$R$1004,'請求台帳'!$C$5:$C$1004,$A81,'請求台帳'!$U$5:$U$1004,'設定'!$B$18))</f>
        <v/>
      </c>
      <c r="I81" s="28">
        <f>IF($A81="","",SUMIFS('請求台帳'!$R$5:$R$1004,'請求台帳'!$C$5:$C$1004,$A81,'請求台帳'!$U$5:$U$1004,'設定'!$B$19))</f>
        <v/>
      </c>
      <c r="J81" s="28">
        <f>IF($A81="","",SUMIFS('請求台帳'!$R$5:$R$1004,'請求台帳'!$C$5:$C$1004,$A81,'請求台帳'!$U$5:$U$1004,'設定'!$B$20))</f>
        <v/>
      </c>
      <c r="K81" s="28">
        <f>IF($A81="","",SUMIFS('請求台帳'!$R$5:$R$1004,'請求台帳'!$C$5:$C$1004,$A81,'請求台帳'!$U$5:$U$1004,'設定'!$B$21))</f>
        <v/>
      </c>
      <c r="L81" s="28">
        <f>IF($A81="","",SUMIFS('請求台帳'!$R$5:$R$1004,'請求台帳'!$C$5:$C$1004,$A81,'請求台帳'!$U$5:$U$1004,'設定'!$B$22))</f>
        <v/>
      </c>
      <c r="M81" s="28">
        <f>IF($A81="","",SUMIFS('請求台帳'!$R$5:$R$1004,'請求台帳'!$C$5:$C$1004,$A81,'請求台帳'!$R$5:$R$1004,"&lt;0"))</f>
        <v/>
      </c>
      <c r="N81" s="28">
        <f>IF($A81="","",SUMIFS('入金消込'!$G$5:$G$1004,'入金消込'!$P$5:$P$1004,$A81,'入金消込'!$R$5:$R$1004,1)+SUMIFS('入金消込'!$H$5:$H$1004,'入金消込'!$P$5:$P$1004,$A81,'入金消込'!$R$5:$R$1004,1)+SUMIFS('入金消込'!$I$5:$I$1004,'入金消込'!$P$5:$P$1004,$A81,'入金消込'!$R$5:$R$1004,1))</f>
        <v/>
      </c>
      <c r="O81" s="30">
        <f>IF($A81="","",IF(ROUND($F81-(SUM($G81:$M81)-$N81),0)=0,"OK","差 "&amp;TEXT($F81-(SUM($G81:$M81)-$N81),"#,##0")))</f>
        <v/>
      </c>
    </row>
    <row r="82" ht="16" customHeight="1">
      <c r="A82" s="30">
        <f>IF('得意先'!$B$76="","",'得意先'!$B$76)</f>
        <v/>
      </c>
      <c r="B82" s="20">
        <f>IF($A82="","",'得意先'!$C$76&amp;"")</f>
        <v/>
      </c>
      <c r="C82" s="28">
        <f>IF($A82="","",SUMIF('請求台帳'!$C$5:$C$1004,$A82,'請求台帳'!$L$5:$L$1004))</f>
        <v/>
      </c>
      <c r="D82" s="28">
        <f>IF($A82="","",SUMIF('入金消込'!$P$5:$P$1004,$A82,'入金消込'!$G$5:$G$1004))</f>
        <v/>
      </c>
      <c r="E82" s="28">
        <f>IF($A82="","",SUMIF('入金消込'!$P$5:$P$1004,$A82,'入金消込'!$H$5:$H$1004)+SUMIF('入金消込'!$P$5:$P$1004,$A82,'入金消込'!$I$5:$I$1004))</f>
        <v/>
      </c>
      <c r="F82" s="67">
        <f>IF($A82="","",$C82-$D82-$E82)</f>
        <v/>
      </c>
      <c r="G82" s="28">
        <f>IF($A82="","",SUMIFS('請求台帳'!$R$5:$R$1004,'請求台帳'!$C$5:$C$1004,$A82,'請求台帳'!$U$5:$U$1004,'設定'!$B$17))</f>
        <v/>
      </c>
      <c r="H82" s="28">
        <f>IF($A82="","",SUMIFS('請求台帳'!$R$5:$R$1004,'請求台帳'!$C$5:$C$1004,$A82,'請求台帳'!$U$5:$U$1004,'設定'!$B$18))</f>
        <v/>
      </c>
      <c r="I82" s="28">
        <f>IF($A82="","",SUMIFS('請求台帳'!$R$5:$R$1004,'請求台帳'!$C$5:$C$1004,$A82,'請求台帳'!$U$5:$U$1004,'設定'!$B$19))</f>
        <v/>
      </c>
      <c r="J82" s="28">
        <f>IF($A82="","",SUMIFS('請求台帳'!$R$5:$R$1004,'請求台帳'!$C$5:$C$1004,$A82,'請求台帳'!$U$5:$U$1004,'設定'!$B$20))</f>
        <v/>
      </c>
      <c r="K82" s="28">
        <f>IF($A82="","",SUMIFS('請求台帳'!$R$5:$R$1004,'請求台帳'!$C$5:$C$1004,$A82,'請求台帳'!$U$5:$U$1004,'設定'!$B$21))</f>
        <v/>
      </c>
      <c r="L82" s="28">
        <f>IF($A82="","",SUMIFS('請求台帳'!$R$5:$R$1004,'請求台帳'!$C$5:$C$1004,$A82,'請求台帳'!$U$5:$U$1004,'設定'!$B$22))</f>
        <v/>
      </c>
      <c r="M82" s="28">
        <f>IF($A82="","",SUMIFS('請求台帳'!$R$5:$R$1004,'請求台帳'!$C$5:$C$1004,$A82,'請求台帳'!$R$5:$R$1004,"&lt;0"))</f>
        <v/>
      </c>
      <c r="N82" s="28">
        <f>IF($A82="","",SUMIFS('入金消込'!$G$5:$G$1004,'入金消込'!$P$5:$P$1004,$A82,'入金消込'!$R$5:$R$1004,1)+SUMIFS('入金消込'!$H$5:$H$1004,'入金消込'!$P$5:$P$1004,$A82,'入金消込'!$R$5:$R$1004,1)+SUMIFS('入金消込'!$I$5:$I$1004,'入金消込'!$P$5:$P$1004,$A82,'入金消込'!$R$5:$R$1004,1))</f>
        <v/>
      </c>
      <c r="O82" s="30">
        <f>IF($A82="","",IF(ROUND($F82-(SUM($G82:$M82)-$N82),0)=0,"OK","差 "&amp;TEXT($F82-(SUM($G82:$M82)-$N82),"#,##0")))</f>
        <v/>
      </c>
    </row>
    <row r="83" ht="16" customHeight="1">
      <c r="A83" s="30">
        <f>IF('得意先'!$B$77="","",'得意先'!$B$77)</f>
        <v/>
      </c>
      <c r="B83" s="20">
        <f>IF($A83="","",'得意先'!$C$77&amp;"")</f>
        <v/>
      </c>
      <c r="C83" s="28">
        <f>IF($A83="","",SUMIF('請求台帳'!$C$5:$C$1004,$A83,'請求台帳'!$L$5:$L$1004))</f>
        <v/>
      </c>
      <c r="D83" s="28">
        <f>IF($A83="","",SUMIF('入金消込'!$P$5:$P$1004,$A83,'入金消込'!$G$5:$G$1004))</f>
        <v/>
      </c>
      <c r="E83" s="28">
        <f>IF($A83="","",SUMIF('入金消込'!$P$5:$P$1004,$A83,'入金消込'!$H$5:$H$1004)+SUMIF('入金消込'!$P$5:$P$1004,$A83,'入金消込'!$I$5:$I$1004))</f>
        <v/>
      </c>
      <c r="F83" s="67">
        <f>IF($A83="","",$C83-$D83-$E83)</f>
        <v/>
      </c>
      <c r="G83" s="28">
        <f>IF($A83="","",SUMIFS('請求台帳'!$R$5:$R$1004,'請求台帳'!$C$5:$C$1004,$A83,'請求台帳'!$U$5:$U$1004,'設定'!$B$17))</f>
        <v/>
      </c>
      <c r="H83" s="28">
        <f>IF($A83="","",SUMIFS('請求台帳'!$R$5:$R$1004,'請求台帳'!$C$5:$C$1004,$A83,'請求台帳'!$U$5:$U$1004,'設定'!$B$18))</f>
        <v/>
      </c>
      <c r="I83" s="28">
        <f>IF($A83="","",SUMIFS('請求台帳'!$R$5:$R$1004,'請求台帳'!$C$5:$C$1004,$A83,'請求台帳'!$U$5:$U$1004,'設定'!$B$19))</f>
        <v/>
      </c>
      <c r="J83" s="28">
        <f>IF($A83="","",SUMIFS('請求台帳'!$R$5:$R$1004,'請求台帳'!$C$5:$C$1004,$A83,'請求台帳'!$U$5:$U$1004,'設定'!$B$20))</f>
        <v/>
      </c>
      <c r="K83" s="28">
        <f>IF($A83="","",SUMIFS('請求台帳'!$R$5:$R$1004,'請求台帳'!$C$5:$C$1004,$A83,'請求台帳'!$U$5:$U$1004,'設定'!$B$21))</f>
        <v/>
      </c>
      <c r="L83" s="28">
        <f>IF($A83="","",SUMIFS('請求台帳'!$R$5:$R$1004,'請求台帳'!$C$5:$C$1004,$A83,'請求台帳'!$U$5:$U$1004,'設定'!$B$22))</f>
        <v/>
      </c>
      <c r="M83" s="28">
        <f>IF($A83="","",SUMIFS('請求台帳'!$R$5:$R$1004,'請求台帳'!$C$5:$C$1004,$A83,'請求台帳'!$R$5:$R$1004,"&lt;0"))</f>
        <v/>
      </c>
      <c r="N83" s="28">
        <f>IF($A83="","",SUMIFS('入金消込'!$G$5:$G$1004,'入金消込'!$P$5:$P$1004,$A83,'入金消込'!$R$5:$R$1004,1)+SUMIFS('入金消込'!$H$5:$H$1004,'入金消込'!$P$5:$P$1004,$A83,'入金消込'!$R$5:$R$1004,1)+SUMIFS('入金消込'!$I$5:$I$1004,'入金消込'!$P$5:$P$1004,$A83,'入金消込'!$R$5:$R$1004,1))</f>
        <v/>
      </c>
      <c r="O83" s="30">
        <f>IF($A83="","",IF(ROUND($F83-(SUM($G83:$M83)-$N83),0)=0,"OK","差 "&amp;TEXT($F83-(SUM($G83:$M83)-$N83),"#,##0")))</f>
        <v/>
      </c>
    </row>
    <row r="84" ht="16" customHeight="1">
      <c r="A84" s="30">
        <f>IF('得意先'!$B$78="","",'得意先'!$B$78)</f>
        <v/>
      </c>
      <c r="B84" s="20">
        <f>IF($A84="","",'得意先'!$C$78&amp;"")</f>
        <v/>
      </c>
      <c r="C84" s="28">
        <f>IF($A84="","",SUMIF('請求台帳'!$C$5:$C$1004,$A84,'請求台帳'!$L$5:$L$1004))</f>
        <v/>
      </c>
      <c r="D84" s="28">
        <f>IF($A84="","",SUMIF('入金消込'!$P$5:$P$1004,$A84,'入金消込'!$G$5:$G$1004))</f>
        <v/>
      </c>
      <c r="E84" s="28">
        <f>IF($A84="","",SUMIF('入金消込'!$P$5:$P$1004,$A84,'入金消込'!$H$5:$H$1004)+SUMIF('入金消込'!$P$5:$P$1004,$A84,'入金消込'!$I$5:$I$1004))</f>
        <v/>
      </c>
      <c r="F84" s="67">
        <f>IF($A84="","",$C84-$D84-$E84)</f>
        <v/>
      </c>
      <c r="G84" s="28">
        <f>IF($A84="","",SUMIFS('請求台帳'!$R$5:$R$1004,'請求台帳'!$C$5:$C$1004,$A84,'請求台帳'!$U$5:$U$1004,'設定'!$B$17))</f>
        <v/>
      </c>
      <c r="H84" s="28">
        <f>IF($A84="","",SUMIFS('請求台帳'!$R$5:$R$1004,'請求台帳'!$C$5:$C$1004,$A84,'請求台帳'!$U$5:$U$1004,'設定'!$B$18))</f>
        <v/>
      </c>
      <c r="I84" s="28">
        <f>IF($A84="","",SUMIFS('請求台帳'!$R$5:$R$1004,'請求台帳'!$C$5:$C$1004,$A84,'請求台帳'!$U$5:$U$1004,'設定'!$B$19))</f>
        <v/>
      </c>
      <c r="J84" s="28">
        <f>IF($A84="","",SUMIFS('請求台帳'!$R$5:$R$1004,'請求台帳'!$C$5:$C$1004,$A84,'請求台帳'!$U$5:$U$1004,'設定'!$B$20))</f>
        <v/>
      </c>
      <c r="K84" s="28">
        <f>IF($A84="","",SUMIFS('請求台帳'!$R$5:$R$1004,'請求台帳'!$C$5:$C$1004,$A84,'請求台帳'!$U$5:$U$1004,'設定'!$B$21))</f>
        <v/>
      </c>
      <c r="L84" s="28">
        <f>IF($A84="","",SUMIFS('請求台帳'!$R$5:$R$1004,'請求台帳'!$C$5:$C$1004,$A84,'請求台帳'!$U$5:$U$1004,'設定'!$B$22))</f>
        <v/>
      </c>
      <c r="M84" s="28">
        <f>IF($A84="","",SUMIFS('請求台帳'!$R$5:$R$1004,'請求台帳'!$C$5:$C$1004,$A84,'請求台帳'!$R$5:$R$1004,"&lt;0"))</f>
        <v/>
      </c>
      <c r="N84" s="28">
        <f>IF($A84="","",SUMIFS('入金消込'!$G$5:$G$1004,'入金消込'!$P$5:$P$1004,$A84,'入金消込'!$R$5:$R$1004,1)+SUMIFS('入金消込'!$H$5:$H$1004,'入金消込'!$P$5:$P$1004,$A84,'入金消込'!$R$5:$R$1004,1)+SUMIFS('入金消込'!$I$5:$I$1004,'入金消込'!$P$5:$P$1004,$A84,'入金消込'!$R$5:$R$1004,1))</f>
        <v/>
      </c>
      <c r="O84" s="30">
        <f>IF($A84="","",IF(ROUND($F84-(SUM($G84:$M84)-$N84),0)=0,"OK","差 "&amp;TEXT($F84-(SUM($G84:$M84)-$N84),"#,##0")))</f>
        <v/>
      </c>
    </row>
    <row r="85" ht="16" customHeight="1">
      <c r="A85" s="30">
        <f>IF('得意先'!$B$79="","",'得意先'!$B$79)</f>
        <v/>
      </c>
      <c r="B85" s="20">
        <f>IF($A85="","",'得意先'!$C$79&amp;"")</f>
        <v/>
      </c>
      <c r="C85" s="28">
        <f>IF($A85="","",SUMIF('請求台帳'!$C$5:$C$1004,$A85,'請求台帳'!$L$5:$L$1004))</f>
        <v/>
      </c>
      <c r="D85" s="28">
        <f>IF($A85="","",SUMIF('入金消込'!$P$5:$P$1004,$A85,'入金消込'!$G$5:$G$1004))</f>
        <v/>
      </c>
      <c r="E85" s="28">
        <f>IF($A85="","",SUMIF('入金消込'!$P$5:$P$1004,$A85,'入金消込'!$H$5:$H$1004)+SUMIF('入金消込'!$P$5:$P$1004,$A85,'入金消込'!$I$5:$I$1004))</f>
        <v/>
      </c>
      <c r="F85" s="67">
        <f>IF($A85="","",$C85-$D85-$E85)</f>
        <v/>
      </c>
      <c r="G85" s="28">
        <f>IF($A85="","",SUMIFS('請求台帳'!$R$5:$R$1004,'請求台帳'!$C$5:$C$1004,$A85,'請求台帳'!$U$5:$U$1004,'設定'!$B$17))</f>
        <v/>
      </c>
      <c r="H85" s="28">
        <f>IF($A85="","",SUMIFS('請求台帳'!$R$5:$R$1004,'請求台帳'!$C$5:$C$1004,$A85,'請求台帳'!$U$5:$U$1004,'設定'!$B$18))</f>
        <v/>
      </c>
      <c r="I85" s="28">
        <f>IF($A85="","",SUMIFS('請求台帳'!$R$5:$R$1004,'請求台帳'!$C$5:$C$1004,$A85,'請求台帳'!$U$5:$U$1004,'設定'!$B$19))</f>
        <v/>
      </c>
      <c r="J85" s="28">
        <f>IF($A85="","",SUMIFS('請求台帳'!$R$5:$R$1004,'請求台帳'!$C$5:$C$1004,$A85,'請求台帳'!$U$5:$U$1004,'設定'!$B$20))</f>
        <v/>
      </c>
      <c r="K85" s="28">
        <f>IF($A85="","",SUMIFS('請求台帳'!$R$5:$R$1004,'請求台帳'!$C$5:$C$1004,$A85,'請求台帳'!$U$5:$U$1004,'設定'!$B$21))</f>
        <v/>
      </c>
      <c r="L85" s="28">
        <f>IF($A85="","",SUMIFS('請求台帳'!$R$5:$R$1004,'請求台帳'!$C$5:$C$1004,$A85,'請求台帳'!$U$5:$U$1004,'設定'!$B$22))</f>
        <v/>
      </c>
      <c r="M85" s="28">
        <f>IF($A85="","",SUMIFS('請求台帳'!$R$5:$R$1004,'請求台帳'!$C$5:$C$1004,$A85,'請求台帳'!$R$5:$R$1004,"&lt;0"))</f>
        <v/>
      </c>
      <c r="N85" s="28">
        <f>IF($A85="","",SUMIFS('入金消込'!$G$5:$G$1004,'入金消込'!$P$5:$P$1004,$A85,'入金消込'!$R$5:$R$1004,1)+SUMIFS('入金消込'!$H$5:$H$1004,'入金消込'!$P$5:$P$1004,$A85,'入金消込'!$R$5:$R$1004,1)+SUMIFS('入金消込'!$I$5:$I$1004,'入金消込'!$P$5:$P$1004,$A85,'入金消込'!$R$5:$R$1004,1))</f>
        <v/>
      </c>
      <c r="O85" s="30">
        <f>IF($A85="","",IF(ROUND($F85-(SUM($G85:$M85)-$N85),0)=0,"OK","差 "&amp;TEXT($F85-(SUM($G85:$M85)-$N85),"#,##0")))</f>
        <v/>
      </c>
    </row>
    <row r="86" ht="16" customHeight="1">
      <c r="A86" s="30">
        <f>IF('得意先'!$B$80="","",'得意先'!$B$80)</f>
        <v/>
      </c>
      <c r="B86" s="20">
        <f>IF($A86="","",'得意先'!$C$80&amp;"")</f>
        <v/>
      </c>
      <c r="C86" s="28">
        <f>IF($A86="","",SUMIF('請求台帳'!$C$5:$C$1004,$A86,'請求台帳'!$L$5:$L$1004))</f>
        <v/>
      </c>
      <c r="D86" s="28">
        <f>IF($A86="","",SUMIF('入金消込'!$P$5:$P$1004,$A86,'入金消込'!$G$5:$G$1004))</f>
        <v/>
      </c>
      <c r="E86" s="28">
        <f>IF($A86="","",SUMIF('入金消込'!$P$5:$P$1004,$A86,'入金消込'!$H$5:$H$1004)+SUMIF('入金消込'!$P$5:$P$1004,$A86,'入金消込'!$I$5:$I$1004))</f>
        <v/>
      </c>
      <c r="F86" s="67">
        <f>IF($A86="","",$C86-$D86-$E86)</f>
        <v/>
      </c>
      <c r="G86" s="28">
        <f>IF($A86="","",SUMIFS('請求台帳'!$R$5:$R$1004,'請求台帳'!$C$5:$C$1004,$A86,'請求台帳'!$U$5:$U$1004,'設定'!$B$17))</f>
        <v/>
      </c>
      <c r="H86" s="28">
        <f>IF($A86="","",SUMIFS('請求台帳'!$R$5:$R$1004,'請求台帳'!$C$5:$C$1004,$A86,'請求台帳'!$U$5:$U$1004,'設定'!$B$18))</f>
        <v/>
      </c>
      <c r="I86" s="28">
        <f>IF($A86="","",SUMIFS('請求台帳'!$R$5:$R$1004,'請求台帳'!$C$5:$C$1004,$A86,'請求台帳'!$U$5:$U$1004,'設定'!$B$19))</f>
        <v/>
      </c>
      <c r="J86" s="28">
        <f>IF($A86="","",SUMIFS('請求台帳'!$R$5:$R$1004,'請求台帳'!$C$5:$C$1004,$A86,'請求台帳'!$U$5:$U$1004,'設定'!$B$20))</f>
        <v/>
      </c>
      <c r="K86" s="28">
        <f>IF($A86="","",SUMIFS('請求台帳'!$R$5:$R$1004,'請求台帳'!$C$5:$C$1004,$A86,'請求台帳'!$U$5:$U$1004,'設定'!$B$21))</f>
        <v/>
      </c>
      <c r="L86" s="28">
        <f>IF($A86="","",SUMIFS('請求台帳'!$R$5:$R$1004,'請求台帳'!$C$5:$C$1004,$A86,'請求台帳'!$U$5:$U$1004,'設定'!$B$22))</f>
        <v/>
      </c>
      <c r="M86" s="28">
        <f>IF($A86="","",SUMIFS('請求台帳'!$R$5:$R$1004,'請求台帳'!$C$5:$C$1004,$A86,'請求台帳'!$R$5:$R$1004,"&lt;0"))</f>
        <v/>
      </c>
      <c r="N86" s="28">
        <f>IF($A86="","",SUMIFS('入金消込'!$G$5:$G$1004,'入金消込'!$P$5:$P$1004,$A86,'入金消込'!$R$5:$R$1004,1)+SUMIFS('入金消込'!$H$5:$H$1004,'入金消込'!$P$5:$P$1004,$A86,'入金消込'!$R$5:$R$1004,1)+SUMIFS('入金消込'!$I$5:$I$1004,'入金消込'!$P$5:$P$1004,$A86,'入金消込'!$R$5:$R$1004,1))</f>
        <v/>
      </c>
      <c r="O86" s="30">
        <f>IF($A86="","",IF(ROUND($F86-(SUM($G86:$M86)-$N86),0)=0,"OK","差 "&amp;TEXT($F86-(SUM($G86:$M86)-$N86),"#,##0")))</f>
        <v/>
      </c>
    </row>
    <row r="87" ht="16" customHeight="1">
      <c r="A87" s="30">
        <f>IF('得意先'!$B$81="","",'得意先'!$B$81)</f>
        <v/>
      </c>
      <c r="B87" s="20">
        <f>IF($A87="","",'得意先'!$C$81&amp;"")</f>
        <v/>
      </c>
      <c r="C87" s="28">
        <f>IF($A87="","",SUMIF('請求台帳'!$C$5:$C$1004,$A87,'請求台帳'!$L$5:$L$1004))</f>
        <v/>
      </c>
      <c r="D87" s="28">
        <f>IF($A87="","",SUMIF('入金消込'!$P$5:$P$1004,$A87,'入金消込'!$G$5:$G$1004))</f>
        <v/>
      </c>
      <c r="E87" s="28">
        <f>IF($A87="","",SUMIF('入金消込'!$P$5:$P$1004,$A87,'入金消込'!$H$5:$H$1004)+SUMIF('入金消込'!$P$5:$P$1004,$A87,'入金消込'!$I$5:$I$1004))</f>
        <v/>
      </c>
      <c r="F87" s="67">
        <f>IF($A87="","",$C87-$D87-$E87)</f>
        <v/>
      </c>
      <c r="G87" s="28">
        <f>IF($A87="","",SUMIFS('請求台帳'!$R$5:$R$1004,'請求台帳'!$C$5:$C$1004,$A87,'請求台帳'!$U$5:$U$1004,'設定'!$B$17))</f>
        <v/>
      </c>
      <c r="H87" s="28">
        <f>IF($A87="","",SUMIFS('請求台帳'!$R$5:$R$1004,'請求台帳'!$C$5:$C$1004,$A87,'請求台帳'!$U$5:$U$1004,'設定'!$B$18))</f>
        <v/>
      </c>
      <c r="I87" s="28">
        <f>IF($A87="","",SUMIFS('請求台帳'!$R$5:$R$1004,'請求台帳'!$C$5:$C$1004,$A87,'請求台帳'!$U$5:$U$1004,'設定'!$B$19))</f>
        <v/>
      </c>
      <c r="J87" s="28">
        <f>IF($A87="","",SUMIFS('請求台帳'!$R$5:$R$1004,'請求台帳'!$C$5:$C$1004,$A87,'請求台帳'!$U$5:$U$1004,'設定'!$B$20))</f>
        <v/>
      </c>
      <c r="K87" s="28">
        <f>IF($A87="","",SUMIFS('請求台帳'!$R$5:$R$1004,'請求台帳'!$C$5:$C$1004,$A87,'請求台帳'!$U$5:$U$1004,'設定'!$B$21))</f>
        <v/>
      </c>
      <c r="L87" s="28">
        <f>IF($A87="","",SUMIFS('請求台帳'!$R$5:$R$1004,'請求台帳'!$C$5:$C$1004,$A87,'請求台帳'!$U$5:$U$1004,'設定'!$B$22))</f>
        <v/>
      </c>
      <c r="M87" s="28">
        <f>IF($A87="","",SUMIFS('請求台帳'!$R$5:$R$1004,'請求台帳'!$C$5:$C$1004,$A87,'請求台帳'!$R$5:$R$1004,"&lt;0"))</f>
        <v/>
      </c>
      <c r="N87" s="28">
        <f>IF($A87="","",SUMIFS('入金消込'!$G$5:$G$1004,'入金消込'!$P$5:$P$1004,$A87,'入金消込'!$R$5:$R$1004,1)+SUMIFS('入金消込'!$H$5:$H$1004,'入金消込'!$P$5:$P$1004,$A87,'入金消込'!$R$5:$R$1004,1)+SUMIFS('入金消込'!$I$5:$I$1004,'入金消込'!$P$5:$P$1004,$A87,'入金消込'!$R$5:$R$1004,1))</f>
        <v/>
      </c>
      <c r="O87" s="30">
        <f>IF($A87="","",IF(ROUND($F87-(SUM($G87:$M87)-$N87),0)=0,"OK","差 "&amp;TEXT($F87-(SUM($G87:$M87)-$N87),"#,##0")))</f>
        <v/>
      </c>
    </row>
    <row r="88" ht="16" customHeight="1">
      <c r="A88" s="30">
        <f>IF('得意先'!$B$82="","",'得意先'!$B$82)</f>
        <v/>
      </c>
      <c r="B88" s="20">
        <f>IF($A88="","",'得意先'!$C$82&amp;"")</f>
        <v/>
      </c>
      <c r="C88" s="28">
        <f>IF($A88="","",SUMIF('請求台帳'!$C$5:$C$1004,$A88,'請求台帳'!$L$5:$L$1004))</f>
        <v/>
      </c>
      <c r="D88" s="28">
        <f>IF($A88="","",SUMIF('入金消込'!$P$5:$P$1004,$A88,'入金消込'!$G$5:$G$1004))</f>
        <v/>
      </c>
      <c r="E88" s="28">
        <f>IF($A88="","",SUMIF('入金消込'!$P$5:$P$1004,$A88,'入金消込'!$H$5:$H$1004)+SUMIF('入金消込'!$P$5:$P$1004,$A88,'入金消込'!$I$5:$I$1004))</f>
        <v/>
      </c>
      <c r="F88" s="67">
        <f>IF($A88="","",$C88-$D88-$E88)</f>
        <v/>
      </c>
      <c r="G88" s="28">
        <f>IF($A88="","",SUMIFS('請求台帳'!$R$5:$R$1004,'請求台帳'!$C$5:$C$1004,$A88,'請求台帳'!$U$5:$U$1004,'設定'!$B$17))</f>
        <v/>
      </c>
      <c r="H88" s="28">
        <f>IF($A88="","",SUMIFS('請求台帳'!$R$5:$R$1004,'請求台帳'!$C$5:$C$1004,$A88,'請求台帳'!$U$5:$U$1004,'設定'!$B$18))</f>
        <v/>
      </c>
      <c r="I88" s="28">
        <f>IF($A88="","",SUMIFS('請求台帳'!$R$5:$R$1004,'請求台帳'!$C$5:$C$1004,$A88,'請求台帳'!$U$5:$U$1004,'設定'!$B$19))</f>
        <v/>
      </c>
      <c r="J88" s="28">
        <f>IF($A88="","",SUMIFS('請求台帳'!$R$5:$R$1004,'請求台帳'!$C$5:$C$1004,$A88,'請求台帳'!$U$5:$U$1004,'設定'!$B$20))</f>
        <v/>
      </c>
      <c r="K88" s="28">
        <f>IF($A88="","",SUMIFS('請求台帳'!$R$5:$R$1004,'請求台帳'!$C$5:$C$1004,$A88,'請求台帳'!$U$5:$U$1004,'設定'!$B$21))</f>
        <v/>
      </c>
      <c r="L88" s="28">
        <f>IF($A88="","",SUMIFS('請求台帳'!$R$5:$R$1004,'請求台帳'!$C$5:$C$1004,$A88,'請求台帳'!$U$5:$U$1004,'設定'!$B$22))</f>
        <v/>
      </c>
      <c r="M88" s="28">
        <f>IF($A88="","",SUMIFS('請求台帳'!$R$5:$R$1004,'請求台帳'!$C$5:$C$1004,$A88,'請求台帳'!$R$5:$R$1004,"&lt;0"))</f>
        <v/>
      </c>
      <c r="N88" s="28">
        <f>IF($A88="","",SUMIFS('入金消込'!$G$5:$G$1004,'入金消込'!$P$5:$P$1004,$A88,'入金消込'!$R$5:$R$1004,1)+SUMIFS('入金消込'!$H$5:$H$1004,'入金消込'!$P$5:$P$1004,$A88,'入金消込'!$R$5:$R$1004,1)+SUMIFS('入金消込'!$I$5:$I$1004,'入金消込'!$P$5:$P$1004,$A88,'入金消込'!$R$5:$R$1004,1))</f>
        <v/>
      </c>
      <c r="O88" s="30">
        <f>IF($A88="","",IF(ROUND($F88-(SUM($G88:$M88)-$N88),0)=0,"OK","差 "&amp;TEXT($F88-(SUM($G88:$M88)-$N88),"#,##0")))</f>
        <v/>
      </c>
    </row>
    <row r="89" ht="16" customHeight="1">
      <c r="A89" s="30">
        <f>IF('得意先'!$B$83="","",'得意先'!$B$83)</f>
        <v/>
      </c>
      <c r="B89" s="20">
        <f>IF($A89="","",'得意先'!$C$83&amp;"")</f>
        <v/>
      </c>
      <c r="C89" s="28">
        <f>IF($A89="","",SUMIF('請求台帳'!$C$5:$C$1004,$A89,'請求台帳'!$L$5:$L$1004))</f>
        <v/>
      </c>
      <c r="D89" s="28">
        <f>IF($A89="","",SUMIF('入金消込'!$P$5:$P$1004,$A89,'入金消込'!$G$5:$G$1004))</f>
        <v/>
      </c>
      <c r="E89" s="28">
        <f>IF($A89="","",SUMIF('入金消込'!$P$5:$P$1004,$A89,'入金消込'!$H$5:$H$1004)+SUMIF('入金消込'!$P$5:$P$1004,$A89,'入金消込'!$I$5:$I$1004))</f>
        <v/>
      </c>
      <c r="F89" s="67">
        <f>IF($A89="","",$C89-$D89-$E89)</f>
        <v/>
      </c>
      <c r="G89" s="28">
        <f>IF($A89="","",SUMIFS('請求台帳'!$R$5:$R$1004,'請求台帳'!$C$5:$C$1004,$A89,'請求台帳'!$U$5:$U$1004,'設定'!$B$17))</f>
        <v/>
      </c>
      <c r="H89" s="28">
        <f>IF($A89="","",SUMIFS('請求台帳'!$R$5:$R$1004,'請求台帳'!$C$5:$C$1004,$A89,'請求台帳'!$U$5:$U$1004,'設定'!$B$18))</f>
        <v/>
      </c>
      <c r="I89" s="28">
        <f>IF($A89="","",SUMIFS('請求台帳'!$R$5:$R$1004,'請求台帳'!$C$5:$C$1004,$A89,'請求台帳'!$U$5:$U$1004,'設定'!$B$19))</f>
        <v/>
      </c>
      <c r="J89" s="28">
        <f>IF($A89="","",SUMIFS('請求台帳'!$R$5:$R$1004,'請求台帳'!$C$5:$C$1004,$A89,'請求台帳'!$U$5:$U$1004,'設定'!$B$20))</f>
        <v/>
      </c>
      <c r="K89" s="28">
        <f>IF($A89="","",SUMIFS('請求台帳'!$R$5:$R$1004,'請求台帳'!$C$5:$C$1004,$A89,'請求台帳'!$U$5:$U$1004,'設定'!$B$21))</f>
        <v/>
      </c>
      <c r="L89" s="28">
        <f>IF($A89="","",SUMIFS('請求台帳'!$R$5:$R$1004,'請求台帳'!$C$5:$C$1004,$A89,'請求台帳'!$U$5:$U$1004,'設定'!$B$22))</f>
        <v/>
      </c>
      <c r="M89" s="28">
        <f>IF($A89="","",SUMIFS('請求台帳'!$R$5:$R$1004,'請求台帳'!$C$5:$C$1004,$A89,'請求台帳'!$R$5:$R$1004,"&lt;0"))</f>
        <v/>
      </c>
      <c r="N89" s="28">
        <f>IF($A89="","",SUMIFS('入金消込'!$G$5:$G$1004,'入金消込'!$P$5:$P$1004,$A89,'入金消込'!$R$5:$R$1004,1)+SUMIFS('入金消込'!$H$5:$H$1004,'入金消込'!$P$5:$P$1004,$A89,'入金消込'!$R$5:$R$1004,1)+SUMIFS('入金消込'!$I$5:$I$1004,'入金消込'!$P$5:$P$1004,$A89,'入金消込'!$R$5:$R$1004,1))</f>
        <v/>
      </c>
      <c r="O89" s="30">
        <f>IF($A89="","",IF(ROUND($F89-(SUM($G89:$M89)-$N89),0)=0,"OK","差 "&amp;TEXT($F89-(SUM($G89:$M89)-$N89),"#,##0")))</f>
        <v/>
      </c>
    </row>
    <row r="90" ht="16" customHeight="1">
      <c r="A90" s="30">
        <f>IF('得意先'!$B$84="","",'得意先'!$B$84)</f>
        <v/>
      </c>
      <c r="B90" s="20">
        <f>IF($A90="","",'得意先'!$C$84&amp;"")</f>
        <v/>
      </c>
      <c r="C90" s="28">
        <f>IF($A90="","",SUMIF('請求台帳'!$C$5:$C$1004,$A90,'請求台帳'!$L$5:$L$1004))</f>
        <v/>
      </c>
      <c r="D90" s="28">
        <f>IF($A90="","",SUMIF('入金消込'!$P$5:$P$1004,$A90,'入金消込'!$G$5:$G$1004))</f>
        <v/>
      </c>
      <c r="E90" s="28">
        <f>IF($A90="","",SUMIF('入金消込'!$P$5:$P$1004,$A90,'入金消込'!$H$5:$H$1004)+SUMIF('入金消込'!$P$5:$P$1004,$A90,'入金消込'!$I$5:$I$1004))</f>
        <v/>
      </c>
      <c r="F90" s="67">
        <f>IF($A90="","",$C90-$D90-$E90)</f>
        <v/>
      </c>
      <c r="G90" s="28">
        <f>IF($A90="","",SUMIFS('請求台帳'!$R$5:$R$1004,'請求台帳'!$C$5:$C$1004,$A90,'請求台帳'!$U$5:$U$1004,'設定'!$B$17))</f>
        <v/>
      </c>
      <c r="H90" s="28">
        <f>IF($A90="","",SUMIFS('請求台帳'!$R$5:$R$1004,'請求台帳'!$C$5:$C$1004,$A90,'請求台帳'!$U$5:$U$1004,'設定'!$B$18))</f>
        <v/>
      </c>
      <c r="I90" s="28">
        <f>IF($A90="","",SUMIFS('請求台帳'!$R$5:$R$1004,'請求台帳'!$C$5:$C$1004,$A90,'請求台帳'!$U$5:$U$1004,'設定'!$B$19))</f>
        <v/>
      </c>
      <c r="J90" s="28">
        <f>IF($A90="","",SUMIFS('請求台帳'!$R$5:$R$1004,'請求台帳'!$C$5:$C$1004,$A90,'請求台帳'!$U$5:$U$1004,'設定'!$B$20))</f>
        <v/>
      </c>
      <c r="K90" s="28">
        <f>IF($A90="","",SUMIFS('請求台帳'!$R$5:$R$1004,'請求台帳'!$C$5:$C$1004,$A90,'請求台帳'!$U$5:$U$1004,'設定'!$B$21))</f>
        <v/>
      </c>
      <c r="L90" s="28">
        <f>IF($A90="","",SUMIFS('請求台帳'!$R$5:$R$1004,'請求台帳'!$C$5:$C$1004,$A90,'請求台帳'!$U$5:$U$1004,'設定'!$B$22))</f>
        <v/>
      </c>
      <c r="M90" s="28">
        <f>IF($A90="","",SUMIFS('請求台帳'!$R$5:$R$1004,'請求台帳'!$C$5:$C$1004,$A90,'請求台帳'!$R$5:$R$1004,"&lt;0"))</f>
        <v/>
      </c>
      <c r="N90" s="28">
        <f>IF($A90="","",SUMIFS('入金消込'!$G$5:$G$1004,'入金消込'!$P$5:$P$1004,$A90,'入金消込'!$R$5:$R$1004,1)+SUMIFS('入金消込'!$H$5:$H$1004,'入金消込'!$P$5:$P$1004,$A90,'入金消込'!$R$5:$R$1004,1)+SUMIFS('入金消込'!$I$5:$I$1004,'入金消込'!$P$5:$P$1004,$A90,'入金消込'!$R$5:$R$1004,1))</f>
        <v/>
      </c>
      <c r="O90" s="30">
        <f>IF($A90="","",IF(ROUND($F90-(SUM($G90:$M90)-$N90),0)=0,"OK","差 "&amp;TEXT($F90-(SUM($G90:$M90)-$N90),"#,##0")))</f>
        <v/>
      </c>
    </row>
    <row r="91" ht="16" customHeight="1">
      <c r="A91" s="30">
        <f>IF('得意先'!$B$85="","",'得意先'!$B$85)</f>
        <v/>
      </c>
      <c r="B91" s="20">
        <f>IF($A91="","",'得意先'!$C$85&amp;"")</f>
        <v/>
      </c>
      <c r="C91" s="28">
        <f>IF($A91="","",SUMIF('請求台帳'!$C$5:$C$1004,$A91,'請求台帳'!$L$5:$L$1004))</f>
        <v/>
      </c>
      <c r="D91" s="28">
        <f>IF($A91="","",SUMIF('入金消込'!$P$5:$P$1004,$A91,'入金消込'!$G$5:$G$1004))</f>
        <v/>
      </c>
      <c r="E91" s="28">
        <f>IF($A91="","",SUMIF('入金消込'!$P$5:$P$1004,$A91,'入金消込'!$H$5:$H$1004)+SUMIF('入金消込'!$P$5:$P$1004,$A91,'入金消込'!$I$5:$I$1004))</f>
        <v/>
      </c>
      <c r="F91" s="67">
        <f>IF($A91="","",$C91-$D91-$E91)</f>
        <v/>
      </c>
      <c r="G91" s="28">
        <f>IF($A91="","",SUMIFS('請求台帳'!$R$5:$R$1004,'請求台帳'!$C$5:$C$1004,$A91,'請求台帳'!$U$5:$U$1004,'設定'!$B$17))</f>
        <v/>
      </c>
      <c r="H91" s="28">
        <f>IF($A91="","",SUMIFS('請求台帳'!$R$5:$R$1004,'請求台帳'!$C$5:$C$1004,$A91,'請求台帳'!$U$5:$U$1004,'設定'!$B$18))</f>
        <v/>
      </c>
      <c r="I91" s="28">
        <f>IF($A91="","",SUMIFS('請求台帳'!$R$5:$R$1004,'請求台帳'!$C$5:$C$1004,$A91,'請求台帳'!$U$5:$U$1004,'設定'!$B$19))</f>
        <v/>
      </c>
      <c r="J91" s="28">
        <f>IF($A91="","",SUMIFS('請求台帳'!$R$5:$R$1004,'請求台帳'!$C$5:$C$1004,$A91,'請求台帳'!$U$5:$U$1004,'設定'!$B$20))</f>
        <v/>
      </c>
      <c r="K91" s="28">
        <f>IF($A91="","",SUMIFS('請求台帳'!$R$5:$R$1004,'請求台帳'!$C$5:$C$1004,$A91,'請求台帳'!$U$5:$U$1004,'設定'!$B$21))</f>
        <v/>
      </c>
      <c r="L91" s="28">
        <f>IF($A91="","",SUMIFS('請求台帳'!$R$5:$R$1004,'請求台帳'!$C$5:$C$1004,$A91,'請求台帳'!$U$5:$U$1004,'設定'!$B$22))</f>
        <v/>
      </c>
      <c r="M91" s="28">
        <f>IF($A91="","",SUMIFS('請求台帳'!$R$5:$R$1004,'請求台帳'!$C$5:$C$1004,$A91,'請求台帳'!$R$5:$R$1004,"&lt;0"))</f>
        <v/>
      </c>
      <c r="N91" s="28">
        <f>IF($A91="","",SUMIFS('入金消込'!$G$5:$G$1004,'入金消込'!$P$5:$P$1004,$A91,'入金消込'!$R$5:$R$1004,1)+SUMIFS('入金消込'!$H$5:$H$1004,'入金消込'!$P$5:$P$1004,$A91,'入金消込'!$R$5:$R$1004,1)+SUMIFS('入金消込'!$I$5:$I$1004,'入金消込'!$P$5:$P$1004,$A91,'入金消込'!$R$5:$R$1004,1))</f>
        <v/>
      </c>
      <c r="O91" s="30">
        <f>IF($A91="","",IF(ROUND($F91-(SUM($G91:$M91)-$N91),0)=0,"OK","差 "&amp;TEXT($F91-(SUM($G91:$M91)-$N91),"#,##0")))</f>
        <v/>
      </c>
    </row>
    <row r="92" ht="16" customHeight="1">
      <c r="A92" s="30">
        <f>IF('得意先'!$B$86="","",'得意先'!$B$86)</f>
        <v/>
      </c>
      <c r="B92" s="20">
        <f>IF($A92="","",'得意先'!$C$86&amp;"")</f>
        <v/>
      </c>
      <c r="C92" s="28">
        <f>IF($A92="","",SUMIF('請求台帳'!$C$5:$C$1004,$A92,'請求台帳'!$L$5:$L$1004))</f>
        <v/>
      </c>
      <c r="D92" s="28">
        <f>IF($A92="","",SUMIF('入金消込'!$P$5:$P$1004,$A92,'入金消込'!$G$5:$G$1004))</f>
        <v/>
      </c>
      <c r="E92" s="28">
        <f>IF($A92="","",SUMIF('入金消込'!$P$5:$P$1004,$A92,'入金消込'!$H$5:$H$1004)+SUMIF('入金消込'!$P$5:$P$1004,$A92,'入金消込'!$I$5:$I$1004))</f>
        <v/>
      </c>
      <c r="F92" s="67">
        <f>IF($A92="","",$C92-$D92-$E92)</f>
        <v/>
      </c>
      <c r="G92" s="28">
        <f>IF($A92="","",SUMIFS('請求台帳'!$R$5:$R$1004,'請求台帳'!$C$5:$C$1004,$A92,'請求台帳'!$U$5:$U$1004,'設定'!$B$17))</f>
        <v/>
      </c>
      <c r="H92" s="28">
        <f>IF($A92="","",SUMIFS('請求台帳'!$R$5:$R$1004,'請求台帳'!$C$5:$C$1004,$A92,'請求台帳'!$U$5:$U$1004,'設定'!$B$18))</f>
        <v/>
      </c>
      <c r="I92" s="28">
        <f>IF($A92="","",SUMIFS('請求台帳'!$R$5:$R$1004,'請求台帳'!$C$5:$C$1004,$A92,'請求台帳'!$U$5:$U$1004,'設定'!$B$19))</f>
        <v/>
      </c>
      <c r="J92" s="28">
        <f>IF($A92="","",SUMIFS('請求台帳'!$R$5:$R$1004,'請求台帳'!$C$5:$C$1004,$A92,'請求台帳'!$U$5:$U$1004,'設定'!$B$20))</f>
        <v/>
      </c>
      <c r="K92" s="28">
        <f>IF($A92="","",SUMIFS('請求台帳'!$R$5:$R$1004,'請求台帳'!$C$5:$C$1004,$A92,'請求台帳'!$U$5:$U$1004,'設定'!$B$21))</f>
        <v/>
      </c>
      <c r="L92" s="28">
        <f>IF($A92="","",SUMIFS('請求台帳'!$R$5:$R$1004,'請求台帳'!$C$5:$C$1004,$A92,'請求台帳'!$U$5:$U$1004,'設定'!$B$22))</f>
        <v/>
      </c>
      <c r="M92" s="28">
        <f>IF($A92="","",SUMIFS('請求台帳'!$R$5:$R$1004,'請求台帳'!$C$5:$C$1004,$A92,'請求台帳'!$R$5:$R$1004,"&lt;0"))</f>
        <v/>
      </c>
      <c r="N92" s="28">
        <f>IF($A92="","",SUMIFS('入金消込'!$G$5:$G$1004,'入金消込'!$P$5:$P$1004,$A92,'入金消込'!$R$5:$R$1004,1)+SUMIFS('入金消込'!$H$5:$H$1004,'入金消込'!$P$5:$P$1004,$A92,'入金消込'!$R$5:$R$1004,1)+SUMIFS('入金消込'!$I$5:$I$1004,'入金消込'!$P$5:$P$1004,$A92,'入金消込'!$R$5:$R$1004,1))</f>
        <v/>
      </c>
      <c r="O92" s="30">
        <f>IF($A92="","",IF(ROUND($F92-(SUM($G92:$M92)-$N92),0)=0,"OK","差 "&amp;TEXT($F92-(SUM($G92:$M92)-$N92),"#,##0")))</f>
        <v/>
      </c>
    </row>
    <row r="93" ht="16" customHeight="1">
      <c r="A93" s="30">
        <f>IF('得意先'!$B$87="","",'得意先'!$B$87)</f>
        <v/>
      </c>
      <c r="B93" s="20">
        <f>IF($A93="","",'得意先'!$C$87&amp;"")</f>
        <v/>
      </c>
      <c r="C93" s="28">
        <f>IF($A93="","",SUMIF('請求台帳'!$C$5:$C$1004,$A93,'請求台帳'!$L$5:$L$1004))</f>
        <v/>
      </c>
      <c r="D93" s="28">
        <f>IF($A93="","",SUMIF('入金消込'!$P$5:$P$1004,$A93,'入金消込'!$G$5:$G$1004))</f>
        <v/>
      </c>
      <c r="E93" s="28">
        <f>IF($A93="","",SUMIF('入金消込'!$P$5:$P$1004,$A93,'入金消込'!$H$5:$H$1004)+SUMIF('入金消込'!$P$5:$P$1004,$A93,'入金消込'!$I$5:$I$1004))</f>
        <v/>
      </c>
      <c r="F93" s="67">
        <f>IF($A93="","",$C93-$D93-$E93)</f>
        <v/>
      </c>
      <c r="G93" s="28">
        <f>IF($A93="","",SUMIFS('請求台帳'!$R$5:$R$1004,'請求台帳'!$C$5:$C$1004,$A93,'請求台帳'!$U$5:$U$1004,'設定'!$B$17))</f>
        <v/>
      </c>
      <c r="H93" s="28">
        <f>IF($A93="","",SUMIFS('請求台帳'!$R$5:$R$1004,'請求台帳'!$C$5:$C$1004,$A93,'請求台帳'!$U$5:$U$1004,'設定'!$B$18))</f>
        <v/>
      </c>
      <c r="I93" s="28">
        <f>IF($A93="","",SUMIFS('請求台帳'!$R$5:$R$1004,'請求台帳'!$C$5:$C$1004,$A93,'請求台帳'!$U$5:$U$1004,'設定'!$B$19))</f>
        <v/>
      </c>
      <c r="J93" s="28">
        <f>IF($A93="","",SUMIFS('請求台帳'!$R$5:$R$1004,'請求台帳'!$C$5:$C$1004,$A93,'請求台帳'!$U$5:$U$1004,'設定'!$B$20))</f>
        <v/>
      </c>
      <c r="K93" s="28">
        <f>IF($A93="","",SUMIFS('請求台帳'!$R$5:$R$1004,'請求台帳'!$C$5:$C$1004,$A93,'請求台帳'!$U$5:$U$1004,'設定'!$B$21))</f>
        <v/>
      </c>
      <c r="L93" s="28">
        <f>IF($A93="","",SUMIFS('請求台帳'!$R$5:$R$1004,'請求台帳'!$C$5:$C$1004,$A93,'請求台帳'!$U$5:$U$1004,'設定'!$B$22))</f>
        <v/>
      </c>
      <c r="M93" s="28">
        <f>IF($A93="","",SUMIFS('請求台帳'!$R$5:$R$1004,'請求台帳'!$C$5:$C$1004,$A93,'請求台帳'!$R$5:$R$1004,"&lt;0"))</f>
        <v/>
      </c>
      <c r="N93" s="28">
        <f>IF($A93="","",SUMIFS('入金消込'!$G$5:$G$1004,'入金消込'!$P$5:$P$1004,$A93,'入金消込'!$R$5:$R$1004,1)+SUMIFS('入金消込'!$H$5:$H$1004,'入金消込'!$P$5:$P$1004,$A93,'入金消込'!$R$5:$R$1004,1)+SUMIFS('入金消込'!$I$5:$I$1004,'入金消込'!$P$5:$P$1004,$A93,'入金消込'!$R$5:$R$1004,1))</f>
        <v/>
      </c>
      <c r="O93" s="30">
        <f>IF($A93="","",IF(ROUND($F93-(SUM($G93:$M93)-$N93),0)=0,"OK","差 "&amp;TEXT($F93-(SUM($G93:$M93)-$N93),"#,##0")))</f>
        <v/>
      </c>
    </row>
    <row r="94" ht="16" customHeight="1">
      <c r="A94" s="30">
        <f>IF('得意先'!$B$88="","",'得意先'!$B$88)</f>
        <v/>
      </c>
      <c r="B94" s="20">
        <f>IF($A94="","",'得意先'!$C$88&amp;"")</f>
        <v/>
      </c>
      <c r="C94" s="28">
        <f>IF($A94="","",SUMIF('請求台帳'!$C$5:$C$1004,$A94,'請求台帳'!$L$5:$L$1004))</f>
        <v/>
      </c>
      <c r="D94" s="28">
        <f>IF($A94="","",SUMIF('入金消込'!$P$5:$P$1004,$A94,'入金消込'!$G$5:$G$1004))</f>
        <v/>
      </c>
      <c r="E94" s="28">
        <f>IF($A94="","",SUMIF('入金消込'!$P$5:$P$1004,$A94,'入金消込'!$H$5:$H$1004)+SUMIF('入金消込'!$P$5:$P$1004,$A94,'入金消込'!$I$5:$I$1004))</f>
        <v/>
      </c>
      <c r="F94" s="67">
        <f>IF($A94="","",$C94-$D94-$E94)</f>
        <v/>
      </c>
      <c r="G94" s="28">
        <f>IF($A94="","",SUMIFS('請求台帳'!$R$5:$R$1004,'請求台帳'!$C$5:$C$1004,$A94,'請求台帳'!$U$5:$U$1004,'設定'!$B$17))</f>
        <v/>
      </c>
      <c r="H94" s="28">
        <f>IF($A94="","",SUMIFS('請求台帳'!$R$5:$R$1004,'請求台帳'!$C$5:$C$1004,$A94,'請求台帳'!$U$5:$U$1004,'設定'!$B$18))</f>
        <v/>
      </c>
      <c r="I94" s="28">
        <f>IF($A94="","",SUMIFS('請求台帳'!$R$5:$R$1004,'請求台帳'!$C$5:$C$1004,$A94,'請求台帳'!$U$5:$U$1004,'設定'!$B$19))</f>
        <v/>
      </c>
      <c r="J94" s="28">
        <f>IF($A94="","",SUMIFS('請求台帳'!$R$5:$R$1004,'請求台帳'!$C$5:$C$1004,$A94,'請求台帳'!$U$5:$U$1004,'設定'!$B$20))</f>
        <v/>
      </c>
      <c r="K94" s="28">
        <f>IF($A94="","",SUMIFS('請求台帳'!$R$5:$R$1004,'請求台帳'!$C$5:$C$1004,$A94,'請求台帳'!$U$5:$U$1004,'設定'!$B$21))</f>
        <v/>
      </c>
      <c r="L94" s="28">
        <f>IF($A94="","",SUMIFS('請求台帳'!$R$5:$R$1004,'請求台帳'!$C$5:$C$1004,$A94,'請求台帳'!$U$5:$U$1004,'設定'!$B$22))</f>
        <v/>
      </c>
      <c r="M94" s="28">
        <f>IF($A94="","",SUMIFS('請求台帳'!$R$5:$R$1004,'請求台帳'!$C$5:$C$1004,$A94,'請求台帳'!$R$5:$R$1004,"&lt;0"))</f>
        <v/>
      </c>
      <c r="N94" s="28">
        <f>IF($A94="","",SUMIFS('入金消込'!$G$5:$G$1004,'入金消込'!$P$5:$P$1004,$A94,'入金消込'!$R$5:$R$1004,1)+SUMIFS('入金消込'!$H$5:$H$1004,'入金消込'!$P$5:$P$1004,$A94,'入金消込'!$R$5:$R$1004,1)+SUMIFS('入金消込'!$I$5:$I$1004,'入金消込'!$P$5:$P$1004,$A94,'入金消込'!$R$5:$R$1004,1))</f>
        <v/>
      </c>
      <c r="O94" s="30">
        <f>IF($A94="","",IF(ROUND($F94-(SUM($G94:$M94)-$N94),0)=0,"OK","差 "&amp;TEXT($F94-(SUM($G94:$M94)-$N94),"#,##0")))</f>
        <v/>
      </c>
    </row>
    <row r="95" ht="16" customHeight="1">
      <c r="A95" s="30">
        <f>IF('得意先'!$B$89="","",'得意先'!$B$89)</f>
        <v/>
      </c>
      <c r="B95" s="20">
        <f>IF($A95="","",'得意先'!$C$89&amp;"")</f>
        <v/>
      </c>
      <c r="C95" s="28">
        <f>IF($A95="","",SUMIF('請求台帳'!$C$5:$C$1004,$A95,'請求台帳'!$L$5:$L$1004))</f>
        <v/>
      </c>
      <c r="D95" s="28">
        <f>IF($A95="","",SUMIF('入金消込'!$P$5:$P$1004,$A95,'入金消込'!$G$5:$G$1004))</f>
        <v/>
      </c>
      <c r="E95" s="28">
        <f>IF($A95="","",SUMIF('入金消込'!$P$5:$P$1004,$A95,'入金消込'!$H$5:$H$1004)+SUMIF('入金消込'!$P$5:$P$1004,$A95,'入金消込'!$I$5:$I$1004))</f>
        <v/>
      </c>
      <c r="F95" s="67">
        <f>IF($A95="","",$C95-$D95-$E95)</f>
        <v/>
      </c>
      <c r="G95" s="28">
        <f>IF($A95="","",SUMIFS('請求台帳'!$R$5:$R$1004,'請求台帳'!$C$5:$C$1004,$A95,'請求台帳'!$U$5:$U$1004,'設定'!$B$17))</f>
        <v/>
      </c>
      <c r="H95" s="28">
        <f>IF($A95="","",SUMIFS('請求台帳'!$R$5:$R$1004,'請求台帳'!$C$5:$C$1004,$A95,'請求台帳'!$U$5:$U$1004,'設定'!$B$18))</f>
        <v/>
      </c>
      <c r="I95" s="28">
        <f>IF($A95="","",SUMIFS('請求台帳'!$R$5:$R$1004,'請求台帳'!$C$5:$C$1004,$A95,'請求台帳'!$U$5:$U$1004,'設定'!$B$19))</f>
        <v/>
      </c>
      <c r="J95" s="28">
        <f>IF($A95="","",SUMIFS('請求台帳'!$R$5:$R$1004,'請求台帳'!$C$5:$C$1004,$A95,'請求台帳'!$U$5:$U$1004,'設定'!$B$20))</f>
        <v/>
      </c>
      <c r="K95" s="28">
        <f>IF($A95="","",SUMIFS('請求台帳'!$R$5:$R$1004,'請求台帳'!$C$5:$C$1004,$A95,'請求台帳'!$U$5:$U$1004,'設定'!$B$21))</f>
        <v/>
      </c>
      <c r="L95" s="28">
        <f>IF($A95="","",SUMIFS('請求台帳'!$R$5:$R$1004,'請求台帳'!$C$5:$C$1004,$A95,'請求台帳'!$U$5:$U$1004,'設定'!$B$22))</f>
        <v/>
      </c>
      <c r="M95" s="28">
        <f>IF($A95="","",SUMIFS('請求台帳'!$R$5:$R$1004,'請求台帳'!$C$5:$C$1004,$A95,'請求台帳'!$R$5:$R$1004,"&lt;0"))</f>
        <v/>
      </c>
      <c r="N95" s="28">
        <f>IF($A95="","",SUMIFS('入金消込'!$G$5:$G$1004,'入金消込'!$P$5:$P$1004,$A95,'入金消込'!$R$5:$R$1004,1)+SUMIFS('入金消込'!$H$5:$H$1004,'入金消込'!$P$5:$P$1004,$A95,'入金消込'!$R$5:$R$1004,1)+SUMIFS('入金消込'!$I$5:$I$1004,'入金消込'!$P$5:$P$1004,$A95,'入金消込'!$R$5:$R$1004,1))</f>
        <v/>
      </c>
      <c r="O95" s="30">
        <f>IF($A95="","",IF(ROUND($F95-(SUM($G95:$M95)-$N95),0)=0,"OK","差 "&amp;TEXT($F95-(SUM($G95:$M95)-$N95),"#,##0")))</f>
        <v/>
      </c>
    </row>
    <row r="96" ht="16" customHeight="1">
      <c r="A96" s="30">
        <f>IF('得意先'!$B$90="","",'得意先'!$B$90)</f>
        <v/>
      </c>
      <c r="B96" s="20">
        <f>IF($A96="","",'得意先'!$C$90&amp;"")</f>
        <v/>
      </c>
      <c r="C96" s="28">
        <f>IF($A96="","",SUMIF('請求台帳'!$C$5:$C$1004,$A96,'請求台帳'!$L$5:$L$1004))</f>
        <v/>
      </c>
      <c r="D96" s="28">
        <f>IF($A96="","",SUMIF('入金消込'!$P$5:$P$1004,$A96,'入金消込'!$G$5:$G$1004))</f>
        <v/>
      </c>
      <c r="E96" s="28">
        <f>IF($A96="","",SUMIF('入金消込'!$P$5:$P$1004,$A96,'入金消込'!$H$5:$H$1004)+SUMIF('入金消込'!$P$5:$P$1004,$A96,'入金消込'!$I$5:$I$1004))</f>
        <v/>
      </c>
      <c r="F96" s="67">
        <f>IF($A96="","",$C96-$D96-$E96)</f>
        <v/>
      </c>
      <c r="G96" s="28">
        <f>IF($A96="","",SUMIFS('請求台帳'!$R$5:$R$1004,'請求台帳'!$C$5:$C$1004,$A96,'請求台帳'!$U$5:$U$1004,'設定'!$B$17))</f>
        <v/>
      </c>
      <c r="H96" s="28">
        <f>IF($A96="","",SUMIFS('請求台帳'!$R$5:$R$1004,'請求台帳'!$C$5:$C$1004,$A96,'請求台帳'!$U$5:$U$1004,'設定'!$B$18))</f>
        <v/>
      </c>
      <c r="I96" s="28">
        <f>IF($A96="","",SUMIFS('請求台帳'!$R$5:$R$1004,'請求台帳'!$C$5:$C$1004,$A96,'請求台帳'!$U$5:$U$1004,'設定'!$B$19))</f>
        <v/>
      </c>
      <c r="J96" s="28">
        <f>IF($A96="","",SUMIFS('請求台帳'!$R$5:$R$1004,'請求台帳'!$C$5:$C$1004,$A96,'請求台帳'!$U$5:$U$1004,'設定'!$B$20))</f>
        <v/>
      </c>
      <c r="K96" s="28">
        <f>IF($A96="","",SUMIFS('請求台帳'!$R$5:$R$1004,'請求台帳'!$C$5:$C$1004,$A96,'請求台帳'!$U$5:$U$1004,'設定'!$B$21))</f>
        <v/>
      </c>
      <c r="L96" s="28">
        <f>IF($A96="","",SUMIFS('請求台帳'!$R$5:$R$1004,'請求台帳'!$C$5:$C$1004,$A96,'請求台帳'!$U$5:$U$1004,'設定'!$B$22))</f>
        <v/>
      </c>
      <c r="M96" s="28">
        <f>IF($A96="","",SUMIFS('請求台帳'!$R$5:$R$1004,'請求台帳'!$C$5:$C$1004,$A96,'請求台帳'!$R$5:$R$1004,"&lt;0"))</f>
        <v/>
      </c>
      <c r="N96" s="28">
        <f>IF($A96="","",SUMIFS('入金消込'!$G$5:$G$1004,'入金消込'!$P$5:$P$1004,$A96,'入金消込'!$R$5:$R$1004,1)+SUMIFS('入金消込'!$H$5:$H$1004,'入金消込'!$P$5:$P$1004,$A96,'入金消込'!$R$5:$R$1004,1)+SUMIFS('入金消込'!$I$5:$I$1004,'入金消込'!$P$5:$P$1004,$A96,'入金消込'!$R$5:$R$1004,1))</f>
        <v/>
      </c>
      <c r="O96" s="30">
        <f>IF($A96="","",IF(ROUND($F96-(SUM($G96:$M96)-$N96),0)=0,"OK","差 "&amp;TEXT($F96-(SUM($G96:$M96)-$N96),"#,##0")))</f>
        <v/>
      </c>
    </row>
    <row r="97" ht="16" customHeight="1">
      <c r="A97" s="30">
        <f>IF('得意先'!$B$91="","",'得意先'!$B$91)</f>
        <v/>
      </c>
      <c r="B97" s="20">
        <f>IF($A97="","",'得意先'!$C$91&amp;"")</f>
        <v/>
      </c>
      <c r="C97" s="28">
        <f>IF($A97="","",SUMIF('請求台帳'!$C$5:$C$1004,$A97,'請求台帳'!$L$5:$L$1004))</f>
        <v/>
      </c>
      <c r="D97" s="28">
        <f>IF($A97="","",SUMIF('入金消込'!$P$5:$P$1004,$A97,'入金消込'!$G$5:$G$1004))</f>
        <v/>
      </c>
      <c r="E97" s="28">
        <f>IF($A97="","",SUMIF('入金消込'!$P$5:$P$1004,$A97,'入金消込'!$H$5:$H$1004)+SUMIF('入金消込'!$P$5:$P$1004,$A97,'入金消込'!$I$5:$I$1004))</f>
        <v/>
      </c>
      <c r="F97" s="67">
        <f>IF($A97="","",$C97-$D97-$E97)</f>
        <v/>
      </c>
      <c r="G97" s="28">
        <f>IF($A97="","",SUMIFS('請求台帳'!$R$5:$R$1004,'請求台帳'!$C$5:$C$1004,$A97,'請求台帳'!$U$5:$U$1004,'設定'!$B$17))</f>
        <v/>
      </c>
      <c r="H97" s="28">
        <f>IF($A97="","",SUMIFS('請求台帳'!$R$5:$R$1004,'請求台帳'!$C$5:$C$1004,$A97,'請求台帳'!$U$5:$U$1004,'設定'!$B$18))</f>
        <v/>
      </c>
      <c r="I97" s="28">
        <f>IF($A97="","",SUMIFS('請求台帳'!$R$5:$R$1004,'請求台帳'!$C$5:$C$1004,$A97,'請求台帳'!$U$5:$U$1004,'設定'!$B$19))</f>
        <v/>
      </c>
      <c r="J97" s="28">
        <f>IF($A97="","",SUMIFS('請求台帳'!$R$5:$R$1004,'請求台帳'!$C$5:$C$1004,$A97,'請求台帳'!$U$5:$U$1004,'設定'!$B$20))</f>
        <v/>
      </c>
      <c r="K97" s="28">
        <f>IF($A97="","",SUMIFS('請求台帳'!$R$5:$R$1004,'請求台帳'!$C$5:$C$1004,$A97,'請求台帳'!$U$5:$U$1004,'設定'!$B$21))</f>
        <v/>
      </c>
      <c r="L97" s="28">
        <f>IF($A97="","",SUMIFS('請求台帳'!$R$5:$R$1004,'請求台帳'!$C$5:$C$1004,$A97,'請求台帳'!$U$5:$U$1004,'設定'!$B$22))</f>
        <v/>
      </c>
      <c r="M97" s="28">
        <f>IF($A97="","",SUMIFS('請求台帳'!$R$5:$R$1004,'請求台帳'!$C$5:$C$1004,$A97,'請求台帳'!$R$5:$R$1004,"&lt;0"))</f>
        <v/>
      </c>
      <c r="N97" s="28">
        <f>IF($A97="","",SUMIFS('入金消込'!$G$5:$G$1004,'入金消込'!$P$5:$P$1004,$A97,'入金消込'!$R$5:$R$1004,1)+SUMIFS('入金消込'!$H$5:$H$1004,'入金消込'!$P$5:$P$1004,$A97,'入金消込'!$R$5:$R$1004,1)+SUMIFS('入金消込'!$I$5:$I$1004,'入金消込'!$P$5:$P$1004,$A97,'入金消込'!$R$5:$R$1004,1))</f>
        <v/>
      </c>
      <c r="O97" s="30">
        <f>IF($A97="","",IF(ROUND($F97-(SUM($G97:$M97)-$N97),0)=0,"OK","差 "&amp;TEXT($F97-(SUM($G97:$M97)-$N97),"#,##0")))</f>
        <v/>
      </c>
    </row>
    <row r="98" ht="16" customHeight="1">
      <c r="A98" s="30">
        <f>IF('得意先'!$B$92="","",'得意先'!$B$92)</f>
        <v/>
      </c>
      <c r="B98" s="20">
        <f>IF($A98="","",'得意先'!$C$92&amp;"")</f>
        <v/>
      </c>
      <c r="C98" s="28">
        <f>IF($A98="","",SUMIF('請求台帳'!$C$5:$C$1004,$A98,'請求台帳'!$L$5:$L$1004))</f>
        <v/>
      </c>
      <c r="D98" s="28">
        <f>IF($A98="","",SUMIF('入金消込'!$P$5:$P$1004,$A98,'入金消込'!$G$5:$G$1004))</f>
        <v/>
      </c>
      <c r="E98" s="28">
        <f>IF($A98="","",SUMIF('入金消込'!$P$5:$P$1004,$A98,'入金消込'!$H$5:$H$1004)+SUMIF('入金消込'!$P$5:$P$1004,$A98,'入金消込'!$I$5:$I$1004))</f>
        <v/>
      </c>
      <c r="F98" s="67">
        <f>IF($A98="","",$C98-$D98-$E98)</f>
        <v/>
      </c>
      <c r="G98" s="28">
        <f>IF($A98="","",SUMIFS('請求台帳'!$R$5:$R$1004,'請求台帳'!$C$5:$C$1004,$A98,'請求台帳'!$U$5:$U$1004,'設定'!$B$17))</f>
        <v/>
      </c>
      <c r="H98" s="28">
        <f>IF($A98="","",SUMIFS('請求台帳'!$R$5:$R$1004,'請求台帳'!$C$5:$C$1004,$A98,'請求台帳'!$U$5:$U$1004,'設定'!$B$18))</f>
        <v/>
      </c>
      <c r="I98" s="28">
        <f>IF($A98="","",SUMIFS('請求台帳'!$R$5:$R$1004,'請求台帳'!$C$5:$C$1004,$A98,'請求台帳'!$U$5:$U$1004,'設定'!$B$19))</f>
        <v/>
      </c>
      <c r="J98" s="28">
        <f>IF($A98="","",SUMIFS('請求台帳'!$R$5:$R$1004,'請求台帳'!$C$5:$C$1004,$A98,'請求台帳'!$U$5:$U$1004,'設定'!$B$20))</f>
        <v/>
      </c>
      <c r="K98" s="28">
        <f>IF($A98="","",SUMIFS('請求台帳'!$R$5:$R$1004,'請求台帳'!$C$5:$C$1004,$A98,'請求台帳'!$U$5:$U$1004,'設定'!$B$21))</f>
        <v/>
      </c>
      <c r="L98" s="28">
        <f>IF($A98="","",SUMIFS('請求台帳'!$R$5:$R$1004,'請求台帳'!$C$5:$C$1004,$A98,'請求台帳'!$U$5:$U$1004,'設定'!$B$22))</f>
        <v/>
      </c>
      <c r="M98" s="28">
        <f>IF($A98="","",SUMIFS('請求台帳'!$R$5:$R$1004,'請求台帳'!$C$5:$C$1004,$A98,'請求台帳'!$R$5:$R$1004,"&lt;0"))</f>
        <v/>
      </c>
      <c r="N98" s="28">
        <f>IF($A98="","",SUMIFS('入金消込'!$G$5:$G$1004,'入金消込'!$P$5:$P$1004,$A98,'入金消込'!$R$5:$R$1004,1)+SUMIFS('入金消込'!$H$5:$H$1004,'入金消込'!$P$5:$P$1004,$A98,'入金消込'!$R$5:$R$1004,1)+SUMIFS('入金消込'!$I$5:$I$1004,'入金消込'!$P$5:$P$1004,$A98,'入金消込'!$R$5:$R$1004,1))</f>
        <v/>
      </c>
      <c r="O98" s="30">
        <f>IF($A98="","",IF(ROUND($F98-(SUM($G98:$M98)-$N98),0)=0,"OK","差 "&amp;TEXT($F98-(SUM($G98:$M98)-$N98),"#,##0")))</f>
        <v/>
      </c>
    </row>
    <row r="99" ht="16" customHeight="1">
      <c r="A99" s="30">
        <f>IF('得意先'!$B$93="","",'得意先'!$B$93)</f>
        <v/>
      </c>
      <c r="B99" s="20">
        <f>IF($A99="","",'得意先'!$C$93&amp;"")</f>
        <v/>
      </c>
      <c r="C99" s="28">
        <f>IF($A99="","",SUMIF('請求台帳'!$C$5:$C$1004,$A99,'請求台帳'!$L$5:$L$1004))</f>
        <v/>
      </c>
      <c r="D99" s="28">
        <f>IF($A99="","",SUMIF('入金消込'!$P$5:$P$1004,$A99,'入金消込'!$G$5:$G$1004))</f>
        <v/>
      </c>
      <c r="E99" s="28">
        <f>IF($A99="","",SUMIF('入金消込'!$P$5:$P$1004,$A99,'入金消込'!$H$5:$H$1004)+SUMIF('入金消込'!$P$5:$P$1004,$A99,'入金消込'!$I$5:$I$1004))</f>
        <v/>
      </c>
      <c r="F99" s="67">
        <f>IF($A99="","",$C99-$D99-$E99)</f>
        <v/>
      </c>
      <c r="G99" s="28">
        <f>IF($A99="","",SUMIFS('請求台帳'!$R$5:$R$1004,'請求台帳'!$C$5:$C$1004,$A99,'請求台帳'!$U$5:$U$1004,'設定'!$B$17))</f>
        <v/>
      </c>
      <c r="H99" s="28">
        <f>IF($A99="","",SUMIFS('請求台帳'!$R$5:$R$1004,'請求台帳'!$C$5:$C$1004,$A99,'請求台帳'!$U$5:$U$1004,'設定'!$B$18))</f>
        <v/>
      </c>
      <c r="I99" s="28">
        <f>IF($A99="","",SUMIFS('請求台帳'!$R$5:$R$1004,'請求台帳'!$C$5:$C$1004,$A99,'請求台帳'!$U$5:$U$1004,'設定'!$B$19))</f>
        <v/>
      </c>
      <c r="J99" s="28">
        <f>IF($A99="","",SUMIFS('請求台帳'!$R$5:$R$1004,'請求台帳'!$C$5:$C$1004,$A99,'請求台帳'!$U$5:$U$1004,'設定'!$B$20))</f>
        <v/>
      </c>
      <c r="K99" s="28">
        <f>IF($A99="","",SUMIFS('請求台帳'!$R$5:$R$1004,'請求台帳'!$C$5:$C$1004,$A99,'請求台帳'!$U$5:$U$1004,'設定'!$B$21))</f>
        <v/>
      </c>
      <c r="L99" s="28">
        <f>IF($A99="","",SUMIFS('請求台帳'!$R$5:$R$1004,'請求台帳'!$C$5:$C$1004,$A99,'請求台帳'!$U$5:$U$1004,'設定'!$B$22))</f>
        <v/>
      </c>
      <c r="M99" s="28">
        <f>IF($A99="","",SUMIFS('請求台帳'!$R$5:$R$1004,'請求台帳'!$C$5:$C$1004,$A99,'請求台帳'!$R$5:$R$1004,"&lt;0"))</f>
        <v/>
      </c>
      <c r="N99" s="28">
        <f>IF($A99="","",SUMIFS('入金消込'!$G$5:$G$1004,'入金消込'!$P$5:$P$1004,$A99,'入金消込'!$R$5:$R$1004,1)+SUMIFS('入金消込'!$H$5:$H$1004,'入金消込'!$P$5:$P$1004,$A99,'入金消込'!$R$5:$R$1004,1)+SUMIFS('入金消込'!$I$5:$I$1004,'入金消込'!$P$5:$P$1004,$A99,'入金消込'!$R$5:$R$1004,1))</f>
        <v/>
      </c>
      <c r="O99" s="30">
        <f>IF($A99="","",IF(ROUND($F99-(SUM($G99:$M99)-$N99),0)=0,"OK","差 "&amp;TEXT($F99-(SUM($G99:$M99)-$N99),"#,##0")))</f>
        <v/>
      </c>
    </row>
    <row r="100" ht="16" customHeight="1">
      <c r="A100" s="30">
        <f>IF('得意先'!$B$94="","",'得意先'!$B$94)</f>
        <v/>
      </c>
      <c r="B100" s="20">
        <f>IF($A100="","",'得意先'!$C$94&amp;"")</f>
        <v/>
      </c>
      <c r="C100" s="28">
        <f>IF($A100="","",SUMIF('請求台帳'!$C$5:$C$1004,$A100,'請求台帳'!$L$5:$L$1004))</f>
        <v/>
      </c>
      <c r="D100" s="28">
        <f>IF($A100="","",SUMIF('入金消込'!$P$5:$P$1004,$A100,'入金消込'!$G$5:$G$1004))</f>
        <v/>
      </c>
      <c r="E100" s="28">
        <f>IF($A100="","",SUMIF('入金消込'!$P$5:$P$1004,$A100,'入金消込'!$H$5:$H$1004)+SUMIF('入金消込'!$P$5:$P$1004,$A100,'入金消込'!$I$5:$I$1004))</f>
        <v/>
      </c>
      <c r="F100" s="67">
        <f>IF($A100="","",$C100-$D100-$E100)</f>
        <v/>
      </c>
      <c r="G100" s="28">
        <f>IF($A100="","",SUMIFS('請求台帳'!$R$5:$R$1004,'請求台帳'!$C$5:$C$1004,$A100,'請求台帳'!$U$5:$U$1004,'設定'!$B$17))</f>
        <v/>
      </c>
      <c r="H100" s="28">
        <f>IF($A100="","",SUMIFS('請求台帳'!$R$5:$R$1004,'請求台帳'!$C$5:$C$1004,$A100,'請求台帳'!$U$5:$U$1004,'設定'!$B$18))</f>
        <v/>
      </c>
      <c r="I100" s="28">
        <f>IF($A100="","",SUMIFS('請求台帳'!$R$5:$R$1004,'請求台帳'!$C$5:$C$1004,$A100,'請求台帳'!$U$5:$U$1004,'設定'!$B$19))</f>
        <v/>
      </c>
      <c r="J100" s="28">
        <f>IF($A100="","",SUMIFS('請求台帳'!$R$5:$R$1004,'請求台帳'!$C$5:$C$1004,$A100,'請求台帳'!$U$5:$U$1004,'設定'!$B$20))</f>
        <v/>
      </c>
      <c r="K100" s="28">
        <f>IF($A100="","",SUMIFS('請求台帳'!$R$5:$R$1004,'請求台帳'!$C$5:$C$1004,$A100,'請求台帳'!$U$5:$U$1004,'設定'!$B$21))</f>
        <v/>
      </c>
      <c r="L100" s="28">
        <f>IF($A100="","",SUMIFS('請求台帳'!$R$5:$R$1004,'請求台帳'!$C$5:$C$1004,$A100,'請求台帳'!$U$5:$U$1004,'設定'!$B$22))</f>
        <v/>
      </c>
      <c r="M100" s="28">
        <f>IF($A100="","",SUMIFS('請求台帳'!$R$5:$R$1004,'請求台帳'!$C$5:$C$1004,$A100,'請求台帳'!$R$5:$R$1004,"&lt;0"))</f>
        <v/>
      </c>
      <c r="N100" s="28">
        <f>IF($A100="","",SUMIFS('入金消込'!$G$5:$G$1004,'入金消込'!$P$5:$P$1004,$A100,'入金消込'!$R$5:$R$1004,1)+SUMIFS('入金消込'!$H$5:$H$1004,'入金消込'!$P$5:$P$1004,$A100,'入金消込'!$R$5:$R$1004,1)+SUMIFS('入金消込'!$I$5:$I$1004,'入金消込'!$P$5:$P$1004,$A100,'入金消込'!$R$5:$R$1004,1))</f>
        <v/>
      </c>
      <c r="O100" s="30">
        <f>IF($A100="","",IF(ROUND($F100-(SUM($G100:$M100)-$N100),0)=0,"OK","差 "&amp;TEXT($F100-(SUM($G100:$M100)-$N100),"#,##0")))</f>
        <v/>
      </c>
    </row>
    <row r="101" ht="16" customHeight="1">
      <c r="A101" s="30">
        <f>IF('得意先'!$B$95="","",'得意先'!$B$95)</f>
        <v/>
      </c>
      <c r="B101" s="20">
        <f>IF($A101="","",'得意先'!$C$95&amp;"")</f>
        <v/>
      </c>
      <c r="C101" s="28">
        <f>IF($A101="","",SUMIF('請求台帳'!$C$5:$C$1004,$A101,'請求台帳'!$L$5:$L$1004))</f>
        <v/>
      </c>
      <c r="D101" s="28">
        <f>IF($A101="","",SUMIF('入金消込'!$P$5:$P$1004,$A101,'入金消込'!$G$5:$G$1004))</f>
        <v/>
      </c>
      <c r="E101" s="28">
        <f>IF($A101="","",SUMIF('入金消込'!$P$5:$P$1004,$A101,'入金消込'!$H$5:$H$1004)+SUMIF('入金消込'!$P$5:$P$1004,$A101,'入金消込'!$I$5:$I$1004))</f>
        <v/>
      </c>
      <c r="F101" s="67">
        <f>IF($A101="","",$C101-$D101-$E101)</f>
        <v/>
      </c>
      <c r="G101" s="28">
        <f>IF($A101="","",SUMIFS('請求台帳'!$R$5:$R$1004,'請求台帳'!$C$5:$C$1004,$A101,'請求台帳'!$U$5:$U$1004,'設定'!$B$17))</f>
        <v/>
      </c>
      <c r="H101" s="28">
        <f>IF($A101="","",SUMIFS('請求台帳'!$R$5:$R$1004,'請求台帳'!$C$5:$C$1004,$A101,'請求台帳'!$U$5:$U$1004,'設定'!$B$18))</f>
        <v/>
      </c>
      <c r="I101" s="28">
        <f>IF($A101="","",SUMIFS('請求台帳'!$R$5:$R$1004,'請求台帳'!$C$5:$C$1004,$A101,'請求台帳'!$U$5:$U$1004,'設定'!$B$19))</f>
        <v/>
      </c>
      <c r="J101" s="28">
        <f>IF($A101="","",SUMIFS('請求台帳'!$R$5:$R$1004,'請求台帳'!$C$5:$C$1004,$A101,'請求台帳'!$U$5:$U$1004,'設定'!$B$20))</f>
        <v/>
      </c>
      <c r="K101" s="28">
        <f>IF($A101="","",SUMIFS('請求台帳'!$R$5:$R$1004,'請求台帳'!$C$5:$C$1004,$A101,'請求台帳'!$U$5:$U$1004,'設定'!$B$21))</f>
        <v/>
      </c>
      <c r="L101" s="28">
        <f>IF($A101="","",SUMIFS('請求台帳'!$R$5:$R$1004,'請求台帳'!$C$5:$C$1004,$A101,'請求台帳'!$U$5:$U$1004,'設定'!$B$22))</f>
        <v/>
      </c>
      <c r="M101" s="28">
        <f>IF($A101="","",SUMIFS('請求台帳'!$R$5:$R$1004,'請求台帳'!$C$5:$C$1004,$A101,'請求台帳'!$R$5:$R$1004,"&lt;0"))</f>
        <v/>
      </c>
      <c r="N101" s="28">
        <f>IF($A101="","",SUMIFS('入金消込'!$G$5:$G$1004,'入金消込'!$P$5:$P$1004,$A101,'入金消込'!$R$5:$R$1004,1)+SUMIFS('入金消込'!$H$5:$H$1004,'入金消込'!$P$5:$P$1004,$A101,'入金消込'!$R$5:$R$1004,1)+SUMIFS('入金消込'!$I$5:$I$1004,'入金消込'!$P$5:$P$1004,$A101,'入金消込'!$R$5:$R$1004,1))</f>
        <v/>
      </c>
      <c r="O101" s="30">
        <f>IF($A101="","",IF(ROUND($F101-(SUM($G101:$M101)-$N101),0)=0,"OK","差 "&amp;TEXT($F101-(SUM($G101:$M101)-$N101),"#,##0")))</f>
        <v/>
      </c>
    </row>
    <row r="102" ht="16" customHeight="1">
      <c r="A102" s="30">
        <f>IF('得意先'!$B$96="","",'得意先'!$B$96)</f>
        <v/>
      </c>
      <c r="B102" s="20">
        <f>IF($A102="","",'得意先'!$C$96&amp;"")</f>
        <v/>
      </c>
      <c r="C102" s="28">
        <f>IF($A102="","",SUMIF('請求台帳'!$C$5:$C$1004,$A102,'請求台帳'!$L$5:$L$1004))</f>
        <v/>
      </c>
      <c r="D102" s="28">
        <f>IF($A102="","",SUMIF('入金消込'!$P$5:$P$1004,$A102,'入金消込'!$G$5:$G$1004))</f>
        <v/>
      </c>
      <c r="E102" s="28">
        <f>IF($A102="","",SUMIF('入金消込'!$P$5:$P$1004,$A102,'入金消込'!$H$5:$H$1004)+SUMIF('入金消込'!$P$5:$P$1004,$A102,'入金消込'!$I$5:$I$1004))</f>
        <v/>
      </c>
      <c r="F102" s="67">
        <f>IF($A102="","",$C102-$D102-$E102)</f>
        <v/>
      </c>
      <c r="G102" s="28">
        <f>IF($A102="","",SUMIFS('請求台帳'!$R$5:$R$1004,'請求台帳'!$C$5:$C$1004,$A102,'請求台帳'!$U$5:$U$1004,'設定'!$B$17))</f>
        <v/>
      </c>
      <c r="H102" s="28">
        <f>IF($A102="","",SUMIFS('請求台帳'!$R$5:$R$1004,'請求台帳'!$C$5:$C$1004,$A102,'請求台帳'!$U$5:$U$1004,'設定'!$B$18))</f>
        <v/>
      </c>
      <c r="I102" s="28">
        <f>IF($A102="","",SUMIFS('請求台帳'!$R$5:$R$1004,'請求台帳'!$C$5:$C$1004,$A102,'請求台帳'!$U$5:$U$1004,'設定'!$B$19))</f>
        <v/>
      </c>
      <c r="J102" s="28">
        <f>IF($A102="","",SUMIFS('請求台帳'!$R$5:$R$1004,'請求台帳'!$C$5:$C$1004,$A102,'請求台帳'!$U$5:$U$1004,'設定'!$B$20))</f>
        <v/>
      </c>
      <c r="K102" s="28">
        <f>IF($A102="","",SUMIFS('請求台帳'!$R$5:$R$1004,'請求台帳'!$C$5:$C$1004,$A102,'請求台帳'!$U$5:$U$1004,'設定'!$B$21))</f>
        <v/>
      </c>
      <c r="L102" s="28">
        <f>IF($A102="","",SUMIFS('請求台帳'!$R$5:$R$1004,'請求台帳'!$C$5:$C$1004,$A102,'請求台帳'!$U$5:$U$1004,'設定'!$B$22))</f>
        <v/>
      </c>
      <c r="M102" s="28">
        <f>IF($A102="","",SUMIFS('請求台帳'!$R$5:$R$1004,'請求台帳'!$C$5:$C$1004,$A102,'請求台帳'!$R$5:$R$1004,"&lt;0"))</f>
        <v/>
      </c>
      <c r="N102" s="28">
        <f>IF($A102="","",SUMIFS('入金消込'!$G$5:$G$1004,'入金消込'!$P$5:$P$1004,$A102,'入金消込'!$R$5:$R$1004,1)+SUMIFS('入金消込'!$H$5:$H$1004,'入金消込'!$P$5:$P$1004,$A102,'入金消込'!$R$5:$R$1004,1)+SUMIFS('入金消込'!$I$5:$I$1004,'入金消込'!$P$5:$P$1004,$A102,'入金消込'!$R$5:$R$1004,1))</f>
        <v/>
      </c>
      <c r="O102" s="30">
        <f>IF($A102="","",IF(ROUND($F102-(SUM($G102:$M102)-$N102),0)=0,"OK","差 "&amp;TEXT($F102-(SUM($G102:$M102)-$N102),"#,##0")))</f>
        <v/>
      </c>
    </row>
    <row r="103" ht="16" customHeight="1">
      <c r="A103" s="30">
        <f>IF('得意先'!$B$97="","",'得意先'!$B$97)</f>
        <v/>
      </c>
      <c r="B103" s="20">
        <f>IF($A103="","",'得意先'!$C$97&amp;"")</f>
        <v/>
      </c>
      <c r="C103" s="28">
        <f>IF($A103="","",SUMIF('請求台帳'!$C$5:$C$1004,$A103,'請求台帳'!$L$5:$L$1004))</f>
        <v/>
      </c>
      <c r="D103" s="28">
        <f>IF($A103="","",SUMIF('入金消込'!$P$5:$P$1004,$A103,'入金消込'!$G$5:$G$1004))</f>
        <v/>
      </c>
      <c r="E103" s="28">
        <f>IF($A103="","",SUMIF('入金消込'!$P$5:$P$1004,$A103,'入金消込'!$H$5:$H$1004)+SUMIF('入金消込'!$P$5:$P$1004,$A103,'入金消込'!$I$5:$I$1004))</f>
        <v/>
      </c>
      <c r="F103" s="67">
        <f>IF($A103="","",$C103-$D103-$E103)</f>
        <v/>
      </c>
      <c r="G103" s="28">
        <f>IF($A103="","",SUMIFS('請求台帳'!$R$5:$R$1004,'請求台帳'!$C$5:$C$1004,$A103,'請求台帳'!$U$5:$U$1004,'設定'!$B$17))</f>
        <v/>
      </c>
      <c r="H103" s="28">
        <f>IF($A103="","",SUMIFS('請求台帳'!$R$5:$R$1004,'請求台帳'!$C$5:$C$1004,$A103,'請求台帳'!$U$5:$U$1004,'設定'!$B$18))</f>
        <v/>
      </c>
      <c r="I103" s="28">
        <f>IF($A103="","",SUMIFS('請求台帳'!$R$5:$R$1004,'請求台帳'!$C$5:$C$1004,$A103,'請求台帳'!$U$5:$U$1004,'設定'!$B$19))</f>
        <v/>
      </c>
      <c r="J103" s="28">
        <f>IF($A103="","",SUMIFS('請求台帳'!$R$5:$R$1004,'請求台帳'!$C$5:$C$1004,$A103,'請求台帳'!$U$5:$U$1004,'設定'!$B$20))</f>
        <v/>
      </c>
      <c r="K103" s="28">
        <f>IF($A103="","",SUMIFS('請求台帳'!$R$5:$R$1004,'請求台帳'!$C$5:$C$1004,$A103,'請求台帳'!$U$5:$U$1004,'設定'!$B$21))</f>
        <v/>
      </c>
      <c r="L103" s="28">
        <f>IF($A103="","",SUMIFS('請求台帳'!$R$5:$R$1004,'請求台帳'!$C$5:$C$1004,$A103,'請求台帳'!$U$5:$U$1004,'設定'!$B$22))</f>
        <v/>
      </c>
      <c r="M103" s="28">
        <f>IF($A103="","",SUMIFS('請求台帳'!$R$5:$R$1004,'請求台帳'!$C$5:$C$1004,$A103,'請求台帳'!$R$5:$R$1004,"&lt;0"))</f>
        <v/>
      </c>
      <c r="N103" s="28">
        <f>IF($A103="","",SUMIFS('入金消込'!$G$5:$G$1004,'入金消込'!$P$5:$P$1004,$A103,'入金消込'!$R$5:$R$1004,1)+SUMIFS('入金消込'!$H$5:$H$1004,'入金消込'!$P$5:$P$1004,$A103,'入金消込'!$R$5:$R$1004,1)+SUMIFS('入金消込'!$I$5:$I$1004,'入金消込'!$P$5:$P$1004,$A103,'入金消込'!$R$5:$R$1004,1))</f>
        <v/>
      </c>
      <c r="O103" s="30">
        <f>IF($A103="","",IF(ROUND($F103-(SUM($G103:$M103)-$N103),0)=0,"OK","差 "&amp;TEXT($F103-(SUM($G103:$M103)-$N103),"#,##0")))</f>
        <v/>
      </c>
    </row>
    <row r="104" ht="16" customHeight="1">
      <c r="A104" s="30">
        <f>IF('得意先'!$B$98="","",'得意先'!$B$98)</f>
        <v/>
      </c>
      <c r="B104" s="20">
        <f>IF($A104="","",'得意先'!$C$98&amp;"")</f>
        <v/>
      </c>
      <c r="C104" s="28">
        <f>IF($A104="","",SUMIF('請求台帳'!$C$5:$C$1004,$A104,'請求台帳'!$L$5:$L$1004))</f>
        <v/>
      </c>
      <c r="D104" s="28">
        <f>IF($A104="","",SUMIF('入金消込'!$P$5:$P$1004,$A104,'入金消込'!$G$5:$G$1004))</f>
        <v/>
      </c>
      <c r="E104" s="28">
        <f>IF($A104="","",SUMIF('入金消込'!$P$5:$P$1004,$A104,'入金消込'!$H$5:$H$1004)+SUMIF('入金消込'!$P$5:$P$1004,$A104,'入金消込'!$I$5:$I$1004))</f>
        <v/>
      </c>
      <c r="F104" s="67">
        <f>IF($A104="","",$C104-$D104-$E104)</f>
        <v/>
      </c>
      <c r="G104" s="28">
        <f>IF($A104="","",SUMIFS('請求台帳'!$R$5:$R$1004,'請求台帳'!$C$5:$C$1004,$A104,'請求台帳'!$U$5:$U$1004,'設定'!$B$17))</f>
        <v/>
      </c>
      <c r="H104" s="28">
        <f>IF($A104="","",SUMIFS('請求台帳'!$R$5:$R$1004,'請求台帳'!$C$5:$C$1004,$A104,'請求台帳'!$U$5:$U$1004,'設定'!$B$18))</f>
        <v/>
      </c>
      <c r="I104" s="28">
        <f>IF($A104="","",SUMIFS('請求台帳'!$R$5:$R$1004,'請求台帳'!$C$5:$C$1004,$A104,'請求台帳'!$U$5:$U$1004,'設定'!$B$19))</f>
        <v/>
      </c>
      <c r="J104" s="28">
        <f>IF($A104="","",SUMIFS('請求台帳'!$R$5:$R$1004,'請求台帳'!$C$5:$C$1004,$A104,'請求台帳'!$U$5:$U$1004,'設定'!$B$20))</f>
        <v/>
      </c>
      <c r="K104" s="28">
        <f>IF($A104="","",SUMIFS('請求台帳'!$R$5:$R$1004,'請求台帳'!$C$5:$C$1004,$A104,'請求台帳'!$U$5:$U$1004,'設定'!$B$21))</f>
        <v/>
      </c>
      <c r="L104" s="28">
        <f>IF($A104="","",SUMIFS('請求台帳'!$R$5:$R$1004,'請求台帳'!$C$5:$C$1004,$A104,'請求台帳'!$U$5:$U$1004,'設定'!$B$22))</f>
        <v/>
      </c>
      <c r="M104" s="28">
        <f>IF($A104="","",SUMIFS('請求台帳'!$R$5:$R$1004,'請求台帳'!$C$5:$C$1004,$A104,'請求台帳'!$R$5:$R$1004,"&lt;0"))</f>
        <v/>
      </c>
      <c r="N104" s="28">
        <f>IF($A104="","",SUMIFS('入金消込'!$G$5:$G$1004,'入金消込'!$P$5:$P$1004,$A104,'入金消込'!$R$5:$R$1004,1)+SUMIFS('入金消込'!$H$5:$H$1004,'入金消込'!$P$5:$P$1004,$A104,'入金消込'!$R$5:$R$1004,1)+SUMIFS('入金消込'!$I$5:$I$1004,'入金消込'!$P$5:$P$1004,$A104,'入金消込'!$R$5:$R$1004,1))</f>
        <v/>
      </c>
      <c r="O104" s="30">
        <f>IF($A104="","",IF(ROUND($F104-(SUM($G104:$M104)-$N104),0)=0,"OK","差 "&amp;TEXT($F104-(SUM($G104:$M104)-$N104),"#,##0")))</f>
        <v/>
      </c>
    </row>
    <row r="105" ht="16" customHeight="1">
      <c r="A105" s="30">
        <f>IF('得意先'!$B$99="","",'得意先'!$B$99)</f>
        <v/>
      </c>
      <c r="B105" s="20">
        <f>IF($A105="","",'得意先'!$C$99&amp;"")</f>
        <v/>
      </c>
      <c r="C105" s="28">
        <f>IF($A105="","",SUMIF('請求台帳'!$C$5:$C$1004,$A105,'請求台帳'!$L$5:$L$1004))</f>
        <v/>
      </c>
      <c r="D105" s="28">
        <f>IF($A105="","",SUMIF('入金消込'!$P$5:$P$1004,$A105,'入金消込'!$G$5:$G$1004))</f>
        <v/>
      </c>
      <c r="E105" s="28">
        <f>IF($A105="","",SUMIF('入金消込'!$P$5:$P$1004,$A105,'入金消込'!$H$5:$H$1004)+SUMIF('入金消込'!$P$5:$P$1004,$A105,'入金消込'!$I$5:$I$1004))</f>
        <v/>
      </c>
      <c r="F105" s="67">
        <f>IF($A105="","",$C105-$D105-$E105)</f>
        <v/>
      </c>
      <c r="G105" s="28">
        <f>IF($A105="","",SUMIFS('請求台帳'!$R$5:$R$1004,'請求台帳'!$C$5:$C$1004,$A105,'請求台帳'!$U$5:$U$1004,'設定'!$B$17))</f>
        <v/>
      </c>
      <c r="H105" s="28">
        <f>IF($A105="","",SUMIFS('請求台帳'!$R$5:$R$1004,'請求台帳'!$C$5:$C$1004,$A105,'請求台帳'!$U$5:$U$1004,'設定'!$B$18))</f>
        <v/>
      </c>
      <c r="I105" s="28">
        <f>IF($A105="","",SUMIFS('請求台帳'!$R$5:$R$1004,'請求台帳'!$C$5:$C$1004,$A105,'請求台帳'!$U$5:$U$1004,'設定'!$B$19))</f>
        <v/>
      </c>
      <c r="J105" s="28">
        <f>IF($A105="","",SUMIFS('請求台帳'!$R$5:$R$1004,'請求台帳'!$C$5:$C$1004,$A105,'請求台帳'!$U$5:$U$1004,'設定'!$B$20))</f>
        <v/>
      </c>
      <c r="K105" s="28">
        <f>IF($A105="","",SUMIFS('請求台帳'!$R$5:$R$1004,'請求台帳'!$C$5:$C$1004,$A105,'請求台帳'!$U$5:$U$1004,'設定'!$B$21))</f>
        <v/>
      </c>
      <c r="L105" s="28">
        <f>IF($A105="","",SUMIFS('請求台帳'!$R$5:$R$1004,'請求台帳'!$C$5:$C$1004,$A105,'請求台帳'!$U$5:$U$1004,'設定'!$B$22))</f>
        <v/>
      </c>
      <c r="M105" s="28">
        <f>IF($A105="","",SUMIFS('請求台帳'!$R$5:$R$1004,'請求台帳'!$C$5:$C$1004,$A105,'請求台帳'!$R$5:$R$1004,"&lt;0"))</f>
        <v/>
      </c>
      <c r="N105" s="28">
        <f>IF($A105="","",SUMIFS('入金消込'!$G$5:$G$1004,'入金消込'!$P$5:$P$1004,$A105,'入金消込'!$R$5:$R$1004,1)+SUMIFS('入金消込'!$H$5:$H$1004,'入金消込'!$P$5:$P$1004,$A105,'入金消込'!$R$5:$R$1004,1)+SUMIFS('入金消込'!$I$5:$I$1004,'入金消込'!$P$5:$P$1004,$A105,'入金消込'!$R$5:$R$1004,1))</f>
        <v/>
      </c>
      <c r="O105" s="30">
        <f>IF($A105="","",IF(ROUND($F105-(SUM($G105:$M105)-$N105),0)=0,"OK","差 "&amp;TEXT($F105-(SUM($G105:$M105)-$N105),"#,##0")))</f>
        <v/>
      </c>
    </row>
    <row r="106" ht="16" customHeight="1">
      <c r="A106" s="30">
        <f>IF('得意先'!$B$100="","",'得意先'!$B$100)</f>
        <v/>
      </c>
      <c r="B106" s="20">
        <f>IF($A106="","",'得意先'!$C$100&amp;"")</f>
        <v/>
      </c>
      <c r="C106" s="28">
        <f>IF($A106="","",SUMIF('請求台帳'!$C$5:$C$1004,$A106,'請求台帳'!$L$5:$L$1004))</f>
        <v/>
      </c>
      <c r="D106" s="28">
        <f>IF($A106="","",SUMIF('入金消込'!$P$5:$P$1004,$A106,'入金消込'!$G$5:$G$1004))</f>
        <v/>
      </c>
      <c r="E106" s="28">
        <f>IF($A106="","",SUMIF('入金消込'!$P$5:$P$1004,$A106,'入金消込'!$H$5:$H$1004)+SUMIF('入金消込'!$P$5:$P$1004,$A106,'入金消込'!$I$5:$I$1004))</f>
        <v/>
      </c>
      <c r="F106" s="67">
        <f>IF($A106="","",$C106-$D106-$E106)</f>
        <v/>
      </c>
      <c r="G106" s="28">
        <f>IF($A106="","",SUMIFS('請求台帳'!$R$5:$R$1004,'請求台帳'!$C$5:$C$1004,$A106,'請求台帳'!$U$5:$U$1004,'設定'!$B$17))</f>
        <v/>
      </c>
      <c r="H106" s="28">
        <f>IF($A106="","",SUMIFS('請求台帳'!$R$5:$R$1004,'請求台帳'!$C$5:$C$1004,$A106,'請求台帳'!$U$5:$U$1004,'設定'!$B$18))</f>
        <v/>
      </c>
      <c r="I106" s="28">
        <f>IF($A106="","",SUMIFS('請求台帳'!$R$5:$R$1004,'請求台帳'!$C$5:$C$1004,$A106,'請求台帳'!$U$5:$U$1004,'設定'!$B$19))</f>
        <v/>
      </c>
      <c r="J106" s="28">
        <f>IF($A106="","",SUMIFS('請求台帳'!$R$5:$R$1004,'請求台帳'!$C$5:$C$1004,$A106,'請求台帳'!$U$5:$U$1004,'設定'!$B$20))</f>
        <v/>
      </c>
      <c r="K106" s="28">
        <f>IF($A106="","",SUMIFS('請求台帳'!$R$5:$R$1004,'請求台帳'!$C$5:$C$1004,$A106,'請求台帳'!$U$5:$U$1004,'設定'!$B$21))</f>
        <v/>
      </c>
      <c r="L106" s="28">
        <f>IF($A106="","",SUMIFS('請求台帳'!$R$5:$R$1004,'請求台帳'!$C$5:$C$1004,$A106,'請求台帳'!$U$5:$U$1004,'設定'!$B$22))</f>
        <v/>
      </c>
      <c r="M106" s="28">
        <f>IF($A106="","",SUMIFS('請求台帳'!$R$5:$R$1004,'請求台帳'!$C$5:$C$1004,$A106,'請求台帳'!$R$5:$R$1004,"&lt;0"))</f>
        <v/>
      </c>
      <c r="N106" s="28">
        <f>IF($A106="","",SUMIFS('入金消込'!$G$5:$G$1004,'入金消込'!$P$5:$P$1004,$A106,'入金消込'!$R$5:$R$1004,1)+SUMIFS('入金消込'!$H$5:$H$1004,'入金消込'!$P$5:$P$1004,$A106,'入金消込'!$R$5:$R$1004,1)+SUMIFS('入金消込'!$I$5:$I$1004,'入金消込'!$P$5:$P$1004,$A106,'入金消込'!$R$5:$R$1004,1))</f>
        <v/>
      </c>
      <c r="O106" s="30">
        <f>IF($A106="","",IF(ROUND($F106-(SUM($G106:$M106)-$N106),0)=0,"OK","差 "&amp;TEXT($F106-(SUM($G106:$M106)-$N106),"#,##0")))</f>
        <v/>
      </c>
    </row>
    <row r="107" ht="16" customHeight="1">
      <c r="A107" s="30">
        <f>IF('得意先'!$B$101="","",'得意先'!$B$101)</f>
        <v/>
      </c>
      <c r="B107" s="20">
        <f>IF($A107="","",'得意先'!$C$101&amp;"")</f>
        <v/>
      </c>
      <c r="C107" s="28">
        <f>IF($A107="","",SUMIF('請求台帳'!$C$5:$C$1004,$A107,'請求台帳'!$L$5:$L$1004))</f>
        <v/>
      </c>
      <c r="D107" s="28">
        <f>IF($A107="","",SUMIF('入金消込'!$P$5:$P$1004,$A107,'入金消込'!$G$5:$G$1004))</f>
        <v/>
      </c>
      <c r="E107" s="28">
        <f>IF($A107="","",SUMIF('入金消込'!$P$5:$P$1004,$A107,'入金消込'!$H$5:$H$1004)+SUMIF('入金消込'!$P$5:$P$1004,$A107,'入金消込'!$I$5:$I$1004))</f>
        <v/>
      </c>
      <c r="F107" s="67">
        <f>IF($A107="","",$C107-$D107-$E107)</f>
        <v/>
      </c>
      <c r="G107" s="28">
        <f>IF($A107="","",SUMIFS('請求台帳'!$R$5:$R$1004,'請求台帳'!$C$5:$C$1004,$A107,'請求台帳'!$U$5:$U$1004,'設定'!$B$17))</f>
        <v/>
      </c>
      <c r="H107" s="28">
        <f>IF($A107="","",SUMIFS('請求台帳'!$R$5:$R$1004,'請求台帳'!$C$5:$C$1004,$A107,'請求台帳'!$U$5:$U$1004,'設定'!$B$18))</f>
        <v/>
      </c>
      <c r="I107" s="28">
        <f>IF($A107="","",SUMIFS('請求台帳'!$R$5:$R$1004,'請求台帳'!$C$5:$C$1004,$A107,'請求台帳'!$U$5:$U$1004,'設定'!$B$19))</f>
        <v/>
      </c>
      <c r="J107" s="28">
        <f>IF($A107="","",SUMIFS('請求台帳'!$R$5:$R$1004,'請求台帳'!$C$5:$C$1004,$A107,'請求台帳'!$U$5:$U$1004,'設定'!$B$20))</f>
        <v/>
      </c>
      <c r="K107" s="28">
        <f>IF($A107="","",SUMIFS('請求台帳'!$R$5:$R$1004,'請求台帳'!$C$5:$C$1004,$A107,'請求台帳'!$U$5:$U$1004,'設定'!$B$21))</f>
        <v/>
      </c>
      <c r="L107" s="28">
        <f>IF($A107="","",SUMIFS('請求台帳'!$R$5:$R$1004,'請求台帳'!$C$5:$C$1004,$A107,'請求台帳'!$U$5:$U$1004,'設定'!$B$22))</f>
        <v/>
      </c>
      <c r="M107" s="28">
        <f>IF($A107="","",SUMIFS('請求台帳'!$R$5:$R$1004,'請求台帳'!$C$5:$C$1004,$A107,'請求台帳'!$R$5:$R$1004,"&lt;0"))</f>
        <v/>
      </c>
      <c r="N107" s="28">
        <f>IF($A107="","",SUMIFS('入金消込'!$G$5:$G$1004,'入金消込'!$P$5:$P$1004,$A107,'入金消込'!$R$5:$R$1004,1)+SUMIFS('入金消込'!$H$5:$H$1004,'入金消込'!$P$5:$P$1004,$A107,'入金消込'!$R$5:$R$1004,1)+SUMIFS('入金消込'!$I$5:$I$1004,'入金消込'!$P$5:$P$1004,$A107,'入金消込'!$R$5:$R$1004,1))</f>
        <v/>
      </c>
      <c r="O107" s="30">
        <f>IF($A107="","",IF(ROUND($F107-(SUM($G107:$M107)-$N107),0)=0,"OK","差 "&amp;TEXT($F107-(SUM($G107:$M107)-$N107),"#,##0")))</f>
        <v/>
      </c>
    </row>
    <row r="108" ht="16" customHeight="1">
      <c r="A108" s="30">
        <f>IF('得意先'!$B$102="","",'得意先'!$B$102)</f>
        <v/>
      </c>
      <c r="B108" s="20">
        <f>IF($A108="","",'得意先'!$C$102&amp;"")</f>
        <v/>
      </c>
      <c r="C108" s="28">
        <f>IF($A108="","",SUMIF('請求台帳'!$C$5:$C$1004,$A108,'請求台帳'!$L$5:$L$1004))</f>
        <v/>
      </c>
      <c r="D108" s="28">
        <f>IF($A108="","",SUMIF('入金消込'!$P$5:$P$1004,$A108,'入金消込'!$G$5:$G$1004))</f>
        <v/>
      </c>
      <c r="E108" s="28">
        <f>IF($A108="","",SUMIF('入金消込'!$P$5:$P$1004,$A108,'入金消込'!$H$5:$H$1004)+SUMIF('入金消込'!$P$5:$P$1004,$A108,'入金消込'!$I$5:$I$1004))</f>
        <v/>
      </c>
      <c r="F108" s="67">
        <f>IF($A108="","",$C108-$D108-$E108)</f>
        <v/>
      </c>
      <c r="G108" s="28">
        <f>IF($A108="","",SUMIFS('請求台帳'!$R$5:$R$1004,'請求台帳'!$C$5:$C$1004,$A108,'請求台帳'!$U$5:$U$1004,'設定'!$B$17))</f>
        <v/>
      </c>
      <c r="H108" s="28">
        <f>IF($A108="","",SUMIFS('請求台帳'!$R$5:$R$1004,'請求台帳'!$C$5:$C$1004,$A108,'請求台帳'!$U$5:$U$1004,'設定'!$B$18))</f>
        <v/>
      </c>
      <c r="I108" s="28">
        <f>IF($A108="","",SUMIFS('請求台帳'!$R$5:$R$1004,'請求台帳'!$C$5:$C$1004,$A108,'請求台帳'!$U$5:$U$1004,'設定'!$B$19))</f>
        <v/>
      </c>
      <c r="J108" s="28">
        <f>IF($A108="","",SUMIFS('請求台帳'!$R$5:$R$1004,'請求台帳'!$C$5:$C$1004,$A108,'請求台帳'!$U$5:$U$1004,'設定'!$B$20))</f>
        <v/>
      </c>
      <c r="K108" s="28">
        <f>IF($A108="","",SUMIFS('請求台帳'!$R$5:$R$1004,'請求台帳'!$C$5:$C$1004,$A108,'請求台帳'!$U$5:$U$1004,'設定'!$B$21))</f>
        <v/>
      </c>
      <c r="L108" s="28">
        <f>IF($A108="","",SUMIFS('請求台帳'!$R$5:$R$1004,'請求台帳'!$C$5:$C$1004,$A108,'請求台帳'!$U$5:$U$1004,'設定'!$B$22))</f>
        <v/>
      </c>
      <c r="M108" s="28">
        <f>IF($A108="","",SUMIFS('請求台帳'!$R$5:$R$1004,'請求台帳'!$C$5:$C$1004,$A108,'請求台帳'!$R$5:$R$1004,"&lt;0"))</f>
        <v/>
      </c>
      <c r="N108" s="28">
        <f>IF($A108="","",SUMIFS('入金消込'!$G$5:$G$1004,'入金消込'!$P$5:$P$1004,$A108,'入金消込'!$R$5:$R$1004,1)+SUMIFS('入金消込'!$H$5:$H$1004,'入金消込'!$P$5:$P$1004,$A108,'入金消込'!$R$5:$R$1004,1)+SUMIFS('入金消込'!$I$5:$I$1004,'入金消込'!$P$5:$P$1004,$A108,'入金消込'!$R$5:$R$1004,1))</f>
        <v/>
      </c>
      <c r="O108" s="30">
        <f>IF($A108="","",IF(ROUND($F108-(SUM($G108:$M108)-$N108),0)=0,"OK","差 "&amp;TEXT($F108-(SUM($G108:$M108)-$N108),"#,##0")))</f>
        <v/>
      </c>
    </row>
    <row r="109" ht="16" customHeight="1">
      <c r="A109" s="30">
        <f>IF('得意先'!$B$103="","",'得意先'!$B$103)</f>
        <v/>
      </c>
      <c r="B109" s="20">
        <f>IF($A109="","",'得意先'!$C$103&amp;"")</f>
        <v/>
      </c>
      <c r="C109" s="28">
        <f>IF($A109="","",SUMIF('請求台帳'!$C$5:$C$1004,$A109,'請求台帳'!$L$5:$L$1004))</f>
        <v/>
      </c>
      <c r="D109" s="28">
        <f>IF($A109="","",SUMIF('入金消込'!$P$5:$P$1004,$A109,'入金消込'!$G$5:$G$1004))</f>
        <v/>
      </c>
      <c r="E109" s="28">
        <f>IF($A109="","",SUMIF('入金消込'!$P$5:$P$1004,$A109,'入金消込'!$H$5:$H$1004)+SUMIF('入金消込'!$P$5:$P$1004,$A109,'入金消込'!$I$5:$I$1004))</f>
        <v/>
      </c>
      <c r="F109" s="67">
        <f>IF($A109="","",$C109-$D109-$E109)</f>
        <v/>
      </c>
      <c r="G109" s="28">
        <f>IF($A109="","",SUMIFS('請求台帳'!$R$5:$R$1004,'請求台帳'!$C$5:$C$1004,$A109,'請求台帳'!$U$5:$U$1004,'設定'!$B$17))</f>
        <v/>
      </c>
      <c r="H109" s="28">
        <f>IF($A109="","",SUMIFS('請求台帳'!$R$5:$R$1004,'請求台帳'!$C$5:$C$1004,$A109,'請求台帳'!$U$5:$U$1004,'設定'!$B$18))</f>
        <v/>
      </c>
      <c r="I109" s="28">
        <f>IF($A109="","",SUMIFS('請求台帳'!$R$5:$R$1004,'請求台帳'!$C$5:$C$1004,$A109,'請求台帳'!$U$5:$U$1004,'設定'!$B$19))</f>
        <v/>
      </c>
      <c r="J109" s="28">
        <f>IF($A109="","",SUMIFS('請求台帳'!$R$5:$R$1004,'請求台帳'!$C$5:$C$1004,$A109,'請求台帳'!$U$5:$U$1004,'設定'!$B$20))</f>
        <v/>
      </c>
      <c r="K109" s="28">
        <f>IF($A109="","",SUMIFS('請求台帳'!$R$5:$R$1004,'請求台帳'!$C$5:$C$1004,$A109,'請求台帳'!$U$5:$U$1004,'設定'!$B$21))</f>
        <v/>
      </c>
      <c r="L109" s="28">
        <f>IF($A109="","",SUMIFS('請求台帳'!$R$5:$R$1004,'請求台帳'!$C$5:$C$1004,$A109,'請求台帳'!$U$5:$U$1004,'設定'!$B$22))</f>
        <v/>
      </c>
      <c r="M109" s="28">
        <f>IF($A109="","",SUMIFS('請求台帳'!$R$5:$R$1004,'請求台帳'!$C$5:$C$1004,$A109,'請求台帳'!$R$5:$R$1004,"&lt;0"))</f>
        <v/>
      </c>
      <c r="N109" s="28">
        <f>IF($A109="","",SUMIFS('入金消込'!$G$5:$G$1004,'入金消込'!$P$5:$P$1004,$A109,'入金消込'!$R$5:$R$1004,1)+SUMIFS('入金消込'!$H$5:$H$1004,'入金消込'!$P$5:$P$1004,$A109,'入金消込'!$R$5:$R$1004,1)+SUMIFS('入金消込'!$I$5:$I$1004,'入金消込'!$P$5:$P$1004,$A109,'入金消込'!$R$5:$R$1004,1))</f>
        <v/>
      </c>
      <c r="O109" s="30">
        <f>IF($A109="","",IF(ROUND($F109-(SUM($G109:$M109)-$N109),0)=0,"OK","差 "&amp;TEXT($F109-(SUM($G109:$M109)-$N109),"#,##0")))</f>
        <v/>
      </c>
    </row>
    <row r="110" ht="16" customHeight="1">
      <c r="A110" s="30">
        <f>IF('得意先'!$B$104="","",'得意先'!$B$104)</f>
        <v/>
      </c>
      <c r="B110" s="20">
        <f>IF($A110="","",'得意先'!$C$104&amp;"")</f>
        <v/>
      </c>
      <c r="C110" s="28">
        <f>IF($A110="","",SUMIF('請求台帳'!$C$5:$C$1004,$A110,'請求台帳'!$L$5:$L$1004))</f>
        <v/>
      </c>
      <c r="D110" s="28">
        <f>IF($A110="","",SUMIF('入金消込'!$P$5:$P$1004,$A110,'入金消込'!$G$5:$G$1004))</f>
        <v/>
      </c>
      <c r="E110" s="28">
        <f>IF($A110="","",SUMIF('入金消込'!$P$5:$P$1004,$A110,'入金消込'!$H$5:$H$1004)+SUMIF('入金消込'!$P$5:$P$1004,$A110,'入金消込'!$I$5:$I$1004))</f>
        <v/>
      </c>
      <c r="F110" s="67">
        <f>IF($A110="","",$C110-$D110-$E110)</f>
        <v/>
      </c>
      <c r="G110" s="28">
        <f>IF($A110="","",SUMIFS('請求台帳'!$R$5:$R$1004,'請求台帳'!$C$5:$C$1004,$A110,'請求台帳'!$U$5:$U$1004,'設定'!$B$17))</f>
        <v/>
      </c>
      <c r="H110" s="28">
        <f>IF($A110="","",SUMIFS('請求台帳'!$R$5:$R$1004,'請求台帳'!$C$5:$C$1004,$A110,'請求台帳'!$U$5:$U$1004,'設定'!$B$18))</f>
        <v/>
      </c>
      <c r="I110" s="28">
        <f>IF($A110="","",SUMIFS('請求台帳'!$R$5:$R$1004,'請求台帳'!$C$5:$C$1004,$A110,'請求台帳'!$U$5:$U$1004,'設定'!$B$19))</f>
        <v/>
      </c>
      <c r="J110" s="28">
        <f>IF($A110="","",SUMIFS('請求台帳'!$R$5:$R$1004,'請求台帳'!$C$5:$C$1004,$A110,'請求台帳'!$U$5:$U$1004,'設定'!$B$20))</f>
        <v/>
      </c>
      <c r="K110" s="28">
        <f>IF($A110="","",SUMIFS('請求台帳'!$R$5:$R$1004,'請求台帳'!$C$5:$C$1004,$A110,'請求台帳'!$U$5:$U$1004,'設定'!$B$21))</f>
        <v/>
      </c>
      <c r="L110" s="28">
        <f>IF($A110="","",SUMIFS('請求台帳'!$R$5:$R$1004,'請求台帳'!$C$5:$C$1004,$A110,'請求台帳'!$U$5:$U$1004,'設定'!$B$22))</f>
        <v/>
      </c>
      <c r="M110" s="28">
        <f>IF($A110="","",SUMIFS('請求台帳'!$R$5:$R$1004,'請求台帳'!$C$5:$C$1004,$A110,'請求台帳'!$R$5:$R$1004,"&lt;0"))</f>
        <v/>
      </c>
      <c r="N110" s="28">
        <f>IF($A110="","",SUMIFS('入金消込'!$G$5:$G$1004,'入金消込'!$P$5:$P$1004,$A110,'入金消込'!$R$5:$R$1004,1)+SUMIFS('入金消込'!$H$5:$H$1004,'入金消込'!$P$5:$P$1004,$A110,'入金消込'!$R$5:$R$1004,1)+SUMIFS('入金消込'!$I$5:$I$1004,'入金消込'!$P$5:$P$1004,$A110,'入金消込'!$R$5:$R$1004,1))</f>
        <v/>
      </c>
      <c r="O110" s="30">
        <f>IF($A110="","",IF(ROUND($F110-(SUM($G110:$M110)-$N110),0)=0,"OK","差 "&amp;TEXT($F110-(SUM($G110:$M110)-$N110),"#,##0")))</f>
        <v/>
      </c>
    </row>
    <row r="111" ht="18" customHeight="1">
      <c r="A111" s="42" t="inlineStr">
        <is>
          <t>（得意先にないコード・コードが空の請求や入金）</t>
        </is>
      </c>
      <c r="B111" s="66" t="n"/>
      <c r="C111" s="28">
        <f>SUM('請求台帳'!$L$5:$L$1004)-SUM(C11:C110)</f>
        <v/>
      </c>
      <c r="D111" s="28">
        <f>SUM('入金消込'!$G$5:$G$1004)-SUM(D11:D110)</f>
        <v/>
      </c>
      <c r="E111" s="28">
        <f>SUM('入金消込'!$H$5:$H$1004)+SUM('入金消込'!$I$5:$I$1004)-SUM(E11:E110)</f>
        <v/>
      </c>
      <c r="F111" s="28">
        <f>$C111-$D111-$E111</f>
        <v/>
      </c>
      <c r="G111" s="28">
        <f>SUMIF('請求台帳'!$U$5:$U$1004,'設定'!$B$17,'請求台帳'!$R$5:$R$1004)-SUM(G11:G110)</f>
        <v/>
      </c>
      <c r="H111" s="28">
        <f>SUMIF('請求台帳'!$U$5:$U$1004,'設定'!$B$18,'請求台帳'!$R$5:$R$1004)-SUM(H11:H110)</f>
        <v/>
      </c>
      <c r="I111" s="28">
        <f>SUMIF('請求台帳'!$U$5:$U$1004,'設定'!$B$19,'請求台帳'!$R$5:$R$1004)-SUM(I11:I110)</f>
        <v/>
      </c>
      <c r="J111" s="28">
        <f>SUMIF('請求台帳'!$U$5:$U$1004,'設定'!$B$20,'請求台帳'!$R$5:$R$1004)-SUM(J11:J110)</f>
        <v/>
      </c>
      <c r="K111" s="28">
        <f>SUMIF('請求台帳'!$U$5:$U$1004,'設定'!$B$21,'請求台帳'!$R$5:$R$1004)-SUM(K11:K110)</f>
        <v/>
      </c>
      <c r="L111" s="28">
        <f>SUMIF('請求台帳'!$U$5:$U$1004,'設定'!$B$22,'請求台帳'!$R$5:$R$1004)-SUM(L11:L110)</f>
        <v/>
      </c>
      <c r="M111" s="28">
        <f>SUMIF('請求台帳'!$R$5:$R$1004,"&lt;0")-SUM(M11:M110)</f>
        <v/>
      </c>
      <c r="N111" s="28">
        <f>SUMIF('入金消込'!$R$5:$R$1004,1,'入金消込'!$G$5:$G$1004)+SUMIF('入金消込'!$R$5:$R$1004,1,'入金消込'!$H$5:$H$1004)+SUMIF('入金消込'!$R$5:$R$1004,1,'入金消込'!$I$5:$I$1004)-SUM(N11:N110)</f>
        <v/>
      </c>
      <c r="O111" s="30">
        <f>IF(ROUND($F111-(SUM($G111:$M111)-$N111),0)=0,"OK","差 "&amp;TEXT($F111-(SUM($G111:$M111)-$N111),"#,##0"))</f>
        <v/>
      </c>
    </row>
    <row r="112" ht="18" customHeight="1">
      <c r="A112" s="64" t="inlineStr">
        <is>
          <t>合計</t>
        </is>
      </c>
      <c r="B112" s="66" t="n"/>
      <c r="C112" s="67">
        <f>SUM(C11:C111)</f>
        <v/>
      </c>
      <c r="D112" s="67">
        <f>SUM(D11:D111)</f>
        <v/>
      </c>
      <c r="E112" s="67">
        <f>SUM(E11:E111)</f>
        <v/>
      </c>
      <c r="F112" s="67">
        <f>SUM(F11:F111)</f>
        <v/>
      </c>
      <c r="G112" s="67">
        <f>SUM(G11:G111)</f>
        <v/>
      </c>
      <c r="H112" s="67">
        <f>SUM(H11:H111)</f>
        <v/>
      </c>
      <c r="I112" s="67">
        <f>SUM(I11:I111)</f>
        <v/>
      </c>
      <c r="J112" s="67">
        <f>SUM(J11:J111)</f>
        <v/>
      </c>
      <c r="K112" s="67">
        <f>SUM(K11:K111)</f>
        <v/>
      </c>
      <c r="L112" s="67">
        <f>SUM(L11:L111)</f>
        <v/>
      </c>
      <c r="M112" s="67">
        <f>SUM(M11:M111)</f>
        <v/>
      </c>
      <c r="N112" s="67">
        <f>SUM(N11:N111)</f>
        <v/>
      </c>
      <c r="O112" s="30">
        <f>IF(ROUND($F112-(SUM($G112:$M112)-$N112),0)=0,"OK","差 "&amp;TEXT($F112-(SUM($G112:$M112)-$N112),"#,##0"))</f>
        <v/>
      </c>
    </row>
  </sheetData>
  <mergeCells count="14">
    <mergeCell ref="A4:B4"/>
    <mergeCell ref="A2:O2"/>
    <mergeCell ref="A7:B7"/>
    <mergeCell ref="A112:B112"/>
    <mergeCell ref="A5:B5"/>
    <mergeCell ref="A1:O1"/>
    <mergeCell ref="D4:O4"/>
    <mergeCell ref="A111:B111"/>
    <mergeCell ref="A8:B8"/>
    <mergeCell ref="A3:B3"/>
    <mergeCell ref="A6:B6"/>
    <mergeCell ref="D7:O7"/>
    <mergeCell ref="D8:O8"/>
    <mergeCell ref="D6:O6"/>
  </mergeCells>
  <conditionalFormatting sqref="C6">
    <cfRule type="expression" priority="1" dxfId="0">
      <formula>AND(ISNUMBER($C$6),$C$6&gt;0)</formula>
    </cfRule>
  </conditionalFormatting>
  <conditionalFormatting sqref="C8">
    <cfRule type="expression" priority="2" dxfId="1">
      <formula>AND(ISNUMBER($C$8),$C$8&lt;&gt;0)</formula>
    </cfRule>
  </conditionalFormatting>
  <conditionalFormatting sqref="H11:H112">
    <cfRule type="expression" priority="3" dxfId="0">
      <formula>AND(ISNUMBER(H11),H11&gt;0)</formula>
    </cfRule>
  </conditionalFormatting>
  <conditionalFormatting sqref="I11:I112">
    <cfRule type="expression" priority="4" dxfId="0">
      <formula>AND(ISNUMBER(I11),I11&gt;0)</formula>
    </cfRule>
  </conditionalFormatting>
  <conditionalFormatting sqref="J11:J112">
    <cfRule type="expression" priority="5" dxfId="0">
      <formula>AND(ISNUMBER(J11),J11&gt;0)</formula>
    </cfRule>
  </conditionalFormatting>
  <conditionalFormatting sqref="K11:K112">
    <cfRule type="expression" priority="6" dxfId="0">
      <formula>AND(ISNUMBER(K11),K11&gt;0)</formula>
    </cfRule>
  </conditionalFormatting>
  <conditionalFormatting sqref="O11:O112">
    <cfRule type="expression" priority="7" dxfId="0">
      <formula>AND(O11&lt;&gt;"",O11&lt;&gt;"OK")</formula>
    </cfRule>
  </conditionalFormatting>
  <pageMargins left="0.4" right="0.4" top="0.45" bottom="0.45" header="0.2" footer="0.2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tabColor rgb="00B9C4CF"/>
    <outlinePr summaryBelow="1" summaryRight="1"/>
    <pageSetUpPr fitToPage="1"/>
  </sheetPr>
  <dimension ref="A1:N1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11" customWidth="1" min="2" max="2"/>
    <col width="8" customWidth="1" min="3" max="3"/>
    <col width="10" customWidth="1" min="4" max="4"/>
    <col width="8" customWidth="1" min="5" max="5"/>
    <col width="22" customWidth="1" min="6" max="6"/>
    <col width="9" customWidth="1" min="7" max="7"/>
    <col width="11" customWidth="1" min="8" max="8"/>
    <col width="12" customWidth="1" min="9" max="9"/>
    <col width="12" customWidth="1" min="10" max="10"/>
    <col width="12" customWidth="1" min="11" max="11"/>
    <col width="9" customWidth="1" min="12" max="12"/>
    <col width="2" customWidth="1" min="13" max="13"/>
    <col width="7" customWidth="1" min="14" max="14"/>
  </cols>
  <sheetData>
    <row r="1" ht="26" customHeight="1">
      <c r="A1" s="55" t="inlineStr">
        <is>
          <t>滞留一覧（回収予定日を過ぎた請求・予定日の古い順）</t>
        </is>
      </c>
      <c r="B1" s="56" t="n"/>
      <c r="C1" s="56" t="n"/>
      <c r="D1" s="56" t="n"/>
      <c r="E1" s="56" t="n"/>
      <c r="F1" s="56" t="n"/>
      <c r="G1" s="56" t="n"/>
      <c r="H1" s="56" t="n"/>
      <c r="I1" s="56" t="n"/>
      <c r="J1" s="56" t="n"/>
      <c r="K1" s="56" t="n"/>
      <c r="L1" s="56" t="n"/>
      <c r="M1" s="56" t="n"/>
      <c r="N1" s="56" t="n"/>
    </row>
    <row r="2" ht="20" customHeight="1">
      <c r="A2" s="60" t="inlineStr">
        <is>
          <t>基準日</t>
        </is>
      </c>
      <c r="B2" s="66" t="n"/>
      <c r="C2" s="63">
        <f>'設定'!$B$7</f>
        <v/>
      </c>
      <c r="D2" s="66" t="n"/>
      <c r="E2" s="72">
        <f>"該当 "&amp;COUNT('請求台帳'!$Y$5:$Y$1004)&amp;"件・未回収残 "&amp;TEXT(SUM($K$6:$K$105),"#,##0")&amp;"円"&amp;IF(COUNT('請求台帳'!$Y$5:$Y$1004)&gt;100,"（101件目からは出ません）","")</f>
        <v/>
      </c>
      <c r="F2" s="56" t="n"/>
      <c r="G2" s="56" t="n"/>
      <c r="H2" s="56" t="n"/>
      <c r="I2" s="56" t="n"/>
      <c r="J2" s="56" t="n"/>
      <c r="K2" s="56" t="n"/>
      <c r="L2" s="56" t="n"/>
      <c r="M2" s="56" t="n"/>
      <c r="N2" s="56" t="n"/>
    </row>
    <row r="3" ht="28" customHeight="1">
      <c r="A3" s="59" t="inlineStr">
        <is>
          <t>請求台帳で未回収残があり、回収予定日が基準日より前の請求が並びます（当日は入りません）。61日を過ぎたもの（区分2の上限を超えたもの）は赤くなります。督促の記録は別に残してください。</t>
        </is>
      </c>
      <c r="B3" s="56" t="n"/>
      <c r="C3" s="56" t="n"/>
      <c r="D3" s="56" t="n"/>
      <c r="E3" s="56" t="n"/>
      <c r="F3" s="56" t="n"/>
      <c r="G3" s="56" t="n"/>
      <c r="H3" s="56" t="n"/>
      <c r="I3" s="56" t="n"/>
      <c r="J3" s="56" t="n"/>
      <c r="K3" s="56" t="n"/>
      <c r="L3" s="56" t="n"/>
      <c r="M3" s="56" t="n"/>
      <c r="N3" s="56" t="n"/>
    </row>
    <row r="4">
      <c r="A4" s="56" t="n"/>
      <c r="B4" s="56" t="n"/>
      <c r="C4" s="56" t="n"/>
      <c r="D4" s="56" t="n"/>
      <c r="E4" s="56" t="n"/>
      <c r="F4" s="56" t="n"/>
      <c r="G4" s="56" t="n"/>
      <c r="H4" s="56" t="n"/>
      <c r="I4" s="56" t="n"/>
      <c r="J4" s="56" t="n"/>
      <c r="K4" s="56" t="n"/>
      <c r="L4" s="56" t="n"/>
      <c r="M4" s="56" t="n"/>
      <c r="N4" s="56" t="n"/>
    </row>
    <row r="5" ht="30" customHeight="1">
      <c r="A5" s="15" t="inlineStr">
        <is>
          <t>No.</t>
        </is>
      </c>
      <c r="B5" s="15" t="inlineStr">
        <is>
          <t>回収予定日</t>
        </is>
      </c>
      <c r="C5" s="15" t="inlineStr">
        <is>
          <t>超過日数</t>
        </is>
      </c>
      <c r="D5" s="15" t="inlineStr">
        <is>
          <t>滞留区分</t>
        </is>
      </c>
      <c r="E5" s="15" t="inlineStr">
        <is>
          <t>得意先コード</t>
        </is>
      </c>
      <c r="F5" s="15" t="inlineStr">
        <is>
          <t>得意先名</t>
        </is>
      </c>
      <c r="G5" s="15" t="inlineStr">
        <is>
          <t>請求No</t>
        </is>
      </c>
      <c r="H5" s="15" t="inlineStr">
        <is>
          <t>請求日</t>
        </is>
      </c>
      <c r="I5" s="15" t="inlineStr">
        <is>
          <t>請求額</t>
        </is>
      </c>
      <c r="J5" s="15" t="inlineStr">
        <is>
          <t>入金済・差引</t>
        </is>
      </c>
      <c r="K5" s="15" t="inlineStr">
        <is>
          <t>未回収残</t>
        </is>
      </c>
      <c r="L5" s="15" t="inlineStr">
        <is>
          <t>状態</t>
        </is>
      </c>
      <c r="M5" s="56" t="n"/>
      <c r="N5" s="25" t="inlineStr">
        <is>
          <t>作業:元の行</t>
        </is>
      </c>
    </row>
    <row r="6" ht="18" customHeight="1">
      <c r="A6" s="46">
        <f>IF($N6="","",1)</f>
        <v/>
      </c>
      <c r="B6" s="45">
        <f>IF($N6="","",INDEX('請求台帳'!$O$5:$O$1004,$N6))</f>
        <v/>
      </c>
      <c r="C6" s="53">
        <f>IF($N6="","",INDEX('請求台帳'!$T$5:$T$1004,$N6))</f>
        <v/>
      </c>
      <c r="D6" s="46">
        <f>IF($N6="","",INDEX('請求台帳'!$U$5:$U$1004,$N6)&amp;"")</f>
        <v/>
      </c>
      <c r="E6" s="46">
        <f>IF($N6="","",INDEX('請求台帳'!$C$5:$C$1004,$N6)&amp;"")</f>
        <v/>
      </c>
      <c r="F6" s="47">
        <f>IF($N6="","",INDEX('請求台帳'!$D$5:$D$1004,$N6)&amp;"")</f>
        <v/>
      </c>
      <c r="G6" s="46">
        <f>IF($N6="","",INDEX('請求台帳'!$A$5:$A$1004,$N6)&amp;"")</f>
        <v/>
      </c>
      <c r="H6" s="45">
        <f>IF($N6="","",INDEX('請求台帳'!$B$5:$B$1004,$N6))</f>
        <v/>
      </c>
      <c r="I6" s="49">
        <f>IF($N6="","",INDEX('請求台帳'!$L$5:$L$1004,$N6))</f>
        <v/>
      </c>
      <c r="J6" s="49">
        <f>IF($N6="","",INDEX('請求台帳'!$P$5:$P$1004,$N6)+INDEX('請求台帳'!$Q$5:$Q$1004,$N6))</f>
        <v/>
      </c>
      <c r="K6" s="49">
        <f>IF($N6="","",INDEX('請求台帳'!$R$5:$R$1004,$N6))</f>
        <v/>
      </c>
      <c r="L6" s="46">
        <f>IF($N6="","",INDEX('請求台帳'!$S$5:$S$1004,$N6)&amp;"")</f>
        <v/>
      </c>
      <c r="M6" s="56" t="n"/>
      <c r="N6" s="75">
        <f>IFERROR(MATCH(SMALL('請求台帳'!$Y$5:$Y$1004,1),'請求台帳'!$Y$5:$Y$1004,0),"")</f>
        <v/>
      </c>
    </row>
    <row r="7" ht="18" customHeight="1">
      <c r="A7" s="46">
        <f>IF($N7="","",2)</f>
        <v/>
      </c>
      <c r="B7" s="45">
        <f>IF($N7="","",INDEX('請求台帳'!$O$5:$O$1004,$N7))</f>
        <v/>
      </c>
      <c r="C7" s="53">
        <f>IF($N7="","",INDEX('請求台帳'!$T$5:$T$1004,$N7))</f>
        <v/>
      </c>
      <c r="D7" s="46">
        <f>IF($N7="","",INDEX('請求台帳'!$U$5:$U$1004,$N7)&amp;"")</f>
        <v/>
      </c>
      <c r="E7" s="46">
        <f>IF($N7="","",INDEX('請求台帳'!$C$5:$C$1004,$N7)&amp;"")</f>
        <v/>
      </c>
      <c r="F7" s="47">
        <f>IF($N7="","",INDEX('請求台帳'!$D$5:$D$1004,$N7)&amp;"")</f>
        <v/>
      </c>
      <c r="G7" s="46">
        <f>IF($N7="","",INDEX('請求台帳'!$A$5:$A$1004,$N7)&amp;"")</f>
        <v/>
      </c>
      <c r="H7" s="45">
        <f>IF($N7="","",INDEX('請求台帳'!$B$5:$B$1004,$N7))</f>
        <v/>
      </c>
      <c r="I7" s="49">
        <f>IF($N7="","",INDEX('請求台帳'!$L$5:$L$1004,$N7))</f>
        <v/>
      </c>
      <c r="J7" s="49">
        <f>IF($N7="","",INDEX('請求台帳'!$P$5:$P$1004,$N7)+INDEX('請求台帳'!$Q$5:$Q$1004,$N7))</f>
        <v/>
      </c>
      <c r="K7" s="49">
        <f>IF($N7="","",INDEX('請求台帳'!$R$5:$R$1004,$N7))</f>
        <v/>
      </c>
      <c r="L7" s="46">
        <f>IF($N7="","",INDEX('請求台帳'!$S$5:$S$1004,$N7)&amp;"")</f>
        <v/>
      </c>
      <c r="M7" s="56" t="n"/>
      <c r="N7" s="75">
        <f>IFERROR(MATCH(SMALL('請求台帳'!$Y$5:$Y$1004,2),'請求台帳'!$Y$5:$Y$1004,0),"")</f>
        <v/>
      </c>
    </row>
    <row r="8" ht="18" customHeight="1">
      <c r="A8" s="46">
        <f>IF($N8="","",3)</f>
        <v/>
      </c>
      <c r="B8" s="45">
        <f>IF($N8="","",INDEX('請求台帳'!$O$5:$O$1004,$N8))</f>
        <v/>
      </c>
      <c r="C8" s="53">
        <f>IF($N8="","",INDEX('請求台帳'!$T$5:$T$1004,$N8))</f>
        <v/>
      </c>
      <c r="D8" s="46">
        <f>IF($N8="","",INDEX('請求台帳'!$U$5:$U$1004,$N8)&amp;"")</f>
        <v/>
      </c>
      <c r="E8" s="46">
        <f>IF($N8="","",INDEX('請求台帳'!$C$5:$C$1004,$N8)&amp;"")</f>
        <v/>
      </c>
      <c r="F8" s="47">
        <f>IF($N8="","",INDEX('請求台帳'!$D$5:$D$1004,$N8)&amp;"")</f>
        <v/>
      </c>
      <c r="G8" s="46">
        <f>IF($N8="","",INDEX('請求台帳'!$A$5:$A$1004,$N8)&amp;"")</f>
        <v/>
      </c>
      <c r="H8" s="45">
        <f>IF($N8="","",INDEX('請求台帳'!$B$5:$B$1004,$N8))</f>
        <v/>
      </c>
      <c r="I8" s="49">
        <f>IF($N8="","",INDEX('請求台帳'!$L$5:$L$1004,$N8))</f>
        <v/>
      </c>
      <c r="J8" s="49">
        <f>IF($N8="","",INDEX('請求台帳'!$P$5:$P$1004,$N8)+INDEX('請求台帳'!$Q$5:$Q$1004,$N8))</f>
        <v/>
      </c>
      <c r="K8" s="49">
        <f>IF($N8="","",INDEX('請求台帳'!$R$5:$R$1004,$N8))</f>
        <v/>
      </c>
      <c r="L8" s="46">
        <f>IF($N8="","",INDEX('請求台帳'!$S$5:$S$1004,$N8)&amp;"")</f>
        <v/>
      </c>
      <c r="M8" s="56" t="n"/>
      <c r="N8" s="75">
        <f>IFERROR(MATCH(SMALL('請求台帳'!$Y$5:$Y$1004,3),'請求台帳'!$Y$5:$Y$1004,0),"")</f>
        <v/>
      </c>
    </row>
    <row r="9" ht="18" customHeight="1">
      <c r="A9" s="46">
        <f>IF($N9="","",4)</f>
        <v/>
      </c>
      <c r="B9" s="45">
        <f>IF($N9="","",INDEX('請求台帳'!$O$5:$O$1004,$N9))</f>
        <v/>
      </c>
      <c r="C9" s="53">
        <f>IF($N9="","",INDEX('請求台帳'!$T$5:$T$1004,$N9))</f>
        <v/>
      </c>
      <c r="D9" s="46">
        <f>IF($N9="","",INDEX('請求台帳'!$U$5:$U$1004,$N9)&amp;"")</f>
        <v/>
      </c>
      <c r="E9" s="46">
        <f>IF($N9="","",INDEX('請求台帳'!$C$5:$C$1004,$N9)&amp;"")</f>
        <v/>
      </c>
      <c r="F9" s="47">
        <f>IF($N9="","",INDEX('請求台帳'!$D$5:$D$1004,$N9)&amp;"")</f>
        <v/>
      </c>
      <c r="G9" s="46">
        <f>IF($N9="","",INDEX('請求台帳'!$A$5:$A$1004,$N9)&amp;"")</f>
        <v/>
      </c>
      <c r="H9" s="45">
        <f>IF($N9="","",INDEX('請求台帳'!$B$5:$B$1004,$N9))</f>
        <v/>
      </c>
      <c r="I9" s="49">
        <f>IF($N9="","",INDEX('請求台帳'!$L$5:$L$1004,$N9))</f>
        <v/>
      </c>
      <c r="J9" s="49">
        <f>IF($N9="","",INDEX('請求台帳'!$P$5:$P$1004,$N9)+INDEX('請求台帳'!$Q$5:$Q$1004,$N9))</f>
        <v/>
      </c>
      <c r="K9" s="49">
        <f>IF($N9="","",INDEX('請求台帳'!$R$5:$R$1004,$N9))</f>
        <v/>
      </c>
      <c r="L9" s="46">
        <f>IF($N9="","",INDEX('請求台帳'!$S$5:$S$1004,$N9)&amp;"")</f>
        <v/>
      </c>
      <c r="M9" s="56" t="n"/>
      <c r="N9" s="75">
        <f>IFERROR(MATCH(SMALL('請求台帳'!$Y$5:$Y$1004,4),'請求台帳'!$Y$5:$Y$1004,0),"")</f>
        <v/>
      </c>
    </row>
    <row r="10" ht="18" customHeight="1">
      <c r="A10" s="46">
        <f>IF($N10="","",5)</f>
        <v/>
      </c>
      <c r="B10" s="45">
        <f>IF($N10="","",INDEX('請求台帳'!$O$5:$O$1004,$N10))</f>
        <v/>
      </c>
      <c r="C10" s="53">
        <f>IF($N10="","",INDEX('請求台帳'!$T$5:$T$1004,$N10))</f>
        <v/>
      </c>
      <c r="D10" s="46">
        <f>IF($N10="","",INDEX('請求台帳'!$U$5:$U$1004,$N10)&amp;"")</f>
        <v/>
      </c>
      <c r="E10" s="46">
        <f>IF($N10="","",INDEX('請求台帳'!$C$5:$C$1004,$N10)&amp;"")</f>
        <v/>
      </c>
      <c r="F10" s="47">
        <f>IF($N10="","",INDEX('請求台帳'!$D$5:$D$1004,$N10)&amp;"")</f>
        <v/>
      </c>
      <c r="G10" s="46">
        <f>IF($N10="","",INDEX('請求台帳'!$A$5:$A$1004,$N10)&amp;"")</f>
        <v/>
      </c>
      <c r="H10" s="45">
        <f>IF($N10="","",INDEX('請求台帳'!$B$5:$B$1004,$N10))</f>
        <v/>
      </c>
      <c r="I10" s="49">
        <f>IF($N10="","",INDEX('請求台帳'!$L$5:$L$1004,$N10))</f>
        <v/>
      </c>
      <c r="J10" s="49">
        <f>IF($N10="","",INDEX('請求台帳'!$P$5:$P$1004,$N10)+INDEX('請求台帳'!$Q$5:$Q$1004,$N10))</f>
        <v/>
      </c>
      <c r="K10" s="49">
        <f>IF($N10="","",INDEX('請求台帳'!$R$5:$R$1004,$N10))</f>
        <v/>
      </c>
      <c r="L10" s="46">
        <f>IF($N10="","",INDEX('請求台帳'!$S$5:$S$1004,$N10)&amp;"")</f>
        <v/>
      </c>
      <c r="M10" s="56" t="n"/>
      <c r="N10" s="75">
        <f>IFERROR(MATCH(SMALL('請求台帳'!$Y$5:$Y$1004,5),'請求台帳'!$Y$5:$Y$1004,0),"")</f>
        <v/>
      </c>
    </row>
    <row r="11" ht="18" customHeight="1">
      <c r="A11" s="46">
        <f>IF($N11="","",6)</f>
        <v/>
      </c>
      <c r="B11" s="45">
        <f>IF($N11="","",INDEX('請求台帳'!$O$5:$O$1004,$N11))</f>
        <v/>
      </c>
      <c r="C11" s="53">
        <f>IF($N11="","",INDEX('請求台帳'!$T$5:$T$1004,$N11))</f>
        <v/>
      </c>
      <c r="D11" s="46">
        <f>IF($N11="","",INDEX('請求台帳'!$U$5:$U$1004,$N11)&amp;"")</f>
        <v/>
      </c>
      <c r="E11" s="46">
        <f>IF($N11="","",INDEX('請求台帳'!$C$5:$C$1004,$N11)&amp;"")</f>
        <v/>
      </c>
      <c r="F11" s="47">
        <f>IF($N11="","",INDEX('請求台帳'!$D$5:$D$1004,$N11)&amp;"")</f>
        <v/>
      </c>
      <c r="G11" s="46">
        <f>IF($N11="","",INDEX('請求台帳'!$A$5:$A$1004,$N11)&amp;"")</f>
        <v/>
      </c>
      <c r="H11" s="45">
        <f>IF($N11="","",INDEX('請求台帳'!$B$5:$B$1004,$N11))</f>
        <v/>
      </c>
      <c r="I11" s="49">
        <f>IF($N11="","",INDEX('請求台帳'!$L$5:$L$1004,$N11))</f>
        <v/>
      </c>
      <c r="J11" s="49">
        <f>IF($N11="","",INDEX('請求台帳'!$P$5:$P$1004,$N11)+INDEX('請求台帳'!$Q$5:$Q$1004,$N11))</f>
        <v/>
      </c>
      <c r="K11" s="49">
        <f>IF($N11="","",INDEX('請求台帳'!$R$5:$R$1004,$N11))</f>
        <v/>
      </c>
      <c r="L11" s="46">
        <f>IF($N11="","",INDEX('請求台帳'!$S$5:$S$1004,$N11)&amp;"")</f>
        <v/>
      </c>
      <c r="M11" s="56" t="n"/>
      <c r="N11" s="75">
        <f>IFERROR(MATCH(SMALL('請求台帳'!$Y$5:$Y$1004,6),'請求台帳'!$Y$5:$Y$1004,0),"")</f>
        <v/>
      </c>
    </row>
    <row r="12" ht="18" customHeight="1">
      <c r="A12" s="46">
        <f>IF($N12="","",7)</f>
        <v/>
      </c>
      <c r="B12" s="45">
        <f>IF($N12="","",INDEX('請求台帳'!$O$5:$O$1004,$N12))</f>
        <v/>
      </c>
      <c r="C12" s="53">
        <f>IF($N12="","",INDEX('請求台帳'!$T$5:$T$1004,$N12))</f>
        <v/>
      </c>
      <c r="D12" s="46">
        <f>IF($N12="","",INDEX('請求台帳'!$U$5:$U$1004,$N12)&amp;"")</f>
        <v/>
      </c>
      <c r="E12" s="46">
        <f>IF($N12="","",INDEX('請求台帳'!$C$5:$C$1004,$N12)&amp;"")</f>
        <v/>
      </c>
      <c r="F12" s="47">
        <f>IF($N12="","",INDEX('請求台帳'!$D$5:$D$1004,$N12)&amp;"")</f>
        <v/>
      </c>
      <c r="G12" s="46">
        <f>IF($N12="","",INDEX('請求台帳'!$A$5:$A$1004,$N12)&amp;"")</f>
        <v/>
      </c>
      <c r="H12" s="45">
        <f>IF($N12="","",INDEX('請求台帳'!$B$5:$B$1004,$N12))</f>
        <v/>
      </c>
      <c r="I12" s="49">
        <f>IF($N12="","",INDEX('請求台帳'!$L$5:$L$1004,$N12))</f>
        <v/>
      </c>
      <c r="J12" s="49">
        <f>IF($N12="","",INDEX('請求台帳'!$P$5:$P$1004,$N12)+INDEX('請求台帳'!$Q$5:$Q$1004,$N12))</f>
        <v/>
      </c>
      <c r="K12" s="49">
        <f>IF($N12="","",INDEX('請求台帳'!$R$5:$R$1004,$N12))</f>
        <v/>
      </c>
      <c r="L12" s="46">
        <f>IF($N12="","",INDEX('請求台帳'!$S$5:$S$1004,$N12)&amp;"")</f>
        <v/>
      </c>
      <c r="M12" s="56" t="n"/>
      <c r="N12" s="75">
        <f>IFERROR(MATCH(SMALL('請求台帳'!$Y$5:$Y$1004,7),'請求台帳'!$Y$5:$Y$1004,0),"")</f>
        <v/>
      </c>
    </row>
    <row r="13" ht="18" customHeight="1">
      <c r="A13" s="46">
        <f>IF($N13="","",8)</f>
        <v/>
      </c>
      <c r="B13" s="45">
        <f>IF($N13="","",INDEX('請求台帳'!$O$5:$O$1004,$N13))</f>
        <v/>
      </c>
      <c r="C13" s="53">
        <f>IF($N13="","",INDEX('請求台帳'!$T$5:$T$1004,$N13))</f>
        <v/>
      </c>
      <c r="D13" s="46">
        <f>IF($N13="","",INDEX('請求台帳'!$U$5:$U$1004,$N13)&amp;"")</f>
        <v/>
      </c>
      <c r="E13" s="46">
        <f>IF($N13="","",INDEX('請求台帳'!$C$5:$C$1004,$N13)&amp;"")</f>
        <v/>
      </c>
      <c r="F13" s="47">
        <f>IF($N13="","",INDEX('請求台帳'!$D$5:$D$1004,$N13)&amp;"")</f>
        <v/>
      </c>
      <c r="G13" s="46">
        <f>IF($N13="","",INDEX('請求台帳'!$A$5:$A$1004,$N13)&amp;"")</f>
        <v/>
      </c>
      <c r="H13" s="45">
        <f>IF($N13="","",INDEX('請求台帳'!$B$5:$B$1004,$N13))</f>
        <v/>
      </c>
      <c r="I13" s="49">
        <f>IF($N13="","",INDEX('請求台帳'!$L$5:$L$1004,$N13))</f>
        <v/>
      </c>
      <c r="J13" s="49">
        <f>IF($N13="","",INDEX('請求台帳'!$P$5:$P$1004,$N13)+INDEX('請求台帳'!$Q$5:$Q$1004,$N13))</f>
        <v/>
      </c>
      <c r="K13" s="49">
        <f>IF($N13="","",INDEX('請求台帳'!$R$5:$R$1004,$N13))</f>
        <v/>
      </c>
      <c r="L13" s="46">
        <f>IF($N13="","",INDEX('請求台帳'!$S$5:$S$1004,$N13)&amp;"")</f>
        <v/>
      </c>
      <c r="M13" s="56" t="n"/>
      <c r="N13" s="75">
        <f>IFERROR(MATCH(SMALL('請求台帳'!$Y$5:$Y$1004,8),'請求台帳'!$Y$5:$Y$1004,0),"")</f>
        <v/>
      </c>
    </row>
    <row r="14" ht="18" customHeight="1">
      <c r="A14" s="46">
        <f>IF($N14="","",9)</f>
        <v/>
      </c>
      <c r="B14" s="45">
        <f>IF($N14="","",INDEX('請求台帳'!$O$5:$O$1004,$N14))</f>
        <v/>
      </c>
      <c r="C14" s="53">
        <f>IF($N14="","",INDEX('請求台帳'!$T$5:$T$1004,$N14))</f>
        <v/>
      </c>
      <c r="D14" s="46">
        <f>IF($N14="","",INDEX('請求台帳'!$U$5:$U$1004,$N14)&amp;"")</f>
        <v/>
      </c>
      <c r="E14" s="46">
        <f>IF($N14="","",INDEX('請求台帳'!$C$5:$C$1004,$N14)&amp;"")</f>
        <v/>
      </c>
      <c r="F14" s="47">
        <f>IF($N14="","",INDEX('請求台帳'!$D$5:$D$1004,$N14)&amp;"")</f>
        <v/>
      </c>
      <c r="G14" s="46">
        <f>IF($N14="","",INDEX('請求台帳'!$A$5:$A$1004,$N14)&amp;"")</f>
        <v/>
      </c>
      <c r="H14" s="45">
        <f>IF($N14="","",INDEX('請求台帳'!$B$5:$B$1004,$N14))</f>
        <v/>
      </c>
      <c r="I14" s="49">
        <f>IF($N14="","",INDEX('請求台帳'!$L$5:$L$1004,$N14))</f>
        <v/>
      </c>
      <c r="J14" s="49">
        <f>IF($N14="","",INDEX('請求台帳'!$P$5:$P$1004,$N14)+INDEX('請求台帳'!$Q$5:$Q$1004,$N14))</f>
        <v/>
      </c>
      <c r="K14" s="49">
        <f>IF($N14="","",INDEX('請求台帳'!$R$5:$R$1004,$N14))</f>
        <v/>
      </c>
      <c r="L14" s="46">
        <f>IF($N14="","",INDEX('請求台帳'!$S$5:$S$1004,$N14)&amp;"")</f>
        <v/>
      </c>
      <c r="M14" s="56" t="n"/>
      <c r="N14" s="75">
        <f>IFERROR(MATCH(SMALL('請求台帳'!$Y$5:$Y$1004,9),'請求台帳'!$Y$5:$Y$1004,0),"")</f>
        <v/>
      </c>
    </row>
    <row r="15" ht="18" customHeight="1">
      <c r="A15" s="46">
        <f>IF($N15="","",10)</f>
        <v/>
      </c>
      <c r="B15" s="45">
        <f>IF($N15="","",INDEX('請求台帳'!$O$5:$O$1004,$N15))</f>
        <v/>
      </c>
      <c r="C15" s="53">
        <f>IF($N15="","",INDEX('請求台帳'!$T$5:$T$1004,$N15))</f>
        <v/>
      </c>
      <c r="D15" s="46">
        <f>IF($N15="","",INDEX('請求台帳'!$U$5:$U$1004,$N15)&amp;"")</f>
        <v/>
      </c>
      <c r="E15" s="46">
        <f>IF($N15="","",INDEX('請求台帳'!$C$5:$C$1004,$N15)&amp;"")</f>
        <v/>
      </c>
      <c r="F15" s="47">
        <f>IF($N15="","",INDEX('請求台帳'!$D$5:$D$1004,$N15)&amp;"")</f>
        <v/>
      </c>
      <c r="G15" s="46">
        <f>IF($N15="","",INDEX('請求台帳'!$A$5:$A$1004,$N15)&amp;"")</f>
        <v/>
      </c>
      <c r="H15" s="45">
        <f>IF($N15="","",INDEX('請求台帳'!$B$5:$B$1004,$N15))</f>
        <v/>
      </c>
      <c r="I15" s="49">
        <f>IF($N15="","",INDEX('請求台帳'!$L$5:$L$1004,$N15))</f>
        <v/>
      </c>
      <c r="J15" s="49">
        <f>IF($N15="","",INDEX('請求台帳'!$P$5:$P$1004,$N15)+INDEX('請求台帳'!$Q$5:$Q$1004,$N15))</f>
        <v/>
      </c>
      <c r="K15" s="49">
        <f>IF($N15="","",INDEX('請求台帳'!$R$5:$R$1004,$N15))</f>
        <v/>
      </c>
      <c r="L15" s="46">
        <f>IF($N15="","",INDEX('請求台帳'!$S$5:$S$1004,$N15)&amp;"")</f>
        <v/>
      </c>
      <c r="M15" s="56" t="n"/>
      <c r="N15" s="75">
        <f>IFERROR(MATCH(SMALL('請求台帳'!$Y$5:$Y$1004,10),'請求台帳'!$Y$5:$Y$1004,0),"")</f>
        <v/>
      </c>
    </row>
    <row r="16" ht="18" customHeight="1">
      <c r="A16" s="46">
        <f>IF($N16="","",11)</f>
        <v/>
      </c>
      <c r="B16" s="45">
        <f>IF($N16="","",INDEX('請求台帳'!$O$5:$O$1004,$N16))</f>
        <v/>
      </c>
      <c r="C16" s="53">
        <f>IF($N16="","",INDEX('請求台帳'!$T$5:$T$1004,$N16))</f>
        <v/>
      </c>
      <c r="D16" s="46">
        <f>IF($N16="","",INDEX('請求台帳'!$U$5:$U$1004,$N16)&amp;"")</f>
        <v/>
      </c>
      <c r="E16" s="46">
        <f>IF($N16="","",INDEX('請求台帳'!$C$5:$C$1004,$N16)&amp;"")</f>
        <v/>
      </c>
      <c r="F16" s="47">
        <f>IF($N16="","",INDEX('請求台帳'!$D$5:$D$1004,$N16)&amp;"")</f>
        <v/>
      </c>
      <c r="G16" s="46">
        <f>IF($N16="","",INDEX('請求台帳'!$A$5:$A$1004,$N16)&amp;"")</f>
        <v/>
      </c>
      <c r="H16" s="45">
        <f>IF($N16="","",INDEX('請求台帳'!$B$5:$B$1004,$N16))</f>
        <v/>
      </c>
      <c r="I16" s="49">
        <f>IF($N16="","",INDEX('請求台帳'!$L$5:$L$1004,$N16))</f>
        <v/>
      </c>
      <c r="J16" s="49">
        <f>IF($N16="","",INDEX('請求台帳'!$P$5:$P$1004,$N16)+INDEX('請求台帳'!$Q$5:$Q$1004,$N16))</f>
        <v/>
      </c>
      <c r="K16" s="49">
        <f>IF($N16="","",INDEX('請求台帳'!$R$5:$R$1004,$N16))</f>
        <v/>
      </c>
      <c r="L16" s="46">
        <f>IF($N16="","",INDEX('請求台帳'!$S$5:$S$1004,$N16)&amp;"")</f>
        <v/>
      </c>
      <c r="M16" s="56" t="n"/>
      <c r="N16" s="75">
        <f>IFERROR(MATCH(SMALL('請求台帳'!$Y$5:$Y$1004,11),'請求台帳'!$Y$5:$Y$1004,0),"")</f>
        <v/>
      </c>
    </row>
    <row r="17" ht="18" customHeight="1">
      <c r="A17" s="46">
        <f>IF($N17="","",12)</f>
        <v/>
      </c>
      <c r="B17" s="45">
        <f>IF($N17="","",INDEX('請求台帳'!$O$5:$O$1004,$N17))</f>
        <v/>
      </c>
      <c r="C17" s="53">
        <f>IF($N17="","",INDEX('請求台帳'!$T$5:$T$1004,$N17))</f>
        <v/>
      </c>
      <c r="D17" s="46">
        <f>IF($N17="","",INDEX('請求台帳'!$U$5:$U$1004,$N17)&amp;"")</f>
        <v/>
      </c>
      <c r="E17" s="46">
        <f>IF($N17="","",INDEX('請求台帳'!$C$5:$C$1004,$N17)&amp;"")</f>
        <v/>
      </c>
      <c r="F17" s="47">
        <f>IF($N17="","",INDEX('請求台帳'!$D$5:$D$1004,$N17)&amp;"")</f>
        <v/>
      </c>
      <c r="G17" s="46">
        <f>IF($N17="","",INDEX('請求台帳'!$A$5:$A$1004,$N17)&amp;"")</f>
        <v/>
      </c>
      <c r="H17" s="45">
        <f>IF($N17="","",INDEX('請求台帳'!$B$5:$B$1004,$N17))</f>
        <v/>
      </c>
      <c r="I17" s="49">
        <f>IF($N17="","",INDEX('請求台帳'!$L$5:$L$1004,$N17))</f>
        <v/>
      </c>
      <c r="J17" s="49">
        <f>IF($N17="","",INDEX('請求台帳'!$P$5:$P$1004,$N17)+INDEX('請求台帳'!$Q$5:$Q$1004,$N17))</f>
        <v/>
      </c>
      <c r="K17" s="49">
        <f>IF($N17="","",INDEX('請求台帳'!$R$5:$R$1004,$N17))</f>
        <v/>
      </c>
      <c r="L17" s="46">
        <f>IF($N17="","",INDEX('請求台帳'!$S$5:$S$1004,$N17)&amp;"")</f>
        <v/>
      </c>
      <c r="M17" s="56" t="n"/>
      <c r="N17" s="75">
        <f>IFERROR(MATCH(SMALL('請求台帳'!$Y$5:$Y$1004,12),'請求台帳'!$Y$5:$Y$1004,0),"")</f>
        <v/>
      </c>
    </row>
    <row r="18" ht="18" customHeight="1">
      <c r="A18" s="46">
        <f>IF($N18="","",13)</f>
        <v/>
      </c>
      <c r="B18" s="45">
        <f>IF($N18="","",INDEX('請求台帳'!$O$5:$O$1004,$N18))</f>
        <v/>
      </c>
      <c r="C18" s="53">
        <f>IF($N18="","",INDEX('請求台帳'!$T$5:$T$1004,$N18))</f>
        <v/>
      </c>
      <c r="D18" s="46">
        <f>IF($N18="","",INDEX('請求台帳'!$U$5:$U$1004,$N18)&amp;"")</f>
        <v/>
      </c>
      <c r="E18" s="46">
        <f>IF($N18="","",INDEX('請求台帳'!$C$5:$C$1004,$N18)&amp;"")</f>
        <v/>
      </c>
      <c r="F18" s="47">
        <f>IF($N18="","",INDEX('請求台帳'!$D$5:$D$1004,$N18)&amp;"")</f>
        <v/>
      </c>
      <c r="G18" s="46">
        <f>IF($N18="","",INDEX('請求台帳'!$A$5:$A$1004,$N18)&amp;"")</f>
        <v/>
      </c>
      <c r="H18" s="45">
        <f>IF($N18="","",INDEX('請求台帳'!$B$5:$B$1004,$N18))</f>
        <v/>
      </c>
      <c r="I18" s="49">
        <f>IF($N18="","",INDEX('請求台帳'!$L$5:$L$1004,$N18))</f>
        <v/>
      </c>
      <c r="J18" s="49">
        <f>IF($N18="","",INDEX('請求台帳'!$P$5:$P$1004,$N18)+INDEX('請求台帳'!$Q$5:$Q$1004,$N18))</f>
        <v/>
      </c>
      <c r="K18" s="49">
        <f>IF($N18="","",INDEX('請求台帳'!$R$5:$R$1004,$N18))</f>
        <v/>
      </c>
      <c r="L18" s="46">
        <f>IF($N18="","",INDEX('請求台帳'!$S$5:$S$1004,$N18)&amp;"")</f>
        <v/>
      </c>
      <c r="M18" s="56" t="n"/>
      <c r="N18" s="75">
        <f>IFERROR(MATCH(SMALL('請求台帳'!$Y$5:$Y$1004,13),'請求台帳'!$Y$5:$Y$1004,0),"")</f>
        <v/>
      </c>
    </row>
    <row r="19" ht="18" customHeight="1">
      <c r="A19" s="46">
        <f>IF($N19="","",14)</f>
        <v/>
      </c>
      <c r="B19" s="45">
        <f>IF($N19="","",INDEX('請求台帳'!$O$5:$O$1004,$N19))</f>
        <v/>
      </c>
      <c r="C19" s="53">
        <f>IF($N19="","",INDEX('請求台帳'!$T$5:$T$1004,$N19))</f>
        <v/>
      </c>
      <c r="D19" s="46">
        <f>IF($N19="","",INDEX('請求台帳'!$U$5:$U$1004,$N19)&amp;"")</f>
        <v/>
      </c>
      <c r="E19" s="46">
        <f>IF($N19="","",INDEX('請求台帳'!$C$5:$C$1004,$N19)&amp;"")</f>
        <v/>
      </c>
      <c r="F19" s="47">
        <f>IF($N19="","",INDEX('請求台帳'!$D$5:$D$1004,$N19)&amp;"")</f>
        <v/>
      </c>
      <c r="G19" s="46">
        <f>IF($N19="","",INDEX('請求台帳'!$A$5:$A$1004,$N19)&amp;"")</f>
        <v/>
      </c>
      <c r="H19" s="45">
        <f>IF($N19="","",INDEX('請求台帳'!$B$5:$B$1004,$N19))</f>
        <v/>
      </c>
      <c r="I19" s="49">
        <f>IF($N19="","",INDEX('請求台帳'!$L$5:$L$1004,$N19))</f>
        <v/>
      </c>
      <c r="J19" s="49">
        <f>IF($N19="","",INDEX('請求台帳'!$P$5:$P$1004,$N19)+INDEX('請求台帳'!$Q$5:$Q$1004,$N19))</f>
        <v/>
      </c>
      <c r="K19" s="49">
        <f>IF($N19="","",INDEX('請求台帳'!$R$5:$R$1004,$N19))</f>
        <v/>
      </c>
      <c r="L19" s="46">
        <f>IF($N19="","",INDEX('請求台帳'!$S$5:$S$1004,$N19)&amp;"")</f>
        <v/>
      </c>
      <c r="M19" s="56" t="n"/>
      <c r="N19" s="75">
        <f>IFERROR(MATCH(SMALL('請求台帳'!$Y$5:$Y$1004,14),'請求台帳'!$Y$5:$Y$1004,0),"")</f>
        <v/>
      </c>
    </row>
    <row r="20" ht="18" customHeight="1">
      <c r="A20" s="46">
        <f>IF($N20="","",15)</f>
        <v/>
      </c>
      <c r="B20" s="45">
        <f>IF($N20="","",INDEX('請求台帳'!$O$5:$O$1004,$N20))</f>
        <v/>
      </c>
      <c r="C20" s="53">
        <f>IF($N20="","",INDEX('請求台帳'!$T$5:$T$1004,$N20))</f>
        <v/>
      </c>
      <c r="D20" s="46">
        <f>IF($N20="","",INDEX('請求台帳'!$U$5:$U$1004,$N20)&amp;"")</f>
        <v/>
      </c>
      <c r="E20" s="46">
        <f>IF($N20="","",INDEX('請求台帳'!$C$5:$C$1004,$N20)&amp;"")</f>
        <v/>
      </c>
      <c r="F20" s="47">
        <f>IF($N20="","",INDEX('請求台帳'!$D$5:$D$1004,$N20)&amp;"")</f>
        <v/>
      </c>
      <c r="G20" s="46">
        <f>IF($N20="","",INDEX('請求台帳'!$A$5:$A$1004,$N20)&amp;"")</f>
        <v/>
      </c>
      <c r="H20" s="45">
        <f>IF($N20="","",INDEX('請求台帳'!$B$5:$B$1004,$N20))</f>
        <v/>
      </c>
      <c r="I20" s="49">
        <f>IF($N20="","",INDEX('請求台帳'!$L$5:$L$1004,$N20))</f>
        <v/>
      </c>
      <c r="J20" s="49">
        <f>IF($N20="","",INDEX('請求台帳'!$P$5:$P$1004,$N20)+INDEX('請求台帳'!$Q$5:$Q$1004,$N20))</f>
        <v/>
      </c>
      <c r="K20" s="49">
        <f>IF($N20="","",INDEX('請求台帳'!$R$5:$R$1004,$N20))</f>
        <v/>
      </c>
      <c r="L20" s="46">
        <f>IF($N20="","",INDEX('請求台帳'!$S$5:$S$1004,$N20)&amp;"")</f>
        <v/>
      </c>
      <c r="M20" s="56" t="n"/>
      <c r="N20" s="75">
        <f>IFERROR(MATCH(SMALL('請求台帳'!$Y$5:$Y$1004,15),'請求台帳'!$Y$5:$Y$1004,0),"")</f>
        <v/>
      </c>
    </row>
    <row r="21" ht="18" customHeight="1">
      <c r="A21" s="46">
        <f>IF($N21="","",16)</f>
        <v/>
      </c>
      <c r="B21" s="45">
        <f>IF($N21="","",INDEX('請求台帳'!$O$5:$O$1004,$N21))</f>
        <v/>
      </c>
      <c r="C21" s="53">
        <f>IF($N21="","",INDEX('請求台帳'!$T$5:$T$1004,$N21))</f>
        <v/>
      </c>
      <c r="D21" s="46">
        <f>IF($N21="","",INDEX('請求台帳'!$U$5:$U$1004,$N21)&amp;"")</f>
        <v/>
      </c>
      <c r="E21" s="46">
        <f>IF($N21="","",INDEX('請求台帳'!$C$5:$C$1004,$N21)&amp;"")</f>
        <v/>
      </c>
      <c r="F21" s="47">
        <f>IF($N21="","",INDEX('請求台帳'!$D$5:$D$1004,$N21)&amp;"")</f>
        <v/>
      </c>
      <c r="G21" s="46">
        <f>IF($N21="","",INDEX('請求台帳'!$A$5:$A$1004,$N21)&amp;"")</f>
        <v/>
      </c>
      <c r="H21" s="45">
        <f>IF($N21="","",INDEX('請求台帳'!$B$5:$B$1004,$N21))</f>
        <v/>
      </c>
      <c r="I21" s="49">
        <f>IF($N21="","",INDEX('請求台帳'!$L$5:$L$1004,$N21))</f>
        <v/>
      </c>
      <c r="J21" s="49">
        <f>IF($N21="","",INDEX('請求台帳'!$P$5:$P$1004,$N21)+INDEX('請求台帳'!$Q$5:$Q$1004,$N21))</f>
        <v/>
      </c>
      <c r="K21" s="49">
        <f>IF($N21="","",INDEX('請求台帳'!$R$5:$R$1004,$N21))</f>
        <v/>
      </c>
      <c r="L21" s="46">
        <f>IF($N21="","",INDEX('請求台帳'!$S$5:$S$1004,$N21)&amp;"")</f>
        <v/>
      </c>
      <c r="M21" s="56" t="n"/>
      <c r="N21" s="75">
        <f>IFERROR(MATCH(SMALL('請求台帳'!$Y$5:$Y$1004,16),'請求台帳'!$Y$5:$Y$1004,0),"")</f>
        <v/>
      </c>
    </row>
    <row r="22" ht="18" customHeight="1">
      <c r="A22" s="46">
        <f>IF($N22="","",17)</f>
        <v/>
      </c>
      <c r="B22" s="45">
        <f>IF($N22="","",INDEX('請求台帳'!$O$5:$O$1004,$N22))</f>
        <v/>
      </c>
      <c r="C22" s="53">
        <f>IF($N22="","",INDEX('請求台帳'!$T$5:$T$1004,$N22))</f>
        <v/>
      </c>
      <c r="D22" s="46">
        <f>IF($N22="","",INDEX('請求台帳'!$U$5:$U$1004,$N22)&amp;"")</f>
        <v/>
      </c>
      <c r="E22" s="46">
        <f>IF($N22="","",INDEX('請求台帳'!$C$5:$C$1004,$N22)&amp;"")</f>
        <v/>
      </c>
      <c r="F22" s="47">
        <f>IF($N22="","",INDEX('請求台帳'!$D$5:$D$1004,$N22)&amp;"")</f>
        <v/>
      </c>
      <c r="G22" s="46">
        <f>IF($N22="","",INDEX('請求台帳'!$A$5:$A$1004,$N22)&amp;"")</f>
        <v/>
      </c>
      <c r="H22" s="45">
        <f>IF($N22="","",INDEX('請求台帳'!$B$5:$B$1004,$N22))</f>
        <v/>
      </c>
      <c r="I22" s="49">
        <f>IF($N22="","",INDEX('請求台帳'!$L$5:$L$1004,$N22))</f>
        <v/>
      </c>
      <c r="J22" s="49">
        <f>IF($N22="","",INDEX('請求台帳'!$P$5:$P$1004,$N22)+INDEX('請求台帳'!$Q$5:$Q$1004,$N22))</f>
        <v/>
      </c>
      <c r="K22" s="49">
        <f>IF($N22="","",INDEX('請求台帳'!$R$5:$R$1004,$N22))</f>
        <v/>
      </c>
      <c r="L22" s="46">
        <f>IF($N22="","",INDEX('請求台帳'!$S$5:$S$1004,$N22)&amp;"")</f>
        <v/>
      </c>
      <c r="M22" s="56" t="n"/>
      <c r="N22" s="75">
        <f>IFERROR(MATCH(SMALL('請求台帳'!$Y$5:$Y$1004,17),'請求台帳'!$Y$5:$Y$1004,0),"")</f>
        <v/>
      </c>
    </row>
    <row r="23" ht="18" customHeight="1">
      <c r="A23" s="46">
        <f>IF($N23="","",18)</f>
        <v/>
      </c>
      <c r="B23" s="45">
        <f>IF($N23="","",INDEX('請求台帳'!$O$5:$O$1004,$N23))</f>
        <v/>
      </c>
      <c r="C23" s="53">
        <f>IF($N23="","",INDEX('請求台帳'!$T$5:$T$1004,$N23))</f>
        <v/>
      </c>
      <c r="D23" s="46">
        <f>IF($N23="","",INDEX('請求台帳'!$U$5:$U$1004,$N23)&amp;"")</f>
        <v/>
      </c>
      <c r="E23" s="46">
        <f>IF($N23="","",INDEX('請求台帳'!$C$5:$C$1004,$N23)&amp;"")</f>
        <v/>
      </c>
      <c r="F23" s="47">
        <f>IF($N23="","",INDEX('請求台帳'!$D$5:$D$1004,$N23)&amp;"")</f>
        <v/>
      </c>
      <c r="G23" s="46">
        <f>IF($N23="","",INDEX('請求台帳'!$A$5:$A$1004,$N23)&amp;"")</f>
        <v/>
      </c>
      <c r="H23" s="45">
        <f>IF($N23="","",INDEX('請求台帳'!$B$5:$B$1004,$N23))</f>
        <v/>
      </c>
      <c r="I23" s="49">
        <f>IF($N23="","",INDEX('請求台帳'!$L$5:$L$1004,$N23))</f>
        <v/>
      </c>
      <c r="J23" s="49">
        <f>IF($N23="","",INDEX('請求台帳'!$P$5:$P$1004,$N23)+INDEX('請求台帳'!$Q$5:$Q$1004,$N23))</f>
        <v/>
      </c>
      <c r="K23" s="49">
        <f>IF($N23="","",INDEX('請求台帳'!$R$5:$R$1004,$N23))</f>
        <v/>
      </c>
      <c r="L23" s="46">
        <f>IF($N23="","",INDEX('請求台帳'!$S$5:$S$1004,$N23)&amp;"")</f>
        <v/>
      </c>
      <c r="M23" s="56" t="n"/>
      <c r="N23" s="75">
        <f>IFERROR(MATCH(SMALL('請求台帳'!$Y$5:$Y$1004,18),'請求台帳'!$Y$5:$Y$1004,0),"")</f>
        <v/>
      </c>
    </row>
    <row r="24" ht="18" customHeight="1">
      <c r="A24" s="46">
        <f>IF($N24="","",19)</f>
        <v/>
      </c>
      <c r="B24" s="45">
        <f>IF($N24="","",INDEX('請求台帳'!$O$5:$O$1004,$N24))</f>
        <v/>
      </c>
      <c r="C24" s="53">
        <f>IF($N24="","",INDEX('請求台帳'!$T$5:$T$1004,$N24))</f>
        <v/>
      </c>
      <c r="D24" s="46">
        <f>IF($N24="","",INDEX('請求台帳'!$U$5:$U$1004,$N24)&amp;"")</f>
        <v/>
      </c>
      <c r="E24" s="46">
        <f>IF($N24="","",INDEX('請求台帳'!$C$5:$C$1004,$N24)&amp;"")</f>
        <v/>
      </c>
      <c r="F24" s="47">
        <f>IF($N24="","",INDEX('請求台帳'!$D$5:$D$1004,$N24)&amp;"")</f>
        <v/>
      </c>
      <c r="G24" s="46">
        <f>IF($N24="","",INDEX('請求台帳'!$A$5:$A$1004,$N24)&amp;"")</f>
        <v/>
      </c>
      <c r="H24" s="45">
        <f>IF($N24="","",INDEX('請求台帳'!$B$5:$B$1004,$N24))</f>
        <v/>
      </c>
      <c r="I24" s="49">
        <f>IF($N24="","",INDEX('請求台帳'!$L$5:$L$1004,$N24))</f>
        <v/>
      </c>
      <c r="J24" s="49">
        <f>IF($N24="","",INDEX('請求台帳'!$P$5:$P$1004,$N24)+INDEX('請求台帳'!$Q$5:$Q$1004,$N24))</f>
        <v/>
      </c>
      <c r="K24" s="49">
        <f>IF($N24="","",INDEX('請求台帳'!$R$5:$R$1004,$N24))</f>
        <v/>
      </c>
      <c r="L24" s="46">
        <f>IF($N24="","",INDEX('請求台帳'!$S$5:$S$1004,$N24)&amp;"")</f>
        <v/>
      </c>
      <c r="M24" s="56" t="n"/>
      <c r="N24" s="75">
        <f>IFERROR(MATCH(SMALL('請求台帳'!$Y$5:$Y$1004,19),'請求台帳'!$Y$5:$Y$1004,0),"")</f>
        <v/>
      </c>
    </row>
    <row r="25" ht="18" customHeight="1">
      <c r="A25" s="46">
        <f>IF($N25="","",20)</f>
        <v/>
      </c>
      <c r="B25" s="45">
        <f>IF($N25="","",INDEX('請求台帳'!$O$5:$O$1004,$N25))</f>
        <v/>
      </c>
      <c r="C25" s="53">
        <f>IF($N25="","",INDEX('請求台帳'!$T$5:$T$1004,$N25))</f>
        <v/>
      </c>
      <c r="D25" s="46">
        <f>IF($N25="","",INDEX('請求台帳'!$U$5:$U$1004,$N25)&amp;"")</f>
        <v/>
      </c>
      <c r="E25" s="46">
        <f>IF($N25="","",INDEX('請求台帳'!$C$5:$C$1004,$N25)&amp;"")</f>
        <v/>
      </c>
      <c r="F25" s="47">
        <f>IF($N25="","",INDEX('請求台帳'!$D$5:$D$1004,$N25)&amp;"")</f>
        <v/>
      </c>
      <c r="G25" s="46">
        <f>IF($N25="","",INDEX('請求台帳'!$A$5:$A$1004,$N25)&amp;"")</f>
        <v/>
      </c>
      <c r="H25" s="45">
        <f>IF($N25="","",INDEX('請求台帳'!$B$5:$B$1004,$N25))</f>
        <v/>
      </c>
      <c r="I25" s="49">
        <f>IF($N25="","",INDEX('請求台帳'!$L$5:$L$1004,$N25))</f>
        <v/>
      </c>
      <c r="J25" s="49">
        <f>IF($N25="","",INDEX('請求台帳'!$P$5:$P$1004,$N25)+INDEX('請求台帳'!$Q$5:$Q$1004,$N25))</f>
        <v/>
      </c>
      <c r="K25" s="49">
        <f>IF($N25="","",INDEX('請求台帳'!$R$5:$R$1004,$N25))</f>
        <v/>
      </c>
      <c r="L25" s="46">
        <f>IF($N25="","",INDEX('請求台帳'!$S$5:$S$1004,$N25)&amp;"")</f>
        <v/>
      </c>
      <c r="M25" s="56" t="n"/>
      <c r="N25" s="75">
        <f>IFERROR(MATCH(SMALL('請求台帳'!$Y$5:$Y$1004,20),'請求台帳'!$Y$5:$Y$1004,0),"")</f>
        <v/>
      </c>
    </row>
    <row r="26" ht="18" customHeight="1">
      <c r="A26" s="46">
        <f>IF($N26="","",21)</f>
        <v/>
      </c>
      <c r="B26" s="45">
        <f>IF($N26="","",INDEX('請求台帳'!$O$5:$O$1004,$N26))</f>
        <v/>
      </c>
      <c r="C26" s="53">
        <f>IF($N26="","",INDEX('請求台帳'!$T$5:$T$1004,$N26))</f>
        <v/>
      </c>
      <c r="D26" s="46">
        <f>IF($N26="","",INDEX('請求台帳'!$U$5:$U$1004,$N26)&amp;"")</f>
        <v/>
      </c>
      <c r="E26" s="46">
        <f>IF($N26="","",INDEX('請求台帳'!$C$5:$C$1004,$N26)&amp;"")</f>
        <v/>
      </c>
      <c r="F26" s="47">
        <f>IF($N26="","",INDEX('請求台帳'!$D$5:$D$1004,$N26)&amp;"")</f>
        <v/>
      </c>
      <c r="G26" s="46">
        <f>IF($N26="","",INDEX('請求台帳'!$A$5:$A$1004,$N26)&amp;"")</f>
        <v/>
      </c>
      <c r="H26" s="45">
        <f>IF($N26="","",INDEX('請求台帳'!$B$5:$B$1004,$N26))</f>
        <v/>
      </c>
      <c r="I26" s="49">
        <f>IF($N26="","",INDEX('請求台帳'!$L$5:$L$1004,$N26))</f>
        <v/>
      </c>
      <c r="J26" s="49">
        <f>IF($N26="","",INDEX('請求台帳'!$P$5:$P$1004,$N26)+INDEX('請求台帳'!$Q$5:$Q$1004,$N26))</f>
        <v/>
      </c>
      <c r="K26" s="49">
        <f>IF($N26="","",INDEX('請求台帳'!$R$5:$R$1004,$N26))</f>
        <v/>
      </c>
      <c r="L26" s="46">
        <f>IF($N26="","",INDEX('請求台帳'!$S$5:$S$1004,$N26)&amp;"")</f>
        <v/>
      </c>
      <c r="M26" s="56" t="n"/>
      <c r="N26" s="75">
        <f>IFERROR(MATCH(SMALL('請求台帳'!$Y$5:$Y$1004,21),'請求台帳'!$Y$5:$Y$1004,0),"")</f>
        <v/>
      </c>
    </row>
    <row r="27" ht="18" customHeight="1">
      <c r="A27" s="46">
        <f>IF($N27="","",22)</f>
        <v/>
      </c>
      <c r="B27" s="45">
        <f>IF($N27="","",INDEX('請求台帳'!$O$5:$O$1004,$N27))</f>
        <v/>
      </c>
      <c r="C27" s="53">
        <f>IF($N27="","",INDEX('請求台帳'!$T$5:$T$1004,$N27))</f>
        <v/>
      </c>
      <c r="D27" s="46">
        <f>IF($N27="","",INDEX('請求台帳'!$U$5:$U$1004,$N27)&amp;"")</f>
        <v/>
      </c>
      <c r="E27" s="46">
        <f>IF($N27="","",INDEX('請求台帳'!$C$5:$C$1004,$N27)&amp;"")</f>
        <v/>
      </c>
      <c r="F27" s="47">
        <f>IF($N27="","",INDEX('請求台帳'!$D$5:$D$1004,$N27)&amp;"")</f>
        <v/>
      </c>
      <c r="G27" s="46">
        <f>IF($N27="","",INDEX('請求台帳'!$A$5:$A$1004,$N27)&amp;"")</f>
        <v/>
      </c>
      <c r="H27" s="45">
        <f>IF($N27="","",INDEX('請求台帳'!$B$5:$B$1004,$N27))</f>
        <v/>
      </c>
      <c r="I27" s="49">
        <f>IF($N27="","",INDEX('請求台帳'!$L$5:$L$1004,$N27))</f>
        <v/>
      </c>
      <c r="J27" s="49">
        <f>IF($N27="","",INDEX('請求台帳'!$P$5:$P$1004,$N27)+INDEX('請求台帳'!$Q$5:$Q$1004,$N27))</f>
        <v/>
      </c>
      <c r="K27" s="49">
        <f>IF($N27="","",INDEX('請求台帳'!$R$5:$R$1004,$N27))</f>
        <v/>
      </c>
      <c r="L27" s="46">
        <f>IF($N27="","",INDEX('請求台帳'!$S$5:$S$1004,$N27)&amp;"")</f>
        <v/>
      </c>
      <c r="M27" s="56" t="n"/>
      <c r="N27" s="75">
        <f>IFERROR(MATCH(SMALL('請求台帳'!$Y$5:$Y$1004,22),'請求台帳'!$Y$5:$Y$1004,0),"")</f>
        <v/>
      </c>
    </row>
    <row r="28" ht="18" customHeight="1">
      <c r="A28" s="46">
        <f>IF($N28="","",23)</f>
        <v/>
      </c>
      <c r="B28" s="45">
        <f>IF($N28="","",INDEX('請求台帳'!$O$5:$O$1004,$N28))</f>
        <v/>
      </c>
      <c r="C28" s="53">
        <f>IF($N28="","",INDEX('請求台帳'!$T$5:$T$1004,$N28))</f>
        <v/>
      </c>
      <c r="D28" s="46">
        <f>IF($N28="","",INDEX('請求台帳'!$U$5:$U$1004,$N28)&amp;"")</f>
        <v/>
      </c>
      <c r="E28" s="46">
        <f>IF($N28="","",INDEX('請求台帳'!$C$5:$C$1004,$N28)&amp;"")</f>
        <v/>
      </c>
      <c r="F28" s="47">
        <f>IF($N28="","",INDEX('請求台帳'!$D$5:$D$1004,$N28)&amp;"")</f>
        <v/>
      </c>
      <c r="G28" s="46">
        <f>IF($N28="","",INDEX('請求台帳'!$A$5:$A$1004,$N28)&amp;"")</f>
        <v/>
      </c>
      <c r="H28" s="45">
        <f>IF($N28="","",INDEX('請求台帳'!$B$5:$B$1004,$N28))</f>
        <v/>
      </c>
      <c r="I28" s="49">
        <f>IF($N28="","",INDEX('請求台帳'!$L$5:$L$1004,$N28))</f>
        <v/>
      </c>
      <c r="J28" s="49">
        <f>IF($N28="","",INDEX('請求台帳'!$P$5:$P$1004,$N28)+INDEX('請求台帳'!$Q$5:$Q$1004,$N28))</f>
        <v/>
      </c>
      <c r="K28" s="49">
        <f>IF($N28="","",INDEX('請求台帳'!$R$5:$R$1004,$N28))</f>
        <v/>
      </c>
      <c r="L28" s="46">
        <f>IF($N28="","",INDEX('請求台帳'!$S$5:$S$1004,$N28)&amp;"")</f>
        <v/>
      </c>
      <c r="M28" s="56" t="n"/>
      <c r="N28" s="75">
        <f>IFERROR(MATCH(SMALL('請求台帳'!$Y$5:$Y$1004,23),'請求台帳'!$Y$5:$Y$1004,0),"")</f>
        <v/>
      </c>
    </row>
    <row r="29" ht="18" customHeight="1">
      <c r="A29" s="46">
        <f>IF($N29="","",24)</f>
        <v/>
      </c>
      <c r="B29" s="45">
        <f>IF($N29="","",INDEX('請求台帳'!$O$5:$O$1004,$N29))</f>
        <v/>
      </c>
      <c r="C29" s="53">
        <f>IF($N29="","",INDEX('請求台帳'!$T$5:$T$1004,$N29))</f>
        <v/>
      </c>
      <c r="D29" s="46">
        <f>IF($N29="","",INDEX('請求台帳'!$U$5:$U$1004,$N29)&amp;"")</f>
        <v/>
      </c>
      <c r="E29" s="46">
        <f>IF($N29="","",INDEX('請求台帳'!$C$5:$C$1004,$N29)&amp;"")</f>
        <v/>
      </c>
      <c r="F29" s="47">
        <f>IF($N29="","",INDEX('請求台帳'!$D$5:$D$1004,$N29)&amp;"")</f>
        <v/>
      </c>
      <c r="G29" s="46">
        <f>IF($N29="","",INDEX('請求台帳'!$A$5:$A$1004,$N29)&amp;"")</f>
        <v/>
      </c>
      <c r="H29" s="45">
        <f>IF($N29="","",INDEX('請求台帳'!$B$5:$B$1004,$N29))</f>
        <v/>
      </c>
      <c r="I29" s="49">
        <f>IF($N29="","",INDEX('請求台帳'!$L$5:$L$1004,$N29))</f>
        <v/>
      </c>
      <c r="J29" s="49">
        <f>IF($N29="","",INDEX('請求台帳'!$P$5:$P$1004,$N29)+INDEX('請求台帳'!$Q$5:$Q$1004,$N29))</f>
        <v/>
      </c>
      <c r="K29" s="49">
        <f>IF($N29="","",INDEX('請求台帳'!$R$5:$R$1004,$N29))</f>
        <v/>
      </c>
      <c r="L29" s="46">
        <f>IF($N29="","",INDEX('請求台帳'!$S$5:$S$1004,$N29)&amp;"")</f>
        <v/>
      </c>
      <c r="M29" s="56" t="n"/>
      <c r="N29" s="75">
        <f>IFERROR(MATCH(SMALL('請求台帳'!$Y$5:$Y$1004,24),'請求台帳'!$Y$5:$Y$1004,0),"")</f>
        <v/>
      </c>
    </row>
    <row r="30" ht="18" customHeight="1">
      <c r="A30" s="46">
        <f>IF($N30="","",25)</f>
        <v/>
      </c>
      <c r="B30" s="45">
        <f>IF($N30="","",INDEX('請求台帳'!$O$5:$O$1004,$N30))</f>
        <v/>
      </c>
      <c r="C30" s="53">
        <f>IF($N30="","",INDEX('請求台帳'!$T$5:$T$1004,$N30))</f>
        <v/>
      </c>
      <c r="D30" s="46">
        <f>IF($N30="","",INDEX('請求台帳'!$U$5:$U$1004,$N30)&amp;"")</f>
        <v/>
      </c>
      <c r="E30" s="46">
        <f>IF($N30="","",INDEX('請求台帳'!$C$5:$C$1004,$N30)&amp;"")</f>
        <v/>
      </c>
      <c r="F30" s="47">
        <f>IF($N30="","",INDEX('請求台帳'!$D$5:$D$1004,$N30)&amp;"")</f>
        <v/>
      </c>
      <c r="G30" s="46">
        <f>IF($N30="","",INDEX('請求台帳'!$A$5:$A$1004,$N30)&amp;"")</f>
        <v/>
      </c>
      <c r="H30" s="45">
        <f>IF($N30="","",INDEX('請求台帳'!$B$5:$B$1004,$N30))</f>
        <v/>
      </c>
      <c r="I30" s="49">
        <f>IF($N30="","",INDEX('請求台帳'!$L$5:$L$1004,$N30))</f>
        <v/>
      </c>
      <c r="J30" s="49">
        <f>IF($N30="","",INDEX('請求台帳'!$P$5:$P$1004,$N30)+INDEX('請求台帳'!$Q$5:$Q$1004,$N30))</f>
        <v/>
      </c>
      <c r="K30" s="49">
        <f>IF($N30="","",INDEX('請求台帳'!$R$5:$R$1004,$N30))</f>
        <v/>
      </c>
      <c r="L30" s="46">
        <f>IF($N30="","",INDEX('請求台帳'!$S$5:$S$1004,$N30)&amp;"")</f>
        <v/>
      </c>
      <c r="M30" s="56" t="n"/>
      <c r="N30" s="75">
        <f>IFERROR(MATCH(SMALL('請求台帳'!$Y$5:$Y$1004,25),'請求台帳'!$Y$5:$Y$1004,0),"")</f>
        <v/>
      </c>
    </row>
    <row r="31" ht="18" customHeight="1">
      <c r="A31" s="46">
        <f>IF($N31="","",26)</f>
        <v/>
      </c>
      <c r="B31" s="45">
        <f>IF($N31="","",INDEX('請求台帳'!$O$5:$O$1004,$N31))</f>
        <v/>
      </c>
      <c r="C31" s="53">
        <f>IF($N31="","",INDEX('請求台帳'!$T$5:$T$1004,$N31))</f>
        <v/>
      </c>
      <c r="D31" s="46">
        <f>IF($N31="","",INDEX('請求台帳'!$U$5:$U$1004,$N31)&amp;"")</f>
        <v/>
      </c>
      <c r="E31" s="46">
        <f>IF($N31="","",INDEX('請求台帳'!$C$5:$C$1004,$N31)&amp;"")</f>
        <v/>
      </c>
      <c r="F31" s="47">
        <f>IF($N31="","",INDEX('請求台帳'!$D$5:$D$1004,$N31)&amp;"")</f>
        <v/>
      </c>
      <c r="G31" s="46">
        <f>IF($N31="","",INDEX('請求台帳'!$A$5:$A$1004,$N31)&amp;"")</f>
        <v/>
      </c>
      <c r="H31" s="45">
        <f>IF($N31="","",INDEX('請求台帳'!$B$5:$B$1004,$N31))</f>
        <v/>
      </c>
      <c r="I31" s="49">
        <f>IF($N31="","",INDEX('請求台帳'!$L$5:$L$1004,$N31))</f>
        <v/>
      </c>
      <c r="J31" s="49">
        <f>IF($N31="","",INDEX('請求台帳'!$P$5:$P$1004,$N31)+INDEX('請求台帳'!$Q$5:$Q$1004,$N31))</f>
        <v/>
      </c>
      <c r="K31" s="49">
        <f>IF($N31="","",INDEX('請求台帳'!$R$5:$R$1004,$N31))</f>
        <v/>
      </c>
      <c r="L31" s="46">
        <f>IF($N31="","",INDEX('請求台帳'!$S$5:$S$1004,$N31)&amp;"")</f>
        <v/>
      </c>
      <c r="M31" s="56" t="n"/>
      <c r="N31" s="75">
        <f>IFERROR(MATCH(SMALL('請求台帳'!$Y$5:$Y$1004,26),'請求台帳'!$Y$5:$Y$1004,0),"")</f>
        <v/>
      </c>
    </row>
    <row r="32" ht="18" customHeight="1">
      <c r="A32" s="46">
        <f>IF($N32="","",27)</f>
        <v/>
      </c>
      <c r="B32" s="45">
        <f>IF($N32="","",INDEX('請求台帳'!$O$5:$O$1004,$N32))</f>
        <v/>
      </c>
      <c r="C32" s="53">
        <f>IF($N32="","",INDEX('請求台帳'!$T$5:$T$1004,$N32))</f>
        <v/>
      </c>
      <c r="D32" s="46">
        <f>IF($N32="","",INDEX('請求台帳'!$U$5:$U$1004,$N32)&amp;"")</f>
        <v/>
      </c>
      <c r="E32" s="46">
        <f>IF($N32="","",INDEX('請求台帳'!$C$5:$C$1004,$N32)&amp;"")</f>
        <v/>
      </c>
      <c r="F32" s="47">
        <f>IF($N32="","",INDEX('請求台帳'!$D$5:$D$1004,$N32)&amp;"")</f>
        <v/>
      </c>
      <c r="G32" s="46">
        <f>IF($N32="","",INDEX('請求台帳'!$A$5:$A$1004,$N32)&amp;"")</f>
        <v/>
      </c>
      <c r="H32" s="45">
        <f>IF($N32="","",INDEX('請求台帳'!$B$5:$B$1004,$N32))</f>
        <v/>
      </c>
      <c r="I32" s="49">
        <f>IF($N32="","",INDEX('請求台帳'!$L$5:$L$1004,$N32))</f>
        <v/>
      </c>
      <c r="J32" s="49">
        <f>IF($N32="","",INDEX('請求台帳'!$P$5:$P$1004,$N32)+INDEX('請求台帳'!$Q$5:$Q$1004,$N32))</f>
        <v/>
      </c>
      <c r="K32" s="49">
        <f>IF($N32="","",INDEX('請求台帳'!$R$5:$R$1004,$N32))</f>
        <v/>
      </c>
      <c r="L32" s="46">
        <f>IF($N32="","",INDEX('請求台帳'!$S$5:$S$1004,$N32)&amp;"")</f>
        <v/>
      </c>
      <c r="M32" s="56" t="n"/>
      <c r="N32" s="75">
        <f>IFERROR(MATCH(SMALL('請求台帳'!$Y$5:$Y$1004,27),'請求台帳'!$Y$5:$Y$1004,0),"")</f>
        <v/>
      </c>
    </row>
    <row r="33" ht="18" customHeight="1">
      <c r="A33" s="46">
        <f>IF($N33="","",28)</f>
        <v/>
      </c>
      <c r="B33" s="45">
        <f>IF($N33="","",INDEX('請求台帳'!$O$5:$O$1004,$N33))</f>
        <v/>
      </c>
      <c r="C33" s="53">
        <f>IF($N33="","",INDEX('請求台帳'!$T$5:$T$1004,$N33))</f>
        <v/>
      </c>
      <c r="D33" s="46">
        <f>IF($N33="","",INDEX('請求台帳'!$U$5:$U$1004,$N33)&amp;"")</f>
        <v/>
      </c>
      <c r="E33" s="46">
        <f>IF($N33="","",INDEX('請求台帳'!$C$5:$C$1004,$N33)&amp;"")</f>
        <v/>
      </c>
      <c r="F33" s="47">
        <f>IF($N33="","",INDEX('請求台帳'!$D$5:$D$1004,$N33)&amp;"")</f>
        <v/>
      </c>
      <c r="G33" s="46">
        <f>IF($N33="","",INDEX('請求台帳'!$A$5:$A$1004,$N33)&amp;"")</f>
        <v/>
      </c>
      <c r="H33" s="45">
        <f>IF($N33="","",INDEX('請求台帳'!$B$5:$B$1004,$N33))</f>
        <v/>
      </c>
      <c r="I33" s="49">
        <f>IF($N33="","",INDEX('請求台帳'!$L$5:$L$1004,$N33))</f>
        <v/>
      </c>
      <c r="J33" s="49">
        <f>IF($N33="","",INDEX('請求台帳'!$P$5:$P$1004,$N33)+INDEX('請求台帳'!$Q$5:$Q$1004,$N33))</f>
        <v/>
      </c>
      <c r="K33" s="49">
        <f>IF($N33="","",INDEX('請求台帳'!$R$5:$R$1004,$N33))</f>
        <v/>
      </c>
      <c r="L33" s="46">
        <f>IF($N33="","",INDEX('請求台帳'!$S$5:$S$1004,$N33)&amp;"")</f>
        <v/>
      </c>
      <c r="M33" s="56" t="n"/>
      <c r="N33" s="75">
        <f>IFERROR(MATCH(SMALL('請求台帳'!$Y$5:$Y$1004,28),'請求台帳'!$Y$5:$Y$1004,0),"")</f>
        <v/>
      </c>
    </row>
    <row r="34" ht="18" customHeight="1">
      <c r="A34" s="46">
        <f>IF($N34="","",29)</f>
        <v/>
      </c>
      <c r="B34" s="45">
        <f>IF($N34="","",INDEX('請求台帳'!$O$5:$O$1004,$N34))</f>
        <v/>
      </c>
      <c r="C34" s="53">
        <f>IF($N34="","",INDEX('請求台帳'!$T$5:$T$1004,$N34))</f>
        <v/>
      </c>
      <c r="D34" s="46">
        <f>IF($N34="","",INDEX('請求台帳'!$U$5:$U$1004,$N34)&amp;"")</f>
        <v/>
      </c>
      <c r="E34" s="46">
        <f>IF($N34="","",INDEX('請求台帳'!$C$5:$C$1004,$N34)&amp;"")</f>
        <v/>
      </c>
      <c r="F34" s="47">
        <f>IF($N34="","",INDEX('請求台帳'!$D$5:$D$1004,$N34)&amp;"")</f>
        <v/>
      </c>
      <c r="G34" s="46">
        <f>IF($N34="","",INDEX('請求台帳'!$A$5:$A$1004,$N34)&amp;"")</f>
        <v/>
      </c>
      <c r="H34" s="45">
        <f>IF($N34="","",INDEX('請求台帳'!$B$5:$B$1004,$N34))</f>
        <v/>
      </c>
      <c r="I34" s="49">
        <f>IF($N34="","",INDEX('請求台帳'!$L$5:$L$1004,$N34))</f>
        <v/>
      </c>
      <c r="J34" s="49">
        <f>IF($N34="","",INDEX('請求台帳'!$P$5:$P$1004,$N34)+INDEX('請求台帳'!$Q$5:$Q$1004,$N34))</f>
        <v/>
      </c>
      <c r="K34" s="49">
        <f>IF($N34="","",INDEX('請求台帳'!$R$5:$R$1004,$N34))</f>
        <v/>
      </c>
      <c r="L34" s="46">
        <f>IF($N34="","",INDEX('請求台帳'!$S$5:$S$1004,$N34)&amp;"")</f>
        <v/>
      </c>
      <c r="M34" s="56" t="n"/>
      <c r="N34" s="75">
        <f>IFERROR(MATCH(SMALL('請求台帳'!$Y$5:$Y$1004,29),'請求台帳'!$Y$5:$Y$1004,0),"")</f>
        <v/>
      </c>
    </row>
    <row r="35" ht="18" customHeight="1">
      <c r="A35" s="46">
        <f>IF($N35="","",30)</f>
        <v/>
      </c>
      <c r="B35" s="45">
        <f>IF($N35="","",INDEX('請求台帳'!$O$5:$O$1004,$N35))</f>
        <v/>
      </c>
      <c r="C35" s="53">
        <f>IF($N35="","",INDEX('請求台帳'!$T$5:$T$1004,$N35))</f>
        <v/>
      </c>
      <c r="D35" s="46">
        <f>IF($N35="","",INDEX('請求台帳'!$U$5:$U$1004,$N35)&amp;"")</f>
        <v/>
      </c>
      <c r="E35" s="46">
        <f>IF($N35="","",INDEX('請求台帳'!$C$5:$C$1004,$N35)&amp;"")</f>
        <v/>
      </c>
      <c r="F35" s="47">
        <f>IF($N35="","",INDEX('請求台帳'!$D$5:$D$1004,$N35)&amp;"")</f>
        <v/>
      </c>
      <c r="G35" s="46">
        <f>IF($N35="","",INDEX('請求台帳'!$A$5:$A$1004,$N35)&amp;"")</f>
        <v/>
      </c>
      <c r="H35" s="45">
        <f>IF($N35="","",INDEX('請求台帳'!$B$5:$B$1004,$N35))</f>
        <v/>
      </c>
      <c r="I35" s="49">
        <f>IF($N35="","",INDEX('請求台帳'!$L$5:$L$1004,$N35))</f>
        <v/>
      </c>
      <c r="J35" s="49">
        <f>IF($N35="","",INDEX('請求台帳'!$P$5:$P$1004,$N35)+INDEX('請求台帳'!$Q$5:$Q$1004,$N35))</f>
        <v/>
      </c>
      <c r="K35" s="49">
        <f>IF($N35="","",INDEX('請求台帳'!$R$5:$R$1004,$N35))</f>
        <v/>
      </c>
      <c r="L35" s="46">
        <f>IF($N35="","",INDEX('請求台帳'!$S$5:$S$1004,$N35)&amp;"")</f>
        <v/>
      </c>
      <c r="M35" s="56" t="n"/>
      <c r="N35" s="75">
        <f>IFERROR(MATCH(SMALL('請求台帳'!$Y$5:$Y$1004,30),'請求台帳'!$Y$5:$Y$1004,0),"")</f>
        <v/>
      </c>
    </row>
    <row r="36" ht="18" customHeight="1">
      <c r="A36" s="46">
        <f>IF($N36="","",31)</f>
        <v/>
      </c>
      <c r="B36" s="45">
        <f>IF($N36="","",INDEX('請求台帳'!$O$5:$O$1004,$N36))</f>
        <v/>
      </c>
      <c r="C36" s="53">
        <f>IF($N36="","",INDEX('請求台帳'!$T$5:$T$1004,$N36))</f>
        <v/>
      </c>
      <c r="D36" s="46">
        <f>IF($N36="","",INDEX('請求台帳'!$U$5:$U$1004,$N36)&amp;"")</f>
        <v/>
      </c>
      <c r="E36" s="46">
        <f>IF($N36="","",INDEX('請求台帳'!$C$5:$C$1004,$N36)&amp;"")</f>
        <v/>
      </c>
      <c r="F36" s="47">
        <f>IF($N36="","",INDEX('請求台帳'!$D$5:$D$1004,$N36)&amp;"")</f>
        <v/>
      </c>
      <c r="G36" s="46">
        <f>IF($N36="","",INDEX('請求台帳'!$A$5:$A$1004,$N36)&amp;"")</f>
        <v/>
      </c>
      <c r="H36" s="45">
        <f>IF($N36="","",INDEX('請求台帳'!$B$5:$B$1004,$N36))</f>
        <v/>
      </c>
      <c r="I36" s="49">
        <f>IF($N36="","",INDEX('請求台帳'!$L$5:$L$1004,$N36))</f>
        <v/>
      </c>
      <c r="J36" s="49">
        <f>IF($N36="","",INDEX('請求台帳'!$P$5:$P$1004,$N36)+INDEX('請求台帳'!$Q$5:$Q$1004,$N36))</f>
        <v/>
      </c>
      <c r="K36" s="49">
        <f>IF($N36="","",INDEX('請求台帳'!$R$5:$R$1004,$N36))</f>
        <v/>
      </c>
      <c r="L36" s="46">
        <f>IF($N36="","",INDEX('請求台帳'!$S$5:$S$1004,$N36)&amp;"")</f>
        <v/>
      </c>
      <c r="M36" s="56" t="n"/>
      <c r="N36" s="75">
        <f>IFERROR(MATCH(SMALL('請求台帳'!$Y$5:$Y$1004,31),'請求台帳'!$Y$5:$Y$1004,0),"")</f>
        <v/>
      </c>
    </row>
    <row r="37" ht="18" customHeight="1">
      <c r="A37" s="46">
        <f>IF($N37="","",32)</f>
        <v/>
      </c>
      <c r="B37" s="45">
        <f>IF($N37="","",INDEX('請求台帳'!$O$5:$O$1004,$N37))</f>
        <v/>
      </c>
      <c r="C37" s="53">
        <f>IF($N37="","",INDEX('請求台帳'!$T$5:$T$1004,$N37))</f>
        <v/>
      </c>
      <c r="D37" s="46">
        <f>IF($N37="","",INDEX('請求台帳'!$U$5:$U$1004,$N37)&amp;"")</f>
        <v/>
      </c>
      <c r="E37" s="46">
        <f>IF($N37="","",INDEX('請求台帳'!$C$5:$C$1004,$N37)&amp;"")</f>
        <v/>
      </c>
      <c r="F37" s="47">
        <f>IF($N37="","",INDEX('請求台帳'!$D$5:$D$1004,$N37)&amp;"")</f>
        <v/>
      </c>
      <c r="G37" s="46">
        <f>IF($N37="","",INDEX('請求台帳'!$A$5:$A$1004,$N37)&amp;"")</f>
        <v/>
      </c>
      <c r="H37" s="45">
        <f>IF($N37="","",INDEX('請求台帳'!$B$5:$B$1004,$N37))</f>
        <v/>
      </c>
      <c r="I37" s="49">
        <f>IF($N37="","",INDEX('請求台帳'!$L$5:$L$1004,$N37))</f>
        <v/>
      </c>
      <c r="J37" s="49">
        <f>IF($N37="","",INDEX('請求台帳'!$P$5:$P$1004,$N37)+INDEX('請求台帳'!$Q$5:$Q$1004,$N37))</f>
        <v/>
      </c>
      <c r="K37" s="49">
        <f>IF($N37="","",INDEX('請求台帳'!$R$5:$R$1004,$N37))</f>
        <v/>
      </c>
      <c r="L37" s="46">
        <f>IF($N37="","",INDEX('請求台帳'!$S$5:$S$1004,$N37)&amp;"")</f>
        <v/>
      </c>
      <c r="M37" s="56" t="n"/>
      <c r="N37" s="75">
        <f>IFERROR(MATCH(SMALL('請求台帳'!$Y$5:$Y$1004,32),'請求台帳'!$Y$5:$Y$1004,0),"")</f>
        <v/>
      </c>
    </row>
    <row r="38" ht="18" customHeight="1">
      <c r="A38" s="46">
        <f>IF($N38="","",33)</f>
        <v/>
      </c>
      <c r="B38" s="45">
        <f>IF($N38="","",INDEX('請求台帳'!$O$5:$O$1004,$N38))</f>
        <v/>
      </c>
      <c r="C38" s="53">
        <f>IF($N38="","",INDEX('請求台帳'!$T$5:$T$1004,$N38))</f>
        <v/>
      </c>
      <c r="D38" s="46">
        <f>IF($N38="","",INDEX('請求台帳'!$U$5:$U$1004,$N38)&amp;"")</f>
        <v/>
      </c>
      <c r="E38" s="46">
        <f>IF($N38="","",INDEX('請求台帳'!$C$5:$C$1004,$N38)&amp;"")</f>
        <v/>
      </c>
      <c r="F38" s="47">
        <f>IF($N38="","",INDEX('請求台帳'!$D$5:$D$1004,$N38)&amp;"")</f>
        <v/>
      </c>
      <c r="G38" s="46">
        <f>IF($N38="","",INDEX('請求台帳'!$A$5:$A$1004,$N38)&amp;"")</f>
        <v/>
      </c>
      <c r="H38" s="45">
        <f>IF($N38="","",INDEX('請求台帳'!$B$5:$B$1004,$N38))</f>
        <v/>
      </c>
      <c r="I38" s="49">
        <f>IF($N38="","",INDEX('請求台帳'!$L$5:$L$1004,$N38))</f>
        <v/>
      </c>
      <c r="J38" s="49">
        <f>IF($N38="","",INDEX('請求台帳'!$P$5:$P$1004,$N38)+INDEX('請求台帳'!$Q$5:$Q$1004,$N38))</f>
        <v/>
      </c>
      <c r="K38" s="49">
        <f>IF($N38="","",INDEX('請求台帳'!$R$5:$R$1004,$N38))</f>
        <v/>
      </c>
      <c r="L38" s="46">
        <f>IF($N38="","",INDEX('請求台帳'!$S$5:$S$1004,$N38)&amp;"")</f>
        <v/>
      </c>
      <c r="M38" s="56" t="n"/>
      <c r="N38" s="75">
        <f>IFERROR(MATCH(SMALL('請求台帳'!$Y$5:$Y$1004,33),'請求台帳'!$Y$5:$Y$1004,0),"")</f>
        <v/>
      </c>
    </row>
    <row r="39" ht="18" customHeight="1">
      <c r="A39" s="46">
        <f>IF($N39="","",34)</f>
        <v/>
      </c>
      <c r="B39" s="45">
        <f>IF($N39="","",INDEX('請求台帳'!$O$5:$O$1004,$N39))</f>
        <v/>
      </c>
      <c r="C39" s="53">
        <f>IF($N39="","",INDEX('請求台帳'!$T$5:$T$1004,$N39))</f>
        <v/>
      </c>
      <c r="D39" s="46">
        <f>IF($N39="","",INDEX('請求台帳'!$U$5:$U$1004,$N39)&amp;"")</f>
        <v/>
      </c>
      <c r="E39" s="46">
        <f>IF($N39="","",INDEX('請求台帳'!$C$5:$C$1004,$N39)&amp;"")</f>
        <v/>
      </c>
      <c r="F39" s="47">
        <f>IF($N39="","",INDEX('請求台帳'!$D$5:$D$1004,$N39)&amp;"")</f>
        <v/>
      </c>
      <c r="G39" s="46">
        <f>IF($N39="","",INDEX('請求台帳'!$A$5:$A$1004,$N39)&amp;"")</f>
        <v/>
      </c>
      <c r="H39" s="45">
        <f>IF($N39="","",INDEX('請求台帳'!$B$5:$B$1004,$N39))</f>
        <v/>
      </c>
      <c r="I39" s="49">
        <f>IF($N39="","",INDEX('請求台帳'!$L$5:$L$1004,$N39))</f>
        <v/>
      </c>
      <c r="J39" s="49">
        <f>IF($N39="","",INDEX('請求台帳'!$P$5:$P$1004,$N39)+INDEX('請求台帳'!$Q$5:$Q$1004,$N39))</f>
        <v/>
      </c>
      <c r="K39" s="49">
        <f>IF($N39="","",INDEX('請求台帳'!$R$5:$R$1004,$N39))</f>
        <v/>
      </c>
      <c r="L39" s="46">
        <f>IF($N39="","",INDEX('請求台帳'!$S$5:$S$1004,$N39)&amp;"")</f>
        <v/>
      </c>
      <c r="M39" s="56" t="n"/>
      <c r="N39" s="75">
        <f>IFERROR(MATCH(SMALL('請求台帳'!$Y$5:$Y$1004,34),'請求台帳'!$Y$5:$Y$1004,0),"")</f>
        <v/>
      </c>
    </row>
    <row r="40" ht="18" customHeight="1">
      <c r="A40" s="46">
        <f>IF($N40="","",35)</f>
        <v/>
      </c>
      <c r="B40" s="45">
        <f>IF($N40="","",INDEX('請求台帳'!$O$5:$O$1004,$N40))</f>
        <v/>
      </c>
      <c r="C40" s="53">
        <f>IF($N40="","",INDEX('請求台帳'!$T$5:$T$1004,$N40))</f>
        <v/>
      </c>
      <c r="D40" s="46">
        <f>IF($N40="","",INDEX('請求台帳'!$U$5:$U$1004,$N40)&amp;"")</f>
        <v/>
      </c>
      <c r="E40" s="46">
        <f>IF($N40="","",INDEX('請求台帳'!$C$5:$C$1004,$N40)&amp;"")</f>
        <v/>
      </c>
      <c r="F40" s="47">
        <f>IF($N40="","",INDEX('請求台帳'!$D$5:$D$1004,$N40)&amp;"")</f>
        <v/>
      </c>
      <c r="G40" s="46">
        <f>IF($N40="","",INDEX('請求台帳'!$A$5:$A$1004,$N40)&amp;"")</f>
        <v/>
      </c>
      <c r="H40" s="45">
        <f>IF($N40="","",INDEX('請求台帳'!$B$5:$B$1004,$N40))</f>
        <v/>
      </c>
      <c r="I40" s="49">
        <f>IF($N40="","",INDEX('請求台帳'!$L$5:$L$1004,$N40))</f>
        <v/>
      </c>
      <c r="J40" s="49">
        <f>IF($N40="","",INDEX('請求台帳'!$P$5:$P$1004,$N40)+INDEX('請求台帳'!$Q$5:$Q$1004,$N40))</f>
        <v/>
      </c>
      <c r="K40" s="49">
        <f>IF($N40="","",INDEX('請求台帳'!$R$5:$R$1004,$N40))</f>
        <v/>
      </c>
      <c r="L40" s="46">
        <f>IF($N40="","",INDEX('請求台帳'!$S$5:$S$1004,$N40)&amp;"")</f>
        <v/>
      </c>
      <c r="M40" s="56" t="n"/>
      <c r="N40" s="75">
        <f>IFERROR(MATCH(SMALL('請求台帳'!$Y$5:$Y$1004,35),'請求台帳'!$Y$5:$Y$1004,0),"")</f>
        <v/>
      </c>
    </row>
    <row r="41" ht="18" customHeight="1">
      <c r="A41" s="46">
        <f>IF($N41="","",36)</f>
        <v/>
      </c>
      <c r="B41" s="45">
        <f>IF($N41="","",INDEX('請求台帳'!$O$5:$O$1004,$N41))</f>
        <v/>
      </c>
      <c r="C41" s="53">
        <f>IF($N41="","",INDEX('請求台帳'!$T$5:$T$1004,$N41))</f>
        <v/>
      </c>
      <c r="D41" s="46">
        <f>IF($N41="","",INDEX('請求台帳'!$U$5:$U$1004,$N41)&amp;"")</f>
        <v/>
      </c>
      <c r="E41" s="46">
        <f>IF($N41="","",INDEX('請求台帳'!$C$5:$C$1004,$N41)&amp;"")</f>
        <v/>
      </c>
      <c r="F41" s="47">
        <f>IF($N41="","",INDEX('請求台帳'!$D$5:$D$1004,$N41)&amp;"")</f>
        <v/>
      </c>
      <c r="G41" s="46">
        <f>IF($N41="","",INDEX('請求台帳'!$A$5:$A$1004,$N41)&amp;"")</f>
        <v/>
      </c>
      <c r="H41" s="45">
        <f>IF($N41="","",INDEX('請求台帳'!$B$5:$B$1004,$N41))</f>
        <v/>
      </c>
      <c r="I41" s="49">
        <f>IF($N41="","",INDEX('請求台帳'!$L$5:$L$1004,$N41))</f>
        <v/>
      </c>
      <c r="J41" s="49">
        <f>IF($N41="","",INDEX('請求台帳'!$P$5:$P$1004,$N41)+INDEX('請求台帳'!$Q$5:$Q$1004,$N41))</f>
        <v/>
      </c>
      <c r="K41" s="49">
        <f>IF($N41="","",INDEX('請求台帳'!$R$5:$R$1004,$N41))</f>
        <v/>
      </c>
      <c r="L41" s="46">
        <f>IF($N41="","",INDEX('請求台帳'!$S$5:$S$1004,$N41)&amp;"")</f>
        <v/>
      </c>
      <c r="M41" s="56" t="n"/>
      <c r="N41" s="75">
        <f>IFERROR(MATCH(SMALL('請求台帳'!$Y$5:$Y$1004,36),'請求台帳'!$Y$5:$Y$1004,0),"")</f>
        <v/>
      </c>
    </row>
    <row r="42" ht="18" customHeight="1">
      <c r="A42" s="46">
        <f>IF($N42="","",37)</f>
        <v/>
      </c>
      <c r="B42" s="45">
        <f>IF($N42="","",INDEX('請求台帳'!$O$5:$O$1004,$N42))</f>
        <v/>
      </c>
      <c r="C42" s="53">
        <f>IF($N42="","",INDEX('請求台帳'!$T$5:$T$1004,$N42))</f>
        <v/>
      </c>
      <c r="D42" s="46">
        <f>IF($N42="","",INDEX('請求台帳'!$U$5:$U$1004,$N42)&amp;"")</f>
        <v/>
      </c>
      <c r="E42" s="46">
        <f>IF($N42="","",INDEX('請求台帳'!$C$5:$C$1004,$N42)&amp;"")</f>
        <v/>
      </c>
      <c r="F42" s="47">
        <f>IF($N42="","",INDEX('請求台帳'!$D$5:$D$1004,$N42)&amp;"")</f>
        <v/>
      </c>
      <c r="G42" s="46">
        <f>IF($N42="","",INDEX('請求台帳'!$A$5:$A$1004,$N42)&amp;"")</f>
        <v/>
      </c>
      <c r="H42" s="45">
        <f>IF($N42="","",INDEX('請求台帳'!$B$5:$B$1004,$N42))</f>
        <v/>
      </c>
      <c r="I42" s="49">
        <f>IF($N42="","",INDEX('請求台帳'!$L$5:$L$1004,$N42))</f>
        <v/>
      </c>
      <c r="J42" s="49">
        <f>IF($N42="","",INDEX('請求台帳'!$P$5:$P$1004,$N42)+INDEX('請求台帳'!$Q$5:$Q$1004,$N42))</f>
        <v/>
      </c>
      <c r="K42" s="49">
        <f>IF($N42="","",INDEX('請求台帳'!$R$5:$R$1004,$N42))</f>
        <v/>
      </c>
      <c r="L42" s="46">
        <f>IF($N42="","",INDEX('請求台帳'!$S$5:$S$1004,$N42)&amp;"")</f>
        <v/>
      </c>
      <c r="M42" s="56" t="n"/>
      <c r="N42" s="75">
        <f>IFERROR(MATCH(SMALL('請求台帳'!$Y$5:$Y$1004,37),'請求台帳'!$Y$5:$Y$1004,0),"")</f>
        <v/>
      </c>
    </row>
    <row r="43" ht="18" customHeight="1">
      <c r="A43" s="46">
        <f>IF($N43="","",38)</f>
        <v/>
      </c>
      <c r="B43" s="45">
        <f>IF($N43="","",INDEX('請求台帳'!$O$5:$O$1004,$N43))</f>
        <v/>
      </c>
      <c r="C43" s="53">
        <f>IF($N43="","",INDEX('請求台帳'!$T$5:$T$1004,$N43))</f>
        <v/>
      </c>
      <c r="D43" s="46">
        <f>IF($N43="","",INDEX('請求台帳'!$U$5:$U$1004,$N43)&amp;"")</f>
        <v/>
      </c>
      <c r="E43" s="46">
        <f>IF($N43="","",INDEX('請求台帳'!$C$5:$C$1004,$N43)&amp;"")</f>
        <v/>
      </c>
      <c r="F43" s="47">
        <f>IF($N43="","",INDEX('請求台帳'!$D$5:$D$1004,$N43)&amp;"")</f>
        <v/>
      </c>
      <c r="G43" s="46">
        <f>IF($N43="","",INDEX('請求台帳'!$A$5:$A$1004,$N43)&amp;"")</f>
        <v/>
      </c>
      <c r="H43" s="45">
        <f>IF($N43="","",INDEX('請求台帳'!$B$5:$B$1004,$N43))</f>
        <v/>
      </c>
      <c r="I43" s="49">
        <f>IF($N43="","",INDEX('請求台帳'!$L$5:$L$1004,$N43))</f>
        <v/>
      </c>
      <c r="J43" s="49">
        <f>IF($N43="","",INDEX('請求台帳'!$P$5:$P$1004,$N43)+INDEX('請求台帳'!$Q$5:$Q$1004,$N43))</f>
        <v/>
      </c>
      <c r="K43" s="49">
        <f>IF($N43="","",INDEX('請求台帳'!$R$5:$R$1004,$N43))</f>
        <v/>
      </c>
      <c r="L43" s="46">
        <f>IF($N43="","",INDEX('請求台帳'!$S$5:$S$1004,$N43)&amp;"")</f>
        <v/>
      </c>
      <c r="M43" s="56" t="n"/>
      <c r="N43" s="75">
        <f>IFERROR(MATCH(SMALL('請求台帳'!$Y$5:$Y$1004,38),'請求台帳'!$Y$5:$Y$1004,0),"")</f>
        <v/>
      </c>
    </row>
    <row r="44" ht="18" customHeight="1">
      <c r="A44" s="46">
        <f>IF($N44="","",39)</f>
        <v/>
      </c>
      <c r="B44" s="45">
        <f>IF($N44="","",INDEX('請求台帳'!$O$5:$O$1004,$N44))</f>
        <v/>
      </c>
      <c r="C44" s="53">
        <f>IF($N44="","",INDEX('請求台帳'!$T$5:$T$1004,$N44))</f>
        <v/>
      </c>
      <c r="D44" s="46">
        <f>IF($N44="","",INDEX('請求台帳'!$U$5:$U$1004,$N44)&amp;"")</f>
        <v/>
      </c>
      <c r="E44" s="46">
        <f>IF($N44="","",INDEX('請求台帳'!$C$5:$C$1004,$N44)&amp;"")</f>
        <v/>
      </c>
      <c r="F44" s="47">
        <f>IF($N44="","",INDEX('請求台帳'!$D$5:$D$1004,$N44)&amp;"")</f>
        <v/>
      </c>
      <c r="G44" s="46">
        <f>IF($N44="","",INDEX('請求台帳'!$A$5:$A$1004,$N44)&amp;"")</f>
        <v/>
      </c>
      <c r="H44" s="45">
        <f>IF($N44="","",INDEX('請求台帳'!$B$5:$B$1004,$N44))</f>
        <v/>
      </c>
      <c r="I44" s="49">
        <f>IF($N44="","",INDEX('請求台帳'!$L$5:$L$1004,$N44))</f>
        <v/>
      </c>
      <c r="J44" s="49">
        <f>IF($N44="","",INDEX('請求台帳'!$P$5:$P$1004,$N44)+INDEX('請求台帳'!$Q$5:$Q$1004,$N44))</f>
        <v/>
      </c>
      <c r="K44" s="49">
        <f>IF($N44="","",INDEX('請求台帳'!$R$5:$R$1004,$N44))</f>
        <v/>
      </c>
      <c r="L44" s="46">
        <f>IF($N44="","",INDEX('請求台帳'!$S$5:$S$1004,$N44)&amp;"")</f>
        <v/>
      </c>
      <c r="M44" s="56" t="n"/>
      <c r="N44" s="75">
        <f>IFERROR(MATCH(SMALL('請求台帳'!$Y$5:$Y$1004,39),'請求台帳'!$Y$5:$Y$1004,0),"")</f>
        <v/>
      </c>
    </row>
    <row r="45" ht="18" customHeight="1">
      <c r="A45" s="46">
        <f>IF($N45="","",40)</f>
        <v/>
      </c>
      <c r="B45" s="45">
        <f>IF($N45="","",INDEX('請求台帳'!$O$5:$O$1004,$N45))</f>
        <v/>
      </c>
      <c r="C45" s="53">
        <f>IF($N45="","",INDEX('請求台帳'!$T$5:$T$1004,$N45))</f>
        <v/>
      </c>
      <c r="D45" s="46">
        <f>IF($N45="","",INDEX('請求台帳'!$U$5:$U$1004,$N45)&amp;"")</f>
        <v/>
      </c>
      <c r="E45" s="46">
        <f>IF($N45="","",INDEX('請求台帳'!$C$5:$C$1004,$N45)&amp;"")</f>
        <v/>
      </c>
      <c r="F45" s="47">
        <f>IF($N45="","",INDEX('請求台帳'!$D$5:$D$1004,$N45)&amp;"")</f>
        <v/>
      </c>
      <c r="G45" s="46">
        <f>IF($N45="","",INDEX('請求台帳'!$A$5:$A$1004,$N45)&amp;"")</f>
        <v/>
      </c>
      <c r="H45" s="45">
        <f>IF($N45="","",INDEX('請求台帳'!$B$5:$B$1004,$N45))</f>
        <v/>
      </c>
      <c r="I45" s="49">
        <f>IF($N45="","",INDEX('請求台帳'!$L$5:$L$1004,$N45))</f>
        <v/>
      </c>
      <c r="J45" s="49">
        <f>IF($N45="","",INDEX('請求台帳'!$P$5:$P$1004,$N45)+INDEX('請求台帳'!$Q$5:$Q$1004,$N45))</f>
        <v/>
      </c>
      <c r="K45" s="49">
        <f>IF($N45="","",INDEX('請求台帳'!$R$5:$R$1004,$N45))</f>
        <v/>
      </c>
      <c r="L45" s="46">
        <f>IF($N45="","",INDEX('請求台帳'!$S$5:$S$1004,$N45)&amp;"")</f>
        <v/>
      </c>
      <c r="M45" s="56" t="n"/>
      <c r="N45" s="75">
        <f>IFERROR(MATCH(SMALL('請求台帳'!$Y$5:$Y$1004,40),'請求台帳'!$Y$5:$Y$1004,0),"")</f>
        <v/>
      </c>
    </row>
    <row r="46" ht="18" customHeight="1">
      <c r="A46" s="46">
        <f>IF($N46="","",41)</f>
        <v/>
      </c>
      <c r="B46" s="45">
        <f>IF($N46="","",INDEX('請求台帳'!$O$5:$O$1004,$N46))</f>
        <v/>
      </c>
      <c r="C46" s="53">
        <f>IF($N46="","",INDEX('請求台帳'!$T$5:$T$1004,$N46))</f>
        <v/>
      </c>
      <c r="D46" s="46">
        <f>IF($N46="","",INDEX('請求台帳'!$U$5:$U$1004,$N46)&amp;"")</f>
        <v/>
      </c>
      <c r="E46" s="46">
        <f>IF($N46="","",INDEX('請求台帳'!$C$5:$C$1004,$N46)&amp;"")</f>
        <v/>
      </c>
      <c r="F46" s="47">
        <f>IF($N46="","",INDEX('請求台帳'!$D$5:$D$1004,$N46)&amp;"")</f>
        <v/>
      </c>
      <c r="G46" s="46">
        <f>IF($N46="","",INDEX('請求台帳'!$A$5:$A$1004,$N46)&amp;"")</f>
        <v/>
      </c>
      <c r="H46" s="45">
        <f>IF($N46="","",INDEX('請求台帳'!$B$5:$B$1004,$N46))</f>
        <v/>
      </c>
      <c r="I46" s="49">
        <f>IF($N46="","",INDEX('請求台帳'!$L$5:$L$1004,$N46))</f>
        <v/>
      </c>
      <c r="J46" s="49">
        <f>IF($N46="","",INDEX('請求台帳'!$P$5:$P$1004,$N46)+INDEX('請求台帳'!$Q$5:$Q$1004,$N46))</f>
        <v/>
      </c>
      <c r="K46" s="49">
        <f>IF($N46="","",INDEX('請求台帳'!$R$5:$R$1004,$N46))</f>
        <v/>
      </c>
      <c r="L46" s="46">
        <f>IF($N46="","",INDEX('請求台帳'!$S$5:$S$1004,$N46)&amp;"")</f>
        <v/>
      </c>
      <c r="M46" s="56" t="n"/>
      <c r="N46" s="75">
        <f>IFERROR(MATCH(SMALL('請求台帳'!$Y$5:$Y$1004,41),'請求台帳'!$Y$5:$Y$1004,0),"")</f>
        <v/>
      </c>
    </row>
    <row r="47" ht="18" customHeight="1">
      <c r="A47" s="46">
        <f>IF($N47="","",42)</f>
        <v/>
      </c>
      <c r="B47" s="45">
        <f>IF($N47="","",INDEX('請求台帳'!$O$5:$O$1004,$N47))</f>
        <v/>
      </c>
      <c r="C47" s="53">
        <f>IF($N47="","",INDEX('請求台帳'!$T$5:$T$1004,$N47))</f>
        <v/>
      </c>
      <c r="D47" s="46">
        <f>IF($N47="","",INDEX('請求台帳'!$U$5:$U$1004,$N47)&amp;"")</f>
        <v/>
      </c>
      <c r="E47" s="46">
        <f>IF($N47="","",INDEX('請求台帳'!$C$5:$C$1004,$N47)&amp;"")</f>
        <v/>
      </c>
      <c r="F47" s="47">
        <f>IF($N47="","",INDEX('請求台帳'!$D$5:$D$1004,$N47)&amp;"")</f>
        <v/>
      </c>
      <c r="G47" s="46">
        <f>IF($N47="","",INDEX('請求台帳'!$A$5:$A$1004,$N47)&amp;"")</f>
        <v/>
      </c>
      <c r="H47" s="45">
        <f>IF($N47="","",INDEX('請求台帳'!$B$5:$B$1004,$N47))</f>
        <v/>
      </c>
      <c r="I47" s="49">
        <f>IF($N47="","",INDEX('請求台帳'!$L$5:$L$1004,$N47))</f>
        <v/>
      </c>
      <c r="J47" s="49">
        <f>IF($N47="","",INDEX('請求台帳'!$P$5:$P$1004,$N47)+INDEX('請求台帳'!$Q$5:$Q$1004,$N47))</f>
        <v/>
      </c>
      <c r="K47" s="49">
        <f>IF($N47="","",INDEX('請求台帳'!$R$5:$R$1004,$N47))</f>
        <v/>
      </c>
      <c r="L47" s="46">
        <f>IF($N47="","",INDEX('請求台帳'!$S$5:$S$1004,$N47)&amp;"")</f>
        <v/>
      </c>
      <c r="M47" s="56" t="n"/>
      <c r="N47" s="75">
        <f>IFERROR(MATCH(SMALL('請求台帳'!$Y$5:$Y$1004,42),'請求台帳'!$Y$5:$Y$1004,0),"")</f>
        <v/>
      </c>
    </row>
    <row r="48" ht="18" customHeight="1">
      <c r="A48" s="46">
        <f>IF($N48="","",43)</f>
        <v/>
      </c>
      <c r="B48" s="45">
        <f>IF($N48="","",INDEX('請求台帳'!$O$5:$O$1004,$N48))</f>
        <v/>
      </c>
      <c r="C48" s="53">
        <f>IF($N48="","",INDEX('請求台帳'!$T$5:$T$1004,$N48))</f>
        <v/>
      </c>
      <c r="D48" s="46">
        <f>IF($N48="","",INDEX('請求台帳'!$U$5:$U$1004,$N48)&amp;"")</f>
        <v/>
      </c>
      <c r="E48" s="46">
        <f>IF($N48="","",INDEX('請求台帳'!$C$5:$C$1004,$N48)&amp;"")</f>
        <v/>
      </c>
      <c r="F48" s="47">
        <f>IF($N48="","",INDEX('請求台帳'!$D$5:$D$1004,$N48)&amp;"")</f>
        <v/>
      </c>
      <c r="G48" s="46">
        <f>IF($N48="","",INDEX('請求台帳'!$A$5:$A$1004,$N48)&amp;"")</f>
        <v/>
      </c>
      <c r="H48" s="45">
        <f>IF($N48="","",INDEX('請求台帳'!$B$5:$B$1004,$N48))</f>
        <v/>
      </c>
      <c r="I48" s="49">
        <f>IF($N48="","",INDEX('請求台帳'!$L$5:$L$1004,$N48))</f>
        <v/>
      </c>
      <c r="J48" s="49">
        <f>IF($N48="","",INDEX('請求台帳'!$P$5:$P$1004,$N48)+INDEX('請求台帳'!$Q$5:$Q$1004,$N48))</f>
        <v/>
      </c>
      <c r="K48" s="49">
        <f>IF($N48="","",INDEX('請求台帳'!$R$5:$R$1004,$N48))</f>
        <v/>
      </c>
      <c r="L48" s="46">
        <f>IF($N48="","",INDEX('請求台帳'!$S$5:$S$1004,$N48)&amp;"")</f>
        <v/>
      </c>
      <c r="M48" s="56" t="n"/>
      <c r="N48" s="75">
        <f>IFERROR(MATCH(SMALL('請求台帳'!$Y$5:$Y$1004,43),'請求台帳'!$Y$5:$Y$1004,0),"")</f>
        <v/>
      </c>
    </row>
    <row r="49" ht="18" customHeight="1">
      <c r="A49" s="46">
        <f>IF($N49="","",44)</f>
        <v/>
      </c>
      <c r="B49" s="45">
        <f>IF($N49="","",INDEX('請求台帳'!$O$5:$O$1004,$N49))</f>
        <v/>
      </c>
      <c r="C49" s="53">
        <f>IF($N49="","",INDEX('請求台帳'!$T$5:$T$1004,$N49))</f>
        <v/>
      </c>
      <c r="D49" s="46">
        <f>IF($N49="","",INDEX('請求台帳'!$U$5:$U$1004,$N49)&amp;"")</f>
        <v/>
      </c>
      <c r="E49" s="46">
        <f>IF($N49="","",INDEX('請求台帳'!$C$5:$C$1004,$N49)&amp;"")</f>
        <v/>
      </c>
      <c r="F49" s="47">
        <f>IF($N49="","",INDEX('請求台帳'!$D$5:$D$1004,$N49)&amp;"")</f>
        <v/>
      </c>
      <c r="G49" s="46">
        <f>IF($N49="","",INDEX('請求台帳'!$A$5:$A$1004,$N49)&amp;"")</f>
        <v/>
      </c>
      <c r="H49" s="45">
        <f>IF($N49="","",INDEX('請求台帳'!$B$5:$B$1004,$N49))</f>
        <v/>
      </c>
      <c r="I49" s="49">
        <f>IF($N49="","",INDEX('請求台帳'!$L$5:$L$1004,$N49))</f>
        <v/>
      </c>
      <c r="J49" s="49">
        <f>IF($N49="","",INDEX('請求台帳'!$P$5:$P$1004,$N49)+INDEX('請求台帳'!$Q$5:$Q$1004,$N49))</f>
        <v/>
      </c>
      <c r="K49" s="49">
        <f>IF($N49="","",INDEX('請求台帳'!$R$5:$R$1004,$N49))</f>
        <v/>
      </c>
      <c r="L49" s="46">
        <f>IF($N49="","",INDEX('請求台帳'!$S$5:$S$1004,$N49)&amp;"")</f>
        <v/>
      </c>
      <c r="M49" s="56" t="n"/>
      <c r="N49" s="75">
        <f>IFERROR(MATCH(SMALL('請求台帳'!$Y$5:$Y$1004,44),'請求台帳'!$Y$5:$Y$1004,0),"")</f>
        <v/>
      </c>
    </row>
    <row r="50" ht="18" customHeight="1">
      <c r="A50" s="46">
        <f>IF($N50="","",45)</f>
        <v/>
      </c>
      <c r="B50" s="45">
        <f>IF($N50="","",INDEX('請求台帳'!$O$5:$O$1004,$N50))</f>
        <v/>
      </c>
      <c r="C50" s="53">
        <f>IF($N50="","",INDEX('請求台帳'!$T$5:$T$1004,$N50))</f>
        <v/>
      </c>
      <c r="D50" s="46">
        <f>IF($N50="","",INDEX('請求台帳'!$U$5:$U$1004,$N50)&amp;"")</f>
        <v/>
      </c>
      <c r="E50" s="46">
        <f>IF($N50="","",INDEX('請求台帳'!$C$5:$C$1004,$N50)&amp;"")</f>
        <v/>
      </c>
      <c r="F50" s="47">
        <f>IF($N50="","",INDEX('請求台帳'!$D$5:$D$1004,$N50)&amp;"")</f>
        <v/>
      </c>
      <c r="G50" s="46">
        <f>IF($N50="","",INDEX('請求台帳'!$A$5:$A$1004,$N50)&amp;"")</f>
        <v/>
      </c>
      <c r="H50" s="45">
        <f>IF($N50="","",INDEX('請求台帳'!$B$5:$B$1004,$N50))</f>
        <v/>
      </c>
      <c r="I50" s="49">
        <f>IF($N50="","",INDEX('請求台帳'!$L$5:$L$1004,$N50))</f>
        <v/>
      </c>
      <c r="J50" s="49">
        <f>IF($N50="","",INDEX('請求台帳'!$P$5:$P$1004,$N50)+INDEX('請求台帳'!$Q$5:$Q$1004,$N50))</f>
        <v/>
      </c>
      <c r="K50" s="49">
        <f>IF($N50="","",INDEX('請求台帳'!$R$5:$R$1004,$N50))</f>
        <v/>
      </c>
      <c r="L50" s="46">
        <f>IF($N50="","",INDEX('請求台帳'!$S$5:$S$1004,$N50)&amp;"")</f>
        <v/>
      </c>
      <c r="M50" s="56" t="n"/>
      <c r="N50" s="75">
        <f>IFERROR(MATCH(SMALL('請求台帳'!$Y$5:$Y$1004,45),'請求台帳'!$Y$5:$Y$1004,0),"")</f>
        <v/>
      </c>
    </row>
    <row r="51" ht="18" customHeight="1">
      <c r="A51" s="46">
        <f>IF($N51="","",46)</f>
        <v/>
      </c>
      <c r="B51" s="45">
        <f>IF($N51="","",INDEX('請求台帳'!$O$5:$O$1004,$N51))</f>
        <v/>
      </c>
      <c r="C51" s="53">
        <f>IF($N51="","",INDEX('請求台帳'!$T$5:$T$1004,$N51))</f>
        <v/>
      </c>
      <c r="D51" s="46">
        <f>IF($N51="","",INDEX('請求台帳'!$U$5:$U$1004,$N51)&amp;"")</f>
        <v/>
      </c>
      <c r="E51" s="46">
        <f>IF($N51="","",INDEX('請求台帳'!$C$5:$C$1004,$N51)&amp;"")</f>
        <v/>
      </c>
      <c r="F51" s="47">
        <f>IF($N51="","",INDEX('請求台帳'!$D$5:$D$1004,$N51)&amp;"")</f>
        <v/>
      </c>
      <c r="G51" s="46">
        <f>IF($N51="","",INDEX('請求台帳'!$A$5:$A$1004,$N51)&amp;"")</f>
        <v/>
      </c>
      <c r="H51" s="45">
        <f>IF($N51="","",INDEX('請求台帳'!$B$5:$B$1004,$N51))</f>
        <v/>
      </c>
      <c r="I51" s="49">
        <f>IF($N51="","",INDEX('請求台帳'!$L$5:$L$1004,$N51))</f>
        <v/>
      </c>
      <c r="J51" s="49">
        <f>IF($N51="","",INDEX('請求台帳'!$P$5:$P$1004,$N51)+INDEX('請求台帳'!$Q$5:$Q$1004,$N51))</f>
        <v/>
      </c>
      <c r="K51" s="49">
        <f>IF($N51="","",INDEX('請求台帳'!$R$5:$R$1004,$N51))</f>
        <v/>
      </c>
      <c r="L51" s="46">
        <f>IF($N51="","",INDEX('請求台帳'!$S$5:$S$1004,$N51)&amp;"")</f>
        <v/>
      </c>
      <c r="M51" s="56" t="n"/>
      <c r="N51" s="75">
        <f>IFERROR(MATCH(SMALL('請求台帳'!$Y$5:$Y$1004,46),'請求台帳'!$Y$5:$Y$1004,0),"")</f>
        <v/>
      </c>
    </row>
    <row r="52" ht="18" customHeight="1">
      <c r="A52" s="46">
        <f>IF($N52="","",47)</f>
        <v/>
      </c>
      <c r="B52" s="45">
        <f>IF($N52="","",INDEX('請求台帳'!$O$5:$O$1004,$N52))</f>
        <v/>
      </c>
      <c r="C52" s="53">
        <f>IF($N52="","",INDEX('請求台帳'!$T$5:$T$1004,$N52))</f>
        <v/>
      </c>
      <c r="D52" s="46">
        <f>IF($N52="","",INDEX('請求台帳'!$U$5:$U$1004,$N52)&amp;"")</f>
        <v/>
      </c>
      <c r="E52" s="46">
        <f>IF($N52="","",INDEX('請求台帳'!$C$5:$C$1004,$N52)&amp;"")</f>
        <v/>
      </c>
      <c r="F52" s="47">
        <f>IF($N52="","",INDEX('請求台帳'!$D$5:$D$1004,$N52)&amp;"")</f>
        <v/>
      </c>
      <c r="G52" s="46">
        <f>IF($N52="","",INDEX('請求台帳'!$A$5:$A$1004,$N52)&amp;"")</f>
        <v/>
      </c>
      <c r="H52" s="45">
        <f>IF($N52="","",INDEX('請求台帳'!$B$5:$B$1004,$N52))</f>
        <v/>
      </c>
      <c r="I52" s="49">
        <f>IF($N52="","",INDEX('請求台帳'!$L$5:$L$1004,$N52))</f>
        <v/>
      </c>
      <c r="J52" s="49">
        <f>IF($N52="","",INDEX('請求台帳'!$P$5:$P$1004,$N52)+INDEX('請求台帳'!$Q$5:$Q$1004,$N52))</f>
        <v/>
      </c>
      <c r="K52" s="49">
        <f>IF($N52="","",INDEX('請求台帳'!$R$5:$R$1004,$N52))</f>
        <v/>
      </c>
      <c r="L52" s="46">
        <f>IF($N52="","",INDEX('請求台帳'!$S$5:$S$1004,$N52)&amp;"")</f>
        <v/>
      </c>
      <c r="M52" s="56" t="n"/>
      <c r="N52" s="75">
        <f>IFERROR(MATCH(SMALL('請求台帳'!$Y$5:$Y$1004,47),'請求台帳'!$Y$5:$Y$1004,0),"")</f>
        <v/>
      </c>
    </row>
    <row r="53" ht="18" customHeight="1">
      <c r="A53" s="46">
        <f>IF($N53="","",48)</f>
        <v/>
      </c>
      <c r="B53" s="45">
        <f>IF($N53="","",INDEX('請求台帳'!$O$5:$O$1004,$N53))</f>
        <v/>
      </c>
      <c r="C53" s="53">
        <f>IF($N53="","",INDEX('請求台帳'!$T$5:$T$1004,$N53))</f>
        <v/>
      </c>
      <c r="D53" s="46">
        <f>IF($N53="","",INDEX('請求台帳'!$U$5:$U$1004,$N53)&amp;"")</f>
        <v/>
      </c>
      <c r="E53" s="46">
        <f>IF($N53="","",INDEX('請求台帳'!$C$5:$C$1004,$N53)&amp;"")</f>
        <v/>
      </c>
      <c r="F53" s="47">
        <f>IF($N53="","",INDEX('請求台帳'!$D$5:$D$1004,$N53)&amp;"")</f>
        <v/>
      </c>
      <c r="G53" s="46">
        <f>IF($N53="","",INDEX('請求台帳'!$A$5:$A$1004,$N53)&amp;"")</f>
        <v/>
      </c>
      <c r="H53" s="45">
        <f>IF($N53="","",INDEX('請求台帳'!$B$5:$B$1004,$N53))</f>
        <v/>
      </c>
      <c r="I53" s="49">
        <f>IF($N53="","",INDEX('請求台帳'!$L$5:$L$1004,$N53))</f>
        <v/>
      </c>
      <c r="J53" s="49">
        <f>IF($N53="","",INDEX('請求台帳'!$P$5:$P$1004,$N53)+INDEX('請求台帳'!$Q$5:$Q$1004,$N53))</f>
        <v/>
      </c>
      <c r="K53" s="49">
        <f>IF($N53="","",INDEX('請求台帳'!$R$5:$R$1004,$N53))</f>
        <v/>
      </c>
      <c r="L53" s="46">
        <f>IF($N53="","",INDEX('請求台帳'!$S$5:$S$1004,$N53)&amp;"")</f>
        <v/>
      </c>
      <c r="M53" s="56" t="n"/>
      <c r="N53" s="75">
        <f>IFERROR(MATCH(SMALL('請求台帳'!$Y$5:$Y$1004,48),'請求台帳'!$Y$5:$Y$1004,0),"")</f>
        <v/>
      </c>
    </row>
    <row r="54" ht="18" customHeight="1">
      <c r="A54" s="46">
        <f>IF($N54="","",49)</f>
        <v/>
      </c>
      <c r="B54" s="45">
        <f>IF($N54="","",INDEX('請求台帳'!$O$5:$O$1004,$N54))</f>
        <v/>
      </c>
      <c r="C54" s="53">
        <f>IF($N54="","",INDEX('請求台帳'!$T$5:$T$1004,$N54))</f>
        <v/>
      </c>
      <c r="D54" s="46">
        <f>IF($N54="","",INDEX('請求台帳'!$U$5:$U$1004,$N54)&amp;"")</f>
        <v/>
      </c>
      <c r="E54" s="46">
        <f>IF($N54="","",INDEX('請求台帳'!$C$5:$C$1004,$N54)&amp;"")</f>
        <v/>
      </c>
      <c r="F54" s="47">
        <f>IF($N54="","",INDEX('請求台帳'!$D$5:$D$1004,$N54)&amp;"")</f>
        <v/>
      </c>
      <c r="G54" s="46">
        <f>IF($N54="","",INDEX('請求台帳'!$A$5:$A$1004,$N54)&amp;"")</f>
        <v/>
      </c>
      <c r="H54" s="45">
        <f>IF($N54="","",INDEX('請求台帳'!$B$5:$B$1004,$N54))</f>
        <v/>
      </c>
      <c r="I54" s="49">
        <f>IF($N54="","",INDEX('請求台帳'!$L$5:$L$1004,$N54))</f>
        <v/>
      </c>
      <c r="J54" s="49">
        <f>IF($N54="","",INDEX('請求台帳'!$P$5:$P$1004,$N54)+INDEX('請求台帳'!$Q$5:$Q$1004,$N54))</f>
        <v/>
      </c>
      <c r="K54" s="49">
        <f>IF($N54="","",INDEX('請求台帳'!$R$5:$R$1004,$N54))</f>
        <v/>
      </c>
      <c r="L54" s="46">
        <f>IF($N54="","",INDEX('請求台帳'!$S$5:$S$1004,$N54)&amp;"")</f>
        <v/>
      </c>
      <c r="M54" s="56" t="n"/>
      <c r="N54" s="75">
        <f>IFERROR(MATCH(SMALL('請求台帳'!$Y$5:$Y$1004,49),'請求台帳'!$Y$5:$Y$1004,0),"")</f>
        <v/>
      </c>
    </row>
    <row r="55" ht="18" customHeight="1">
      <c r="A55" s="46">
        <f>IF($N55="","",50)</f>
        <v/>
      </c>
      <c r="B55" s="45">
        <f>IF($N55="","",INDEX('請求台帳'!$O$5:$O$1004,$N55))</f>
        <v/>
      </c>
      <c r="C55" s="53">
        <f>IF($N55="","",INDEX('請求台帳'!$T$5:$T$1004,$N55))</f>
        <v/>
      </c>
      <c r="D55" s="46">
        <f>IF($N55="","",INDEX('請求台帳'!$U$5:$U$1004,$N55)&amp;"")</f>
        <v/>
      </c>
      <c r="E55" s="46">
        <f>IF($N55="","",INDEX('請求台帳'!$C$5:$C$1004,$N55)&amp;"")</f>
        <v/>
      </c>
      <c r="F55" s="47">
        <f>IF($N55="","",INDEX('請求台帳'!$D$5:$D$1004,$N55)&amp;"")</f>
        <v/>
      </c>
      <c r="G55" s="46">
        <f>IF($N55="","",INDEX('請求台帳'!$A$5:$A$1004,$N55)&amp;"")</f>
        <v/>
      </c>
      <c r="H55" s="45">
        <f>IF($N55="","",INDEX('請求台帳'!$B$5:$B$1004,$N55))</f>
        <v/>
      </c>
      <c r="I55" s="49">
        <f>IF($N55="","",INDEX('請求台帳'!$L$5:$L$1004,$N55))</f>
        <v/>
      </c>
      <c r="J55" s="49">
        <f>IF($N55="","",INDEX('請求台帳'!$P$5:$P$1004,$N55)+INDEX('請求台帳'!$Q$5:$Q$1004,$N55))</f>
        <v/>
      </c>
      <c r="K55" s="49">
        <f>IF($N55="","",INDEX('請求台帳'!$R$5:$R$1004,$N55))</f>
        <v/>
      </c>
      <c r="L55" s="46">
        <f>IF($N55="","",INDEX('請求台帳'!$S$5:$S$1004,$N55)&amp;"")</f>
        <v/>
      </c>
      <c r="M55" s="56" t="n"/>
      <c r="N55" s="75">
        <f>IFERROR(MATCH(SMALL('請求台帳'!$Y$5:$Y$1004,50),'請求台帳'!$Y$5:$Y$1004,0),"")</f>
        <v/>
      </c>
    </row>
    <row r="56" ht="18" customHeight="1">
      <c r="A56" s="46">
        <f>IF($N56="","",51)</f>
        <v/>
      </c>
      <c r="B56" s="45">
        <f>IF($N56="","",INDEX('請求台帳'!$O$5:$O$1004,$N56))</f>
        <v/>
      </c>
      <c r="C56" s="53">
        <f>IF($N56="","",INDEX('請求台帳'!$T$5:$T$1004,$N56))</f>
        <v/>
      </c>
      <c r="D56" s="46">
        <f>IF($N56="","",INDEX('請求台帳'!$U$5:$U$1004,$N56)&amp;"")</f>
        <v/>
      </c>
      <c r="E56" s="46">
        <f>IF($N56="","",INDEX('請求台帳'!$C$5:$C$1004,$N56)&amp;"")</f>
        <v/>
      </c>
      <c r="F56" s="47">
        <f>IF($N56="","",INDEX('請求台帳'!$D$5:$D$1004,$N56)&amp;"")</f>
        <v/>
      </c>
      <c r="G56" s="46">
        <f>IF($N56="","",INDEX('請求台帳'!$A$5:$A$1004,$N56)&amp;"")</f>
        <v/>
      </c>
      <c r="H56" s="45">
        <f>IF($N56="","",INDEX('請求台帳'!$B$5:$B$1004,$N56))</f>
        <v/>
      </c>
      <c r="I56" s="49">
        <f>IF($N56="","",INDEX('請求台帳'!$L$5:$L$1004,$N56))</f>
        <v/>
      </c>
      <c r="J56" s="49">
        <f>IF($N56="","",INDEX('請求台帳'!$P$5:$P$1004,$N56)+INDEX('請求台帳'!$Q$5:$Q$1004,$N56))</f>
        <v/>
      </c>
      <c r="K56" s="49">
        <f>IF($N56="","",INDEX('請求台帳'!$R$5:$R$1004,$N56))</f>
        <v/>
      </c>
      <c r="L56" s="46">
        <f>IF($N56="","",INDEX('請求台帳'!$S$5:$S$1004,$N56)&amp;"")</f>
        <v/>
      </c>
      <c r="M56" s="56" t="n"/>
      <c r="N56" s="75">
        <f>IFERROR(MATCH(SMALL('請求台帳'!$Y$5:$Y$1004,51),'請求台帳'!$Y$5:$Y$1004,0),"")</f>
        <v/>
      </c>
    </row>
    <row r="57" ht="18" customHeight="1">
      <c r="A57" s="46">
        <f>IF($N57="","",52)</f>
        <v/>
      </c>
      <c r="B57" s="45">
        <f>IF($N57="","",INDEX('請求台帳'!$O$5:$O$1004,$N57))</f>
        <v/>
      </c>
      <c r="C57" s="53">
        <f>IF($N57="","",INDEX('請求台帳'!$T$5:$T$1004,$N57))</f>
        <v/>
      </c>
      <c r="D57" s="46">
        <f>IF($N57="","",INDEX('請求台帳'!$U$5:$U$1004,$N57)&amp;"")</f>
        <v/>
      </c>
      <c r="E57" s="46">
        <f>IF($N57="","",INDEX('請求台帳'!$C$5:$C$1004,$N57)&amp;"")</f>
        <v/>
      </c>
      <c r="F57" s="47">
        <f>IF($N57="","",INDEX('請求台帳'!$D$5:$D$1004,$N57)&amp;"")</f>
        <v/>
      </c>
      <c r="G57" s="46">
        <f>IF($N57="","",INDEX('請求台帳'!$A$5:$A$1004,$N57)&amp;"")</f>
        <v/>
      </c>
      <c r="H57" s="45">
        <f>IF($N57="","",INDEX('請求台帳'!$B$5:$B$1004,$N57))</f>
        <v/>
      </c>
      <c r="I57" s="49">
        <f>IF($N57="","",INDEX('請求台帳'!$L$5:$L$1004,$N57))</f>
        <v/>
      </c>
      <c r="J57" s="49">
        <f>IF($N57="","",INDEX('請求台帳'!$P$5:$P$1004,$N57)+INDEX('請求台帳'!$Q$5:$Q$1004,$N57))</f>
        <v/>
      </c>
      <c r="K57" s="49">
        <f>IF($N57="","",INDEX('請求台帳'!$R$5:$R$1004,$N57))</f>
        <v/>
      </c>
      <c r="L57" s="46">
        <f>IF($N57="","",INDEX('請求台帳'!$S$5:$S$1004,$N57)&amp;"")</f>
        <v/>
      </c>
      <c r="M57" s="56" t="n"/>
      <c r="N57" s="75">
        <f>IFERROR(MATCH(SMALL('請求台帳'!$Y$5:$Y$1004,52),'請求台帳'!$Y$5:$Y$1004,0),"")</f>
        <v/>
      </c>
    </row>
    <row r="58" ht="18" customHeight="1">
      <c r="A58" s="46">
        <f>IF($N58="","",53)</f>
        <v/>
      </c>
      <c r="B58" s="45">
        <f>IF($N58="","",INDEX('請求台帳'!$O$5:$O$1004,$N58))</f>
        <v/>
      </c>
      <c r="C58" s="53">
        <f>IF($N58="","",INDEX('請求台帳'!$T$5:$T$1004,$N58))</f>
        <v/>
      </c>
      <c r="D58" s="46">
        <f>IF($N58="","",INDEX('請求台帳'!$U$5:$U$1004,$N58)&amp;"")</f>
        <v/>
      </c>
      <c r="E58" s="46">
        <f>IF($N58="","",INDEX('請求台帳'!$C$5:$C$1004,$N58)&amp;"")</f>
        <v/>
      </c>
      <c r="F58" s="47">
        <f>IF($N58="","",INDEX('請求台帳'!$D$5:$D$1004,$N58)&amp;"")</f>
        <v/>
      </c>
      <c r="G58" s="46">
        <f>IF($N58="","",INDEX('請求台帳'!$A$5:$A$1004,$N58)&amp;"")</f>
        <v/>
      </c>
      <c r="H58" s="45">
        <f>IF($N58="","",INDEX('請求台帳'!$B$5:$B$1004,$N58))</f>
        <v/>
      </c>
      <c r="I58" s="49">
        <f>IF($N58="","",INDEX('請求台帳'!$L$5:$L$1004,$N58))</f>
        <v/>
      </c>
      <c r="J58" s="49">
        <f>IF($N58="","",INDEX('請求台帳'!$P$5:$P$1004,$N58)+INDEX('請求台帳'!$Q$5:$Q$1004,$N58))</f>
        <v/>
      </c>
      <c r="K58" s="49">
        <f>IF($N58="","",INDEX('請求台帳'!$R$5:$R$1004,$N58))</f>
        <v/>
      </c>
      <c r="L58" s="46">
        <f>IF($N58="","",INDEX('請求台帳'!$S$5:$S$1004,$N58)&amp;"")</f>
        <v/>
      </c>
      <c r="M58" s="56" t="n"/>
      <c r="N58" s="75">
        <f>IFERROR(MATCH(SMALL('請求台帳'!$Y$5:$Y$1004,53),'請求台帳'!$Y$5:$Y$1004,0),"")</f>
        <v/>
      </c>
    </row>
    <row r="59" ht="18" customHeight="1">
      <c r="A59" s="46">
        <f>IF($N59="","",54)</f>
        <v/>
      </c>
      <c r="B59" s="45">
        <f>IF($N59="","",INDEX('請求台帳'!$O$5:$O$1004,$N59))</f>
        <v/>
      </c>
      <c r="C59" s="53">
        <f>IF($N59="","",INDEX('請求台帳'!$T$5:$T$1004,$N59))</f>
        <v/>
      </c>
      <c r="D59" s="46">
        <f>IF($N59="","",INDEX('請求台帳'!$U$5:$U$1004,$N59)&amp;"")</f>
        <v/>
      </c>
      <c r="E59" s="46">
        <f>IF($N59="","",INDEX('請求台帳'!$C$5:$C$1004,$N59)&amp;"")</f>
        <v/>
      </c>
      <c r="F59" s="47">
        <f>IF($N59="","",INDEX('請求台帳'!$D$5:$D$1004,$N59)&amp;"")</f>
        <v/>
      </c>
      <c r="G59" s="46">
        <f>IF($N59="","",INDEX('請求台帳'!$A$5:$A$1004,$N59)&amp;"")</f>
        <v/>
      </c>
      <c r="H59" s="45">
        <f>IF($N59="","",INDEX('請求台帳'!$B$5:$B$1004,$N59))</f>
        <v/>
      </c>
      <c r="I59" s="49">
        <f>IF($N59="","",INDEX('請求台帳'!$L$5:$L$1004,$N59))</f>
        <v/>
      </c>
      <c r="J59" s="49">
        <f>IF($N59="","",INDEX('請求台帳'!$P$5:$P$1004,$N59)+INDEX('請求台帳'!$Q$5:$Q$1004,$N59))</f>
        <v/>
      </c>
      <c r="K59" s="49">
        <f>IF($N59="","",INDEX('請求台帳'!$R$5:$R$1004,$N59))</f>
        <v/>
      </c>
      <c r="L59" s="46">
        <f>IF($N59="","",INDEX('請求台帳'!$S$5:$S$1004,$N59)&amp;"")</f>
        <v/>
      </c>
      <c r="M59" s="56" t="n"/>
      <c r="N59" s="75">
        <f>IFERROR(MATCH(SMALL('請求台帳'!$Y$5:$Y$1004,54),'請求台帳'!$Y$5:$Y$1004,0),"")</f>
        <v/>
      </c>
    </row>
    <row r="60" ht="18" customHeight="1">
      <c r="A60" s="46">
        <f>IF($N60="","",55)</f>
        <v/>
      </c>
      <c r="B60" s="45">
        <f>IF($N60="","",INDEX('請求台帳'!$O$5:$O$1004,$N60))</f>
        <v/>
      </c>
      <c r="C60" s="53">
        <f>IF($N60="","",INDEX('請求台帳'!$T$5:$T$1004,$N60))</f>
        <v/>
      </c>
      <c r="D60" s="46">
        <f>IF($N60="","",INDEX('請求台帳'!$U$5:$U$1004,$N60)&amp;"")</f>
        <v/>
      </c>
      <c r="E60" s="46">
        <f>IF($N60="","",INDEX('請求台帳'!$C$5:$C$1004,$N60)&amp;"")</f>
        <v/>
      </c>
      <c r="F60" s="47">
        <f>IF($N60="","",INDEX('請求台帳'!$D$5:$D$1004,$N60)&amp;"")</f>
        <v/>
      </c>
      <c r="G60" s="46">
        <f>IF($N60="","",INDEX('請求台帳'!$A$5:$A$1004,$N60)&amp;"")</f>
        <v/>
      </c>
      <c r="H60" s="45">
        <f>IF($N60="","",INDEX('請求台帳'!$B$5:$B$1004,$N60))</f>
        <v/>
      </c>
      <c r="I60" s="49">
        <f>IF($N60="","",INDEX('請求台帳'!$L$5:$L$1004,$N60))</f>
        <v/>
      </c>
      <c r="J60" s="49">
        <f>IF($N60="","",INDEX('請求台帳'!$P$5:$P$1004,$N60)+INDEX('請求台帳'!$Q$5:$Q$1004,$N60))</f>
        <v/>
      </c>
      <c r="K60" s="49">
        <f>IF($N60="","",INDEX('請求台帳'!$R$5:$R$1004,$N60))</f>
        <v/>
      </c>
      <c r="L60" s="46">
        <f>IF($N60="","",INDEX('請求台帳'!$S$5:$S$1004,$N60)&amp;"")</f>
        <v/>
      </c>
      <c r="M60" s="56" t="n"/>
      <c r="N60" s="75">
        <f>IFERROR(MATCH(SMALL('請求台帳'!$Y$5:$Y$1004,55),'請求台帳'!$Y$5:$Y$1004,0),"")</f>
        <v/>
      </c>
    </row>
    <row r="61" ht="18" customHeight="1">
      <c r="A61" s="46">
        <f>IF($N61="","",56)</f>
        <v/>
      </c>
      <c r="B61" s="45">
        <f>IF($N61="","",INDEX('請求台帳'!$O$5:$O$1004,$N61))</f>
        <v/>
      </c>
      <c r="C61" s="53">
        <f>IF($N61="","",INDEX('請求台帳'!$T$5:$T$1004,$N61))</f>
        <v/>
      </c>
      <c r="D61" s="46">
        <f>IF($N61="","",INDEX('請求台帳'!$U$5:$U$1004,$N61)&amp;"")</f>
        <v/>
      </c>
      <c r="E61" s="46">
        <f>IF($N61="","",INDEX('請求台帳'!$C$5:$C$1004,$N61)&amp;"")</f>
        <v/>
      </c>
      <c r="F61" s="47">
        <f>IF($N61="","",INDEX('請求台帳'!$D$5:$D$1004,$N61)&amp;"")</f>
        <v/>
      </c>
      <c r="G61" s="46">
        <f>IF($N61="","",INDEX('請求台帳'!$A$5:$A$1004,$N61)&amp;"")</f>
        <v/>
      </c>
      <c r="H61" s="45">
        <f>IF($N61="","",INDEX('請求台帳'!$B$5:$B$1004,$N61))</f>
        <v/>
      </c>
      <c r="I61" s="49">
        <f>IF($N61="","",INDEX('請求台帳'!$L$5:$L$1004,$N61))</f>
        <v/>
      </c>
      <c r="J61" s="49">
        <f>IF($N61="","",INDEX('請求台帳'!$P$5:$P$1004,$N61)+INDEX('請求台帳'!$Q$5:$Q$1004,$N61))</f>
        <v/>
      </c>
      <c r="K61" s="49">
        <f>IF($N61="","",INDEX('請求台帳'!$R$5:$R$1004,$N61))</f>
        <v/>
      </c>
      <c r="L61" s="46">
        <f>IF($N61="","",INDEX('請求台帳'!$S$5:$S$1004,$N61)&amp;"")</f>
        <v/>
      </c>
      <c r="M61" s="56" t="n"/>
      <c r="N61" s="75">
        <f>IFERROR(MATCH(SMALL('請求台帳'!$Y$5:$Y$1004,56),'請求台帳'!$Y$5:$Y$1004,0),"")</f>
        <v/>
      </c>
    </row>
    <row r="62" ht="18" customHeight="1">
      <c r="A62" s="46">
        <f>IF($N62="","",57)</f>
        <v/>
      </c>
      <c r="B62" s="45">
        <f>IF($N62="","",INDEX('請求台帳'!$O$5:$O$1004,$N62))</f>
        <v/>
      </c>
      <c r="C62" s="53">
        <f>IF($N62="","",INDEX('請求台帳'!$T$5:$T$1004,$N62))</f>
        <v/>
      </c>
      <c r="D62" s="46">
        <f>IF($N62="","",INDEX('請求台帳'!$U$5:$U$1004,$N62)&amp;"")</f>
        <v/>
      </c>
      <c r="E62" s="46">
        <f>IF($N62="","",INDEX('請求台帳'!$C$5:$C$1004,$N62)&amp;"")</f>
        <v/>
      </c>
      <c r="F62" s="47">
        <f>IF($N62="","",INDEX('請求台帳'!$D$5:$D$1004,$N62)&amp;"")</f>
        <v/>
      </c>
      <c r="G62" s="46">
        <f>IF($N62="","",INDEX('請求台帳'!$A$5:$A$1004,$N62)&amp;"")</f>
        <v/>
      </c>
      <c r="H62" s="45">
        <f>IF($N62="","",INDEX('請求台帳'!$B$5:$B$1004,$N62))</f>
        <v/>
      </c>
      <c r="I62" s="49">
        <f>IF($N62="","",INDEX('請求台帳'!$L$5:$L$1004,$N62))</f>
        <v/>
      </c>
      <c r="J62" s="49">
        <f>IF($N62="","",INDEX('請求台帳'!$P$5:$P$1004,$N62)+INDEX('請求台帳'!$Q$5:$Q$1004,$N62))</f>
        <v/>
      </c>
      <c r="K62" s="49">
        <f>IF($N62="","",INDEX('請求台帳'!$R$5:$R$1004,$N62))</f>
        <v/>
      </c>
      <c r="L62" s="46">
        <f>IF($N62="","",INDEX('請求台帳'!$S$5:$S$1004,$N62)&amp;"")</f>
        <v/>
      </c>
      <c r="M62" s="56" t="n"/>
      <c r="N62" s="75">
        <f>IFERROR(MATCH(SMALL('請求台帳'!$Y$5:$Y$1004,57),'請求台帳'!$Y$5:$Y$1004,0),"")</f>
        <v/>
      </c>
    </row>
    <row r="63" ht="18" customHeight="1">
      <c r="A63" s="46">
        <f>IF($N63="","",58)</f>
        <v/>
      </c>
      <c r="B63" s="45">
        <f>IF($N63="","",INDEX('請求台帳'!$O$5:$O$1004,$N63))</f>
        <v/>
      </c>
      <c r="C63" s="53">
        <f>IF($N63="","",INDEX('請求台帳'!$T$5:$T$1004,$N63))</f>
        <v/>
      </c>
      <c r="D63" s="46">
        <f>IF($N63="","",INDEX('請求台帳'!$U$5:$U$1004,$N63)&amp;"")</f>
        <v/>
      </c>
      <c r="E63" s="46">
        <f>IF($N63="","",INDEX('請求台帳'!$C$5:$C$1004,$N63)&amp;"")</f>
        <v/>
      </c>
      <c r="F63" s="47">
        <f>IF($N63="","",INDEX('請求台帳'!$D$5:$D$1004,$N63)&amp;"")</f>
        <v/>
      </c>
      <c r="G63" s="46">
        <f>IF($N63="","",INDEX('請求台帳'!$A$5:$A$1004,$N63)&amp;"")</f>
        <v/>
      </c>
      <c r="H63" s="45">
        <f>IF($N63="","",INDEX('請求台帳'!$B$5:$B$1004,$N63))</f>
        <v/>
      </c>
      <c r="I63" s="49">
        <f>IF($N63="","",INDEX('請求台帳'!$L$5:$L$1004,$N63))</f>
        <v/>
      </c>
      <c r="J63" s="49">
        <f>IF($N63="","",INDEX('請求台帳'!$P$5:$P$1004,$N63)+INDEX('請求台帳'!$Q$5:$Q$1004,$N63))</f>
        <v/>
      </c>
      <c r="K63" s="49">
        <f>IF($N63="","",INDEX('請求台帳'!$R$5:$R$1004,$N63))</f>
        <v/>
      </c>
      <c r="L63" s="46">
        <f>IF($N63="","",INDEX('請求台帳'!$S$5:$S$1004,$N63)&amp;"")</f>
        <v/>
      </c>
      <c r="M63" s="56" t="n"/>
      <c r="N63" s="75">
        <f>IFERROR(MATCH(SMALL('請求台帳'!$Y$5:$Y$1004,58),'請求台帳'!$Y$5:$Y$1004,0),"")</f>
        <v/>
      </c>
    </row>
    <row r="64" ht="18" customHeight="1">
      <c r="A64" s="46">
        <f>IF($N64="","",59)</f>
        <v/>
      </c>
      <c r="B64" s="45">
        <f>IF($N64="","",INDEX('請求台帳'!$O$5:$O$1004,$N64))</f>
        <v/>
      </c>
      <c r="C64" s="53">
        <f>IF($N64="","",INDEX('請求台帳'!$T$5:$T$1004,$N64))</f>
        <v/>
      </c>
      <c r="D64" s="46">
        <f>IF($N64="","",INDEX('請求台帳'!$U$5:$U$1004,$N64)&amp;"")</f>
        <v/>
      </c>
      <c r="E64" s="46">
        <f>IF($N64="","",INDEX('請求台帳'!$C$5:$C$1004,$N64)&amp;"")</f>
        <v/>
      </c>
      <c r="F64" s="47">
        <f>IF($N64="","",INDEX('請求台帳'!$D$5:$D$1004,$N64)&amp;"")</f>
        <v/>
      </c>
      <c r="G64" s="46">
        <f>IF($N64="","",INDEX('請求台帳'!$A$5:$A$1004,$N64)&amp;"")</f>
        <v/>
      </c>
      <c r="H64" s="45">
        <f>IF($N64="","",INDEX('請求台帳'!$B$5:$B$1004,$N64))</f>
        <v/>
      </c>
      <c r="I64" s="49">
        <f>IF($N64="","",INDEX('請求台帳'!$L$5:$L$1004,$N64))</f>
        <v/>
      </c>
      <c r="J64" s="49">
        <f>IF($N64="","",INDEX('請求台帳'!$P$5:$P$1004,$N64)+INDEX('請求台帳'!$Q$5:$Q$1004,$N64))</f>
        <v/>
      </c>
      <c r="K64" s="49">
        <f>IF($N64="","",INDEX('請求台帳'!$R$5:$R$1004,$N64))</f>
        <v/>
      </c>
      <c r="L64" s="46">
        <f>IF($N64="","",INDEX('請求台帳'!$S$5:$S$1004,$N64)&amp;"")</f>
        <v/>
      </c>
      <c r="M64" s="56" t="n"/>
      <c r="N64" s="75">
        <f>IFERROR(MATCH(SMALL('請求台帳'!$Y$5:$Y$1004,59),'請求台帳'!$Y$5:$Y$1004,0),"")</f>
        <v/>
      </c>
    </row>
    <row r="65" ht="18" customHeight="1">
      <c r="A65" s="46">
        <f>IF($N65="","",60)</f>
        <v/>
      </c>
      <c r="B65" s="45">
        <f>IF($N65="","",INDEX('請求台帳'!$O$5:$O$1004,$N65))</f>
        <v/>
      </c>
      <c r="C65" s="53">
        <f>IF($N65="","",INDEX('請求台帳'!$T$5:$T$1004,$N65))</f>
        <v/>
      </c>
      <c r="D65" s="46">
        <f>IF($N65="","",INDEX('請求台帳'!$U$5:$U$1004,$N65)&amp;"")</f>
        <v/>
      </c>
      <c r="E65" s="46">
        <f>IF($N65="","",INDEX('請求台帳'!$C$5:$C$1004,$N65)&amp;"")</f>
        <v/>
      </c>
      <c r="F65" s="47">
        <f>IF($N65="","",INDEX('請求台帳'!$D$5:$D$1004,$N65)&amp;"")</f>
        <v/>
      </c>
      <c r="G65" s="46">
        <f>IF($N65="","",INDEX('請求台帳'!$A$5:$A$1004,$N65)&amp;"")</f>
        <v/>
      </c>
      <c r="H65" s="45">
        <f>IF($N65="","",INDEX('請求台帳'!$B$5:$B$1004,$N65))</f>
        <v/>
      </c>
      <c r="I65" s="49">
        <f>IF($N65="","",INDEX('請求台帳'!$L$5:$L$1004,$N65))</f>
        <v/>
      </c>
      <c r="J65" s="49">
        <f>IF($N65="","",INDEX('請求台帳'!$P$5:$P$1004,$N65)+INDEX('請求台帳'!$Q$5:$Q$1004,$N65))</f>
        <v/>
      </c>
      <c r="K65" s="49">
        <f>IF($N65="","",INDEX('請求台帳'!$R$5:$R$1004,$N65))</f>
        <v/>
      </c>
      <c r="L65" s="46">
        <f>IF($N65="","",INDEX('請求台帳'!$S$5:$S$1004,$N65)&amp;"")</f>
        <v/>
      </c>
      <c r="M65" s="56" t="n"/>
      <c r="N65" s="75">
        <f>IFERROR(MATCH(SMALL('請求台帳'!$Y$5:$Y$1004,60),'請求台帳'!$Y$5:$Y$1004,0),"")</f>
        <v/>
      </c>
    </row>
    <row r="66" ht="18" customHeight="1">
      <c r="A66" s="46">
        <f>IF($N66="","",61)</f>
        <v/>
      </c>
      <c r="B66" s="45">
        <f>IF($N66="","",INDEX('請求台帳'!$O$5:$O$1004,$N66))</f>
        <v/>
      </c>
      <c r="C66" s="53">
        <f>IF($N66="","",INDEX('請求台帳'!$T$5:$T$1004,$N66))</f>
        <v/>
      </c>
      <c r="D66" s="46">
        <f>IF($N66="","",INDEX('請求台帳'!$U$5:$U$1004,$N66)&amp;"")</f>
        <v/>
      </c>
      <c r="E66" s="46">
        <f>IF($N66="","",INDEX('請求台帳'!$C$5:$C$1004,$N66)&amp;"")</f>
        <v/>
      </c>
      <c r="F66" s="47">
        <f>IF($N66="","",INDEX('請求台帳'!$D$5:$D$1004,$N66)&amp;"")</f>
        <v/>
      </c>
      <c r="G66" s="46">
        <f>IF($N66="","",INDEX('請求台帳'!$A$5:$A$1004,$N66)&amp;"")</f>
        <v/>
      </c>
      <c r="H66" s="45">
        <f>IF($N66="","",INDEX('請求台帳'!$B$5:$B$1004,$N66))</f>
        <v/>
      </c>
      <c r="I66" s="49">
        <f>IF($N66="","",INDEX('請求台帳'!$L$5:$L$1004,$N66))</f>
        <v/>
      </c>
      <c r="J66" s="49">
        <f>IF($N66="","",INDEX('請求台帳'!$P$5:$P$1004,$N66)+INDEX('請求台帳'!$Q$5:$Q$1004,$N66))</f>
        <v/>
      </c>
      <c r="K66" s="49">
        <f>IF($N66="","",INDEX('請求台帳'!$R$5:$R$1004,$N66))</f>
        <v/>
      </c>
      <c r="L66" s="46">
        <f>IF($N66="","",INDEX('請求台帳'!$S$5:$S$1004,$N66)&amp;"")</f>
        <v/>
      </c>
      <c r="M66" s="56" t="n"/>
      <c r="N66" s="75">
        <f>IFERROR(MATCH(SMALL('請求台帳'!$Y$5:$Y$1004,61),'請求台帳'!$Y$5:$Y$1004,0),"")</f>
        <v/>
      </c>
    </row>
    <row r="67" ht="18" customHeight="1">
      <c r="A67" s="46">
        <f>IF($N67="","",62)</f>
        <v/>
      </c>
      <c r="B67" s="45">
        <f>IF($N67="","",INDEX('請求台帳'!$O$5:$O$1004,$N67))</f>
        <v/>
      </c>
      <c r="C67" s="53">
        <f>IF($N67="","",INDEX('請求台帳'!$T$5:$T$1004,$N67))</f>
        <v/>
      </c>
      <c r="D67" s="46">
        <f>IF($N67="","",INDEX('請求台帳'!$U$5:$U$1004,$N67)&amp;"")</f>
        <v/>
      </c>
      <c r="E67" s="46">
        <f>IF($N67="","",INDEX('請求台帳'!$C$5:$C$1004,$N67)&amp;"")</f>
        <v/>
      </c>
      <c r="F67" s="47">
        <f>IF($N67="","",INDEX('請求台帳'!$D$5:$D$1004,$N67)&amp;"")</f>
        <v/>
      </c>
      <c r="G67" s="46">
        <f>IF($N67="","",INDEX('請求台帳'!$A$5:$A$1004,$N67)&amp;"")</f>
        <v/>
      </c>
      <c r="H67" s="45">
        <f>IF($N67="","",INDEX('請求台帳'!$B$5:$B$1004,$N67))</f>
        <v/>
      </c>
      <c r="I67" s="49">
        <f>IF($N67="","",INDEX('請求台帳'!$L$5:$L$1004,$N67))</f>
        <v/>
      </c>
      <c r="J67" s="49">
        <f>IF($N67="","",INDEX('請求台帳'!$P$5:$P$1004,$N67)+INDEX('請求台帳'!$Q$5:$Q$1004,$N67))</f>
        <v/>
      </c>
      <c r="K67" s="49">
        <f>IF($N67="","",INDEX('請求台帳'!$R$5:$R$1004,$N67))</f>
        <v/>
      </c>
      <c r="L67" s="46">
        <f>IF($N67="","",INDEX('請求台帳'!$S$5:$S$1004,$N67)&amp;"")</f>
        <v/>
      </c>
      <c r="M67" s="56" t="n"/>
      <c r="N67" s="75">
        <f>IFERROR(MATCH(SMALL('請求台帳'!$Y$5:$Y$1004,62),'請求台帳'!$Y$5:$Y$1004,0),"")</f>
        <v/>
      </c>
    </row>
    <row r="68" ht="18" customHeight="1">
      <c r="A68" s="46">
        <f>IF($N68="","",63)</f>
        <v/>
      </c>
      <c r="B68" s="45">
        <f>IF($N68="","",INDEX('請求台帳'!$O$5:$O$1004,$N68))</f>
        <v/>
      </c>
      <c r="C68" s="53">
        <f>IF($N68="","",INDEX('請求台帳'!$T$5:$T$1004,$N68))</f>
        <v/>
      </c>
      <c r="D68" s="46">
        <f>IF($N68="","",INDEX('請求台帳'!$U$5:$U$1004,$N68)&amp;"")</f>
        <v/>
      </c>
      <c r="E68" s="46">
        <f>IF($N68="","",INDEX('請求台帳'!$C$5:$C$1004,$N68)&amp;"")</f>
        <v/>
      </c>
      <c r="F68" s="47">
        <f>IF($N68="","",INDEX('請求台帳'!$D$5:$D$1004,$N68)&amp;"")</f>
        <v/>
      </c>
      <c r="G68" s="46">
        <f>IF($N68="","",INDEX('請求台帳'!$A$5:$A$1004,$N68)&amp;"")</f>
        <v/>
      </c>
      <c r="H68" s="45">
        <f>IF($N68="","",INDEX('請求台帳'!$B$5:$B$1004,$N68))</f>
        <v/>
      </c>
      <c r="I68" s="49">
        <f>IF($N68="","",INDEX('請求台帳'!$L$5:$L$1004,$N68))</f>
        <v/>
      </c>
      <c r="J68" s="49">
        <f>IF($N68="","",INDEX('請求台帳'!$P$5:$P$1004,$N68)+INDEX('請求台帳'!$Q$5:$Q$1004,$N68))</f>
        <v/>
      </c>
      <c r="K68" s="49">
        <f>IF($N68="","",INDEX('請求台帳'!$R$5:$R$1004,$N68))</f>
        <v/>
      </c>
      <c r="L68" s="46">
        <f>IF($N68="","",INDEX('請求台帳'!$S$5:$S$1004,$N68)&amp;"")</f>
        <v/>
      </c>
      <c r="M68" s="56" t="n"/>
      <c r="N68" s="75">
        <f>IFERROR(MATCH(SMALL('請求台帳'!$Y$5:$Y$1004,63),'請求台帳'!$Y$5:$Y$1004,0),"")</f>
        <v/>
      </c>
    </row>
    <row r="69" ht="18" customHeight="1">
      <c r="A69" s="46">
        <f>IF($N69="","",64)</f>
        <v/>
      </c>
      <c r="B69" s="45">
        <f>IF($N69="","",INDEX('請求台帳'!$O$5:$O$1004,$N69))</f>
        <v/>
      </c>
      <c r="C69" s="53">
        <f>IF($N69="","",INDEX('請求台帳'!$T$5:$T$1004,$N69))</f>
        <v/>
      </c>
      <c r="D69" s="46">
        <f>IF($N69="","",INDEX('請求台帳'!$U$5:$U$1004,$N69)&amp;"")</f>
        <v/>
      </c>
      <c r="E69" s="46">
        <f>IF($N69="","",INDEX('請求台帳'!$C$5:$C$1004,$N69)&amp;"")</f>
        <v/>
      </c>
      <c r="F69" s="47">
        <f>IF($N69="","",INDEX('請求台帳'!$D$5:$D$1004,$N69)&amp;"")</f>
        <v/>
      </c>
      <c r="G69" s="46">
        <f>IF($N69="","",INDEX('請求台帳'!$A$5:$A$1004,$N69)&amp;"")</f>
        <v/>
      </c>
      <c r="H69" s="45">
        <f>IF($N69="","",INDEX('請求台帳'!$B$5:$B$1004,$N69))</f>
        <v/>
      </c>
      <c r="I69" s="49">
        <f>IF($N69="","",INDEX('請求台帳'!$L$5:$L$1004,$N69))</f>
        <v/>
      </c>
      <c r="J69" s="49">
        <f>IF($N69="","",INDEX('請求台帳'!$P$5:$P$1004,$N69)+INDEX('請求台帳'!$Q$5:$Q$1004,$N69))</f>
        <v/>
      </c>
      <c r="K69" s="49">
        <f>IF($N69="","",INDEX('請求台帳'!$R$5:$R$1004,$N69))</f>
        <v/>
      </c>
      <c r="L69" s="46">
        <f>IF($N69="","",INDEX('請求台帳'!$S$5:$S$1004,$N69)&amp;"")</f>
        <v/>
      </c>
      <c r="M69" s="56" t="n"/>
      <c r="N69" s="75">
        <f>IFERROR(MATCH(SMALL('請求台帳'!$Y$5:$Y$1004,64),'請求台帳'!$Y$5:$Y$1004,0),"")</f>
        <v/>
      </c>
    </row>
    <row r="70" ht="18" customHeight="1">
      <c r="A70" s="46">
        <f>IF($N70="","",65)</f>
        <v/>
      </c>
      <c r="B70" s="45">
        <f>IF($N70="","",INDEX('請求台帳'!$O$5:$O$1004,$N70))</f>
        <v/>
      </c>
      <c r="C70" s="53">
        <f>IF($N70="","",INDEX('請求台帳'!$T$5:$T$1004,$N70))</f>
        <v/>
      </c>
      <c r="D70" s="46">
        <f>IF($N70="","",INDEX('請求台帳'!$U$5:$U$1004,$N70)&amp;"")</f>
        <v/>
      </c>
      <c r="E70" s="46">
        <f>IF($N70="","",INDEX('請求台帳'!$C$5:$C$1004,$N70)&amp;"")</f>
        <v/>
      </c>
      <c r="F70" s="47">
        <f>IF($N70="","",INDEX('請求台帳'!$D$5:$D$1004,$N70)&amp;"")</f>
        <v/>
      </c>
      <c r="G70" s="46">
        <f>IF($N70="","",INDEX('請求台帳'!$A$5:$A$1004,$N70)&amp;"")</f>
        <v/>
      </c>
      <c r="H70" s="45">
        <f>IF($N70="","",INDEX('請求台帳'!$B$5:$B$1004,$N70))</f>
        <v/>
      </c>
      <c r="I70" s="49">
        <f>IF($N70="","",INDEX('請求台帳'!$L$5:$L$1004,$N70))</f>
        <v/>
      </c>
      <c r="J70" s="49">
        <f>IF($N70="","",INDEX('請求台帳'!$P$5:$P$1004,$N70)+INDEX('請求台帳'!$Q$5:$Q$1004,$N70))</f>
        <v/>
      </c>
      <c r="K70" s="49">
        <f>IF($N70="","",INDEX('請求台帳'!$R$5:$R$1004,$N70))</f>
        <v/>
      </c>
      <c r="L70" s="46">
        <f>IF($N70="","",INDEX('請求台帳'!$S$5:$S$1004,$N70)&amp;"")</f>
        <v/>
      </c>
      <c r="M70" s="56" t="n"/>
      <c r="N70" s="75">
        <f>IFERROR(MATCH(SMALL('請求台帳'!$Y$5:$Y$1004,65),'請求台帳'!$Y$5:$Y$1004,0),"")</f>
        <v/>
      </c>
    </row>
    <row r="71" ht="18" customHeight="1">
      <c r="A71" s="46">
        <f>IF($N71="","",66)</f>
        <v/>
      </c>
      <c r="B71" s="45">
        <f>IF($N71="","",INDEX('請求台帳'!$O$5:$O$1004,$N71))</f>
        <v/>
      </c>
      <c r="C71" s="53">
        <f>IF($N71="","",INDEX('請求台帳'!$T$5:$T$1004,$N71))</f>
        <v/>
      </c>
      <c r="D71" s="46">
        <f>IF($N71="","",INDEX('請求台帳'!$U$5:$U$1004,$N71)&amp;"")</f>
        <v/>
      </c>
      <c r="E71" s="46">
        <f>IF($N71="","",INDEX('請求台帳'!$C$5:$C$1004,$N71)&amp;"")</f>
        <v/>
      </c>
      <c r="F71" s="47">
        <f>IF($N71="","",INDEX('請求台帳'!$D$5:$D$1004,$N71)&amp;"")</f>
        <v/>
      </c>
      <c r="G71" s="46">
        <f>IF($N71="","",INDEX('請求台帳'!$A$5:$A$1004,$N71)&amp;"")</f>
        <v/>
      </c>
      <c r="H71" s="45">
        <f>IF($N71="","",INDEX('請求台帳'!$B$5:$B$1004,$N71))</f>
        <v/>
      </c>
      <c r="I71" s="49">
        <f>IF($N71="","",INDEX('請求台帳'!$L$5:$L$1004,$N71))</f>
        <v/>
      </c>
      <c r="J71" s="49">
        <f>IF($N71="","",INDEX('請求台帳'!$P$5:$P$1004,$N71)+INDEX('請求台帳'!$Q$5:$Q$1004,$N71))</f>
        <v/>
      </c>
      <c r="K71" s="49">
        <f>IF($N71="","",INDEX('請求台帳'!$R$5:$R$1004,$N71))</f>
        <v/>
      </c>
      <c r="L71" s="46">
        <f>IF($N71="","",INDEX('請求台帳'!$S$5:$S$1004,$N71)&amp;"")</f>
        <v/>
      </c>
      <c r="M71" s="56" t="n"/>
      <c r="N71" s="75">
        <f>IFERROR(MATCH(SMALL('請求台帳'!$Y$5:$Y$1004,66),'請求台帳'!$Y$5:$Y$1004,0),"")</f>
        <v/>
      </c>
    </row>
    <row r="72" ht="18" customHeight="1">
      <c r="A72" s="46">
        <f>IF($N72="","",67)</f>
        <v/>
      </c>
      <c r="B72" s="45">
        <f>IF($N72="","",INDEX('請求台帳'!$O$5:$O$1004,$N72))</f>
        <v/>
      </c>
      <c r="C72" s="53">
        <f>IF($N72="","",INDEX('請求台帳'!$T$5:$T$1004,$N72))</f>
        <v/>
      </c>
      <c r="D72" s="46">
        <f>IF($N72="","",INDEX('請求台帳'!$U$5:$U$1004,$N72)&amp;"")</f>
        <v/>
      </c>
      <c r="E72" s="46">
        <f>IF($N72="","",INDEX('請求台帳'!$C$5:$C$1004,$N72)&amp;"")</f>
        <v/>
      </c>
      <c r="F72" s="47">
        <f>IF($N72="","",INDEX('請求台帳'!$D$5:$D$1004,$N72)&amp;"")</f>
        <v/>
      </c>
      <c r="G72" s="46">
        <f>IF($N72="","",INDEX('請求台帳'!$A$5:$A$1004,$N72)&amp;"")</f>
        <v/>
      </c>
      <c r="H72" s="45">
        <f>IF($N72="","",INDEX('請求台帳'!$B$5:$B$1004,$N72))</f>
        <v/>
      </c>
      <c r="I72" s="49">
        <f>IF($N72="","",INDEX('請求台帳'!$L$5:$L$1004,$N72))</f>
        <v/>
      </c>
      <c r="J72" s="49">
        <f>IF($N72="","",INDEX('請求台帳'!$P$5:$P$1004,$N72)+INDEX('請求台帳'!$Q$5:$Q$1004,$N72))</f>
        <v/>
      </c>
      <c r="K72" s="49">
        <f>IF($N72="","",INDEX('請求台帳'!$R$5:$R$1004,$N72))</f>
        <v/>
      </c>
      <c r="L72" s="46">
        <f>IF($N72="","",INDEX('請求台帳'!$S$5:$S$1004,$N72)&amp;"")</f>
        <v/>
      </c>
      <c r="M72" s="56" t="n"/>
      <c r="N72" s="75">
        <f>IFERROR(MATCH(SMALL('請求台帳'!$Y$5:$Y$1004,67),'請求台帳'!$Y$5:$Y$1004,0),"")</f>
        <v/>
      </c>
    </row>
    <row r="73" ht="18" customHeight="1">
      <c r="A73" s="46">
        <f>IF($N73="","",68)</f>
        <v/>
      </c>
      <c r="B73" s="45">
        <f>IF($N73="","",INDEX('請求台帳'!$O$5:$O$1004,$N73))</f>
        <v/>
      </c>
      <c r="C73" s="53">
        <f>IF($N73="","",INDEX('請求台帳'!$T$5:$T$1004,$N73))</f>
        <v/>
      </c>
      <c r="D73" s="46">
        <f>IF($N73="","",INDEX('請求台帳'!$U$5:$U$1004,$N73)&amp;"")</f>
        <v/>
      </c>
      <c r="E73" s="46">
        <f>IF($N73="","",INDEX('請求台帳'!$C$5:$C$1004,$N73)&amp;"")</f>
        <v/>
      </c>
      <c r="F73" s="47">
        <f>IF($N73="","",INDEX('請求台帳'!$D$5:$D$1004,$N73)&amp;"")</f>
        <v/>
      </c>
      <c r="G73" s="46">
        <f>IF($N73="","",INDEX('請求台帳'!$A$5:$A$1004,$N73)&amp;"")</f>
        <v/>
      </c>
      <c r="H73" s="45">
        <f>IF($N73="","",INDEX('請求台帳'!$B$5:$B$1004,$N73))</f>
        <v/>
      </c>
      <c r="I73" s="49">
        <f>IF($N73="","",INDEX('請求台帳'!$L$5:$L$1004,$N73))</f>
        <v/>
      </c>
      <c r="J73" s="49">
        <f>IF($N73="","",INDEX('請求台帳'!$P$5:$P$1004,$N73)+INDEX('請求台帳'!$Q$5:$Q$1004,$N73))</f>
        <v/>
      </c>
      <c r="K73" s="49">
        <f>IF($N73="","",INDEX('請求台帳'!$R$5:$R$1004,$N73))</f>
        <v/>
      </c>
      <c r="L73" s="46">
        <f>IF($N73="","",INDEX('請求台帳'!$S$5:$S$1004,$N73)&amp;"")</f>
        <v/>
      </c>
      <c r="M73" s="56" t="n"/>
      <c r="N73" s="75">
        <f>IFERROR(MATCH(SMALL('請求台帳'!$Y$5:$Y$1004,68),'請求台帳'!$Y$5:$Y$1004,0),"")</f>
        <v/>
      </c>
    </row>
    <row r="74" ht="18" customHeight="1">
      <c r="A74" s="46">
        <f>IF($N74="","",69)</f>
        <v/>
      </c>
      <c r="B74" s="45">
        <f>IF($N74="","",INDEX('請求台帳'!$O$5:$O$1004,$N74))</f>
        <v/>
      </c>
      <c r="C74" s="53">
        <f>IF($N74="","",INDEX('請求台帳'!$T$5:$T$1004,$N74))</f>
        <v/>
      </c>
      <c r="D74" s="46">
        <f>IF($N74="","",INDEX('請求台帳'!$U$5:$U$1004,$N74)&amp;"")</f>
        <v/>
      </c>
      <c r="E74" s="46">
        <f>IF($N74="","",INDEX('請求台帳'!$C$5:$C$1004,$N74)&amp;"")</f>
        <v/>
      </c>
      <c r="F74" s="47">
        <f>IF($N74="","",INDEX('請求台帳'!$D$5:$D$1004,$N74)&amp;"")</f>
        <v/>
      </c>
      <c r="G74" s="46">
        <f>IF($N74="","",INDEX('請求台帳'!$A$5:$A$1004,$N74)&amp;"")</f>
        <v/>
      </c>
      <c r="H74" s="45">
        <f>IF($N74="","",INDEX('請求台帳'!$B$5:$B$1004,$N74))</f>
        <v/>
      </c>
      <c r="I74" s="49">
        <f>IF($N74="","",INDEX('請求台帳'!$L$5:$L$1004,$N74))</f>
        <v/>
      </c>
      <c r="J74" s="49">
        <f>IF($N74="","",INDEX('請求台帳'!$P$5:$P$1004,$N74)+INDEX('請求台帳'!$Q$5:$Q$1004,$N74))</f>
        <v/>
      </c>
      <c r="K74" s="49">
        <f>IF($N74="","",INDEX('請求台帳'!$R$5:$R$1004,$N74))</f>
        <v/>
      </c>
      <c r="L74" s="46">
        <f>IF($N74="","",INDEX('請求台帳'!$S$5:$S$1004,$N74)&amp;"")</f>
        <v/>
      </c>
      <c r="M74" s="56" t="n"/>
      <c r="N74" s="75">
        <f>IFERROR(MATCH(SMALL('請求台帳'!$Y$5:$Y$1004,69),'請求台帳'!$Y$5:$Y$1004,0),"")</f>
        <v/>
      </c>
    </row>
    <row r="75" ht="18" customHeight="1">
      <c r="A75" s="46">
        <f>IF($N75="","",70)</f>
        <v/>
      </c>
      <c r="B75" s="45">
        <f>IF($N75="","",INDEX('請求台帳'!$O$5:$O$1004,$N75))</f>
        <v/>
      </c>
      <c r="C75" s="53">
        <f>IF($N75="","",INDEX('請求台帳'!$T$5:$T$1004,$N75))</f>
        <v/>
      </c>
      <c r="D75" s="46">
        <f>IF($N75="","",INDEX('請求台帳'!$U$5:$U$1004,$N75)&amp;"")</f>
        <v/>
      </c>
      <c r="E75" s="46">
        <f>IF($N75="","",INDEX('請求台帳'!$C$5:$C$1004,$N75)&amp;"")</f>
        <v/>
      </c>
      <c r="F75" s="47">
        <f>IF($N75="","",INDEX('請求台帳'!$D$5:$D$1004,$N75)&amp;"")</f>
        <v/>
      </c>
      <c r="G75" s="46">
        <f>IF($N75="","",INDEX('請求台帳'!$A$5:$A$1004,$N75)&amp;"")</f>
        <v/>
      </c>
      <c r="H75" s="45">
        <f>IF($N75="","",INDEX('請求台帳'!$B$5:$B$1004,$N75))</f>
        <v/>
      </c>
      <c r="I75" s="49">
        <f>IF($N75="","",INDEX('請求台帳'!$L$5:$L$1004,$N75))</f>
        <v/>
      </c>
      <c r="J75" s="49">
        <f>IF($N75="","",INDEX('請求台帳'!$P$5:$P$1004,$N75)+INDEX('請求台帳'!$Q$5:$Q$1004,$N75))</f>
        <v/>
      </c>
      <c r="K75" s="49">
        <f>IF($N75="","",INDEX('請求台帳'!$R$5:$R$1004,$N75))</f>
        <v/>
      </c>
      <c r="L75" s="46">
        <f>IF($N75="","",INDEX('請求台帳'!$S$5:$S$1004,$N75)&amp;"")</f>
        <v/>
      </c>
      <c r="M75" s="56" t="n"/>
      <c r="N75" s="75">
        <f>IFERROR(MATCH(SMALL('請求台帳'!$Y$5:$Y$1004,70),'請求台帳'!$Y$5:$Y$1004,0),"")</f>
        <v/>
      </c>
    </row>
    <row r="76" ht="18" customHeight="1">
      <c r="A76" s="46">
        <f>IF($N76="","",71)</f>
        <v/>
      </c>
      <c r="B76" s="45">
        <f>IF($N76="","",INDEX('請求台帳'!$O$5:$O$1004,$N76))</f>
        <v/>
      </c>
      <c r="C76" s="53">
        <f>IF($N76="","",INDEX('請求台帳'!$T$5:$T$1004,$N76))</f>
        <v/>
      </c>
      <c r="D76" s="46">
        <f>IF($N76="","",INDEX('請求台帳'!$U$5:$U$1004,$N76)&amp;"")</f>
        <v/>
      </c>
      <c r="E76" s="46">
        <f>IF($N76="","",INDEX('請求台帳'!$C$5:$C$1004,$N76)&amp;"")</f>
        <v/>
      </c>
      <c r="F76" s="47">
        <f>IF($N76="","",INDEX('請求台帳'!$D$5:$D$1004,$N76)&amp;"")</f>
        <v/>
      </c>
      <c r="G76" s="46">
        <f>IF($N76="","",INDEX('請求台帳'!$A$5:$A$1004,$N76)&amp;"")</f>
        <v/>
      </c>
      <c r="H76" s="45">
        <f>IF($N76="","",INDEX('請求台帳'!$B$5:$B$1004,$N76))</f>
        <v/>
      </c>
      <c r="I76" s="49">
        <f>IF($N76="","",INDEX('請求台帳'!$L$5:$L$1004,$N76))</f>
        <v/>
      </c>
      <c r="J76" s="49">
        <f>IF($N76="","",INDEX('請求台帳'!$P$5:$P$1004,$N76)+INDEX('請求台帳'!$Q$5:$Q$1004,$N76))</f>
        <v/>
      </c>
      <c r="K76" s="49">
        <f>IF($N76="","",INDEX('請求台帳'!$R$5:$R$1004,$N76))</f>
        <v/>
      </c>
      <c r="L76" s="46">
        <f>IF($N76="","",INDEX('請求台帳'!$S$5:$S$1004,$N76)&amp;"")</f>
        <v/>
      </c>
      <c r="M76" s="56" t="n"/>
      <c r="N76" s="75">
        <f>IFERROR(MATCH(SMALL('請求台帳'!$Y$5:$Y$1004,71),'請求台帳'!$Y$5:$Y$1004,0),"")</f>
        <v/>
      </c>
    </row>
    <row r="77" ht="18" customHeight="1">
      <c r="A77" s="46">
        <f>IF($N77="","",72)</f>
        <v/>
      </c>
      <c r="B77" s="45">
        <f>IF($N77="","",INDEX('請求台帳'!$O$5:$O$1004,$N77))</f>
        <v/>
      </c>
      <c r="C77" s="53">
        <f>IF($N77="","",INDEX('請求台帳'!$T$5:$T$1004,$N77))</f>
        <v/>
      </c>
      <c r="D77" s="46">
        <f>IF($N77="","",INDEX('請求台帳'!$U$5:$U$1004,$N77)&amp;"")</f>
        <v/>
      </c>
      <c r="E77" s="46">
        <f>IF($N77="","",INDEX('請求台帳'!$C$5:$C$1004,$N77)&amp;"")</f>
        <v/>
      </c>
      <c r="F77" s="47">
        <f>IF($N77="","",INDEX('請求台帳'!$D$5:$D$1004,$N77)&amp;"")</f>
        <v/>
      </c>
      <c r="G77" s="46">
        <f>IF($N77="","",INDEX('請求台帳'!$A$5:$A$1004,$N77)&amp;"")</f>
        <v/>
      </c>
      <c r="H77" s="45">
        <f>IF($N77="","",INDEX('請求台帳'!$B$5:$B$1004,$N77))</f>
        <v/>
      </c>
      <c r="I77" s="49">
        <f>IF($N77="","",INDEX('請求台帳'!$L$5:$L$1004,$N77))</f>
        <v/>
      </c>
      <c r="J77" s="49">
        <f>IF($N77="","",INDEX('請求台帳'!$P$5:$P$1004,$N77)+INDEX('請求台帳'!$Q$5:$Q$1004,$N77))</f>
        <v/>
      </c>
      <c r="K77" s="49">
        <f>IF($N77="","",INDEX('請求台帳'!$R$5:$R$1004,$N77))</f>
        <v/>
      </c>
      <c r="L77" s="46">
        <f>IF($N77="","",INDEX('請求台帳'!$S$5:$S$1004,$N77)&amp;"")</f>
        <v/>
      </c>
      <c r="M77" s="56" t="n"/>
      <c r="N77" s="75">
        <f>IFERROR(MATCH(SMALL('請求台帳'!$Y$5:$Y$1004,72),'請求台帳'!$Y$5:$Y$1004,0),"")</f>
        <v/>
      </c>
    </row>
    <row r="78" ht="18" customHeight="1">
      <c r="A78" s="46">
        <f>IF($N78="","",73)</f>
        <v/>
      </c>
      <c r="B78" s="45">
        <f>IF($N78="","",INDEX('請求台帳'!$O$5:$O$1004,$N78))</f>
        <v/>
      </c>
      <c r="C78" s="53">
        <f>IF($N78="","",INDEX('請求台帳'!$T$5:$T$1004,$N78))</f>
        <v/>
      </c>
      <c r="D78" s="46">
        <f>IF($N78="","",INDEX('請求台帳'!$U$5:$U$1004,$N78)&amp;"")</f>
        <v/>
      </c>
      <c r="E78" s="46">
        <f>IF($N78="","",INDEX('請求台帳'!$C$5:$C$1004,$N78)&amp;"")</f>
        <v/>
      </c>
      <c r="F78" s="47">
        <f>IF($N78="","",INDEX('請求台帳'!$D$5:$D$1004,$N78)&amp;"")</f>
        <v/>
      </c>
      <c r="G78" s="46">
        <f>IF($N78="","",INDEX('請求台帳'!$A$5:$A$1004,$N78)&amp;"")</f>
        <v/>
      </c>
      <c r="H78" s="45">
        <f>IF($N78="","",INDEX('請求台帳'!$B$5:$B$1004,$N78))</f>
        <v/>
      </c>
      <c r="I78" s="49">
        <f>IF($N78="","",INDEX('請求台帳'!$L$5:$L$1004,$N78))</f>
        <v/>
      </c>
      <c r="J78" s="49">
        <f>IF($N78="","",INDEX('請求台帳'!$P$5:$P$1004,$N78)+INDEX('請求台帳'!$Q$5:$Q$1004,$N78))</f>
        <v/>
      </c>
      <c r="K78" s="49">
        <f>IF($N78="","",INDEX('請求台帳'!$R$5:$R$1004,$N78))</f>
        <v/>
      </c>
      <c r="L78" s="46">
        <f>IF($N78="","",INDEX('請求台帳'!$S$5:$S$1004,$N78)&amp;"")</f>
        <v/>
      </c>
      <c r="M78" s="56" t="n"/>
      <c r="N78" s="75">
        <f>IFERROR(MATCH(SMALL('請求台帳'!$Y$5:$Y$1004,73),'請求台帳'!$Y$5:$Y$1004,0),"")</f>
        <v/>
      </c>
    </row>
    <row r="79" ht="18" customHeight="1">
      <c r="A79" s="46">
        <f>IF($N79="","",74)</f>
        <v/>
      </c>
      <c r="B79" s="45">
        <f>IF($N79="","",INDEX('請求台帳'!$O$5:$O$1004,$N79))</f>
        <v/>
      </c>
      <c r="C79" s="53">
        <f>IF($N79="","",INDEX('請求台帳'!$T$5:$T$1004,$N79))</f>
        <v/>
      </c>
      <c r="D79" s="46">
        <f>IF($N79="","",INDEX('請求台帳'!$U$5:$U$1004,$N79)&amp;"")</f>
        <v/>
      </c>
      <c r="E79" s="46">
        <f>IF($N79="","",INDEX('請求台帳'!$C$5:$C$1004,$N79)&amp;"")</f>
        <v/>
      </c>
      <c r="F79" s="47">
        <f>IF($N79="","",INDEX('請求台帳'!$D$5:$D$1004,$N79)&amp;"")</f>
        <v/>
      </c>
      <c r="G79" s="46">
        <f>IF($N79="","",INDEX('請求台帳'!$A$5:$A$1004,$N79)&amp;"")</f>
        <v/>
      </c>
      <c r="H79" s="45">
        <f>IF($N79="","",INDEX('請求台帳'!$B$5:$B$1004,$N79))</f>
        <v/>
      </c>
      <c r="I79" s="49">
        <f>IF($N79="","",INDEX('請求台帳'!$L$5:$L$1004,$N79))</f>
        <v/>
      </c>
      <c r="J79" s="49">
        <f>IF($N79="","",INDEX('請求台帳'!$P$5:$P$1004,$N79)+INDEX('請求台帳'!$Q$5:$Q$1004,$N79))</f>
        <v/>
      </c>
      <c r="K79" s="49">
        <f>IF($N79="","",INDEX('請求台帳'!$R$5:$R$1004,$N79))</f>
        <v/>
      </c>
      <c r="L79" s="46">
        <f>IF($N79="","",INDEX('請求台帳'!$S$5:$S$1004,$N79)&amp;"")</f>
        <v/>
      </c>
      <c r="M79" s="56" t="n"/>
      <c r="N79" s="75">
        <f>IFERROR(MATCH(SMALL('請求台帳'!$Y$5:$Y$1004,74),'請求台帳'!$Y$5:$Y$1004,0),"")</f>
        <v/>
      </c>
    </row>
    <row r="80" ht="18" customHeight="1">
      <c r="A80" s="46">
        <f>IF($N80="","",75)</f>
        <v/>
      </c>
      <c r="B80" s="45">
        <f>IF($N80="","",INDEX('請求台帳'!$O$5:$O$1004,$N80))</f>
        <v/>
      </c>
      <c r="C80" s="53">
        <f>IF($N80="","",INDEX('請求台帳'!$T$5:$T$1004,$N80))</f>
        <v/>
      </c>
      <c r="D80" s="46">
        <f>IF($N80="","",INDEX('請求台帳'!$U$5:$U$1004,$N80)&amp;"")</f>
        <v/>
      </c>
      <c r="E80" s="46">
        <f>IF($N80="","",INDEX('請求台帳'!$C$5:$C$1004,$N80)&amp;"")</f>
        <v/>
      </c>
      <c r="F80" s="47">
        <f>IF($N80="","",INDEX('請求台帳'!$D$5:$D$1004,$N80)&amp;"")</f>
        <v/>
      </c>
      <c r="G80" s="46">
        <f>IF($N80="","",INDEX('請求台帳'!$A$5:$A$1004,$N80)&amp;"")</f>
        <v/>
      </c>
      <c r="H80" s="45">
        <f>IF($N80="","",INDEX('請求台帳'!$B$5:$B$1004,$N80))</f>
        <v/>
      </c>
      <c r="I80" s="49">
        <f>IF($N80="","",INDEX('請求台帳'!$L$5:$L$1004,$N80))</f>
        <v/>
      </c>
      <c r="J80" s="49">
        <f>IF($N80="","",INDEX('請求台帳'!$P$5:$P$1004,$N80)+INDEX('請求台帳'!$Q$5:$Q$1004,$N80))</f>
        <v/>
      </c>
      <c r="K80" s="49">
        <f>IF($N80="","",INDEX('請求台帳'!$R$5:$R$1004,$N80))</f>
        <v/>
      </c>
      <c r="L80" s="46">
        <f>IF($N80="","",INDEX('請求台帳'!$S$5:$S$1004,$N80)&amp;"")</f>
        <v/>
      </c>
      <c r="M80" s="56" t="n"/>
      <c r="N80" s="75">
        <f>IFERROR(MATCH(SMALL('請求台帳'!$Y$5:$Y$1004,75),'請求台帳'!$Y$5:$Y$1004,0),"")</f>
        <v/>
      </c>
    </row>
    <row r="81" ht="18" customHeight="1">
      <c r="A81" s="46">
        <f>IF($N81="","",76)</f>
        <v/>
      </c>
      <c r="B81" s="45">
        <f>IF($N81="","",INDEX('請求台帳'!$O$5:$O$1004,$N81))</f>
        <v/>
      </c>
      <c r="C81" s="53">
        <f>IF($N81="","",INDEX('請求台帳'!$T$5:$T$1004,$N81))</f>
        <v/>
      </c>
      <c r="D81" s="46">
        <f>IF($N81="","",INDEX('請求台帳'!$U$5:$U$1004,$N81)&amp;"")</f>
        <v/>
      </c>
      <c r="E81" s="46">
        <f>IF($N81="","",INDEX('請求台帳'!$C$5:$C$1004,$N81)&amp;"")</f>
        <v/>
      </c>
      <c r="F81" s="47">
        <f>IF($N81="","",INDEX('請求台帳'!$D$5:$D$1004,$N81)&amp;"")</f>
        <v/>
      </c>
      <c r="G81" s="46">
        <f>IF($N81="","",INDEX('請求台帳'!$A$5:$A$1004,$N81)&amp;"")</f>
        <v/>
      </c>
      <c r="H81" s="45">
        <f>IF($N81="","",INDEX('請求台帳'!$B$5:$B$1004,$N81))</f>
        <v/>
      </c>
      <c r="I81" s="49">
        <f>IF($N81="","",INDEX('請求台帳'!$L$5:$L$1004,$N81))</f>
        <v/>
      </c>
      <c r="J81" s="49">
        <f>IF($N81="","",INDEX('請求台帳'!$P$5:$P$1004,$N81)+INDEX('請求台帳'!$Q$5:$Q$1004,$N81))</f>
        <v/>
      </c>
      <c r="K81" s="49">
        <f>IF($N81="","",INDEX('請求台帳'!$R$5:$R$1004,$N81))</f>
        <v/>
      </c>
      <c r="L81" s="46">
        <f>IF($N81="","",INDEX('請求台帳'!$S$5:$S$1004,$N81)&amp;"")</f>
        <v/>
      </c>
      <c r="M81" s="56" t="n"/>
      <c r="N81" s="75">
        <f>IFERROR(MATCH(SMALL('請求台帳'!$Y$5:$Y$1004,76),'請求台帳'!$Y$5:$Y$1004,0),"")</f>
        <v/>
      </c>
    </row>
    <row r="82" ht="18" customHeight="1">
      <c r="A82" s="46">
        <f>IF($N82="","",77)</f>
        <v/>
      </c>
      <c r="B82" s="45">
        <f>IF($N82="","",INDEX('請求台帳'!$O$5:$O$1004,$N82))</f>
        <v/>
      </c>
      <c r="C82" s="53">
        <f>IF($N82="","",INDEX('請求台帳'!$T$5:$T$1004,$N82))</f>
        <v/>
      </c>
      <c r="D82" s="46">
        <f>IF($N82="","",INDEX('請求台帳'!$U$5:$U$1004,$N82)&amp;"")</f>
        <v/>
      </c>
      <c r="E82" s="46">
        <f>IF($N82="","",INDEX('請求台帳'!$C$5:$C$1004,$N82)&amp;"")</f>
        <v/>
      </c>
      <c r="F82" s="47">
        <f>IF($N82="","",INDEX('請求台帳'!$D$5:$D$1004,$N82)&amp;"")</f>
        <v/>
      </c>
      <c r="G82" s="46">
        <f>IF($N82="","",INDEX('請求台帳'!$A$5:$A$1004,$N82)&amp;"")</f>
        <v/>
      </c>
      <c r="H82" s="45">
        <f>IF($N82="","",INDEX('請求台帳'!$B$5:$B$1004,$N82))</f>
        <v/>
      </c>
      <c r="I82" s="49">
        <f>IF($N82="","",INDEX('請求台帳'!$L$5:$L$1004,$N82))</f>
        <v/>
      </c>
      <c r="J82" s="49">
        <f>IF($N82="","",INDEX('請求台帳'!$P$5:$P$1004,$N82)+INDEX('請求台帳'!$Q$5:$Q$1004,$N82))</f>
        <v/>
      </c>
      <c r="K82" s="49">
        <f>IF($N82="","",INDEX('請求台帳'!$R$5:$R$1004,$N82))</f>
        <v/>
      </c>
      <c r="L82" s="46">
        <f>IF($N82="","",INDEX('請求台帳'!$S$5:$S$1004,$N82)&amp;"")</f>
        <v/>
      </c>
      <c r="M82" s="56" t="n"/>
      <c r="N82" s="75">
        <f>IFERROR(MATCH(SMALL('請求台帳'!$Y$5:$Y$1004,77),'請求台帳'!$Y$5:$Y$1004,0),"")</f>
        <v/>
      </c>
    </row>
    <row r="83" ht="18" customHeight="1">
      <c r="A83" s="46">
        <f>IF($N83="","",78)</f>
        <v/>
      </c>
      <c r="B83" s="45">
        <f>IF($N83="","",INDEX('請求台帳'!$O$5:$O$1004,$N83))</f>
        <v/>
      </c>
      <c r="C83" s="53">
        <f>IF($N83="","",INDEX('請求台帳'!$T$5:$T$1004,$N83))</f>
        <v/>
      </c>
      <c r="D83" s="46">
        <f>IF($N83="","",INDEX('請求台帳'!$U$5:$U$1004,$N83)&amp;"")</f>
        <v/>
      </c>
      <c r="E83" s="46">
        <f>IF($N83="","",INDEX('請求台帳'!$C$5:$C$1004,$N83)&amp;"")</f>
        <v/>
      </c>
      <c r="F83" s="47">
        <f>IF($N83="","",INDEX('請求台帳'!$D$5:$D$1004,$N83)&amp;"")</f>
        <v/>
      </c>
      <c r="G83" s="46">
        <f>IF($N83="","",INDEX('請求台帳'!$A$5:$A$1004,$N83)&amp;"")</f>
        <v/>
      </c>
      <c r="H83" s="45">
        <f>IF($N83="","",INDEX('請求台帳'!$B$5:$B$1004,$N83))</f>
        <v/>
      </c>
      <c r="I83" s="49">
        <f>IF($N83="","",INDEX('請求台帳'!$L$5:$L$1004,$N83))</f>
        <v/>
      </c>
      <c r="J83" s="49">
        <f>IF($N83="","",INDEX('請求台帳'!$P$5:$P$1004,$N83)+INDEX('請求台帳'!$Q$5:$Q$1004,$N83))</f>
        <v/>
      </c>
      <c r="K83" s="49">
        <f>IF($N83="","",INDEX('請求台帳'!$R$5:$R$1004,$N83))</f>
        <v/>
      </c>
      <c r="L83" s="46">
        <f>IF($N83="","",INDEX('請求台帳'!$S$5:$S$1004,$N83)&amp;"")</f>
        <v/>
      </c>
      <c r="M83" s="56" t="n"/>
      <c r="N83" s="75">
        <f>IFERROR(MATCH(SMALL('請求台帳'!$Y$5:$Y$1004,78),'請求台帳'!$Y$5:$Y$1004,0),"")</f>
        <v/>
      </c>
    </row>
    <row r="84" ht="18" customHeight="1">
      <c r="A84" s="46">
        <f>IF($N84="","",79)</f>
        <v/>
      </c>
      <c r="B84" s="45">
        <f>IF($N84="","",INDEX('請求台帳'!$O$5:$O$1004,$N84))</f>
        <v/>
      </c>
      <c r="C84" s="53">
        <f>IF($N84="","",INDEX('請求台帳'!$T$5:$T$1004,$N84))</f>
        <v/>
      </c>
      <c r="D84" s="46">
        <f>IF($N84="","",INDEX('請求台帳'!$U$5:$U$1004,$N84)&amp;"")</f>
        <v/>
      </c>
      <c r="E84" s="46">
        <f>IF($N84="","",INDEX('請求台帳'!$C$5:$C$1004,$N84)&amp;"")</f>
        <v/>
      </c>
      <c r="F84" s="47">
        <f>IF($N84="","",INDEX('請求台帳'!$D$5:$D$1004,$N84)&amp;"")</f>
        <v/>
      </c>
      <c r="G84" s="46">
        <f>IF($N84="","",INDEX('請求台帳'!$A$5:$A$1004,$N84)&amp;"")</f>
        <v/>
      </c>
      <c r="H84" s="45">
        <f>IF($N84="","",INDEX('請求台帳'!$B$5:$B$1004,$N84))</f>
        <v/>
      </c>
      <c r="I84" s="49">
        <f>IF($N84="","",INDEX('請求台帳'!$L$5:$L$1004,$N84))</f>
        <v/>
      </c>
      <c r="J84" s="49">
        <f>IF($N84="","",INDEX('請求台帳'!$P$5:$P$1004,$N84)+INDEX('請求台帳'!$Q$5:$Q$1004,$N84))</f>
        <v/>
      </c>
      <c r="K84" s="49">
        <f>IF($N84="","",INDEX('請求台帳'!$R$5:$R$1004,$N84))</f>
        <v/>
      </c>
      <c r="L84" s="46">
        <f>IF($N84="","",INDEX('請求台帳'!$S$5:$S$1004,$N84)&amp;"")</f>
        <v/>
      </c>
      <c r="M84" s="56" t="n"/>
      <c r="N84" s="75">
        <f>IFERROR(MATCH(SMALL('請求台帳'!$Y$5:$Y$1004,79),'請求台帳'!$Y$5:$Y$1004,0),"")</f>
        <v/>
      </c>
    </row>
    <row r="85" ht="18" customHeight="1">
      <c r="A85" s="46">
        <f>IF($N85="","",80)</f>
        <v/>
      </c>
      <c r="B85" s="45">
        <f>IF($N85="","",INDEX('請求台帳'!$O$5:$O$1004,$N85))</f>
        <v/>
      </c>
      <c r="C85" s="53">
        <f>IF($N85="","",INDEX('請求台帳'!$T$5:$T$1004,$N85))</f>
        <v/>
      </c>
      <c r="D85" s="46">
        <f>IF($N85="","",INDEX('請求台帳'!$U$5:$U$1004,$N85)&amp;"")</f>
        <v/>
      </c>
      <c r="E85" s="46">
        <f>IF($N85="","",INDEX('請求台帳'!$C$5:$C$1004,$N85)&amp;"")</f>
        <v/>
      </c>
      <c r="F85" s="47">
        <f>IF($N85="","",INDEX('請求台帳'!$D$5:$D$1004,$N85)&amp;"")</f>
        <v/>
      </c>
      <c r="G85" s="46">
        <f>IF($N85="","",INDEX('請求台帳'!$A$5:$A$1004,$N85)&amp;"")</f>
        <v/>
      </c>
      <c r="H85" s="45">
        <f>IF($N85="","",INDEX('請求台帳'!$B$5:$B$1004,$N85))</f>
        <v/>
      </c>
      <c r="I85" s="49">
        <f>IF($N85="","",INDEX('請求台帳'!$L$5:$L$1004,$N85))</f>
        <v/>
      </c>
      <c r="J85" s="49">
        <f>IF($N85="","",INDEX('請求台帳'!$P$5:$P$1004,$N85)+INDEX('請求台帳'!$Q$5:$Q$1004,$N85))</f>
        <v/>
      </c>
      <c r="K85" s="49">
        <f>IF($N85="","",INDEX('請求台帳'!$R$5:$R$1004,$N85))</f>
        <v/>
      </c>
      <c r="L85" s="46">
        <f>IF($N85="","",INDEX('請求台帳'!$S$5:$S$1004,$N85)&amp;"")</f>
        <v/>
      </c>
      <c r="M85" s="56" t="n"/>
      <c r="N85" s="75">
        <f>IFERROR(MATCH(SMALL('請求台帳'!$Y$5:$Y$1004,80),'請求台帳'!$Y$5:$Y$1004,0),"")</f>
        <v/>
      </c>
    </row>
    <row r="86" ht="18" customHeight="1">
      <c r="A86" s="46">
        <f>IF($N86="","",81)</f>
        <v/>
      </c>
      <c r="B86" s="45">
        <f>IF($N86="","",INDEX('請求台帳'!$O$5:$O$1004,$N86))</f>
        <v/>
      </c>
      <c r="C86" s="53">
        <f>IF($N86="","",INDEX('請求台帳'!$T$5:$T$1004,$N86))</f>
        <v/>
      </c>
      <c r="D86" s="46">
        <f>IF($N86="","",INDEX('請求台帳'!$U$5:$U$1004,$N86)&amp;"")</f>
        <v/>
      </c>
      <c r="E86" s="46">
        <f>IF($N86="","",INDEX('請求台帳'!$C$5:$C$1004,$N86)&amp;"")</f>
        <v/>
      </c>
      <c r="F86" s="47">
        <f>IF($N86="","",INDEX('請求台帳'!$D$5:$D$1004,$N86)&amp;"")</f>
        <v/>
      </c>
      <c r="G86" s="46">
        <f>IF($N86="","",INDEX('請求台帳'!$A$5:$A$1004,$N86)&amp;"")</f>
        <v/>
      </c>
      <c r="H86" s="45">
        <f>IF($N86="","",INDEX('請求台帳'!$B$5:$B$1004,$N86))</f>
        <v/>
      </c>
      <c r="I86" s="49">
        <f>IF($N86="","",INDEX('請求台帳'!$L$5:$L$1004,$N86))</f>
        <v/>
      </c>
      <c r="J86" s="49">
        <f>IF($N86="","",INDEX('請求台帳'!$P$5:$P$1004,$N86)+INDEX('請求台帳'!$Q$5:$Q$1004,$N86))</f>
        <v/>
      </c>
      <c r="K86" s="49">
        <f>IF($N86="","",INDEX('請求台帳'!$R$5:$R$1004,$N86))</f>
        <v/>
      </c>
      <c r="L86" s="46">
        <f>IF($N86="","",INDEX('請求台帳'!$S$5:$S$1004,$N86)&amp;"")</f>
        <v/>
      </c>
      <c r="M86" s="56" t="n"/>
      <c r="N86" s="75">
        <f>IFERROR(MATCH(SMALL('請求台帳'!$Y$5:$Y$1004,81),'請求台帳'!$Y$5:$Y$1004,0),"")</f>
        <v/>
      </c>
    </row>
    <row r="87" ht="18" customHeight="1">
      <c r="A87" s="46">
        <f>IF($N87="","",82)</f>
        <v/>
      </c>
      <c r="B87" s="45">
        <f>IF($N87="","",INDEX('請求台帳'!$O$5:$O$1004,$N87))</f>
        <v/>
      </c>
      <c r="C87" s="53">
        <f>IF($N87="","",INDEX('請求台帳'!$T$5:$T$1004,$N87))</f>
        <v/>
      </c>
      <c r="D87" s="46">
        <f>IF($N87="","",INDEX('請求台帳'!$U$5:$U$1004,$N87)&amp;"")</f>
        <v/>
      </c>
      <c r="E87" s="46">
        <f>IF($N87="","",INDEX('請求台帳'!$C$5:$C$1004,$N87)&amp;"")</f>
        <v/>
      </c>
      <c r="F87" s="47">
        <f>IF($N87="","",INDEX('請求台帳'!$D$5:$D$1004,$N87)&amp;"")</f>
        <v/>
      </c>
      <c r="G87" s="46">
        <f>IF($N87="","",INDEX('請求台帳'!$A$5:$A$1004,$N87)&amp;"")</f>
        <v/>
      </c>
      <c r="H87" s="45">
        <f>IF($N87="","",INDEX('請求台帳'!$B$5:$B$1004,$N87))</f>
        <v/>
      </c>
      <c r="I87" s="49">
        <f>IF($N87="","",INDEX('請求台帳'!$L$5:$L$1004,$N87))</f>
        <v/>
      </c>
      <c r="J87" s="49">
        <f>IF($N87="","",INDEX('請求台帳'!$P$5:$P$1004,$N87)+INDEX('請求台帳'!$Q$5:$Q$1004,$N87))</f>
        <v/>
      </c>
      <c r="K87" s="49">
        <f>IF($N87="","",INDEX('請求台帳'!$R$5:$R$1004,$N87))</f>
        <v/>
      </c>
      <c r="L87" s="46">
        <f>IF($N87="","",INDEX('請求台帳'!$S$5:$S$1004,$N87)&amp;"")</f>
        <v/>
      </c>
      <c r="M87" s="56" t="n"/>
      <c r="N87" s="75">
        <f>IFERROR(MATCH(SMALL('請求台帳'!$Y$5:$Y$1004,82),'請求台帳'!$Y$5:$Y$1004,0),"")</f>
        <v/>
      </c>
    </row>
    <row r="88" ht="18" customHeight="1">
      <c r="A88" s="46">
        <f>IF($N88="","",83)</f>
        <v/>
      </c>
      <c r="B88" s="45">
        <f>IF($N88="","",INDEX('請求台帳'!$O$5:$O$1004,$N88))</f>
        <v/>
      </c>
      <c r="C88" s="53">
        <f>IF($N88="","",INDEX('請求台帳'!$T$5:$T$1004,$N88))</f>
        <v/>
      </c>
      <c r="D88" s="46">
        <f>IF($N88="","",INDEX('請求台帳'!$U$5:$U$1004,$N88)&amp;"")</f>
        <v/>
      </c>
      <c r="E88" s="46">
        <f>IF($N88="","",INDEX('請求台帳'!$C$5:$C$1004,$N88)&amp;"")</f>
        <v/>
      </c>
      <c r="F88" s="47">
        <f>IF($N88="","",INDEX('請求台帳'!$D$5:$D$1004,$N88)&amp;"")</f>
        <v/>
      </c>
      <c r="G88" s="46">
        <f>IF($N88="","",INDEX('請求台帳'!$A$5:$A$1004,$N88)&amp;"")</f>
        <v/>
      </c>
      <c r="H88" s="45">
        <f>IF($N88="","",INDEX('請求台帳'!$B$5:$B$1004,$N88))</f>
        <v/>
      </c>
      <c r="I88" s="49">
        <f>IF($N88="","",INDEX('請求台帳'!$L$5:$L$1004,$N88))</f>
        <v/>
      </c>
      <c r="J88" s="49">
        <f>IF($N88="","",INDEX('請求台帳'!$P$5:$P$1004,$N88)+INDEX('請求台帳'!$Q$5:$Q$1004,$N88))</f>
        <v/>
      </c>
      <c r="K88" s="49">
        <f>IF($N88="","",INDEX('請求台帳'!$R$5:$R$1004,$N88))</f>
        <v/>
      </c>
      <c r="L88" s="46">
        <f>IF($N88="","",INDEX('請求台帳'!$S$5:$S$1004,$N88)&amp;"")</f>
        <v/>
      </c>
      <c r="M88" s="56" t="n"/>
      <c r="N88" s="75">
        <f>IFERROR(MATCH(SMALL('請求台帳'!$Y$5:$Y$1004,83),'請求台帳'!$Y$5:$Y$1004,0),"")</f>
        <v/>
      </c>
    </row>
    <row r="89" ht="18" customHeight="1">
      <c r="A89" s="46">
        <f>IF($N89="","",84)</f>
        <v/>
      </c>
      <c r="B89" s="45">
        <f>IF($N89="","",INDEX('請求台帳'!$O$5:$O$1004,$N89))</f>
        <v/>
      </c>
      <c r="C89" s="53">
        <f>IF($N89="","",INDEX('請求台帳'!$T$5:$T$1004,$N89))</f>
        <v/>
      </c>
      <c r="D89" s="46">
        <f>IF($N89="","",INDEX('請求台帳'!$U$5:$U$1004,$N89)&amp;"")</f>
        <v/>
      </c>
      <c r="E89" s="46">
        <f>IF($N89="","",INDEX('請求台帳'!$C$5:$C$1004,$N89)&amp;"")</f>
        <v/>
      </c>
      <c r="F89" s="47">
        <f>IF($N89="","",INDEX('請求台帳'!$D$5:$D$1004,$N89)&amp;"")</f>
        <v/>
      </c>
      <c r="G89" s="46">
        <f>IF($N89="","",INDEX('請求台帳'!$A$5:$A$1004,$N89)&amp;"")</f>
        <v/>
      </c>
      <c r="H89" s="45">
        <f>IF($N89="","",INDEX('請求台帳'!$B$5:$B$1004,$N89))</f>
        <v/>
      </c>
      <c r="I89" s="49">
        <f>IF($N89="","",INDEX('請求台帳'!$L$5:$L$1004,$N89))</f>
        <v/>
      </c>
      <c r="J89" s="49">
        <f>IF($N89="","",INDEX('請求台帳'!$P$5:$P$1004,$N89)+INDEX('請求台帳'!$Q$5:$Q$1004,$N89))</f>
        <v/>
      </c>
      <c r="K89" s="49">
        <f>IF($N89="","",INDEX('請求台帳'!$R$5:$R$1004,$N89))</f>
        <v/>
      </c>
      <c r="L89" s="46">
        <f>IF($N89="","",INDEX('請求台帳'!$S$5:$S$1004,$N89)&amp;"")</f>
        <v/>
      </c>
      <c r="M89" s="56" t="n"/>
      <c r="N89" s="75">
        <f>IFERROR(MATCH(SMALL('請求台帳'!$Y$5:$Y$1004,84),'請求台帳'!$Y$5:$Y$1004,0),"")</f>
        <v/>
      </c>
    </row>
    <row r="90" ht="18" customHeight="1">
      <c r="A90" s="46">
        <f>IF($N90="","",85)</f>
        <v/>
      </c>
      <c r="B90" s="45">
        <f>IF($N90="","",INDEX('請求台帳'!$O$5:$O$1004,$N90))</f>
        <v/>
      </c>
      <c r="C90" s="53">
        <f>IF($N90="","",INDEX('請求台帳'!$T$5:$T$1004,$N90))</f>
        <v/>
      </c>
      <c r="D90" s="46">
        <f>IF($N90="","",INDEX('請求台帳'!$U$5:$U$1004,$N90)&amp;"")</f>
        <v/>
      </c>
      <c r="E90" s="46">
        <f>IF($N90="","",INDEX('請求台帳'!$C$5:$C$1004,$N90)&amp;"")</f>
        <v/>
      </c>
      <c r="F90" s="47">
        <f>IF($N90="","",INDEX('請求台帳'!$D$5:$D$1004,$N90)&amp;"")</f>
        <v/>
      </c>
      <c r="G90" s="46">
        <f>IF($N90="","",INDEX('請求台帳'!$A$5:$A$1004,$N90)&amp;"")</f>
        <v/>
      </c>
      <c r="H90" s="45">
        <f>IF($N90="","",INDEX('請求台帳'!$B$5:$B$1004,$N90))</f>
        <v/>
      </c>
      <c r="I90" s="49">
        <f>IF($N90="","",INDEX('請求台帳'!$L$5:$L$1004,$N90))</f>
        <v/>
      </c>
      <c r="J90" s="49">
        <f>IF($N90="","",INDEX('請求台帳'!$P$5:$P$1004,$N90)+INDEX('請求台帳'!$Q$5:$Q$1004,$N90))</f>
        <v/>
      </c>
      <c r="K90" s="49">
        <f>IF($N90="","",INDEX('請求台帳'!$R$5:$R$1004,$N90))</f>
        <v/>
      </c>
      <c r="L90" s="46">
        <f>IF($N90="","",INDEX('請求台帳'!$S$5:$S$1004,$N90)&amp;"")</f>
        <v/>
      </c>
      <c r="M90" s="56" t="n"/>
      <c r="N90" s="75">
        <f>IFERROR(MATCH(SMALL('請求台帳'!$Y$5:$Y$1004,85),'請求台帳'!$Y$5:$Y$1004,0),"")</f>
        <v/>
      </c>
    </row>
    <row r="91" ht="18" customHeight="1">
      <c r="A91" s="46">
        <f>IF($N91="","",86)</f>
        <v/>
      </c>
      <c r="B91" s="45">
        <f>IF($N91="","",INDEX('請求台帳'!$O$5:$O$1004,$N91))</f>
        <v/>
      </c>
      <c r="C91" s="53">
        <f>IF($N91="","",INDEX('請求台帳'!$T$5:$T$1004,$N91))</f>
        <v/>
      </c>
      <c r="D91" s="46">
        <f>IF($N91="","",INDEX('請求台帳'!$U$5:$U$1004,$N91)&amp;"")</f>
        <v/>
      </c>
      <c r="E91" s="46">
        <f>IF($N91="","",INDEX('請求台帳'!$C$5:$C$1004,$N91)&amp;"")</f>
        <v/>
      </c>
      <c r="F91" s="47">
        <f>IF($N91="","",INDEX('請求台帳'!$D$5:$D$1004,$N91)&amp;"")</f>
        <v/>
      </c>
      <c r="G91" s="46">
        <f>IF($N91="","",INDEX('請求台帳'!$A$5:$A$1004,$N91)&amp;"")</f>
        <v/>
      </c>
      <c r="H91" s="45">
        <f>IF($N91="","",INDEX('請求台帳'!$B$5:$B$1004,$N91))</f>
        <v/>
      </c>
      <c r="I91" s="49">
        <f>IF($N91="","",INDEX('請求台帳'!$L$5:$L$1004,$N91))</f>
        <v/>
      </c>
      <c r="J91" s="49">
        <f>IF($N91="","",INDEX('請求台帳'!$P$5:$P$1004,$N91)+INDEX('請求台帳'!$Q$5:$Q$1004,$N91))</f>
        <v/>
      </c>
      <c r="K91" s="49">
        <f>IF($N91="","",INDEX('請求台帳'!$R$5:$R$1004,$N91))</f>
        <v/>
      </c>
      <c r="L91" s="46">
        <f>IF($N91="","",INDEX('請求台帳'!$S$5:$S$1004,$N91)&amp;"")</f>
        <v/>
      </c>
      <c r="M91" s="56" t="n"/>
      <c r="N91" s="75">
        <f>IFERROR(MATCH(SMALL('請求台帳'!$Y$5:$Y$1004,86),'請求台帳'!$Y$5:$Y$1004,0),"")</f>
        <v/>
      </c>
    </row>
    <row r="92" ht="18" customHeight="1">
      <c r="A92" s="46">
        <f>IF($N92="","",87)</f>
        <v/>
      </c>
      <c r="B92" s="45">
        <f>IF($N92="","",INDEX('請求台帳'!$O$5:$O$1004,$N92))</f>
        <v/>
      </c>
      <c r="C92" s="53">
        <f>IF($N92="","",INDEX('請求台帳'!$T$5:$T$1004,$N92))</f>
        <v/>
      </c>
      <c r="D92" s="46">
        <f>IF($N92="","",INDEX('請求台帳'!$U$5:$U$1004,$N92)&amp;"")</f>
        <v/>
      </c>
      <c r="E92" s="46">
        <f>IF($N92="","",INDEX('請求台帳'!$C$5:$C$1004,$N92)&amp;"")</f>
        <v/>
      </c>
      <c r="F92" s="47">
        <f>IF($N92="","",INDEX('請求台帳'!$D$5:$D$1004,$N92)&amp;"")</f>
        <v/>
      </c>
      <c r="G92" s="46">
        <f>IF($N92="","",INDEX('請求台帳'!$A$5:$A$1004,$N92)&amp;"")</f>
        <v/>
      </c>
      <c r="H92" s="45">
        <f>IF($N92="","",INDEX('請求台帳'!$B$5:$B$1004,$N92))</f>
        <v/>
      </c>
      <c r="I92" s="49">
        <f>IF($N92="","",INDEX('請求台帳'!$L$5:$L$1004,$N92))</f>
        <v/>
      </c>
      <c r="J92" s="49">
        <f>IF($N92="","",INDEX('請求台帳'!$P$5:$P$1004,$N92)+INDEX('請求台帳'!$Q$5:$Q$1004,$N92))</f>
        <v/>
      </c>
      <c r="K92" s="49">
        <f>IF($N92="","",INDEX('請求台帳'!$R$5:$R$1004,$N92))</f>
        <v/>
      </c>
      <c r="L92" s="46">
        <f>IF($N92="","",INDEX('請求台帳'!$S$5:$S$1004,$N92)&amp;"")</f>
        <v/>
      </c>
      <c r="M92" s="56" t="n"/>
      <c r="N92" s="75">
        <f>IFERROR(MATCH(SMALL('請求台帳'!$Y$5:$Y$1004,87),'請求台帳'!$Y$5:$Y$1004,0),"")</f>
        <v/>
      </c>
    </row>
    <row r="93" ht="18" customHeight="1">
      <c r="A93" s="46">
        <f>IF($N93="","",88)</f>
        <v/>
      </c>
      <c r="B93" s="45">
        <f>IF($N93="","",INDEX('請求台帳'!$O$5:$O$1004,$N93))</f>
        <v/>
      </c>
      <c r="C93" s="53">
        <f>IF($N93="","",INDEX('請求台帳'!$T$5:$T$1004,$N93))</f>
        <v/>
      </c>
      <c r="D93" s="46">
        <f>IF($N93="","",INDEX('請求台帳'!$U$5:$U$1004,$N93)&amp;"")</f>
        <v/>
      </c>
      <c r="E93" s="46">
        <f>IF($N93="","",INDEX('請求台帳'!$C$5:$C$1004,$N93)&amp;"")</f>
        <v/>
      </c>
      <c r="F93" s="47">
        <f>IF($N93="","",INDEX('請求台帳'!$D$5:$D$1004,$N93)&amp;"")</f>
        <v/>
      </c>
      <c r="G93" s="46">
        <f>IF($N93="","",INDEX('請求台帳'!$A$5:$A$1004,$N93)&amp;"")</f>
        <v/>
      </c>
      <c r="H93" s="45">
        <f>IF($N93="","",INDEX('請求台帳'!$B$5:$B$1004,$N93))</f>
        <v/>
      </c>
      <c r="I93" s="49">
        <f>IF($N93="","",INDEX('請求台帳'!$L$5:$L$1004,$N93))</f>
        <v/>
      </c>
      <c r="J93" s="49">
        <f>IF($N93="","",INDEX('請求台帳'!$P$5:$P$1004,$N93)+INDEX('請求台帳'!$Q$5:$Q$1004,$N93))</f>
        <v/>
      </c>
      <c r="K93" s="49">
        <f>IF($N93="","",INDEX('請求台帳'!$R$5:$R$1004,$N93))</f>
        <v/>
      </c>
      <c r="L93" s="46">
        <f>IF($N93="","",INDEX('請求台帳'!$S$5:$S$1004,$N93)&amp;"")</f>
        <v/>
      </c>
      <c r="M93" s="56" t="n"/>
      <c r="N93" s="75">
        <f>IFERROR(MATCH(SMALL('請求台帳'!$Y$5:$Y$1004,88),'請求台帳'!$Y$5:$Y$1004,0),"")</f>
        <v/>
      </c>
    </row>
    <row r="94" ht="18" customHeight="1">
      <c r="A94" s="46">
        <f>IF($N94="","",89)</f>
        <v/>
      </c>
      <c r="B94" s="45">
        <f>IF($N94="","",INDEX('請求台帳'!$O$5:$O$1004,$N94))</f>
        <v/>
      </c>
      <c r="C94" s="53">
        <f>IF($N94="","",INDEX('請求台帳'!$T$5:$T$1004,$N94))</f>
        <v/>
      </c>
      <c r="D94" s="46">
        <f>IF($N94="","",INDEX('請求台帳'!$U$5:$U$1004,$N94)&amp;"")</f>
        <v/>
      </c>
      <c r="E94" s="46">
        <f>IF($N94="","",INDEX('請求台帳'!$C$5:$C$1004,$N94)&amp;"")</f>
        <v/>
      </c>
      <c r="F94" s="47">
        <f>IF($N94="","",INDEX('請求台帳'!$D$5:$D$1004,$N94)&amp;"")</f>
        <v/>
      </c>
      <c r="G94" s="46">
        <f>IF($N94="","",INDEX('請求台帳'!$A$5:$A$1004,$N94)&amp;"")</f>
        <v/>
      </c>
      <c r="H94" s="45">
        <f>IF($N94="","",INDEX('請求台帳'!$B$5:$B$1004,$N94))</f>
        <v/>
      </c>
      <c r="I94" s="49">
        <f>IF($N94="","",INDEX('請求台帳'!$L$5:$L$1004,$N94))</f>
        <v/>
      </c>
      <c r="J94" s="49">
        <f>IF($N94="","",INDEX('請求台帳'!$P$5:$P$1004,$N94)+INDEX('請求台帳'!$Q$5:$Q$1004,$N94))</f>
        <v/>
      </c>
      <c r="K94" s="49">
        <f>IF($N94="","",INDEX('請求台帳'!$R$5:$R$1004,$N94))</f>
        <v/>
      </c>
      <c r="L94" s="46">
        <f>IF($N94="","",INDEX('請求台帳'!$S$5:$S$1004,$N94)&amp;"")</f>
        <v/>
      </c>
      <c r="M94" s="56" t="n"/>
      <c r="N94" s="75">
        <f>IFERROR(MATCH(SMALL('請求台帳'!$Y$5:$Y$1004,89),'請求台帳'!$Y$5:$Y$1004,0),"")</f>
        <v/>
      </c>
    </row>
    <row r="95" ht="18" customHeight="1">
      <c r="A95" s="46">
        <f>IF($N95="","",90)</f>
        <v/>
      </c>
      <c r="B95" s="45">
        <f>IF($N95="","",INDEX('請求台帳'!$O$5:$O$1004,$N95))</f>
        <v/>
      </c>
      <c r="C95" s="53">
        <f>IF($N95="","",INDEX('請求台帳'!$T$5:$T$1004,$N95))</f>
        <v/>
      </c>
      <c r="D95" s="46">
        <f>IF($N95="","",INDEX('請求台帳'!$U$5:$U$1004,$N95)&amp;"")</f>
        <v/>
      </c>
      <c r="E95" s="46">
        <f>IF($N95="","",INDEX('請求台帳'!$C$5:$C$1004,$N95)&amp;"")</f>
        <v/>
      </c>
      <c r="F95" s="47">
        <f>IF($N95="","",INDEX('請求台帳'!$D$5:$D$1004,$N95)&amp;"")</f>
        <v/>
      </c>
      <c r="G95" s="46">
        <f>IF($N95="","",INDEX('請求台帳'!$A$5:$A$1004,$N95)&amp;"")</f>
        <v/>
      </c>
      <c r="H95" s="45">
        <f>IF($N95="","",INDEX('請求台帳'!$B$5:$B$1004,$N95))</f>
        <v/>
      </c>
      <c r="I95" s="49">
        <f>IF($N95="","",INDEX('請求台帳'!$L$5:$L$1004,$N95))</f>
        <v/>
      </c>
      <c r="J95" s="49">
        <f>IF($N95="","",INDEX('請求台帳'!$P$5:$P$1004,$N95)+INDEX('請求台帳'!$Q$5:$Q$1004,$N95))</f>
        <v/>
      </c>
      <c r="K95" s="49">
        <f>IF($N95="","",INDEX('請求台帳'!$R$5:$R$1004,$N95))</f>
        <v/>
      </c>
      <c r="L95" s="46">
        <f>IF($N95="","",INDEX('請求台帳'!$S$5:$S$1004,$N95)&amp;"")</f>
        <v/>
      </c>
      <c r="M95" s="56" t="n"/>
      <c r="N95" s="75">
        <f>IFERROR(MATCH(SMALL('請求台帳'!$Y$5:$Y$1004,90),'請求台帳'!$Y$5:$Y$1004,0),"")</f>
        <v/>
      </c>
    </row>
    <row r="96" ht="18" customHeight="1">
      <c r="A96" s="46">
        <f>IF($N96="","",91)</f>
        <v/>
      </c>
      <c r="B96" s="45">
        <f>IF($N96="","",INDEX('請求台帳'!$O$5:$O$1004,$N96))</f>
        <v/>
      </c>
      <c r="C96" s="53">
        <f>IF($N96="","",INDEX('請求台帳'!$T$5:$T$1004,$N96))</f>
        <v/>
      </c>
      <c r="D96" s="46">
        <f>IF($N96="","",INDEX('請求台帳'!$U$5:$U$1004,$N96)&amp;"")</f>
        <v/>
      </c>
      <c r="E96" s="46">
        <f>IF($N96="","",INDEX('請求台帳'!$C$5:$C$1004,$N96)&amp;"")</f>
        <v/>
      </c>
      <c r="F96" s="47">
        <f>IF($N96="","",INDEX('請求台帳'!$D$5:$D$1004,$N96)&amp;"")</f>
        <v/>
      </c>
      <c r="G96" s="46">
        <f>IF($N96="","",INDEX('請求台帳'!$A$5:$A$1004,$N96)&amp;"")</f>
        <v/>
      </c>
      <c r="H96" s="45">
        <f>IF($N96="","",INDEX('請求台帳'!$B$5:$B$1004,$N96))</f>
        <v/>
      </c>
      <c r="I96" s="49">
        <f>IF($N96="","",INDEX('請求台帳'!$L$5:$L$1004,$N96))</f>
        <v/>
      </c>
      <c r="J96" s="49">
        <f>IF($N96="","",INDEX('請求台帳'!$P$5:$P$1004,$N96)+INDEX('請求台帳'!$Q$5:$Q$1004,$N96))</f>
        <v/>
      </c>
      <c r="K96" s="49">
        <f>IF($N96="","",INDEX('請求台帳'!$R$5:$R$1004,$N96))</f>
        <v/>
      </c>
      <c r="L96" s="46">
        <f>IF($N96="","",INDEX('請求台帳'!$S$5:$S$1004,$N96)&amp;"")</f>
        <v/>
      </c>
      <c r="M96" s="56" t="n"/>
      <c r="N96" s="75">
        <f>IFERROR(MATCH(SMALL('請求台帳'!$Y$5:$Y$1004,91),'請求台帳'!$Y$5:$Y$1004,0),"")</f>
        <v/>
      </c>
    </row>
    <row r="97" ht="18" customHeight="1">
      <c r="A97" s="46">
        <f>IF($N97="","",92)</f>
        <v/>
      </c>
      <c r="B97" s="45">
        <f>IF($N97="","",INDEX('請求台帳'!$O$5:$O$1004,$N97))</f>
        <v/>
      </c>
      <c r="C97" s="53">
        <f>IF($N97="","",INDEX('請求台帳'!$T$5:$T$1004,$N97))</f>
        <v/>
      </c>
      <c r="D97" s="46">
        <f>IF($N97="","",INDEX('請求台帳'!$U$5:$U$1004,$N97)&amp;"")</f>
        <v/>
      </c>
      <c r="E97" s="46">
        <f>IF($N97="","",INDEX('請求台帳'!$C$5:$C$1004,$N97)&amp;"")</f>
        <v/>
      </c>
      <c r="F97" s="47">
        <f>IF($N97="","",INDEX('請求台帳'!$D$5:$D$1004,$N97)&amp;"")</f>
        <v/>
      </c>
      <c r="G97" s="46">
        <f>IF($N97="","",INDEX('請求台帳'!$A$5:$A$1004,$N97)&amp;"")</f>
        <v/>
      </c>
      <c r="H97" s="45">
        <f>IF($N97="","",INDEX('請求台帳'!$B$5:$B$1004,$N97))</f>
        <v/>
      </c>
      <c r="I97" s="49">
        <f>IF($N97="","",INDEX('請求台帳'!$L$5:$L$1004,$N97))</f>
        <v/>
      </c>
      <c r="J97" s="49">
        <f>IF($N97="","",INDEX('請求台帳'!$P$5:$P$1004,$N97)+INDEX('請求台帳'!$Q$5:$Q$1004,$N97))</f>
        <v/>
      </c>
      <c r="K97" s="49">
        <f>IF($N97="","",INDEX('請求台帳'!$R$5:$R$1004,$N97))</f>
        <v/>
      </c>
      <c r="L97" s="46">
        <f>IF($N97="","",INDEX('請求台帳'!$S$5:$S$1004,$N97)&amp;"")</f>
        <v/>
      </c>
      <c r="M97" s="56" t="n"/>
      <c r="N97" s="75">
        <f>IFERROR(MATCH(SMALL('請求台帳'!$Y$5:$Y$1004,92),'請求台帳'!$Y$5:$Y$1004,0),"")</f>
        <v/>
      </c>
    </row>
    <row r="98" ht="18" customHeight="1">
      <c r="A98" s="46">
        <f>IF($N98="","",93)</f>
        <v/>
      </c>
      <c r="B98" s="45">
        <f>IF($N98="","",INDEX('請求台帳'!$O$5:$O$1004,$N98))</f>
        <v/>
      </c>
      <c r="C98" s="53">
        <f>IF($N98="","",INDEX('請求台帳'!$T$5:$T$1004,$N98))</f>
        <v/>
      </c>
      <c r="D98" s="46">
        <f>IF($N98="","",INDEX('請求台帳'!$U$5:$U$1004,$N98)&amp;"")</f>
        <v/>
      </c>
      <c r="E98" s="46">
        <f>IF($N98="","",INDEX('請求台帳'!$C$5:$C$1004,$N98)&amp;"")</f>
        <v/>
      </c>
      <c r="F98" s="47">
        <f>IF($N98="","",INDEX('請求台帳'!$D$5:$D$1004,$N98)&amp;"")</f>
        <v/>
      </c>
      <c r="G98" s="46">
        <f>IF($N98="","",INDEX('請求台帳'!$A$5:$A$1004,$N98)&amp;"")</f>
        <v/>
      </c>
      <c r="H98" s="45">
        <f>IF($N98="","",INDEX('請求台帳'!$B$5:$B$1004,$N98))</f>
        <v/>
      </c>
      <c r="I98" s="49">
        <f>IF($N98="","",INDEX('請求台帳'!$L$5:$L$1004,$N98))</f>
        <v/>
      </c>
      <c r="J98" s="49">
        <f>IF($N98="","",INDEX('請求台帳'!$P$5:$P$1004,$N98)+INDEX('請求台帳'!$Q$5:$Q$1004,$N98))</f>
        <v/>
      </c>
      <c r="K98" s="49">
        <f>IF($N98="","",INDEX('請求台帳'!$R$5:$R$1004,$N98))</f>
        <v/>
      </c>
      <c r="L98" s="46">
        <f>IF($N98="","",INDEX('請求台帳'!$S$5:$S$1004,$N98)&amp;"")</f>
        <v/>
      </c>
      <c r="M98" s="56" t="n"/>
      <c r="N98" s="75">
        <f>IFERROR(MATCH(SMALL('請求台帳'!$Y$5:$Y$1004,93),'請求台帳'!$Y$5:$Y$1004,0),"")</f>
        <v/>
      </c>
    </row>
    <row r="99" ht="18" customHeight="1">
      <c r="A99" s="46">
        <f>IF($N99="","",94)</f>
        <v/>
      </c>
      <c r="B99" s="45">
        <f>IF($N99="","",INDEX('請求台帳'!$O$5:$O$1004,$N99))</f>
        <v/>
      </c>
      <c r="C99" s="53">
        <f>IF($N99="","",INDEX('請求台帳'!$T$5:$T$1004,$N99))</f>
        <v/>
      </c>
      <c r="D99" s="46">
        <f>IF($N99="","",INDEX('請求台帳'!$U$5:$U$1004,$N99)&amp;"")</f>
        <v/>
      </c>
      <c r="E99" s="46">
        <f>IF($N99="","",INDEX('請求台帳'!$C$5:$C$1004,$N99)&amp;"")</f>
        <v/>
      </c>
      <c r="F99" s="47">
        <f>IF($N99="","",INDEX('請求台帳'!$D$5:$D$1004,$N99)&amp;"")</f>
        <v/>
      </c>
      <c r="G99" s="46">
        <f>IF($N99="","",INDEX('請求台帳'!$A$5:$A$1004,$N99)&amp;"")</f>
        <v/>
      </c>
      <c r="H99" s="45">
        <f>IF($N99="","",INDEX('請求台帳'!$B$5:$B$1004,$N99))</f>
        <v/>
      </c>
      <c r="I99" s="49">
        <f>IF($N99="","",INDEX('請求台帳'!$L$5:$L$1004,$N99))</f>
        <v/>
      </c>
      <c r="J99" s="49">
        <f>IF($N99="","",INDEX('請求台帳'!$P$5:$P$1004,$N99)+INDEX('請求台帳'!$Q$5:$Q$1004,$N99))</f>
        <v/>
      </c>
      <c r="K99" s="49">
        <f>IF($N99="","",INDEX('請求台帳'!$R$5:$R$1004,$N99))</f>
        <v/>
      </c>
      <c r="L99" s="46">
        <f>IF($N99="","",INDEX('請求台帳'!$S$5:$S$1004,$N99)&amp;"")</f>
        <v/>
      </c>
      <c r="M99" s="56" t="n"/>
      <c r="N99" s="75">
        <f>IFERROR(MATCH(SMALL('請求台帳'!$Y$5:$Y$1004,94),'請求台帳'!$Y$5:$Y$1004,0),"")</f>
        <v/>
      </c>
    </row>
    <row r="100" ht="18" customHeight="1">
      <c r="A100" s="46">
        <f>IF($N100="","",95)</f>
        <v/>
      </c>
      <c r="B100" s="45">
        <f>IF($N100="","",INDEX('請求台帳'!$O$5:$O$1004,$N100))</f>
        <v/>
      </c>
      <c r="C100" s="53">
        <f>IF($N100="","",INDEX('請求台帳'!$T$5:$T$1004,$N100))</f>
        <v/>
      </c>
      <c r="D100" s="46">
        <f>IF($N100="","",INDEX('請求台帳'!$U$5:$U$1004,$N100)&amp;"")</f>
        <v/>
      </c>
      <c r="E100" s="46">
        <f>IF($N100="","",INDEX('請求台帳'!$C$5:$C$1004,$N100)&amp;"")</f>
        <v/>
      </c>
      <c r="F100" s="47">
        <f>IF($N100="","",INDEX('請求台帳'!$D$5:$D$1004,$N100)&amp;"")</f>
        <v/>
      </c>
      <c r="G100" s="46">
        <f>IF($N100="","",INDEX('請求台帳'!$A$5:$A$1004,$N100)&amp;"")</f>
        <v/>
      </c>
      <c r="H100" s="45">
        <f>IF($N100="","",INDEX('請求台帳'!$B$5:$B$1004,$N100))</f>
        <v/>
      </c>
      <c r="I100" s="49">
        <f>IF($N100="","",INDEX('請求台帳'!$L$5:$L$1004,$N100))</f>
        <v/>
      </c>
      <c r="J100" s="49">
        <f>IF($N100="","",INDEX('請求台帳'!$P$5:$P$1004,$N100)+INDEX('請求台帳'!$Q$5:$Q$1004,$N100))</f>
        <v/>
      </c>
      <c r="K100" s="49">
        <f>IF($N100="","",INDEX('請求台帳'!$R$5:$R$1004,$N100))</f>
        <v/>
      </c>
      <c r="L100" s="46">
        <f>IF($N100="","",INDEX('請求台帳'!$S$5:$S$1004,$N100)&amp;"")</f>
        <v/>
      </c>
      <c r="M100" s="56" t="n"/>
      <c r="N100" s="75">
        <f>IFERROR(MATCH(SMALL('請求台帳'!$Y$5:$Y$1004,95),'請求台帳'!$Y$5:$Y$1004,0),"")</f>
        <v/>
      </c>
    </row>
    <row r="101" ht="18" customHeight="1">
      <c r="A101" s="46">
        <f>IF($N101="","",96)</f>
        <v/>
      </c>
      <c r="B101" s="45">
        <f>IF($N101="","",INDEX('請求台帳'!$O$5:$O$1004,$N101))</f>
        <v/>
      </c>
      <c r="C101" s="53">
        <f>IF($N101="","",INDEX('請求台帳'!$T$5:$T$1004,$N101))</f>
        <v/>
      </c>
      <c r="D101" s="46">
        <f>IF($N101="","",INDEX('請求台帳'!$U$5:$U$1004,$N101)&amp;"")</f>
        <v/>
      </c>
      <c r="E101" s="46">
        <f>IF($N101="","",INDEX('請求台帳'!$C$5:$C$1004,$N101)&amp;"")</f>
        <v/>
      </c>
      <c r="F101" s="47">
        <f>IF($N101="","",INDEX('請求台帳'!$D$5:$D$1004,$N101)&amp;"")</f>
        <v/>
      </c>
      <c r="G101" s="46">
        <f>IF($N101="","",INDEX('請求台帳'!$A$5:$A$1004,$N101)&amp;"")</f>
        <v/>
      </c>
      <c r="H101" s="45">
        <f>IF($N101="","",INDEX('請求台帳'!$B$5:$B$1004,$N101))</f>
        <v/>
      </c>
      <c r="I101" s="49">
        <f>IF($N101="","",INDEX('請求台帳'!$L$5:$L$1004,$N101))</f>
        <v/>
      </c>
      <c r="J101" s="49">
        <f>IF($N101="","",INDEX('請求台帳'!$P$5:$P$1004,$N101)+INDEX('請求台帳'!$Q$5:$Q$1004,$N101))</f>
        <v/>
      </c>
      <c r="K101" s="49">
        <f>IF($N101="","",INDEX('請求台帳'!$R$5:$R$1004,$N101))</f>
        <v/>
      </c>
      <c r="L101" s="46">
        <f>IF($N101="","",INDEX('請求台帳'!$S$5:$S$1004,$N101)&amp;"")</f>
        <v/>
      </c>
      <c r="M101" s="56" t="n"/>
      <c r="N101" s="75">
        <f>IFERROR(MATCH(SMALL('請求台帳'!$Y$5:$Y$1004,96),'請求台帳'!$Y$5:$Y$1004,0),"")</f>
        <v/>
      </c>
    </row>
    <row r="102" ht="18" customHeight="1">
      <c r="A102" s="46">
        <f>IF($N102="","",97)</f>
        <v/>
      </c>
      <c r="B102" s="45">
        <f>IF($N102="","",INDEX('請求台帳'!$O$5:$O$1004,$N102))</f>
        <v/>
      </c>
      <c r="C102" s="53">
        <f>IF($N102="","",INDEX('請求台帳'!$T$5:$T$1004,$N102))</f>
        <v/>
      </c>
      <c r="D102" s="46">
        <f>IF($N102="","",INDEX('請求台帳'!$U$5:$U$1004,$N102)&amp;"")</f>
        <v/>
      </c>
      <c r="E102" s="46">
        <f>IF($N102="","",INDEX('請求台帳'!$C$5:$C$1004,$N102)&amp;"")</f>
        <v/>
      </c>
      <c r="F102" s="47">
        <f>IF($N102="","",INDEX('請求台帳'!$D$5:$D$1004,$N102)&amp;"")</f>
        <v/>
      </c>
      <c r="G102" s="46">
        <f>IF($N102="","",INDEX('請求台帳'!$A$5:$A$1004,$N102)&amp;"")</f>
        <v/>
      </c>
      <c r="H102" s="45">
        <f>IF($N102="","",INDEX('請求台帳'!$B$5:$B$1004,$N102))</f>
        <v/>
      </c>
      <c r="I102" s="49">
        <f>IF($N102="","",INDEX('請求台帳'!$L$5:$L$1004,$N102))</f>
        <v/>
      </c>
      <c r="J102" s="49">
        <f>IF($N102="","",INDEX('請求台帳'!$P$5:$P$1004,$N102)+INDEX('請求台帳'!$Q$5:$Q$1004,$N102))</f>
        <v/>
      </c>
      <c r="K102" s="49">
        <f>IF($N102="","",INDEX('請求台帳'!$R$5:$R$1004,$N102))</f>
        <v/>
      </c>
      <c r="L102" s="46">
        <f>IF($N102="","",INDEX('請求台帳'!$S$5:$S$1004,$N102)&amp;"")</f>
        <v/>
      </c>
      <c r="M102" s="56" t="n"/>
      <c r="N102" s="75">
        <f>IFERROR(MATCH(SMALL('請求台帳'!$Y$5:$Y$1004,97),'請求台帳'!$Y$5:$Y$1004,0),"")</f>
        <v/>
      </c>
    </row>
    <row r="103" ht="18" customHeight="1">
      <c r="A103" s="46">
        <f>IF($N103="","",98)</f>
        <v/>
      </c>
      <c r="B103" s="45">
        <f>IF($N103="","",INDEX('請求台帳'!$O$5:$O$1004,$N103))</f>
        <v/>
      </c>
      <c r="C103" s="53">
        <f>IF($N103="","",INDEX('請求台帳'!$T$5:$T$1004,$N103))</f>
        <v/>
      </c>
      <c r="D103" s="46">
        <f>IF($N103="","",INDEX('請求台帳'!$U$5:$U$1004,$N103)&amp;"")</f>
        <v/>
      </c>
      <c r="E103" s="46">
        <f>IF($N103="","",INDEX('請求台帳'!$C$5:$C$1004,$N103)&amp;"")</f>
        <v/>
      </c>
      <c r="F103" s="47">
        <f>IF($N103="","",INDEX('請求台帳'!$D$5:$D$1004,$N103)&amp;"")</f>
        <v/>
      </c>
      <c r="G103" s="46">
        <f>IF($N103="","",INDEX('請求台帳'!$A$5:$A$1004,$N103)&amp;"")</f>
        <v/>
      </c>
      <c r="H103" s="45">
        <f>IF($N103="","",INDEX('請求台帳'!$B$5:$B$1004,$N103))</f>
        <v/>
      </c>
      <c r="I103" s="49">
        <f>IF($N103="","",INDEX('請求台帳'!$L$5:$L$1004,$N103))</f>
        <v/>
      </c>
      <c r="J103" s="49">
        <f>IF($N103="","",INDEX('請求台帳'!$P$5:$P$1004,$N103)+INDEX('請求台帳'!$Q$5:$Q$1004,$N103))</f>
        <v/>
      </c>
      <c r="K103" s="49">
        <f>IF($N103="","",INDEX('請求台帳'!$R$5:$R$1004,$N103))</f>
        <v/>
      </c>
      <c r="L103" s="46">
        <f>IF($N103="","",INDEX('請求台帳'!$S$5:$S$1004,$N103)&amp;"")</f>
        <v/>
      </c>
      <c r="M103" s="56" t="n"/>
      <c r="N103" s="75">
        <f>IFERROR(MATCH(SMALL('請求台帳'!$Y$5:$Y$1004,98),'請求台帳'!$Y$5:$Y$1004,0),"")</f>
        <v/>
      </c>
    </row>
    <row r="104" ht="18" customHeight="1">
      <c r="A104" s="46">
        <f>IF($N104="","",99)</f>
        <v/>
      </c>
      <c r="B104" s="45">
        <f>IF($N104="","",INDEX('請求台帳'!$O$5:$O$1004,$N104))</f>
        <v/>
      </c>
      <c r="C104" s="53">
        <f>IF($N104="","",INDEX('請求台帳'!$T$5:$T$1004,$N104))</f>
        <v/>
      </c>
      <c r="D104" s="46">
        <f>IF($N104="","",INDEX('請求台帳'!$U$5:$U$1004,$N104)&amp;"")</f>
        <v/>
      </c>
      <c r="E104" s="46">
        <f>IF($N104="","",INDEX('請求台帳'!$C$5:$C$1004,$N104)&amp;"")</f>
        <v/>
      </c>
      <c r="F104" s="47">
        <f>IF($N104="","",INDEX('請求台帳'!$D$5:$D$1004,$N104)&amp;"")</f>
        <v/>
      </c>
      <c r="G104" s="46">
        <f>IF($N104="","",INDEX('請求台帳'!$A$5:$A$1004,$N104)&amp;"")</f>
        <v/>
      </c>
      <c r="H104" s="45">
        <f>IF($N104="","",INDEX('請求台帳'!$B$5:$B$1004,$N104))</f>
        <v/>
      </c>
      <c r="I104" s="49">
        <f>IF($N104="","",INDEX('請求台帳'!$L$5:$L$1004,$N104))</f>
        <v/>
      </c>
      <c r="J104" s="49">
        <f>IF($N104="","",INDEX('請求台帳'!$P$5:$P$1004,$N104)+INDEX('請求台帳'!$Q$5:$Q$1004,$N104))</f>
        <v/>
      </c>
      <c r="K104" s="49">
        <f>IF($N104="","",INDEX('請求台帳'!$R$5:$R$1004,$N104))</f>
        <v/>
      </c>
      <c r="L104" s="46">
        <f>IF($N104="","",INDEX('請求台帳'!$S$5:$S$1004,$N104)&amp;"")</f>
        <v/>
      </c>
      <c r="M104" s="56" t="n"/>
      <c r="N104" s="75">
        <f>IFERROR(MATCH(SMALL('請求台帳'!$Y$5:$Y$1004,99),'請求台帳'!$Y$5:$Y$1004,0),"")</f>
        <v/>
      </c>
    </row>
    <row r="105" ht="18" customHeight="1">
      <c r="A105" s="46">
        <f>IF($N105="","",100)</f>
        <v/>
      </c>
      <c r="B105" s="45">
        <f>IF($N105="","",INDEX('請求台帳'!$O$5:$O$1004,$N105))</f>
        <v/>
      </c>
      <c r="C105" s="53">
        <f>IF($N105="","",INDEX('請求台帳'!$T$5:$T$1004,$N105))</f>
        <v/>
      </c>
      <c r="D105" s="46">
        <f>IF($N105="","",INDEX('請求台帳'!$U$5:$U$1004,$N105)&amp;"")</f>
        <v/>
      </c>
      <c r="E105" s="46">
        <f>IF($N105="","",INDEX('請求台帳'!$C$5:$C$1004,$N105)&amp;"")</f>
        <v/>
      </c>
      <c r="F105" s="47">
        <f>IF($N105="","",INDEX('請求台帳'!$D$5:$D$1004,$N105)&amp;"")</f>
        <v/>
      </c>
      <c r="G105" s="46">
        <f>IF($N105="","",INDEX('請求台帳'!$A$5:$A$1004,$N105)&amp;"")</f>
        <v/>
      </c>
      <c r="H105" s="45">
        <f>IF($N105="","",INDEX('請求台帳'!$B$5:$B$1004,$N105))</f>
        <v/>
      </c>
      <c r="I105" s="49">
        <f>IF($N105="","",INDEX('請求台帳'!$L$5:$L$1004,$N105))</f>
        <v/>
      </c>
      <c r="J105" s="49">
        <f>IF($N105="","",INDEX('請求台帳'!$P$5:$P$1004,$N105)+INDEX('請求台帳'!$Q$5:$Q$1004,$N105))</f>
        <v/>
      </c>
      <c r="K105" s="49">
        <f>IF($N105="","",INDEX('請求台帳'!$R$5:$R$1004,$N105))</f>
        <v/>
      </c>
      <c r="L105" s="46">
        <f>IF($N105="","",INDEX('請求台帳'!$S$5:$S$1004,$N105)&amp;"")</f>
        <v/>
      </c>
      <c r="M105" s="56" t="n"/>
      <c r="N105" s="75">
        <f>IFERROR(MATCH(SMALL('請求台帳'!$Y$5:$Y$1004,100),'請求台帳'!$Y$5:$Y$1004,0),"")</f>
        <v/>
      </c>
    </row>
  </sheetData>
  <mergeCells count="5">
    <mergeCell ref="A2:B2"/>
    <mergeCell ref="C2:D2"/>
    <mergeCell ref="A1:L1"/>
    <mergeCell ref="E2:L2"/>
    <mergeCell ref="A3:L3"/>
  </mergeCells>
  <conditionalFormatting sqref="A6:L105">
    <cfRule type="expression" priority="1" dxfId="0">
      <formula>AND(ISNUMBER($C6),$C6&gt;'設定'!$B$13)</formula>
    </cfRule>
    <cfRule type="expression" priority="2" dxfId="1">
      <formula>ISNUMBER($C6)</formula>
    </cfRule>
  </conditionalFormatting>
  <pageMargins left="0.4" right="0.4" top="0.45" bottom="0.45" header="0.2" footer="0.2"/>
  <pageSetup orientation="landscape" paperSize="9" fitToHeight="0" fitToWidth="1"/>
</worksheet>
</file>

<file path=xl/worksheets/sheet9.xml><?xml version="1.0" encoding="utf-8"?>
<worksheet xmlns="http://schemas.openxmlformats.org/spreadsheetml/2006/main">
  <sheetPr>
    <tabColor rgb="001B3A5C"/>
    <outlinePr summaryBelow="1" summaryRight="1"/>
    <pageSetUpPr fitToPage="1"/>
  </sheetPr>
  <dimension ref="A1:M54"/>
  <sheetViews>
    <sheetView showGridLines="0" tabSelected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10" customWidth="1" min="2" max="2"/>
    <col width="26" customWidth="1" min="3" max="3"/>
    <col width="7" customWidth="1" min="4" max="4"/>
    <col width="8" customWidth="1" min="5" max="5"/>
    <col width="7" customWidth="1" min="6" max="6"/>
    <col width="18" customWidth="1" min="7" max="7"/>
    <col width="30" customWidth="1" min="8" max="8"/>
    <col width="14" customWidth="1" min="9" max="9"/>
    <col width="14" customWidth="1" min="10" max="10"/>
    <col width="12" customWidth="1" min="11" max="11"/>
    <col width="14" customWidth="1" min="12" max="12"/>
    <col width="14" customWidth="1" min="13" max="13"/>
  </cols>
  <sheetData>
    <row r="1" ht="26" customHeight="1">
      <c r="A1" s="55" t="inlineStr">
        <is>
          <t>仕入先（50件まで）</t>
        </is>
      </c>
      <c r="B1" s="56" t="n"/>
      <c r="C1" s="56" t="n"/>
      <c r="D1" s="56" t="n"/>
      <c r="E1" s="56" t="n"/>
      <c r="F1" s="56" t="n"/>
      <c r="G1" s="56" t="n"/>
      <c r="H1" s="56" t="n"/>
      <c r="I1" s="56" t="n"/>
      <c r="J1" s="56" t="n"/>
      <c r="K1" s="56" t="n"/>
      <c r="L1" s="56" t="n"/>
      <c r="M1" s="56" t="n"/>
    </row>
    <row r="2" ht="30" customHeight="1">
      <c r="A2" s="59" t="inlineStr">
        <is>
          <t>締日・支払日は 1〜31 の数か「末」、支払サイトは 0＝当月・1＝翌月・2＝翌々月 の数で入れます。その月に無い日（2月30日など）は月末として計算します。コードは K01 のように英字から始めると、ほかのシートで選びやすくなります。</t>
        </is>
      </c>
      <c r="B2" s="56" t="n"/>
      <c r="C2" s="56" t="n"/>
      <c r="D2" s="56" t="n"/>
      <c r="E2" s="56" t="n"/>
      <c r="F2" s="56" t="n"/>
      <c r="G2" s="56" t="n"/>
      <c r="H2" s="56" t="n"/>
      <c r="I2" s="56" t="n"/>
      <c r="J2" s="56" t="n"/>
      <c r="K2" s="56" t="n"/>
      <c r="L2" s="56" t="n"/>
      <c r="M2" s="56" t="n"/>
    </row>
    <row r="3">
      <c r="A3" s="56" t="n"/>
      <c r="B3" s="56" t="n"/>
      <c r="C3" s="56" t="n"/>
      <c r="D3" s="56" t="n"/>
      <c r="E3" s="56" t="n"/>
      <c r="F3" s="56" t="n"/>
      <c r="G3" s="56" t="n"/>
      <c r="H3" s="56" t="n"/>
      <c r="I3" s="56" t="n"/>
      <c r="J3" s="56" t="n"/>
      <c r="K3" s="56" t="n"/>
      <c r="L3" s="56" t="n"/>
      <c r="M3" s="56" t="n"/>
    </row>
    <row r="4" ht="34" customHeight="1">
      <c r="A4" s="15" t="inlineStr">
        <is>
          <t>No.</t>
        </is>
      </c>
      <c r="B4" s="15" t="inlineStr">
        <is>
          <t>仕入先コード</t>
        </is>
      </c>
      <c r="C4" s="15" t="inlineStr">
        <is>
          <t>仕入先名</t>
        </is>
      </c>
      <c r="D4" s="15" t="inlineStr">
        <is>
          <t>締日</t>
        </is>
      </c>
      <c r="E4" s="15" t="inlineStr">
        <is>
          <t>支払サイト（か月）</t>
        </is>
      </c>
      <c r="F4" s="15" t="inlineStr">
        <is>
          <t>支払日</t>
        </is>
      </c>
      <c r="G4" s="16" t="inlineStr">
        <is>
          <t>支払条件</t>
        </is>
      </c>
      <c r="H4" s="15" t="inlineStr">
        <is>
          <t>振込先・メモ</t>
        </is>
      </c>
      <c r="I4" s="16" t="inlineStr">
        <is>
          <t>受け取った請求の累計</t>
        </is>
      </c>
      <c r="J4" s="16" t="inlineStr">
        <is>
          <t>支払の累計</t>
        </is>
      </c>
      <c r="K4" s="16" t="inlineStr">
        <is>
          <t>値引・相殺の累計</t>
        </is>
      </c>
      <c r="L4" s="16" t="inlineStr">
        <is>
          <t>買掛金残高</t>
        </is>
      </c>
      <c r="M4" s="16" t="inlineStr">
        <is>
          <t>うち支払予定日を過ぎた額</t>
        </is>
      </c>
    </row>
    <row r="5" ht="18" customHeight="1">
      <c r="A5" s="17" t="n">
        <v>1</v>
      </c>
      <c r="B5" s="18" t="n"/>
      <c r="C5" s="19" t="n"/>
      <c r="D5" s="18" t="n"/>
      <c r="E5" s="18" t="n"/>
      <c r="F5" s="18" t="n"/>
      <c r="G5" s="20">
        <f>IF($B5="","",IF(OR($D5="",$E5="",$F5=""),"（締日・サイト・支払日を入れる）",IF($D5="末","末",$D5&amp;"日")&amp;"締め "&amp;IF(N($E5)=0,"当月",IF(N($E5)=1,"翌月",IF(N($E5)=2,"翌々月",$E5&amp;"か月後")))&amp;IF($F5="末","末",$F5&amp;"日")))</f>
        <v/>
      </c>
      <c r="H5" s="19" t="n"/>
      <c r="I5" s="28">
        <f>IF($B5="","",SUMIF('仕入請求台帳'!$B$5:$B$504,$B5,'仕入請求台帳'!$G$5:$G$504))</f>
        <v/>
      </c>
      <c r="J5" s="28">
        <f>IF($B5="","",SUMIF('仕入請求台帳'!$B$5:$B$504,$B5,'仕入請求台帳'!$L$5:$L$504))</f>
        <v/>
      </c>
      <c r="K5" s="28">
        <f>IF($B5="","",SUMIF('仕入請求台帳'!$B$5:$B$504,$B5,'仕入請求台帳'!$M$5:$M$504))</f>
        <v/>
      </c>
      <c r="L5" s="28">
        <f>IF($B5="","",$I5-$J5-$K5)</f>
        <v/>
      </c>
      <c r="M5" s="28">
        <f>IF($B5="","",SUMIFS('仕入請求台帳'!$N$5:$N$504,'仕入請求台帳'!$B$5:$B$504,$B5,'仕入請求台帳'!$J$5:$J$504,"&lt;"&amp;'設定'!$B$7,'仕入請求台帳'!$N$5:$N$504,"&gt;0"))</f>
        <v/>
      </c>
    </row>
    <row r="6" ht="18" customHeight="1">
      <c r="A6" s="17" t="n">
        <v>2</v>
      </c>
      <c r="B6" s="18" t="n"/>
      <c r="C6" s="19" t="n"/>
      <c r="D6" s="18" t="n"/>
      <c r="E6" s="18" t="n"/>
      <c r="F6" s="18" t="n"/>
      <c r="G6" s="20">
        <f>IF($B6="","",IF(OR($D6="",$E6="",$F6=""),"（締日・サイト・支払日を入れる）",IF($D6="末","末",$D6&amp;"日")&amp;"締め "&amp;IF(N($E6)=0,"当月",IF(N($E6)=1,"翌月",IF(N($E6)=2,"翌々月",$E6&amp;"か月後")))&amp;IF($F6="末","末",$F6&amp;"日")))</f>
        <v/>
      </c>
      <c r="H6" s="19" t="n"/>
      <c r="I6" s="28">
        <f>IF($B6="","",SUMIF('仕入請求台帳'!$B$5:$B$504,$B6,'仕入請求台帳'!$G$5:$G$504))</f>
        <v/>
      </c>
      <c r="J6" s="28">
        <f>IF($B6="","",SUMIF('仕入請求台帳'!$B$5:$B$504,$B6,'仕入請求台帳'!$L$5:$L$504))</f>
        <v/>
      </c>
      <c r="K6" s="28">
        <f>IF($B6="","",SUMIF('仕入請求台帳'!$B$5:$B$504,$B6,'仕入請求台帳'!$M$5:$M$504))</f>
        <v/>
      </c>
      <c r="L6" s="28">
        <f>IF($B6="","",$I6-$J6-$K6)</f>
        <v/>
      </c>
      <c r="M6" s="28">
        <f>IF($B6="","",SUMIFS('仕入請求台帳'!$N$5:$N$504,'仕入請求台帳'!$B$5:$B$504,$B6,'仕入請求台帳'!$J$5:$J$504,"&lt;"&amp;'設定'!$B$7,'仕入請求台帳'!$N$5:$N$504,"&gt;0"))</f>
        <v/>
      </c>
    </row>
    <row r="7" ht="18" customHeight="1">
      <c r="A7" s="17" t="n">
        <v>3</v>
      </c>
      <c r="B7" s="18" t="n"/>
      <c r="C7" s="19" t="n"/>
      <c r="D7" s="18" t="n"/>
      <c r="E7" s="18" t="n"/>
      <c r="F7" s="18" t="n"/>
      <c r="G7" s="20">
        <f>IF($B7="","",IF(OR($D7="",$E7="",$F7=""),"（締日・サイト・支払日を入れる）",IF($D7="末","末",$D7&amp;"日")&amp;"締め "&amp;IF(N($E7)=0,"当月",IF(N($E7)=1,"翌月",IF(N($E7)=2,"翌々月",$E7&amp;"か月後")))&amp;IF($F7="末","末",$F7&amp;"日")))</f>
        <v/>
      </c>
      <c r="H7" s="19" t="n"/>
      <c r="I7" s="28">
        <f>IF($B7="","",SUMIF('仕入請求台帳'!$B$5:$B$504,$B7,'仕入請求台帳'!$G$5:$G$504))</f>
        <v/>
      </c>
      <c r="J7" s="28">
        <f>IF($B7="","",SUMIF('仕入請求台帳'!$B$5:$B$504,$B7,'仕入請求台帳'!$L$5:$L$504))</f>
        <v/>
      </c>
      <c r="K7" s="28">
        <f>IF($B7="","",SUMIF('仕入請求台帳'!$B$5:$B$504,$B7,'仕入請求台帳'!$M$5:$M$504))</f>
        <v/>
      </c>
      <c r="L7" s="28">
        <f>IF($B7="","",$I7-$J7-$K7)</f>
        <v/>
      </c>
      <c r="M7" s="28">
        <f>IF($B7="","",SUMIFS('仕入請求台帳'!$N$5:$N$504,'仕入請求台帳'!$B$5:$B$504,$B7,'仕入請求台帳'!$J$5:$J$504,"&lt;"&amp;'設定'!$B$7,'仕入請求台帳'!$N$5:$N$504,"&gt;0"))</f>
        <v/>
      </c>
    </row>
    <row r="8" ht="18" customHeight="1">
      <c r="A8" s="17" t="n">
        <v>4</v>
      </c>
      <c r="B8" s="18" t="n"/>
      <c r="C8" s="19" t="n"/>
      <c r="D8" s="18" t="n"/>
      <c r="E8" s="18" t="n"/>
      <c r="F8" s="18" t="n"/>
      <c r="G8" s="20">
        <f>IF($B8="","",IF(OR($D8="",$E8="",$F8=""),"（締日・サイト・支払日を入れる）",IF($D8="末","末",$D8&amp;"日")&amp;"締め "&amp;IF(N($E8)=0,"当月",IF(N($E8)=1,"翌月",IF(N($E8)=2,"翌々月",$E8&amp;"か月後")))&amp;IF($F8="末","末",$F8&amp;"日")))</f>
        <v/>
      </c>
      <c r="H8" s="19" t="n"/>
      <c r="I8" s="28">
        <f>IF($B8="","",SUMIF('仕入請求台帳'!$B$5:$B$504,$B8,'仕入請求台帳'!$G$5:$G$504))</f>
        <v/>
      </c>
      <c r="J8" s="28">
        <f>IF($B8="","",SUMIF('仕入請求台帳'!$B$5:$B$504,$B8,'仕入請求台帳'!$L$5:$L$504))</f>
        <v/>
      </c>
      <c r="K8" s="28">
        <f>IF($B8="","",SUMIF('仕入請求台帳'!$B$5:$B$504,$B8,'仕入請求台帳'!$M$5:$M$504))</f>
        <v/>
      </c>
      <c r="L8" s="28">
        <f>IF($B8="","",$I8-$J8-$K8)</f>
        <v/>
      </c>
      <c r="M8" s="28">
        <f>IF($B8="","",SUMIFS('仕入請求台帳'!$N$5:$N$504,'仕入請求台帳'!$B$5:$B$504,$B8,'仕入請求台帳'!$J$5:$J$504,"&lt;"&amp;'設定'!$B$7,'仕入請求台帳'!$N$5:$N$504,"&gt;0"))</f>
        <v/>
      </c>
    </row>
    <row r="9" ht="18" customHeight="1">
      <c r="A9" s="17" t="n">
        <v>5</v>
      </c>
      <c r="B9" s="18" t="n"/>
      <c r="C9" s="19" t="n"/>
      <c r="D9" s="18" t="n"/>
      <c r="E9" s="18" t="n"/>
      <c r="F9" s="18" t="n"/>
      <c r="G9" s="20">
        <f>IF($B9="","",IF(OR($D9="",$E9="",$F9=""),"（締日・サイト・支払日を入れる）",IF($D9="末","末",$D9&amp;"日")&amp;"締め "&amp;IF(N($E9)=0,"当月",IF(N($E9)=1,"翌月",IF(N($E9)=2,"翌々月",$E9&amp;"か月後")))&amp;IF($F9="末","末",$F9&amp;"日")))</f>
        <v/>
      </c>
      <c r="H9" s="19" t="n"/>
      <c r="I9" s="28">
        <f>IF($B9="","",SUMIF('仕入請求台帳'!$B$5:$B$504,$B9,'仕入請求台帳'!$G$5:$G$504))</f>
        <v/>
      </c>
      <c r="J9" s="28">
        <f>IF($B9="","",SUMIF('仕入請求台帳'!$B$5:$B$504,$B9,'仕入請求台帳'!$L$5:$L$504))</f>
        <v/>
      </c>
      <c r="K9" s="28">
        <f>IF($B9="","",SUMIF('仕入請求台帳'!$B$5:$B$504,$B9,'仕入請求台帳'!$M$5:$M$504))</f>
        <v/>
      </c>
      <c r="L9" s="28">
        <f>IF($B9="","",$I9-$J9-$K9)</f>
        <v/>
      </c>
      <c r="M9" s="28">
        <f>IF($B9="","",SUMIFS('仕入請求台帳'!$N$5:$N$504,'仕入請求台帳'!$B$5:$B$504,$B9,'仕入請求台帳'!$J$5:$J$504,"&lt;"&amp;'設定'!$B$7,'仕入請求台帳'!$N$5:$N$504,"&gt;0"))</f>
        <v/>
      </c>
    </row>
    <row r="10" ht="18" customHeight="1">
      <c r="A10" s="17" t="n">
        <v>6</v>
      </c>
      <c r="B10" s="18" t="n"/>
      <c r="C10" s="19" t="n"/>
      <c r="D10" s="18" t="n"/>
      <c r="E10" s="18" t="n"/>
      <c r="F10" s="18" t="n"/>
      <c r="G10" s="20">
        <f>IF($B10="","",IF(OR($D10="",$E10="",$F10=""),"（締日・サイト・支払日を入れる）",IF($D10="末","末",$D10&amp;"日")&amp;"締め "&amp;IF(N($E10)=0,"当月",IF(N($E10)=1,"翌月",IF(N($E10)=2,"翌々月",$E10&amp;"か月後")))&amp;IF($F10="末","末",$F10&amp;"日")))</f>
        <v/>
      </c>
      <c r="H10" s="19" t="n"/>
      <c r="I10" s="28">
        <f>IF($B10="","",SUMIF('仕入請求台帳'!$B$5:$B$504,$B10,'仕入請求台帳'!$G$5:$G$504))</f>
        <v/>
      </c>
      <c r="J10" s="28">
        <f>IF($B10="","",SUMIF('仕入請求台帳'!$B$5:$B$504,$B10,'仕入請求台帳'!$L$5:$L$504))</f>
        <v/>
      </c>
      <c r="K10" s="28">
        <f>IF($B10="","",SUMIF('仕入請求台帳'!$B$5:$B$504,$B10,'仕入請求台帳'!$M$5:$M$504))</f>
        <v/>
      </c>
      <c r="L10" s="28">
        <f>IF($B10="","",$I10-$J10-$K10)</f>
        <v/>
      </c>
      <c r="M10" s="28">
        <f>IF($B10="","",SUMIFS('仕入請求台帳'!$N$5:$N$504,'仕入請求台帳'!$B$5:$B$504,$B10,'仕入請求台帳'!$J$5:$J$504,"&lt;"&amp;'設定'!$B$7,'仕入請求台帳'!$N$5:$N$504,"&gt;0"))</f>
        <v/>
      </c>
    </row>
    <row r="11" ht="18" customHeight="1">
      <c r="A11" s="17" t="n">
        <v>7</v>
      </c>
      <c r="B11" s="18" t="n"/>
      <c r="C11" s="19" t="n"/>
      <c r="D11" s="18" t="n"/>
      <c r="E11" s="18" t="n"/>
      <c r="F11" s="18" t="n"/>
      <c r="G11" s="20">
        <f>IF($B11="","",IF(OR($D11="",$E11="",$F11=""),"（締日・サイト・支払日を入れる）",IF($D11="末","末",$D11&amp;"日")&amp;"締め "&amp;IF(N($E11)=0,"当月",IF(N($E11)=1,"翌月",IF(N($E11)=2,"翌々月",$E11&amp;"か月後")))&amp;IF($F11="末","末",$F11&amp;"日")))</f>
        <v/>
      </c>
      <c r="H11" s="19" t="n"/>
      <c r="I11" s="28">
        <f>IF($B11="","",SUMIF('仕入請求台帳'!$B$5:$B$504,$B11,'仕入請求台帳'!$G$5:$G$504))</f>
        <v/>
      </c>
      <c r="J11" s="28">
        <f>IF($B11="","",SUMIF('仕入請求台帳'!$B$5:$B$504,$B11,'仕入請求台帳'!$L$5:$L$504))</f>
        <v/>
      </c>
      <c r="K11" s="28">
        <f>IF($B11="","",SUMIF('仕入請求台帳'!$B$5:$B$504,$B11,'仕入請求台帳'!$M$5:$M$504))</f>
        <v/>
      </c>
      <c r="L11" s="28">
        <f>IF($B11="","",$I11-$J11-$K11)</f>
        <v/>
      </c>
      <c r="M11" s="28">
        <f>IF($B11="","",SUMIFS('仕入請求台帳'!$N$5:$N$504,'仕入請求台帳'!$B$5:$B$504,$B11,'仕入請求台帳'!$J$5:$J$504,"&lt;"&amp;'設定'!$B$7,'仕入請求台帳'!$N$5:$N$504,"&gt;0"))</f>
        <v/>
      </c>
    </row>
    <row r="12" ht="18" customHeight="1">
      <c r="A12" s="17" t="n">
        <v>8</v>
      </c>
      <c r="B12" s="18" t="n"/>
      <c r="C12" s="19" t="n"/>
      <c r="D12" s="18" t="n"/>
      <c r="E12" s="18" t="n"/>
      <c r="F12" s="18" t="n"/>
      <c r="G12" s="20">
        <f>IF($B12="","",IF(OR($D12="",$E12="",$F12=""),"（締日・サイト・支払日を入れる）",IF($D12="末","末",$D12&amp;"日")&amp;"締め "&amp;IF(N($E12)=0,"当月",IF(N($E12)=1,"翌月",IF(N($E12)=2,"翌々月",$E12&amp;"か月後")))&amp;IF($F12="末","末",$F12&amp;"日")))</f>
        <v/>
      </c>
      <c r="H12" s="19" t="n"/>
      <c r="I12" s="28">
        <f>IF($B12="","",SUMIF('仕入請求台帳'!$B$5:$B$504,$B12,'仕入請求台帳'!$G$5:$G$504))</f>
        <v/>
      </c>
      <c r="J12" s="28">
        <f>IF($B12="","",SUMIF('仕入請求台帳'!$B$5:$B$504,$B12,'仕入請求台帳'!$L$5:$L$504))</f>
        <v/>
      </c>
      <c r="K12" s="28">
        <f>IF($B12="","",SUMIF('仕入請求台帳'!$B$5:$B$504,$B12,'仕入請求台帳'!$M$5:$M$504))</f>
        <v/>
      </c>
      <c r="L12" s="28">
        <f>IF($B12="","",$I12-$J12-$K12)</f>
        <v/>
      </c>
      <c r="M12" s="28">
        <f>IF($B12="","",SUMIFS('仕入請求台帳'!$N$5:$N$504,'仕入請求台帳'!$B$5:$B$504,$B12,'仕入請求台帳'!$J$5:$J$504,"&lt;"&amp;'設定'!$B$7,'仕入請求台帳'!$N$5:$N$504,"&gt;0"))</f>
        <v/>
      </c>
    </row>
    <row r="13" ht="18" customHeight="1">
      <c r="A13" s="17" t="n">
        <v>9</v>
      </c>
      <c r="B13" s="18" t="n"/>
      <c r="C13" s="19" t="n"/>
      <c r="D13" s="18" t="n"/>
      <c r="E13" s="18" t="n"/>
      <c r="F13" s="18" t="n"/>
      <c r="G13" s="20">
        <f>IF($B13="","",IF(OR($D13="",$E13="",$F13=""),"（締日・サイト・支払日を入れる）",IF($D13="末","末",$D13&amp;"日")&amp;"締め "&amp;IF(N($E13)=0,"当月",IF(N($E13)=1,"翌月",IF(N($E13)=2,"翌々月",$E13&amp;"か月後")))&amp;IF($F13="末","末",$F13&amp;"日")))</f>
        <v/>
      </c>
      <c r="H13" s="19" t="n"/>
      <c r="I13" s="28">
        <f>IF($B13="","",SUMIF('仕入請求台帳'!$B$5:$B$504,$B13,'仕入請求台帳'!$G$5:$G$504))</f>
        <v/>
      </c>
      <c r="J13" s="28">
        <f>IF($B13="","",SUMIF('仕入請求台帳'!$B$5:$B$504,$B13,'仕入請求台帳'!$L$5:$L$504))</f>
        <v/>
      </c>
      <c r="K13" s="28">
        <f>IF($B13="","",SUMIF('仕入請求台帳'!$B$5:$B$504,$B13,'仕入請求台帳'!$M$5:$M$504))</f>
        <v/>
      </c>
      <c r="L13" s="28">
        <f>IF($B13="","",$I13-$J13-$K13)</f>
        <v/>
      </c>
      <c r="M13" s="28">
        <f>IF($B13="","",SUMIFS('仕入請求台帳'!$N$5:$N$504,'仕入請求台帳'!$B$5:$B$504,$B13,'仕入請求台帳'!$J$5:$J$504,"&lt;"&amp;'設定'!$B$7,'仕入請求台帳'!$N$5:$N$504,"&gt;0"))</f>
        <v/>
      </c>
    </row>
    <row r="14" ht="18" customHeight="1">
      <c r="A14" s="17" t="n">
        <v>10</v>
      </c>
      <c r="B14" s="18" t="n"/>
      <c r="C14" s="19" t="n"/>
      <c r="D14" s="18" t="n"/>
      <c r="E14" s="18" t="n"/>
      <c r="F14" s="18" t="n"/>
      <c r="G14" s="20">
        <f>IF($B14="","",IF(OR($D14="",$E14="",$F14=""),"（締日・サイト・支払日を入れる）",IF($D14="末","末",$D14&amp;"日")&amp;"締め "&amp;IF(N($E14)=0,"当月",IF(N($E14)=1,"翌月",IF(N($E14)=2,"翌々月",$E14&amp;"か月後")))&amp;IF($F14="末","末",$F14&amp;"日")))</f>
        <v/>
      </c>
      <c r="H14" s="19" t="n"/>
      <c r="I14" s="28">
        <f>IF($B14="","",SUMIF('仕入請求台帳'!$B$5:$B$504,$B14,'仕入請求台帳'!$G$5:$G$504))</f>
        <v/>
      </c>
      <c r="J14" s="28">
        <f>IF($B14="","",SUMIF('仕入請求台帳'!$B$5:$B$504,$B14,'仕入請求台帳'!$L$5:$L$504))</f>
        <v/>
      </c>
      <c r="K14" s="28">
        <f>IF($B14="","",SUMIF('仕入請求台帳'!$B$5:$B$504,$B14,'仕入請求台帳'!$M$5:$M$504))</f>
        <v/>
      </c>
      <c r="L14" s="28">
        <f>IF($B14="","",$I14-$J14-$K14)</f>
        <v/>
      </c>
      <c r="M14" s="28">
        <f>IF($B14="","",SUMIFS('仕入請求台帳'!$N$5:$N$504,'仕入請求台帳'!$B$5:$B$504,$B14,'仕入請求台帳'!$J$5:$J$504,"&lt;"&amp;'設定'!$B$7,'仕入請求台帳'!$N$5:$N$504,"&gt;0"))</f>
        <v/>
      </c>
    </row>
    <row r="15" ht="18" customHeight="1">
      <c r="A15" s="17" t="n">
        <v>11</v>
      </c>
      <c r="B15" s="18" t="n"/>
      <c r="C15" s="19" t="n"/>
      <c r="D15" s="18" t="n"/>
      <c r="E15" s="18" t="n"/>
      <c r="F15" s="18" t="n"/>
      <c r="G15" s="20">
        <f>IF($B15="","",IF(OR($D15="",$E15="",$F15=""),"（締日・サイト・支払日を入れる）",IF($D15="末","末",$D15&amp;"日")&amp;"締め "&amp;IF(N($E15)=0,"当月",IF(N($E15)=1,"翌月",IF(N($E15)=2,"翌々月",$E15&amp;"か月後")))&amp;IF($F15="末","末",$F15&amp;"日")))</f>
        <v/>
      </c>
      <c r="H15" s="19" t="n"/>
      <c r="I15" s="28">
        <f>IF($B15="","",SUMIF('仕入請求台帳'!$B$5:$B$504,$B15,'仕入請求台帳'!$G$5:$G$504))</f>
        <v/>
      </c>
      <c r="J15" s="28">
        <f>IF($B15="","",SUMIF('仕入請求台帳'!$B$5:$B$504,$B15,'仕入請求台帳'!$L$5:$L$504))</f>
        <v/>
      </c>
      <c r="K15" s="28">
        <f>IF($B15="","",SUMIF('仕入請求台帳'!$B$5:$B$504,$B15,'仕入請求台帳'!$M$5:$M$504))</f>
        <v/>
      </c>
      <c r="L15" s="28">
        <f>IF($B15="","",$I15-$J15-$K15)</f>
        <v/>
      </c>
      <c r="M15" s="28">
        <f>IF($B15="","",SUMIFS('仕入請求台帳'!$N$5:$N$504,'仕入請求台帳'!$B$5:$B$504,$B15,'仕入請求台帳'!$J$5:$J$504,"&lt;"&amp;'設定'!$B$7,'仕入請求台帳'!$N$5:$N$504,"&gt;0"))</f>
        <v/>
      </c>
    </row>
    <row r="16" ht="18" customHeight="1">
      <c r="A16" s="17" t="n">
        <v>12</v>
      </c>
      <c r="B16" s="18" t="n"/>
      <c r="C16" s="19" t="n"/>
      <c r="D16" s="18" t="n"/>
      <c r="E16" s="18" t="n"/>
      <c r="F16" s="18" t="n"/>
      <c r="G16" s="20">
        <f>IF($B16="","",IF(OR($D16="",$E16="",$F16=""),"（締日・サイト・支払日を入れる）",IF($D16="末","末",$D16&amp;"日")&amp;"締め "&amp;IF(N($E16)=0,"当月",IF(N($E16)=1,"翌月",IF(N($E16)=2,"翌々月",$E16&amp;"か月後")))&amp;IF($F16="末","末",$F16&amp;"日")))</f>
        <v/>
      </c>
      <c r="H16" s="19" t="n"/>
      <c r="I16" s="28">
        <f>IF($B16="","",SUMIF('仕入請求台帳'!$B$5:$B$504,$B16,'仕入請求台帳'!$G$5:$G$504))</f>
        <v/>
      </c>
      <c r="J16" s="28">
        <f>IF($B16="","",SUMIF('仕入請求台帳'!$B$5:$B$504,$B16,'仕入請求台帳'!$L$5:$L$504))</f>
        <v/>
      </c>
      <c r="K16" s="28">
        <f>IF($B16="","",SUMIF('仕入請求台帳'!$B$5:$B$504,$B16,'仕入請求台帳'!$M$5:$M$504))</f>
        <v/>
      </c>
      <c r="L16" s="28">
        <f>IF($B16="","",$I16-$J16-$K16)</f>
        <v/>
      </c>
      <c r="M16" s="28">
        <f>IF($B16="","",SUMIFS('仕入請求台帳'!$N$5:$N$504,'仕入請求台帳'!$B$5:$B$504,$B16,'仕入請求台帳'!$J$5:$J$504,"&lt;"&amp;'設定'!$B$7,'仕入請求台帳'!$N$5:$N$504,"&gt;0"))</f>
        <v/>
      </c>
    </row>
    <row r="17" ht="18" customHeight="1">
      <c r="A17" s="17" t="n">
        <v>13</v>
      </c>
      <c r="B17" s="18" t="n"/>
      <c r="C17" s="19" t="n"/>
      <c r="D17" s="18" t="n"/>
      <c r="E17" s="18" t="n"/>
      <c r="F17" s="18" t="n"/>
      <c r="G17" s="20">
        <f>IF($B17="","",IF(OR($D17="",$E17="",$F17=""),"（締日・サイト・支払日を入れる）",IF($D17="末","末",$D17&amp;"日")&amp;"締め "&amp;IF(N($E17)=0,"当月",IF(N($E17)=1,"翌月",IF(N($E17)=2,"翌々月",$E17&amp;"か月後")))&amp;IF($F17="末","末",$F17&amp;"日")))</f>
        <v/>
      </c>
      <c r="H17" s="19" t="n"/>
      <c r="I17" s="28">
        <f>IF($B17="","",SUMIF('仕入請求台帳'!$B$5:$B$504,$B17,'仕入請求台帳'!$G$5:$G$504))</f>
        <v/>
      </c>
      <c r="J17" s="28">
        <f>IF($B17="","",SUMIF('仕入請求台帳'!$B$5:$B$504,$B17,'仕入請求台帳'!$L$5:$L$504))</f>
        <v/>
      </c>
      <c r="K17" s="28">
        <f>IF($B17="","",SUMIF('仕入請求台帳'!$B$5:$B$504,$B17,'仕入請求台帳'!$M$5:$M$504))</f>
        <v/>
      </c>
      <c r="L17" s="28">
        <f>IF($B17="","",$I17-$J17-$K17)</f>
        <v/>
      </c>
      <c r="M17" s="28">
        <f>IF($B17="","",SUMIFS('仕入請求台帳'!$N$5:$N$504,'仕入請求台帳'!$B$5:$B$504,$B17,'仕入請求台帳'!$J$5:$J$504,"&lt;"&amp;'設定'!$B$7,'仕入請求台帳'!$N$5:$N$504,"&gt;0"))</f>
        <v/>
      </c>
    </row>
    <row r="18" ht="18" customHeight="1">
      <c r="A18" s="17" t="n">
        <v>14</v>
      </c>
      <c r="B18" s="18" t="n"/>
      <c r="C18" s="19" t="n"/>
      <c r="D18" s="18" t="n"/>
      <c r="E18" s="18" t="n"/>
      <c r="F18" s="18" t="n"/>
      <c r="G18" s="20">
        <f>IF($B18="","",IF(OR($D18="",$E18="",$F18=""),"（締日・サイト・支払日を入れる）",IF($D18="末","末",$D18&amp;"日")&amp;"締め "&amp;IF(N($E18)=0,"当月",IF(N($E18)=1,"翌月",IF(N($E18)=2,"翌々月",$E18&amp;"か月後")))&amp;IF($F18="末","末",$F18&amp;"日")))</f>
        <v/>
      </c>
      <c r="H18" s="19" t="n"/>
      <c r="I18" s="28">
        <f>IF($B18="","",SUMIF('仕入請求台帳'!$B$5:$B$504,$B18,'仕入請求台帳'!$G$5:$G$504))</f>
        <v/>
      </c>
      <c r="J18" s="28">
        <f>IF($B18="","",SUMIF('仕入請求台帳'!$B$5:$B$504,$B18,'仕入請求台帳'!$L$5:$L$504))</f>
        <v/>
      </c>
      <c r="K18" s="28">
        <f>IF($B18="","",SUMIF('仕入請求台帳'!$B$5:$B$504,$B18,'仕入請求台帳'!$M$5:$M$504))</f>
        <v/>
      </c>
      <c r="L18" s="28">
        <f>IF($B18="","",$I18-$J18-$K18)</f>
        <v/>
      </c>
      <c r="M18" s="28">
        <f>IF($B18="","",SUMIFS('仕入請求台帳'!$N$5:$N$504,'仕入請求台帳'!$B$5:$B$504,$B18,'仕入請求台帳'!$J$5:$J$504,"&lt;"&amp;'設定'!$B$7,'仕入請求台帳'!$N$5:$N$504,"&gt;0"))</f>
        <v/>
      </c>
    </row>
    <row r="19" ht="18" customHeight="1">
      <c r="A19" s="17" t="n">
        <v>15</v>
      </c>
      <c r="B19" s="18" t="n"/>
      <c r="C19" s="19" t="n"/>
      <c r="D19" s="18" t="n"/>
      <c r="E19" s="18" t="n"/>
      <c r="F19" s="18" t="n"/>
      <c r="G19" s="20">
        <f>IF($B19="","",IF(OR($D19="",$E19="",$F19=""),"（締日・サイト・支払日を入れる）",IF($D19="末","末",$D19&amp;"日")&amp;"締め "&amp;IF(N($E19)=0,"当月",IF(N($E19)=1,"翌月",IF(N($E19)=2,"翌々月",$E19&amp;"か月後")))&amp;IF($F19="末","末",$F19&amp;"日")))</f>
        <v/>
      </c>
      <c r="H19" s="19" t="n"/>
      <c r="I19" s="28">
        <f>IF($B19="","",SUMIF('仕入請求台帳'!$B$5:$B$504,$B19,'仕入請求台帳'!$G$5:$G$504))</f>
        <v/>
      </c>
      <c r="J19" s="28">
        <f>IF($B19="","",SUMIF('仕入請求台帳'!$B$5:$B$504,$B19,'仕入請求台帳'!$L$5:$L$504))</f>
        <v/>
      </c>
      <c r="K19" s="28">
        <f>IF($B19="","",SUMIF('仕入請求台帳'!$B$5:$B$504,$B19,'仕入請求台帳'!$M$5:$M$504))</f>
        <v/>
      </c>
      <c r="L19" s="28">
        <f>IF($B19="","",$I19-$J19-$K19)</f>
        <v/>
      </c>
      <c r="M19" s="28">
        <f>IF($B19="","",SUMIFS('仕入請求台帳'!$N$5:$N$504,'仕入請求台帳'!$B$5:$B$504,$B19,'仕入請求台帳'!$J$5:$J$504,"&lt;"&amp;'設定'!$B$7,'仕入請求台帳'!$N$5:$N$504,"&gt;0"))</f>
        <v/>
      </c>
    </row>
    <row r="20" ht="18" customHeight="1">
      <c r="A20" s="17" t="n">
        <v>16</v>
      </c>
      <c r="B20" s="18" t="n"/>
      <c r="C20" s="19" t="n"/>
      <c r="D20" s="18" t="n"/>
      <c r="E20" s="18" t="n"/>
      <c r="F20" s="18" t="n"/>
      <c r="G20" s="20">
        <f>IF($B20="","",IF(OR($D20="",$E20="",$F20=""),"（締日・サイト・支払日を入れる）",IF($D20="末","末",$D20&amp;"日")&amp;"締め "&amp;IF(N($E20)=0,"当月",IF(N($E20)=1,"翌月",IF(N($E20)=2,"翌々月",$E20&amp;"か月後")))&amp;IF($F20="末","末",$F20&amp;"日")))</f>
        <v/>
      </c>
      <c r="H20" s="19" t="n"/>
      <c r="I20" s="28">
        <f>IF($B20="","",SUMIF('仕入請求台帳'!$B$5:$B$504,$B20,'仕入請求台帳'!$G$5:$G$504))</f>
        <v/>
      </c>
      <c r="J20" s="28">
        <f>IF($B20="","",SUMIF('仕入請求台帳'!$B$5:$B$504,$B20,'仕入請求台帳'!$L$5:$L$504))</f>
        <v/>
      </c>
      <c r="K20" s="28">
        <f>IF($B20="","",SUMIF('仕入請求台帳'!$B$5:$B$504,$B20,'仕入請求台帳'!$M$5:$M$504))</f>
        <v/>
      </c>
      <c r="L20" s="28">
        <f>IF($B20="","",$I20-$J20-$K20)</f>
        <v/>
      </c>
      <c r="M20" s="28">
        <f>IF($B20="","",SUMIFS('仕入請求台帳'!$N$5:$N$504,'仕入請求台帳'!$B$5:$B$504,$B20,'仕入請求台帳'!$J$5:$J$504,"&lt;"&amp;'設定'!$B$7,'仕入請求台帳'!$N$5:$N$504,"&gt;0"))</f>
        <v/>
      </c>
    </row>
    <row r="21" ht="18" customHeight="1">
      <c r="A21" s="17" t="n">
        <v>17</v>
      </c>
      <c r="B21" s="18" t="n"/>
      <c r="C21" s="19" t="n"/>
      <c r="D21" s="18" t="n"/>
      <c r="E21" s="18" t="n"/>
      <c r="F21" s="18" t="n"/>
      <c r="G21" s="20">
        <f>IF($B21="","",IF(OR($D21="",$E21="",$F21=""),"（締日・サイト・支払日を入れる）",IF($D21="末","末",$D21&amp;"日")&amp;"締め "&amp;IF(N($E21)=0,"当月",IF(N($E21)=1,"翌月",IF(N($E21)=2,"翌々月",$E21&amp;"か月後")))&amp;IF($F21="末","末",$F21&amp;"日")))</f>
        <v/>
      </c>
      <c r="H21" s="19" t="n"/>
      <c r="I21" s="28">
        <f>IF($B21="","",SUMIF('仕入請求台帳'!$B$5:$B$504,$B21,'仕入請求台帳'!$G$5:$G$504))</f>
        <v/>
      </c>
      <c r="J21" s="28">
        <f>IF($B21="","",SUMIF('仕入請求台帳'!$B$5:$B$504,$B21,'仕入請求台帳'!$L$5:$L$504))</f>
        <v/>
      </c>
      <c r="K21" s="28">
        <f>IF($B21="","",SUMIF('仕入請求台帳'!$B$5:$B$504,$B21,'仕入請求台帳'!$M$5:$M$504))</f>
        <v/>
      </c>
      <c r="L21" s="28">
        <f>IF($B21="","",$I21-$J21-$K21)</f>
        <v/>
      </c>
      <c r="M21" s="28">
        <f>IF($B21="","",SUMIFS('仕入請求台帳'!$N$5:$N$504,'仕入請求台帳'!$B$5:$B$504,$B21,'仕入請求台帳'!$J$5:$J$504,"&lt;"&amp;'設定'!$B$7,'仕入請求台帳'!$N$5:$N$504,"&gt;0"))</f>
        <v/>
      </c>
    </row>
    <row r="22" ht="18" customHeight="1">
      <c r="A22" s="17" t="n">
        <v>18</v>
      </c>
      <c r="B22" s="18" t="n"/>
      <c r="C22" s="19" t="n"/>
      <c r="D22" s="18" t="n"/>
      <c r="E22" s="18" t="n"/>
      <c r="F22" s="18" t="n"/>
      <c r="G22" s="20">
        <f>IF($B22="","",IF(OR($D22="",$E22="",$F22=""),"（締日・サイト・支払日を入れる）",IF($D22="末","末",$D22&amp;"日")&amp;"締め "&amp;IF(N($E22)=0,"当月",IF(N($E22)=1,"翌月",IF(N($E22)=2,"翌々月",$E22&amp;"か月後")))&amp;IF($F22="末","末",$F22&amp;"日")))</f>
        <v/>
      </c>
      <c r="H22" s="19" t="n"/>
      <c r="I22" s="28">
        <f>IF($B22="","",SUMIF('仕入請求台帳'!$B$5:$B$504,$B22,'仕入請求台帳'!$G$5:$G$504))</f>
        <v/>
      </c>
      <c r="J22" s="28">
        <f>IF($B22="","",SUMIF('仕入請求台帳'!$B$5:$B$504,$B22,'仕入請求台帳'!$L$5:$L$504))</f>
        <v/>
      </c>
      <c r="K22" s="28">
        <f>IF($B22="","",SUMIF('仕入請求台帳'!$B$5:$B$504,$B22,'仕入請求台帳'!$M$5:$M$504))</f>
        <v/>
      </c>
      <c r="L22" s="28">
        <f>IF($B22="","",$I22-$J22-$K22)</f>
        <v/>
      </c>
      <c r="M22" s="28">
        <f>IF($B22="","",SUMIFS('仕入請求台帳'!$N$5:$N$504,'仕入請求台帳'!$B$5:$B$504,$B22,'仕入請求台帳'!$J$5:$J$504,"&lt;"&amp;'設定'!$B$7,'仕入請求台帳'!$N$5:$N$504,"&gt;0"))</f>
        <v/>
      </c>
    </row>
    <row r="23" ht="18" customHeight="1">
      <c r="A23" s="17" t="n">
        <v>19</v>
      </c>
      <c r="B23" s="18" t="n"/>
      <c r="C23" s="19" t="n"/>
      <c r="D23" s="18" t="n"/>
      <c r="E23" s="18" t="n"/>
      <c r="F23" s="18" t="n"/>
      <c r="G23" s="20">
        <f>IF($B23="","",IF(OR($D23="",$E23="",$F23=""),"（締日・サイト・支払日を入れる）",IF($D23="末","末",$D23&amp;"日")&amp;"締め "&amp;IF(N($E23)=0,"当月",IF(N($E23)=1,"翌月",IF(N($E23)=2,"翌々月",$E23&amp;"か月後")))&amp;IF($F23="末","末",$F23&amp;"日")))</f>
        <v/>
      </c>
      <c r="H23" s="19" t="n"/>
      <c r="I23" s="28">
        <f>IF($B23="","",SUMIF('仕入請求台帳'!$B$5:$B$504,$B23,'仕入請求台帳'!$G$5:$G$504))</f>
        <v/>
      </c>
      <c r="J23" s="28">
        <f>IF($B23="","",SUMIF('仕入請求台帳'!$B$5:$B$504,$B23,'仕入請求台帳'!$L$5:$L$504))</f>
        <v/>
      </c>
      <c r="K23" s="28">
        <f>IF($B23="","",SUMIF('仕入請求台帳'!$B$5:$B$504,$B23,'仕入請求台帳'!$M$5:$M$504))</f>
        <v/>
      </c>
      <c r="L23" s="28">
        <f>IF($B23="","",$I23-$J23-$K23)</f>
        <v/>
      </c>
      <c r="M23" s="28">
        <f>IF($B23="","",SUMIFS('仕入請求台帳'!$N$5:$N$504,'仕入請求台帳'!$B$5:$B$504,$B23,'仕入請求台帳'!$J$5:$J$504,"&lt;"&amp;'設定'!$B$7,'仕入請求台帳'!$N$5:$N$504,"&gt;0"))</f>
        <v/>
      </c>
    </row>
    <row r="24" ht="18" customHeight="1">
      <c r="A24" s="17" t="n">
        <v>20</v>
      </c>
      <c r="B24" s="18" t="n"/>
      <c r="C24" s="19" t="n"/>
      <c r="D24" s="18" t="n"/>
      <c r="E24" s="18" t="n"/>
      <c r="F24" s="18" t="n"/>
      <c r="G24" s="20">
        <f>IF($B24="","",IF(OR($D24="",$E24="",$F24=""),"（締日・サイト・支払日を入れる）",IF($D24="末","末",$D24&amp;"日")&amp;"締め "&amp;IF(N($E24)=0,"当月",IF(N($E24)=1,"翌月",IF(N($E24)=2,"翌々月",$E24&amp;"か月後")))&amp;IF($F24="末","末",$F24&amp;"日")))</f>
        <v/>
      </c>
      <c r="H24" s="19" t="n"/>
      <c r="I24" s="28">
        <f>IF($B24="","",SUMIF('仕入請求台帳'!$B$5:$B$504,$B24,'仕入請求台帳'!$G$5:$G$504))</f>
        <v/>
      </c>
      <c r="J24" s="28">
        <f>IF($B24="","",SUMIF('仕入請求台帳'!$B$5:$B$504,$B24,'仕入請求台帳'!$L$5:$L$504))</f>
        <v/>
      </c>
      <c r="K24" s="28">
        <f>IF($B24="","",SUMIF('仕入請求台帳'!$B$5:$B$504,$B24,'仕入請求台帳'!$M$5:$M$504))</f>
        <v/>
      </c>
      <c r="L24" s="28">
        <f>IF($B24="","",$I24-$J24-$K24)</f>
        <v/>
      </c>
      <c r="M24" s="28">
        <f>IF($B24="","",SUMIFS('仕入請求台帳'!$N$5:$N$504,'仕入請求台帳'!$B$5:$B$504,$B24,'仕入請求台帳'!$J$5:$J$504,"&lt;"&amp;'設定'!$B$7,'仕入請求台帳'!$N$5:$N$504,"&gt;0"))</f>
        <v/>
      </c>
    </row>
    <row r="25" ht="18" customHeight="1">
      <c r="A25" s="17" t="n">
        <v>21</v>
      </c>
      <c r="B25" s="18" t="n"/>
      <c r="C25" s="19" t="n"/>
      <c r="D25" s="18" t="n"/>
      <c r="E25" s="18" t="n"/>
      <c r="F25" s="18" t="n"/>
      <c r="G25" s="20">
        <f>IF($B25="","",IF(OR($D25="",$E25="",$F25=""),"（締日・サイト・支払日を入れる）",IF($D25="末","末",$D25&amp;"日")&amp;"締め "&amp;IF(N($E25)=0,"当月",IF(N($E25)=1,"翌月",IF(N($E25)=2,"翌々月",$E25&amp;"か月後")))&amp;IF($F25="末","末",$F25&amp;"日")))</f>
        <v/>
      </c>
      <c r="H25" s="19" t="n"/>
      <c r="I25" s="28">
        <f>IF($B25="","",SUMIF('仕入請求台帳'!$B$5:$B$504,$B25,'仕入請求台帳'!$G$5:$G$504))</f>
        <v/>
      </c>
      <c r="J25" s="28">
        <f>IF($B25="","",SUMIF('仕入請求台帳'!$B$5:$B$504,$B25,'仕入請求台帳'!$L$5:$L$504))</f>
        <v/>
      </c>
      <c r="K25" s="28">
        <f>IF($B25="","",SUMIF('仕入請求台帳'!$B$5:$B$504,$B25,'仕入請求台帳'!$M$5:$M$504))</f>
        <v/>
      </c>
      <c r="L25" s="28">
        <f>IF($B25="","",$I25-$J25-$K25)</f>
        <v/>
      </c>
      <c r="M25" s="28">
        <f>IF($B25="","",SUMIFS('仕入請求台帳'!$N$5:$N$504,'仕入請求台帳'!$B$5:$B$504,$B25,'仕入請求台帳'!$J$5:$J$504,"&lt;"&amp;'設定'!$B$7,'仕入請求台帳'!$N$5:$N$504,"&gt;0"))</f>
        <v/>
      </c>
    </row>
    <row r="26" ht="18" customHeight="1">
      <c r="A26" s="17" t="n">
        <v>22</v>
      </c>
      <c r="B26" s="18" t="n"/>
      <c r="C26" s="19" t="n"/>
      <c r="D26" s="18" t="n"/>
      <c r="E26" s="18" t="n"/>
      <c r="F26" s="18" t="n"/>
      <c r="G26" s="20">
        <f>IF($B26="","",IF(OR($D26="",$E26="",$F26=""),"（締日・サイト・支払日を入れる）",IF($D26="末","末",$D26&amp;"日")&amp;"締め "&amp;IF(N($E26)=0,"当月",IF(N($E26)=1,"翌月",IF(N($E26)=2,"翌々月",$E26&amp;"か月後")))&amp;IF($F26="末","末",$F26&amp;"日")))</f>
        <v/>
      </c>
      <c r="H26" s="19" t="n"/>
      <c r="I26" s="28">
        <f>IF($B26="","",SUMIF('仕入請求台帳'!$B$5:$B$504,$B26,'仕入請求台帳'!$G$5:$G$504))</f>
        <v/>
      </c>
      <c r="J26" s="28">
        <f>IF($B26="","",SUMIF('仕入請求台帳'!$B$5:$B$504,$B26,'仕入請求台帳'!$L$5:$L$504))</f>
        <v/>
      </c>
      <c r="K26" s="28">
        <f>IF($B26="","",SUMIF('仕入請求台帳'!$B$5:$B$504,$B26,'仕入請求台帳'!$M$5:$M$504))</f>
        <v/>
      </c>
      <c r="L26" s="28">
        <f>IF($B26="","",$I26-$J26-$K26)</f>
        <v/>
      </c>
      <c r="M26" s="28">
        <f>IF($B26="","",SUMIFS('仕入請求台帳'!$N$5:$N$504,'仕入請求台帳'!$B$5:$B$504,$B26,'仕入請求台帳'!$J$5:$J$504,"&lt;"&amp;'設定'!$B$7,'仕入請求台帳'!$N$5:$N$504,"&gt;0"))</f>
        <v/>
      </c>
    </row>
    <row r="27" ht="18" customHeight="1">
      <c r="A27" s="17" t="n">
        <v>23</v>
      </c>
      <c r="B27" s="18" t="n"/>
      <c r="C27" s="19" t="n"/>
      <c r="D27" s="18" t="n"/>
      <c r="E27" s="18" t="n"/>
      <c r="F27" s="18" t="n"/>
      <c r="G27" s="20">
        <f>IF($B27="","",IF(OR($D27="",$E27="",$F27=""),"（締日・サイト・支払日を入れる）",IF($D27="末","末",$D27&amp;"日")&amp;"締め "&amp;IF(N($E27)=0,"当月",IF(N($E27)=1,"翌月",IF(N($E27)=2,"翌々月",$E27&amp;"か月後")))&amp;IF($F27="末","末",$F27&amp;"日")))</f>
        <v/>
      </c>
      <c r="H27" s="19" t="n"/>
      <c r="I27" s="28">
        <f>IF($B27="","",SUMIF('仕入請求台帳'!$B$5:$B$504,$B27,'仕入請求台帳'!$G$5:$G$504))</f>
        <v/>
      </c>
      <c r="J27" s="28">
        <f>IF($B27="","",SUMIF('仕入請求台帳'!$B$5:$B$504,$B27,'仕入請求台帳'!$L$5:$L$504))</f>
        <v/>
      </c>
      <c r="K27" s="28">
        <f>IF($B27="","",SUMIF('仕入請求台帳'!$B$5:$B$504,$B27,'仕入請求台帳'!$M$5:$M$504))</f>
        <v/>
      </c>
      <c r="L27" s="28">
        <f>IF($B27="","",$I27-$J27-$K27)</f>
        <v/>
      </c>
      <c r="M27" s="28">
        <f>IF($B27="","",SUMIFS('仕入請求台帳'!$N$5:$N$504,'仕入請求台帳'!$B$5:$B$504,$B27,'仕入請求台帳'!$J$5:$J$504,"&lt;"&amp;'設定'!$B$7,'仕入請求台帳'!$N$5:$N$504,"&gt;0"))</f>
        <v/>
      </c>
    </row>
    <row r="28" ht="18" customHeight="1">
      <c r="A28" s="17" t="n">
        <v>24</v>
      </c>
      <c r="B28" s="18" t="n"/>
      <c r="C28" s="19" t="n"/>
      <c r="D28" s="18" t="n"/>
      <c r="E28" s="18" t="n"/>
      <c r="F28" s="18" t="n"/>
      <c r="G28" s="20">
        <f>IF($B28="","",IF(OR($D28="",$E28="",$F28=""),"（締日・サイト・支払日を入れる）",IF($D28="末","末",$D28&amp;"日")&amp;"締め "&amp;IF(N($E28)=0,"当月",IF(N($E28)=1,"翌月",IF(N($E28)=2,"翌々月",$E28&amp;"か月後")))&amp;IF($F28="末","末",$F28&amp;"日")))</f>
        <v/>
      </c>
      <c r="H28" s="19" t="n"/>
      <c r="I28" s="28">
        <f>IF($B28="","",SUMIF('仕入請求台帳'!$B$5:$B$504,$B28,'仕入請求台帳'!$G$5:$G$504))</f>
        <v/>
      </c>
      <c r="J28" s="28">
        <f>IF($B28="","",SUMIF('仕入請求台帳'!$B$5:$B$504,$B28,'仕入請求台帳'!$L$5:$L$504))</f>
        <v/>
      </c>
      <c r="K28" s="28">
        <f>IF($B28="","",SUMIF('仕入請求台帳'!$B$5:$B$504,$B28,'仕入請求台帳'!$M$5:$M$504))</f>
        <v/>
      </c>
      <c r="L28" s="28">
        <f>IF($B28="","",$I28-$J28-$K28)</f>
        <v/>
      </c>
      <c r="M28" s="28">
        <f>IF($B28="","",SUMIFS('仕入請求台帳'!$N$5:$N$504,'仕入請求台帳'!$B$5:$B$504,$B28,'仕入請求台帳'!$J$5:$J$504,"&lt;"&amp;'設定'!$B$7,'仕入請求台帳'!$N$5:$N$504,"&gt;0"))</f>
        <v/>
      </c>
    </row>
    <row r="29" ht="18" customHeight="1">
      <c r="A29" s="17" t="n">
        <v>25</v>
      </c>
      <c r="B29" s="18" t="n"/>
      <c r="C29" s="19" t="n"/>
      <c r="D29" s="18" t="n"/>
      <c r="E29" s="18" t="n"/>
      <c r="F29" s="18" t="n"/>
      <c r="G29" s="20">
        <f>IF($B29="","",IF(OR($D29="",$E29="",$F29=""),"（締日・サイト・支払日を入れる）",IF($D29="末","末",$D29&amp;"日")&amp;"締め "&amp;IF(N($E29)=0,"当月",IF(N($E29)=1,"翌月",IF(N($E29)=2,"翌々月",$E29&amp;"か月後")))&amp;IF($F29="末","末",$F29&amp;"日")))</f>
        <v/>
      </c>
      <c r="H29" s="19" t="n"/>
      <c r="I29" s="28">
        <f>IF($B29="","",SUMIF('仕入請求台帳'!$B$5:$B$504,$B29,'仕入請求台帳'!$G$5:$G$504))</f>
        <v/>
      </c>
      <c r="J29" s="28">
        <f>IF($B29="","",SUMIF('仕入請求台帳'!$B$5:$B$504,$B29,'仕入請求台帳'!$L$5:$L$504))</f>
        <v/>
      </c>
      <c r="K29" s="28">
        <f>IF($B29="","",SUMIF('仕入請求台帳'!$B$5:$B$504,$B29,'仕入請求台帳'!$M$5:$M$504))</f>
        <v/>
      </c>
      <c r="L29" s="28">
        <f>IF($B29="","",$I29-$J29-$K29)</f>
        <v/>
      </c>
      <c r="M29" s="28">
        <f>IF($B29="","",SUMIFS('仕入請求台帳'!$N$5:$N$504,'仕入請求台帳'!$B$5:$B$504,$B29,'仕入請求台帳'!$J$5:$J$504,"&lt;"&amp;'設定'!$B$7,'仕入請求台帳'!$N$5:$N$504,"&gt;0"))</f>
        <v/>
      </c>
    </row>
    <row r="30" ht="18" customHeight="1">
      <c r="A30" s="17" t="n">
        <v>26</v>
      </c>
      <c r="B30" s="18" t="n"/>
      <c r="C30" s="19" t="n"/>
      <c r="D30" s="18" t="n"/>
      <c r="E30" s="18" t="n"/>
      <c r="F30" s="18" t="n"/>
      <c r="G30" s="20">
        <f>IF($B30="","",IF(OR($D30="",$E30="",$F30=""),"（締日・サイト・支払日を入れる）",IF($D30="末","末",$D30&amp;"日")&amp;"締め "&amp;IF(N($E30)=0,"当月",IF(N($E30)=1,"翌月",IF(N($E30)=2,"翌々月",$E30&amp;"か月後")))&amp;IF($F30="末","末",$F30&amp;"日")))</f>
        <v/>
      </c>
      <c r="H30" s="19" t="n"/>
      <c r="I30" s="28">
        <f>IF($B30="","",SUMIF('仕入請求台帳'!$B$5:$B$504,$B30,'仕入請求台帳'!$G$5:$G$504))</f>
        <v/>
      </c>
      <c r="J30" s="28">
        <f>IF($B30="","",SUMIF('仕入請求台帳'!$B$5:$B$504,$B30,'仕入請求台帳'!$L$5:$L$504))</f>
        <v/>
      </c>
      <c r="K30" s="28">
        <f>IF($B30="","",SUMIF('仕入請求台帳'!$B$5:$B$504,$B30,'仕入請求台帳'!$M$5:$M$504))</f>
        <v/>
      </c>
      <c r="L30" s="28">
        <f>IF($B30="","",$I30-$J30-$K30)</f>
        <v/>
      </c>
      <c r="M30" s="28">
        <f>IF($B30="","",SUMIFS('仕入請求台帳'!$N$5:$N$504,'仕入請求台帳'!$B$5:$B$504,$B30,'仕入請求台帳'!$J$5:$J$504,"&lt;"&amp;'設定'!$B$7,'仕入請求台帳'!$N$5:$N$504,"&gt;0"))</f>
        <v/>
      </c>
    </row>
    <row r="31" ht="18" customHeight="1">
      <c r="A31" s="17" t="n">
        <v>27</v>
      </c>
      <c r="B31" s="18" t="n"/>
      <c r="C31" s="19" t="n"/>
      <c r="D31" s="18" t="n"/>
      <c r="E31" s="18" t="n"/>
      <c r="F31" s="18" t="n"/>
      <c r="G31" s="20">
        <f>IF($B31="","",IF(OR($D31="",$E31="",$F31=""),"（締日・サイト・支払日を入れる）",IF($D31="末","末",$D31&amp;"日")&amp;"締め "&amp;IF(N($E31)=0,"当月",IF(N($E31)=1,"翌月",IF(N($E31)=2,"翌々月",$E31&amp;"か月後")))&amp;IF($F31="末","末",$F31&amp;"日")))</f>
        <v/>
      </c>
      <c r="H31" s="19" t="n"/>
      <c r="I31" s="28">
        <f>IF($B31="","",SUMIF('仕入請求台帳'!$B$5:$B$504,$B31,'仕入請求台帳'!$G$5:$G$504))</f>
        <v/>
      </c>
      <c r="J31" s="28">
        <f>IF($B31="","",SUMIF('仕入請求台帳'!$B$5:$B$504,$B31,'仕入請求台帳'!$L$5:$L$504))</f>
        <v/>
      </c>
      <c r="K31" s="28">
        <f>IF($B31="","",SUMIF('仕入請求台帳'!$B$5:$B$504,$B31,'仕入請求台帳'!$M$5:$M$504))</f>
        <v/>
      </c>
      <c r="L31" s="28">
        <f>IF($B31="","",$I31-$J31-$K31)</f>
        <v/>
      </c>
      <c r="M31" s="28">
        <f>IF($B31="","",SUMIFS('仕入請求台帳'!$N$5:$N$504,'仕入請求台帳'!$B$5:$B$504,$B31,'仕入請求台帳'!$J$5:$J$504,"&lt;"&amp;'設定'!$B$7,'仕入請求台帳'!$N$5:$N$504,"&gt;0"))</f>
        <v/>
      </c>
    </row>
    <row r="32" ht="18" customHeight="1">
      <c r="A32" s="17" t="n">
        <v>28</v>
      </c>
      <c r="B32" s="18" t="n"/>
      <c r="C32" s="19" t="n"/>
      <c r="D32" s="18" t="n"/>
      <c r="E32" s="18" t="n"/>
      <c r="F32" s="18" t="n"/>
      <c r="G32" s="20">
        <f>IF($B32="","",IF(OR($D32="",$E32="",$F32=""),"（締日・サイト・支払日を入れる）",IF($D32="末","末",$D32&amp;"日")&amp;"締め "&amp;IF(N($E32)=0,"当月",IF(N($E32)=1,"翌月",IF(N($E32)=2,"翌々月",$E32&amp;"か月後")))&amp;IF($F32="末","末",$F32&amp;"日")))</f>
        <v/>
      </c>
      <c r="H32" s="19" t="n"/>
      <c r="I32" s="28">
        <f>IF($B32="","",SUMIF('仕入請求台帳'!$B$5:$B$504,$B32,'仕入請求台帳'!$G$5:$G$504))</f>
        <v/>
      </c>
      <c r="J32" s="28">
        <f>IF($B32="","",SUMIF('仕入請求台帳'!$B$5:$B$504,$B32,'仕入請求台帳'!$L$5:$L$504))</f>
        <v/>
      </c>
      <c r="K32" s="28">
        <f>IF($B32="","",SUMIF('仕入請求台帳'!$B$5:$B$504,$B32,'仕入請求台帳'!$M$5:$M$504))</f>
        <v/>
      </c>
      <c r="L32" s="28">
        <f>IF($B32="","",$I32-$J32-$K32)</f>
        <v/>
      </c>
      <c r="M32" s="28">
        <f>IF($B32="","",SUMIFS('仕入請求台帳'!$N$5:$N$504,'仕入請求台帳'!$B$5:$B$504,$B32,'仕入請求台帳'!$J$5:$J$504,"&lt;"&amp;'設定'!$B$7,'仕入請求台帳'!$N$5:$N$504,"&gt;0"))</f>
        <v/>
      </c>
    </row>
    <row r="33" ht="18" customHeight="1">
      <c r="A33" s="17" t="n">
        <v>29</v>
      </c>
      <c r="B33" s="18" t="n"/>
      <c r="C33" s="19" t="n"/>
      <c r="D33" s="18" t="n"/>
      <c r="E33" s="18" t="n"/>
      <c r="F33" s="18" t="n"/>
      <c r="G33" s="20">
        <f>IF($B33="","",IF(OR($D33="",$E33="",$F33=""),"（締日・サイト・支払日を入れる）",IF($D33="末","末",$D33&amp;"日")&amp;"締め "&amp;IF(N($E33)=0,"当月",IF(N($E33)=1,"翌月",IF(N($E33)=2,"翌々月",$E33&amp;"か月後")))&amp;IF($F33="末","末",$F33&amp;"日")))</f>
        <v/>
      </c>
      <c r="H33" s="19" t="n"/>
      <c r="I33" s="28">
        <f>IF($B33="","",SUMIF('仕入請求台帳'!$B$5:$B$504,$B33,'仕入請求台帳'!$G$5:$G$504))</f>
        <v/>
      </c>
      <c r="J33" s="28">
        <f>IF($B33="","",SUMIF('仕入請求台帳'!$B$5:$B$504,$B33,'仕入請求台帳'!$L$5:$L$504))</f>
        <v/>
      </c>
      <c r="K33" s="28">
        <f>IF($B33="","",SUMIF('仕入請求台帳'!$B$5:$B$504,$B33,'仕入請求台帳'!$M$5:$M$504))</f>
        <v/>
      </c>
      <c r="L33" s="28">
        <f>IF($B33="","",$I33-$J33-$K33)</f>
        <v/>
      </c>
      <c r="M33" s="28">
        <f>IF($B33="","",SUMIFS('仕入請求台帳'!$N$5:$N$504,'仕入請求台帳'!$B$5:$B$504,$B33,'仕入請求台帳'!$J$5:$J$504,"&lt;"&amp;'設定'!$B$7,'仕入請求台帳'!$N$5:$N$504,"&gt;0"))</f>
        <v/>
      </c>
    </row>
    <row r="34" ht="18" customHeight="1">
      <c r="A34" s="17" t="n">
        <v>30</v>
      </c>
      <c r="B34" s="18" t="n"/>
      <c r="C34" s="19" t="n"/>
      <c r="D34" s="18" t="n"/>
      <c r="E34" s="18" t="n"/>
      <c r="F34" s="18" t="n"/>
      <c r="G34" s="20">
        <f>IF($B34="","",IF(OR($D34="",$E34="",$F34=""),"（締日・サイト・支払日を入れる）",IF($D34="末","末",$D34&amp;"日")&amp;"締め "&amp;IF(N($E34)=0,"当月",IF(N($E34)=1,"翌月",IF(N($E34)=2,"翌々月",$E34&amp;"か月後")))&amp;IF($F34="末","末",$F34&amp;"日")))</f>
        <v/>
      </c>
      <c r="H34" s="19" t="n"/>
      <c r="I34" s="28">
        <f>IF($B34="","",SUMIF('仕入請求台帳'!$B$5:$B$504,$B34,'仕入請求台帳'!$G$5:$G$504))</f>
        <v/>
      </c>
      <c r="J34" s="28">
        <f>IF($B34="","",SUMIF('仕入請求台帳'!$B$5:$B$504,$B34,'仕入請求台帳'!$L$5:$L$504))</f>
        <v/>
      </c>
      <c r="K34" s="28">
        <f>IF($B34="","",SUMIF('仕入請求台帳'!$B$5:$B$504,$B34,'仕入請求台帳'!$M$5:$M$504))</f>
        <v/>
      </c>
      <c r="L34" s="28">
        <f>IF($B34="","",$I34-$J34-$K34)</f>
        <v/>
      </c>
      <c r="M34" s="28">
        <f>IF($B34="","",SUMIFS('仕入請求台帳'!$N$5:$N$504,'仕入請求台帳'!$B$5:$B$504,$B34,'仕入請求台帳'!$J$5:$J$504,"&lt;"&amp;'設定'!$B$7,'仕入請求台帳'!$N$5:$N$504,"&gt;0"))</f>
        <v/>
      </c>
    </row>
    <row r="35" ht="18" customHeight="1">
      <c r="A35" s="17" t="n">
        <v>31</v>
      </c>
      <c r="B35" s="18" t="n"/>
      <c r="C35" s="19" t="n"/>
      <c r="D35" s="18" t="n"/>
      <c r="E35" s="18" t="n"/>
      <c r="F35" s="18" t="n"/>
      <c r="G35" s="20">
        <f>IF($B35="","",IF(OR($D35="",$E35="",$F35=""),"（締日・サイト・支払日を入れる）",IF($D35="末","末",$D35&amp;"日")&amp;"締め "&amp;IF(N($E35)=0,"当月",IF(N($E35)=1,"翌月",IF(N($E35)=2,"翌々月",$E35&amp;"か月後")))&amp;IF($F35="末","末",$F35&amp;"日")))</f>
        <v/>
      </c>
      <c r="H35" s="19" t="n"/>
      <c r="I35" s="28">
        <f>IF($B35="","",SUMIF('仕入請求台帳'!$B$5:$B$504,$B35,'仕入請求台帳'!$G$5:$G$504))</f>
        <v/>
      </c>
      <c r="J35" s="28">
        <f>IF($B35="","",SUMIF('仕入請求台帳'!$B$5:$B$504,$B35,'仕入請求台帳'!$L$5:$L$504))</f>
        <v/>
      </c>
      <c r="K35" s="28">
        <f>IF($B35="","",SUMIF('仕入請求台帳'!$B$5:$B$504,$B35,'仕入請求台帳'!$M$5:$M$504))</f>
        <v/>
      </c>
      <c r="L35" s="28">
        <f>IF($B35="","",$I35-$J35-$K35)</f>
        <v/>
      </c>
      <c r="M35" s="28">
        <f>IF($B35="","",SUMIFS('仕入請求台帳'!$N$5:$N$504,'仕入請求台帳'!$B$5:$B$504,$B35,'仕入請求台帳'!$J$5:$J$504,"&lt;"&amp;'設定'!$B$7,'仕入請求台帳'!$N$5:$N$504,"&gt;0"))</f>
        <v/>
      </c>
    </row>
    <row r="36" ht="18" customHeight="1">
      <c r="A36" s="17" t="n">
        <v>32</v>
      </c>
      <c r="B36" s="18" t="n"/>
      <c r="C36" s="19" t="n"/>
      <c r="D36" s="18" t="n"/>
      <c r="E36" s="18" t="n"/>
      <c r="F36" s="18" t="n"/>
      <c r="G36" s="20">
        <f>IF($B36="","",IF(OR($D36="",$E36="",$F36=""),"（締日・サイト・支払日を入れる）",IF($D36="末","末",$D36&amp;"日")&amp;"締め "&amp;IF(N($E36)=0,"当月",IF(N($E36)=1,"翌月",IF(N($E36)=2,"翌々月",$E36&amp;"か月後")))&amp;IF($F36="末","末",$F36&amp;"日")))</f>
        <v/>
      </c>
      <c r="H36" s="19" t="n"/>
      <c r="I36" s="28">
        <f>IF($B36="","",SUMIF('仕入請求台帳'!$B$5:$B$504,$B36,'仕入請求台帳'!$G$5:$G$504))</f>
        <v/>
      </c>
      <c r="J36" s="28">
        <f>IF($B36="","",SUMIF('仕入請求台帳'!$B$5:$B$504,$B36,'仕入請求台帳'!$L$5:$L$504))</f>
        <v/>
      </c>
      <c r="K36" s="28">
        <f>IF($B36="","",SUMIF('仕入請求台帳'!$B$5:$B$504,$B36,'仕入請求台帳'!$M$5:$M$504))</f>
        <v/>
      </c>
      <c r="L36" s="28">
        <f>IF($B36="","",$I36-$J36-$K36)</f>
        <v/>
      </c>
      <c r="M36" s="28">
        <f>IF($B36="","",SUMIFS('仕入請求台帳'!$N$5:$N$504,'仕入請求台帳'!$B$5:$B$504,$B36,'仕入請求台帳'!$J$5:$J$504,"&lt;"&amp;'設定'!$B$7,'仕入請求台帳'!$N$5:$N$504,"&gt;0"))</f>
        <v/>
      </c>
    </row>
    <row r="37" ht="18" customHeight="1">
      <c r="A37" s="17" t="n">
        <v>33</v>
      </c>
      <c r="B37" s="18" t="n"/>
      <c r="C37" s="19" t="n"/>
      <c r="D37" s="18" t="n"/>
      <c r="E37" s="18" t="n"/>
      <c r="F37" s="18" t="n"/>
      <c r="G37" s="20">
        <f>IF($B37="","",IF(OR($D37="",$E37="",$F37=""),"（締日・サイト・支払日を入れる）",IF($D37="末","末",$D37&amp;"日")&amp;"締め "&amp;IF(N($E37)=0,"当月",IF(N($E37)=1,"翌月",IF(N($E37)=2,"翌々月",$E37&amp;"か月後")))&amp;IF($F37="末","末",$F37&amp;"日")))</f>
        <v/>
      </c>
      <c r="H37" s="19" t="n"/>
      <c r="I37" s="28">
        <f>IF($B37="","",SUMIF('仕入請求台帳'!$B$5:$B$504,$B37,'仕入請求台帳'!$G$5:$G$504))</f>
        <v/>
      </c>
      <c r="J37" s="28">
        <f>IF($B37="","",SUMIF('仕入請求台帳'!$B$5:$B$504,$B37,'仕入請求台帳'!$L$5:$L$504))</f>
        <v/>
      </c>
      <c r="K37" s="28">
        <f>IF($B37="","",SUMIF('仕入請求台帳'!$B$5:$B$504,$B37,'仕入請求台帳'!$M$5:$M$504))</f>
        <v/>
      </c>
      <c r="L37" s="28">
        <f>IF($B37="","",$I37-$J37-$K37)</f>
        <v/>
      </c>
      <c r="M37" s="28">
        <f>IF($B37="","",SUMIFS('仕入請求台帳'!$N$5:$N$504,'仕入請求台帳'!$B$5:$B$504,$B37,'仕入請求台帳'!$J$5:$J$504,"&lt;"&amp;'設定'!$B$7,'仕入請求台帳'!$N$5:$N$504,"&gt;0"))</f>
        <v/>
      </c>
    </row>
    <row r="38" ht="18" customHeight="1">
      <c r="A38" s="17" t="n">
        <v>34</v>
      </c>
      <c r="B38" s="18" t="n"/>
      <c r="C38" s="19" t="n"/>
      <c r="D38" s="18" t="n"/>
      <c r="E38" s="18" t="n"/>
      <c r="F38" s="18" t="n"/>
      <c r="G38" s="20">
        <f>IF($B38="","",IF(OR($D38="",$E38="",$F38=""),"（締日・サイト・支払日を入れる）",IF($D38="末","末",$D38&amp;"日")&amp;"締め "&amp;IF(N($E38)=0,"当月",IF(N($E38)=1,"翌月",IF(N($E38)=2,"翌々月",$E38&amp;"か月後")))&amp;IF($F38="末","末",$F38&amp;"日")))</f>
        <v/>
      </c>
      <c r="H38" s="19" t="n"/>
      <c r="I38" s="28">
        <f>IF($B38="","",SUMIF('仕入請求台帳'!$B$5:$B$504,$B38,'仕入請求台帳'!$G$5:$G$504))</f>
        <v/>
      </c>
      <c r="J38" s="28">
        <f>IF($B38="","",SUMIF('仕入請求台帳'!$B$5:$B$504,$B38,'仕入請求台帳'!$L$5:$L$504))</f>
        <v/>
      </c>
      <c r="K38" s="28">
        <f>IF($B38="","",SUMIF('仕入請求台帳'!$B$5:$B$504,$B38,'仕入請求台帳'!$M$5:$M$504))</f>
        <v/>
      </c>
      <c r="L38" s="28">
        <f>IF($B38="","",$I38-$J38-$K38)</f>
        <v/>
      </c>
      <c r="M38" s="28">
        <f>IF($B38="","",SUMIFS('仕入請求台帳'!$N$5:$N$504,'仕入請求台帳'!$B$5:$B$504,$B38,'仕入請求台帳'!$J$5:$J$504,"&lt;"&amp;'設定'!$B$7,'仕入請求台帳'!$N$5:$N$504,"&gt;0"))</f>
        <v/>
      </c>
    </row>
    <row r="39" ht="18" customHeight="1">
      <c r="A39" s="17" t="n">
        <v>35</v>
      </c>
      <c r="B39" s="18" t="n"/>
      <c r="C39" s="19" t="n"/>
      <c r="D39" s="18" t="n"/>
      <c r="E39" s="18" t="n"/>
      <c r="F39" s="18" t="n"/>
      <c r="G39" s="20">
        <f>IF($B39="","",IF(OR($D39="",$E39="",$F39=""),"（締日・サイト・支払日を入れる）",IF($D39="末","末",$D39&amp;"日")&amp;"締め "&amp;IF(N($E39)=0,"当月",IF(N($E39)=1,"翌月",IF(N($E39)=2,"翌々月",$E39&amp;"か月後")))&amp;IF($F39="末","末",$F39&amp;"日")))</f>
        <v/>
      </c>
      <c r="H39" s="19" t="n"/>
      <c r="I39" s="28">
        <f>IF($B39="","",SUMIF('仕入請求台帳'!$B$5:$B$504,$B39,'仕入請求台帳'!$G$5:$G$504))</f>
        <v/>
      </c>
      <c r="J39" s="28">
        <f>IF($B39="","",SUMIF('仕入請求台帳'!$B$5:$B$504,$B39,'仕入請求台帳'!$L$5:$L$504))</f>
        <v/>
      </c>
      <c r="K39" s="28">
        <f>IF($B39="","",SUMIF('仕入請求台帳'!$B$5:$B$504,$B39,'仕入請求台帳'!$M$5:$M$504))</f>
        <v/>
      </c>
      <c r="L39" s="28">
        <f>IF($B39="","",$I39-$J39-$K39)</f>
        <v/>
      </c>
      <c r="M39" s="28">
        <f>IF($B39="","",SUMIFS('仕入請求台帳'!$N$5:$N$504,'仕入請求台帳'!$B$5:$B$504,$B39,'仕入請求台帳'!$J$5:$J$504,"&lt;"&amp;'設定'!$B$7,'仕入請求台帳'!$N$5:$N$504,"&gt;0"))</f>
        <v/>
      </c>
    </row>
    <row r="40" ht="18" customHeight="1">
      <c r="A40" s="17" t="n">
        <v>36</v>
      </c>
      <c r="B40" s="18" t="n"/>
      <c r="C40" s="19" t="n"/>
      <c r="D40" s="18" t="n"/>
      <c r="E40" s="18" t="n"/>
      <c r="F40" s="18" t="n"/>
      <c r="G40" s="20">
        <f>IF($B40="","",IF(OR($D40="",$E40="",$F40=""),"（締日・サイト・支払日を入れる）",IF($D40="末","末",$D40&amp;"日")&amp;"締め "&amp;IF(N($E40)=0,"当月",IF(N($E40)=1,"翌月",IF(N($E40)=2,"翌々月",$E40&amp;"か月後")))&amp;IF($F40="末","末",$F40&amp;"日")))</f>
        <v/>
      </c>
      <c r="H40" s="19" t="n"/>
      <c r="I40" s="28">
        <f>IF($B40="","",SUMIF('仕入請求台帳'!$B$5:$B$504,$B40,'仕入請求台帳'!$G$5:$G$504))</f>
        <v/>
      </c>
      <c r="J40" s="28">
        <f>IF($B40="","",SUMIF('仕入請求台帳'!$B$5:$B$504,$B40,'仕入請求台帳'!$L$5:$L$504))</f>
        <v/>
      </c>
      <c r="K40" s="28">
        <f>IF($B40="","",SUMIF('仕入請求台帳'!$B$5:$B$504,$B40,'仕入請求台帳'!$M$5:$M$504))</f>
        <v/>
      </c>
      <c r="L40" s="28">
        <f>IF($B40="","",$I40-$J40-$K40)</f>
        <v/>
      </c>
      <c r="M40" s="28">
        <f>IF($B40="","",SUMIFS('仕入請求台帳'!$N$5:$N$504,'仕入請求台帳'!$B$5:$B$504,$B40,'仕入請求台帳'!$J$5:$J$504,"&lt;"&amp;'設定'!$B$7,'仕入請求台帳'!$N$5:$N$504,"&gt;0"))</f>
        <v/>
      </c>
    </row>
    <row r="41" ht="18" customHeight="1">
      <c r="A41" s="17" t="n">
        <v>37</v>
      </c>
      <c r="B41" s="18" t="n"/>
      <c r="C41" s="19" t="n"/>
      <c r="D41" s="18" t="n"/>
      <c r="E41" s="18" t="n"/>
      <c r="F41" s="18" t="n"/>
      <c r="G41" s="20">
        <f>IF($B41="","",IF(OR($D41="",$E41="",$F41=""),"（締日・サイト・支払日を入れる）",IF($D41="末","末",$D41&amp;"日")&amp;"締め "&amp;IF(N($E41)=0,"当月",IF(N($E41)=1,"翌月",IF(N($E41)=2,"翌々月",$E41&amp;"か月後")))&amp;IF($F41="末","末",$F41&amp;"日")))</f>
        <v/>
      </c>
      <c r="H41" s="19" t="n"/>
      <c r="I41" s="28">
        <f>IF($B41="","",SUMIF('仕入請求台帳'!$B$5:$B$504,$B41,'仕入請求台帳'!$G$5:$G$504))</f>
        <v/>
      </c>
      <c r="J41" s="28">
        <f>IF($B41="","",SUMIF('仕入請求台帳'!$B$5:$B$504,$B41,'仕入請求台帳'!$L$5:$L$504))</f>
        <v/>
      </c>
      <c r="K41" s="28">
        <f>IF($B41="","",SUMIF('仕入請求台帳'!$B$5:$B$504,$B41,'仕入請求台帳'!$M$5:$M$504))</f>
        <v/>
      </c>
      <c r="L41" s="28">
        <f>IF($B41="","",$I41-$J41-$K41)</f>
        <v/>
      </c>
      <c r="M41" s="28">
        <f>IF($B41="","",SUMIFS('仕入請求台帳'!$N$5:$N$504,'仕入請求台帳'!$B$5:$B$504,$B41,'仕入請求台帳'!$J$5:$J$504,"&lt;"&amp;'設定'!$B$7,'仕入請求台帳'!$N$5:$N$504,"&gt;0"))</f>
        <v/>
      </c>
    </row>
    <row r="42" ht="18" customHeight="1">
      <c r="A42" s="17" t="n">
        <v>38</v>
      </c>
      <c r="B42" s="18" t="n"/>
      <c r="C42" s="19" t="n"/>
      <c r="D42" s="18" t="n"/>
      <c r="E42" s="18" t="n"/>
      <c r="F42" s="18" t="n"/>
      <c r="G42" s="20">
        <f>IF($B42="","",IF(OR($D42="",$E42="",$F42=""),"（締日・サイト・支払日を入れる）",IF($D42="末","末",$D42&amp;"日")&amp;"締め "&amp;IF(N($E42)=0,"当月",IF(N($E42)=1,"翌月",IF(N($E42)=2,"翌々月",$E42&amp;"か月後")))&amp;IF($F42="末","末",$F42&amp;"日")))</f>
        <v/>
      </c>
      <c r="H42" s="19" t="n"/>
      <c r="I42" s="28">
        <f>IF($B42="","",SUMIF('仕入請求台帳'!$B$5:$B$504,$B42,'仕入請求台帳'!$G$5:$G$504))</f>
        <v/>
      </c>
      <c r="J42" s="28">
        <f>IF($B42="","",SUMIF('仕入請求台帳'!$B$5:$B$504,$B42,'仕入請求台帳'!$L$5:$L$504))</f>
        <v/>
      </c>
      <c r="K42" s="28">
        <f>IF($B42="","",SUMIF('仕入請求台帳'!$B$5:$B$504,$B42,'仕入請求台帳'!$M$5:$M$504))</f>
        <v/>
      </c>
      <c r="L42" s="28">
        <f>IF($B42="","",$I42-$J42-$K42)</f>
        <v/>
      </c>
      <c r="M42" s="28">
        <f>IF($B42="","",SUMIFS('仕入請求台帳'!$N$5:$N$504,'仕入請求台帳'!$B$5:$B$504,$B42,'仕入請求台帳'!$J$5:$J$504,"&lt;"&amp;'設定'!$B$7,'仕入請求台帳'!$N$5:$N$504,"&gt;0"))</f>
        <v/>
      </c>
    </row>
    <row r="43" ht="18" customHeight="1">
      <c r="A43" s="17" t="n">
        <v>39</v>
      </c>
      <c r="B43" s="18" t="n"/>
      <c r="C43" s="19" t="n"/>
      <c r="D43" s="18" t="n"/>
      <c r="E43" s="18" t="n"/>
      <c r="F43" s="18" t="n"/>
      <c r="G43" s="20">
        <f>IF($B43="","",IF(OR($D43="",$E43="",$F43=""),"（締日・サイト・支払日を入れる）",IF($D43="末","末",$D43&amp;"日")&amp;"締め "&amp;IF(N($E43)=0,"当月",IF(N($E43)=1,"翌月",IF(N($E43)=2,"翌々月",$E43&amp;"か月後")))&amp;IF($F43="末","末",$F43&amp;"日")))</f>
        <v/>
      </c>
      <c r="H43" s="19" t="n"/>
      <c r="I43" s="28">
        <f>IF($B43="","",SUMIF('仕入請求台帳'!$B$5:$B$504,$B43,'仕入請求台帳'!$G$5:$G$504))</f>
        <v/>
      </c>
      <c r="J43" s="28">
        <f>IF($B43="","",SUMIF('仕入請求台帳'!$B$5:$B$504,$B43,'仕入請求台帳'!$L$5:$L$504))</f>
        <v/>
      </c>
      <c r="K43" s="28">
        <f>IF($B43="","",SUMIF('仕入請求台帳'!$B$5:$B$504,$B43,'仕入請求台帳'!$M$5:$M$504))</f>
        <v/>
      </c>
      <c r="L43" s="28">
        <f>IF($B43="","",$I43-$J43-$K43)</f>
        <v/>
      </c>
      <c r="M43" s="28">
        <f>IF($B43="","",SUMIFS('仕入請求台帳'!$N$5:$N$504,'仕入請求台帳'!$B$5:$B$504,$B43,'仕入請求台帳'!$J$5:$J$504,"&lt;"&amp;'設定'!$B$7,'仕入請求台帳'!$N$5:$N$504,"&gt;0"))</f>
        <v/>
      </c>
    </row>
    <row r="44" ht="18" customHeight="1">
      <c r="A44" s="17" t="n">
        <v>40</v>
      </c>
      <c r="B44" s="18" t="n"/>
      <c r="C44" s="19" t="n"/>
      <c r="D44" s="18" t="n"/>
      <c r="E44" s="18" t="n"/>
      <c r="F44" s="18" t="n"/>
      <c r="G44" s="20">
        <f>IF($B44="","",IF(OR($D44="",$E44="",$F44=""),"（締日・サイト・支払日を入れる）",IF($D44="末","末",$D44&amp;"日")&amp;"締め "&amp;IF(N($E44)=0,"当月",IF(N($E44)=1,"翌月",IF(N($E44)=2,"翌々月",$E44&amp;"か月後")))&amp;IF($F44="末","末",$F44&amp;"日")))</f>
        <v/>
      </c>
      <c r="H44" s="19" t="n"/>
      <c r="I44" s="28">
        <f>IF($B44="","",SUMIF('仕入請求台帳'!$B$5:$B$504,$B44,'仕入請求台帳'!$G$5:$G$504))</f>
        <v/>
      </c>
      <c r="J44" s="28">
        <f>IF($B44="","",SUMIF('仕入請求台帳'!$B$5:$B$504,$B44,'仕入請求台帳'!$L$5:$L$504))</f>
        <v/>
      </c>
      <c r="K44" s="28">
        <f>IF($B44="","",SUMIF('仕入請求台帳'!$B$5:$B$504,$B44,'仕入請求台帳'!$M$5:$M$504))</f>
        <v/>
      </c>
      <c r="L44" s="28">
        <f>IF($B44="","",$I44-$J44-$K44)</f>
        <v/>
      </c>
      <c r="M44" s="28">
        <f>IF($B44="","",SUMIFS('仕入請求台帳'!$N$5:$N$504,'仕入請求台帳'!$B$5:$B$504,$B44,'仕入請求台帳'!$J$5:$J$504,"&lt;"&amp;'設定'!$B$7,'仕入請求台帳'!$N$5:$N$504,"&gt;0"))</f>
        <v/>
      </c>
    </row>
    <row r="45" ht="18" customHeight="1">
      <c r="A45" s="17" t="n">
        <v>41</v>
      </c>
      <c r="B45" s="18" t="n"/>
      <c r="C45" s="19" t="n"/>
      <c r="D45" s="18" t="n"/>
      <c r="E45" s="18" t="n"/>
      <c r="F45" s="18" t="n"/>
      <c r="G45" s="20">
        <f>IF($B45="","",IF(OR($D45="",$E45="",$F45=""),"（締日・サイト・支払日を入れる）",IF($D45="末","末",$D45&amp;"日")&amp;"締め "&amp;IF(N($E45)=0,"当月",IF(N($E45)=1,"翌月",IF(N($E45)=2,"翌々月",$E45&amp;"か月後")))&amp;IF($F45="末","末",$F45&amp;"日")))</f>
        <v/>
      </c>
      <c r="H45" s="19" t="n"/>
      <c r="I45" s="28">
        <f>IF($B45="","",SUMIF('仕入請求台帳'!$B$5:$B$504,$B45,'仕入請求台帳'!$G$5:$G$504))</f>
        <v/>
      </c>
      <c r="J45" s="28">
        <f>IF($B45="","",SUMIF('仕入請求台帳'!$B$5:$B$504,$B45,'仕入請求台帳'!$L$5:$L$504))</f>
        <v/>
      </c>
      <c r="K45" s="28">
        <f>IF($B45="","",SUMIF('仕入請求台帳'!$B$5:$B$504,$B45,'仕入請求台帳'!$M$5:$M$504))</f>
        <v/>
      </c>
      <c r="L45" s="28">
        <f>IF($B45="","",$I45-$J45-$K45)</f>
        <v/>
      </c>
      <c r="M45" s="28">
        <f>IF($B45="","",SUMIFS('仕入請求台帳'!$N$5:$N$504,'仕入請求台帳'!$B$5:$B$504,$B45,'仕入請求台帳'!$J$5:$J$504,"&lt;"&amp;'設定'!$B$7,'仕入請求台帳'!$N$5:$N$504,"&gt;0"))</f>
        <v/>
      </c>
    </row>
    <row r="46" ht="18" customHeight="1">
      <c r="A46" s="17" t="n">
        <v>42</v>
      </c>
      <c r="B46" s="18" t="n"/>
      <c r="C46" s="19" t="n"/>
      <c r="D46" s="18" t="n"/>
      <c r="E46" s="18" t="n"/>
      <c r="F46" s="18" t="n"/>
      <c r="G46" s="20">
        <f>IF($B46="","",IF(OR($D46="",$E46="",$F46=""),"（締日・サイト・支払日を入れる）",IF($D46="末","末",$D46&amp;"日")&amp;"締め "&amp;IF(N($E46)=0,"当月",IF(N($E46)=1,"翌月",IF(N($E46)=2,"翌々月",$E46&amp;"か月後")))&amp;IF($F46="末","末",$F46&amp;"日")))</f>
        <v/>
      </c>
      <c r="H46" s="19" t="n"/>
      <c r="I46" s="28">
        <f>IF($B46="","",SUMIF('仕入請求台帳'!$B$5:$B$504,$B46,'仕入請求台帳'!$G$5:$G$504))</f>
        <v/>
      </c>
      <c r="J46" s="28">
        <f>IF($B46="","",SUMIF('仕入請求台帳'!$B$5:$B$504,$B46,'仕入請求台帳'!$L$5:$L$504))</f>
        <v/>
      </c>
      <c r="K46" s="28">
        <f>IF($B46="","",SUMIF('仕入請求台帳'!$B$5:$B$504,$B46,'仕入請求台帳'!$M$5:$M$504))</f>
        <v/>
      </c>
      <c r="L46" s="28">
        <f>IF($B46="","",$I46-$J46-$K46)</f>
        <v/>
      </c>
      <c r="M46" s="28">
        <f>IF($B46="","",SUMIFS('仕入請求台帳'!$N$5:$N$504,'仕入請求台帳'!$B$5:$B$504,$B46,'仕入請求台帳'!$J$5:$J$504,"&lt;"&amp;'設定'!$B$7,'仕入請求台帳'!$N$5:$N$504,"&gt;0"))</f>
        <v/>
      </c>
    </row>
    <row r="47" ht="18" customHeight="1">
      <c r="A47" s="17" t="n">
        <v>43</v>
      </c>
      <c r="B47" s="18" t="n"/>
      <c r="C47" s="19" t="n"/>
      <c r="D47" s="18" t="n"/>
      <c r="E47" s="18" t="n"/>
      <c r="F47" s="18" t="n"/>
      <c r="G47" s="20">
        <f>IF($B47="","",IF(OR($D47="",$E47="",$F47=""),"（締日・サイト・支払日を入れる）",IF($D47="末","末",$D47&amp;"日")&amp;"締め "&amp;IF(N($E47)=0,"当月",IF(N($E47)=1,"翌月",IF(N($E47)=2,"翌々月",$E47&amp;"か月後")))&amp;IF($F47="末","末",$F47&amp;"日")))</f>
        <v/>
      </c>
      <c r="H47" s="19" t="n"/>
      <c r="I47" s="28">
        <f>IF($B47="","",SUMIF('仕入請求台帳'!$B$5:$B$504,$B47,'仕入請求台帳'!$G$5:$G$504))</f>
        <v/>
      </c>
      <c r="J47" s="28">
        <f>IF($B47="","",SUMIF('仕入請求台帳'!$B$5:$B$504,$B47,'仕入請求台帳'!$L$5:$L$504))</f>
        <v/>
      </c>
      <c r="K47" s="28">
        <f>IF($B47="","",SUMIF('仕入請求台帳'!$B$5:$B$504,$B47,'仕入請求台帳'!$M$5:$M$504))</f>
        <v/>
      </c>
      <c r="L47" s="28">
        <f>IF($B47="","",$I47-$J47-$K47)</f>
        <v/>
      </c>
      <c r="M47" s="28">
        <f>IF($B47="","",SUMIFS('仕入請求台帳'!$N$5:$N$504,'仕入請求台帳'!$B$5:$B$504,$B47,'仕入請求台帳'!$J$5:$J$504,"&lt;"&amp;'設定'!$B$7,'仕入請求台帳'!$N$5:$N$504,"&gt;0"))</f>
        <v/>
      </c>
    </row>
    <row r="48" ht="18" customHeight="1">
      <c r="A48" s="17" t="n">
        <v>44</v>
      </c>
      <c r="B48" s="18" t="n"/>
      <c r="C48" s="19" t="n"/>
      <c r="D48" s="18" t="n"/>
      <c r="E48" s="18" t="n"/>
      <c r="F48" s="18" t="n"/>
      <c r="G48" s="20">
        <f>IF($B48="","",IF(OR($D48="",$E48="",$F48=""),"（締日・サイト・支払日を入れる）",IF($D48="末","末",$D48&amp;"日")&amp;"締め "&amp;IF(N($E48)=0,"当月",IF(N($E48)=1,"翌月",IF(N($E48)=2,"翌々月",$E48&amp;"か月後")))&amp;IF($F48="末","末",$F48&amp;"日")))</f>
        <v/>
      </c>
      <c r="H48" s="19" t="n"/>
      <c r="I48" s="28">
        <f>IF($B48="","",SUMIF('仕入請求台帳'!$B$5:$B$504,$B48,'仕入請求台帳'!$G$5:$G$504))</f>
        <v/>
      </c>
      <c r="J48" s="28">
        <f>IF($B48="","",SUMIF('仕入請求台帳'!$B$5:$B$504,$B48,'仕入請求台帳'!$L$5:$L$504))</f>
        <v/>
      </c>
      <c r="K48" s="28">
        <f>IF($B48="","",SUMIF('仕入請求台帳'!$B$5:$B$504,$B48,'仕入請求台帳'!$M$5:$M$504))</f>
        <v/>
      </c>
      <c r="L48" s="28">
        <f>IF($B48="","",$I48-$J48-$K48)</f>
        <v/>
      </c>
      <c r="M48" s="28">
        <f>IF($B48="","",SUMIFS('仕入請求台帳'!$N$5:$N$504,'仕入請求台帳'!$B$5:$B$504,$B48,'仕入請求台帳'!$J$5:$J$504,"&lt;"&amp;'設定'!$B$7,'仕入請求台帳'!$N$5:$N$504,"&gt;0"))</f>
        <v/>
      </c>
    </row>
    <row r="49" ht="18" customHeight="1">
      <c r="A49" s="17" t="n">
        <v>45</v>
      </c>
      <c r="B49" s="18" t="n"/>
      <c r="C49" s="19" t="n"/>
      <c r="D49" s="18" t="n"/>
      <c r="E49" s="18" t="n"/>
      <c r="F49" s="18" t="n"/>
      <c r="G49" s="20">
        <f>IF($B49="","",IF(OR($D49="",$E49="",$F49=""),"（締日・サイト・支払日を入れる）",IF($D49="末","末",$D49&amp;"日")&amp;"締め "&amp;IF(N($E49)=0,"当月",IF(N($E49)=1,"翌月",IF(N($E49)=2,"翌々月",$E49&amp;"か月後")))&amp;IF($F49="末","末",$F49&amp;"日")))</f>
        <v/>
      </c>
      <c r="H49" s="19" t="n"/>
      <c r="I49" s="28">
        <f>IF($B49="","",SUMIF('仕入請求台帳'!$B$5:$B$504,$B49,'仕入請求台帳'!$G$5:$G$504))</f>
        <v/>
      </c>
      <c r="J49" s="28">
        <f>IF($B49="","",SUMIF('仕入請求台帳'!$B$5:$B$504,$B49,'仕入請求台帳'!$L$5:$L$504))</f>
        <v/>
      </c>
      <c r="K49" s="28">
        <f>IF($B49="","",SUMIF('仕入請求台帳'!$B$5:$B$504,$B49,'仕入請求台帳'!$M$5:$M$504))</f>
        <v/>
      </c>
      <c r="L49" s="28">
        <f>IF($B49="","",$I49-$J49-$K49)</f>
        <v/>
      </c>
      <c r="M49" s="28">
        <f>IF($B49="","",SUMIFS('仕入請求台帳'!$N$5:$N$504,'仕入請求台帳'!$B$5:$B$504,$B49,'仕入請求台帳'!$J$5:$J$504,"&lt;"&amp;'設定'!$B$7,'仕入請求台帳'!$N$5:$N$504,"&gt;0"))</f>
        <v/>
      </c>
    </row>
    <row r="50" ht="18" customHeight="1">
      <c r="A50" s="17" t="n">
        <v>46</v>
      </c>
      <c r="B50" s="18" t="n"/>
      <c r="C50" s="19" t="n"/>
      <c r="D50" s="18" t="n"/>
      <c r="E50" s="18" t="n"/>
      <c r="F50" s="18" t="n"/>
      <c r="G50" s="20">
        <f>IF($B50="","",IF(OR($D50="",$E50="",$F50=""),"（締日・サイト・支払日を入れる）",IF($D50="末","末",$D50&amp;"日")&amp;"締め "&amp;IF(N($E50)=0,"当月",IF(N($E50)=1,"翌月",IF(N($E50)=2,"翌々月",$E50&amp;"か月後")))&amp;IF($F50="末","末",$F50&amp;"日")))</f>
        <v/>
      </c>
      <c r="H50" s="19" t="n"/>
      <c r="I50" s="28">
        <f>IF($B50="","",SUMIF('仕入請求台帳'!$B$5:$B$504,$B50,'仕入請求台帳'!$G$5:$G$504))</f>
        <v/>
      </c>
      <c r="J50" s="28">
        <f>IF($B50="","",SUMIF('仕入請求台帳'!$B$5:$B$504,$B50,'仕入請求台帳'!$L$5:$L$504))</f>
        <v/>
      </c>
      <c r="K50" s="28">
        <f>IF($B50="","",SUMIF('仕入請求台帳'!$B$5:$B$504,$B50,'仕入請求台帳'!$M$5:$M$504))</f>
        <v/>
      </c>
      <c r="L50" s="28">
        <f>IF($B50="","",$I50-$J50-$K50)</f>
        <v/>
      </c>
      <c r="M50" s="28">
        <f>IF($B50="","",SUMIFS('仕入請求台帳'!$N$5:$N$504,'仕入請求台帳'!$B$5:$B$504,$B50,'仕入請求台帳'!$J$5:$J$504,"&lt;"&amp;'設定'!$B$7,'仕入請求台帳'!$N$5:$N$504,"&gt;0"))</f>
        <v/>
      </c>
    </row>
    <row r="51" ht="18" customHeight="1">
      <c r="A51" s="17" t="n">
        <v>47</v>
      </c>
      <c r="B51" s="18" t="n"/>
      <c r="C51" s="19" t="n"/>
      <c r="D51" s="18" t="n"/>
      <c r="E51" s="18" t="n"/>
      <c r="F51" s="18" t="n"/>
      <c r="G51" s="20">
        <f>IF($B51="","",IF(OR($D51="",$E51="",$F51=""),"（締日・サイト・支払日を入れる）",IF($D51="末","末",$D51&amp;"日")&amp;"締め "&amp;IF(N($E51)=0,"当月",IF(N($E51)=1,"翌月",IF(N($E51)=2,"翌々月",$E51&amp;"か月後")))&amp;IF($F51="末","末",$F51&amp;"日")))</f>
        <v/>
      </c>
      <c r="H51" s="19" t="n"/>
      <c r="I51" s="28">
        <f>IF($B51="","",SUMIF('仕入請求台帳'!$B$5:$B$504,$B51,'仕入請求台帳'!$G$5:$G$504))</f>
        <v/>
      </c>
      <c r="J51" s="28">
        <f>IF($B51="","",SUMIF('仕入請求台帳'!$B$5:$B$504,$B51,'仕入請求台帳'!$L$5:$L$504))</f>
        <v/>
      </c>
      <c r="K51" s="28">
        <f>IF($B51="","",SUMIF('仕入請求台帳'!$B$5:$B$504,$B51,'仕入請求台帳'!$M$5:$M$504))</f>
        <v/>
      </c>
      <c r="L51" s="28">
        <f>IF($B51="","",$I51-$J51-$K51)</f>
        <v/>
      </c>
      <c r="M51" s="28">
        <f>IF($B51="","",SUMIFS('仕入請求台帳'!$N$5:$N$504,'仕入請求台帳'!$B$5:$B$504,$B51,'仕入請求台帳'!$J$5:$J$504,"&lt;"&amp;'設定'!$B$7,'仕入請求台帳'!$N$5:$N$504,"&gt;0"))</f>
        <v/>
      </c>
    </row>
    <row r="52" ht="18" customHeight="1">
      <c r="A52" s="17" t="n">
        <v>48</v>
      </c>
      <c r="B52" s="18" t="n"/>
      <c r="C52" s="19" t="n"/>
      <c r="D52" s="18" t="n"/>
      <c r="E52" s="18" t="n"/>
      <c r="F52" s="18" t="n"/>
      <c r="G52" s="20">
        <f>IF($B52="","",IF(OR($D52="",$E52="",$F52=""),"（締日・サイト・支払日を入れる）",IF($D52="末","末",$D52&amp;"日")&amp;"締め "&amp;IF(N($E52)=0,"当月",IF(N($E52)=1,"翌月",IF(N($E52)=2,"翌々月",$E52&amp;"か月後")))&amp;IF($F52="末","末",$F52&amp;"日")))</f>
        <v/>
      </c>
      <c r="H52" s="19" t="n"/>
      <c r="I52" s="28">
        <f>IF($B52="","",SUMIF('仕入請求台帳'!$B$5:$B$504,$B52,'仕入請求台帳'!$G$5:$G$504))</f>
        <v/>
      </c>
      <c r="J52" s="28">
        <f>IF($B52="","",SUMIF('仕入請求台帳'!$B$5:$B$504,$B52,'仕入請求台帳'!$L$5:$L$504))</f>
        <v/>
      </c>
      <c r="K52" s="28">
        <f>IF($B52="","",SUMIF('仕入請求台帳'!$B$5:$B$504,$B52,'仕入請求台帳'!$M$5:$M$504))</f>
        <v/>
      </c>
      <c r="L52" s="28">
        <f>IF($B52="","",$I52-$J52-$K52)</f>
        <v/>
      </c>
      <c r="M52" s="28">
        <f>IF($B52="","",SUMIFS('仕入請求台帳'!$N$5:$N$504,'仕入請求台帳'!$B$5:$B$504,$B52,'仕入請求台帳'!$J$5:$J$504,"&lt;"&amp;'設定'!$B$7,'仕入請求台帳'!$N$5:$N$504,"&gt;0"))</f>
        <v/>
      </c>
    </row>
    <row r="53" ht="18" customHeight="1">
      <c r="A53" s="17" t="n">
        <v>49</v>
      </c>
      <c r="B53" s="18" t="n"/>
      <c r="C53" s="19" t="n"/>
      <c r="D53" s="18" t="n"/>
      <c r="E53" s="18" t="n"/>
      <c r="F53" s="18" t="n"/>
      <c r="G53" s="20">
        <f>IF($B53="","",IF(OR($D53="",$E53="",$F53=""),"（締日・サイト・支払日を入れる）",IF($D53="末","末",$D53&amp;"日")&amp;"締め "&amp;IF(N($E53)=0,"当月",IF(N($E53)=1,"翌月",IF(N($E53)=2,"翌々月",$E53&amp;"か月後")))&amp;IF($F53="末","末",$F53&amp;"日")))</f>
        <v/>
      </c>
      <c r="H53" s="19" t="n"/>
      <c r="I53" s="28">
        <f>IF($B53="","",SUMIF('仕入請求台帳'!$B$5:$B$504,$B53,'仕入請求台帳'!$G$5:$G$504))</f>
        <v/>
      </c>
      <c r="J53" s="28">
        <f>IF($B53="","",SUMIF('仕入請求台帳'!$B$5:$B$504,$B53,'仕入請求台帳'!$L$5:$L$504))</f>
        <v/>
      </c>
      <c r="K53" s="28">
        <f>IF($B53="","",SUMIF('仕入請求台帳'!$B$5:$B$504,$B53,'仕入請求台帳'!$M$5:$M$504))</f>
        <v/>
      </c>
      <c r="L53" s="28">
        <f>IF($B53="","",$I53-$J53-$K53)</f>
        <v/>
      </c>
      <c r="M53" s="28">
        <f>IF($B53="","",SUMIFS('仕入請求台帳'!$N$5:$N$504,'仕入請求台帳'!$B$5:$B$504,$B53,'仕入請求台帳'!$J$5:$J$504,"&lt;"&amp;'設定'!$B$7,'仕入請求台帳'!$N$5:$N$504,"&gt;0"))</f>
        <v/>
      </c>
    </row>
    <row r="54" ht="18" customHeight="1">
      <c r="A54" s="17" t="n">
        <v>50</v>
      </c>
      <c r="B54" s="18" t="n"/>
      <c r="C54" s="19" t="n"/>
      <c r="D54" s="18" t="n"/>
      <c r="E54" s="18" t="n"/>
      <c r="F54" s="18" t="n"/>
      <c r="G54" s="20">
        <f>IF($B54="","",IF(OR($D54="",$E54="",$F54=""),"（締日・サイト・支払日を入れる）",IF($D54="末","末",$D54&amp;"日")&amp;"締め "&amp;IF(N($E54)=0,"当月",IF(N($E54)=1,"翌月",IF(N($E54)=2,"翌々月",$E54&amp;"か月後")))&amp;IF($F54="末","末",$F54&amp;"日")))</f>
        <v/>
      </c>
      <c r="H54" s="19" t="n"/>
      <c r="I54" s="28">
        <f>IF($B54="","",SUMIF('仕入請求台帳'!$B$5:$B$504,$B54,'仕入請求台帳'!$G$5:$G$504))</f>
        <v/>
      </c>
      <c r="J54" s="28">
        <f>IF($B54="","",SUMIF('仕入請求台帳'!$B$5:$B$504,$B54,'仕入請求台帳'!$L$5:$L$504))</f>
        <v/>
      </c>
      <c r="K54" s="28">
        <f>IF($B54="","",SUMIF('仕入請求台帳'!$B$5:$B$504,$B54,'仕入請求台帳'!$M$5:$M$504))</f>
        <v/>
      </c>
      <c r="L54" s="28">
        <f>IF($B54="","",$I54-$J54-$K54)</f>
        <v/>
      </c>
      <c r="M54" s="28">
        <f>IF($B54="","",SUMIFS('仕入請求台帳'!$N$5:$N$504,'仕入請求台帳'!$B$5:$B$504,$B54,'仕入請求台帳'!$J$5:$J$504,"&lt;"&amp;'設定'!$B$7,'仕入請求台帳'!$N$5:$N$504,"&gt;0"))</f>
        <v/>
      </c>
    </row>
  </sheetData>
  <mergeCells count="2">
    <mergeCell ref="A2:M2"/>
    <mergeCell ref="A1:M1"/>
  </mergeCells>
  <conditionalFormatting sqref="B5:B54">
    <cfRule type="expression" priority="1" dxfId="0">
      <formula>AND($B5&lt;&gt;"",COUNTIF($B$5:$B$54,$B5)&gt;1)</formula>
    </cfRule>
  </conditionalFormatting>
  <conditionalFormatting sqref="M5:M54">
    <cfRule type="expression" priority="2" dxfId="0">
      <formula>AND(ISNUMBER($M5),$M5&gt;0)</formula>
    </cfRule>
  </conditionalFormatting>
  <dataValidations count="4">
    <dataValidation sqref="B5:B54" showDropDown="0" showInputMessage="0" showErrorMessage="1" allowBlank="1" errorTitle="コードが重なっています" error="同じコードがすでにあります。コードは1件に1つです。" type="custom">
      <formula1>COUNTIF($B$5:$B$54,B5)=1</formula1>
    </dataValidation>
    <dataValidation sqref="D5:D54" showDropDown="0" showInputMessage="0" showErrorMessage="1" allowBlank="1" errorTitle="1〜31 か「末」" error="1〜31 の数か、「末」と入れてください。" type="custom">
      <formula1>OR(D5="末",AND(ISNUMBER(D5),D5&gt;=1,D5&lt;=31,INT(D5)=D5))</formula1>
    </dataValidation>
    <dataValidation sqref="F5:F54" showDropDown="0" showInputMessage="0" showErrorMessage="1" allowBlank="1" errorTitle="1〜31 か「末」" error="1〜31 の数か、「末」と入れてください。" type="custom">
      <formula1>OR(F5="末",AND(ISNUMBER(F5),F5&gt;=1,F5&lt;=31,INT(F5)=F5))</formula1>
    </dataValidation>
    <dataValidation sqref="E5:E54" showDropDown="0" showInputMessage="0" showErrorMessage="1" allowBlank="1" errorTitle="支払サイト" error="0〜12 の数（0＝当月・1＝翌月・2＝翌々月）を入れてください。" type="whole" operator="between">
      <formula1>0</formula1>
      <formula2>12</formula2>
    </dataValidation>
  </dataValidations>
  <pageMargins left="0.4" right="0.4" top="0.45" bottom="0.45" header="0.2" footer="0.2"/>
  <pageSetup orientation="landscape" paperSize="9" fitToHeight="0" fitToWidth="1"/>
</worksheet>
</file>

<file path=xl/worksheets/sheet10.xml><?xml version="1.0" encoding="utf-8"?>
<worksheet xmlns="http://schemas.openxmlformats.org/spreadsheetml/2006/main">
  <sheetPr>
    <tabColor rgb="001B3A5C"/>
    <outlinePr summaryBelow="1" summaryRight="1"/>
    <pageSetUpPr fitToPage="1"/>
  </sheetPr>
  <dimension ref="A1:V504"/>
  <sheetViews>
    <sheetView showGridLines="0" tabSelected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.5" customWidth="1" min="1" max="1"/>
    <col width="8" customWidth="1" min="2" max="2"/>
    <col width="20" customWidth="1" min="3" max="3"/>
    <col width="10.5" customWidth="1" min="4" max="4"/>
    <col width="10" customWidth="1" min="5" max="5"/>
    <col width="30" customWidth="1" min="6" max="6"/>
    <col width="12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2" customWidth="1" min="12" max="12"/>
    <col width="10" customWidth="1" min="13" max="13"/>
    <col width="12" customWidth="1" min="14" max="14"/>
    <col width="9" customWidth="1" min="15" max="15"/>
    <col width="13" customWidth="1" min="16" max="16"/>
    <col width="2" customWidth="1" min="17" max="17"/>
    <col width="7" customWidth="1" min="18" max="18"/>
    <col width="10" customWidth="1" min="19" max="19"/>
    <col width="12" customWidth="1" min="20" max="20"/>
    <col width="13" customWidth="1" min="21" max="21"/>
    <col width="13" customWidth="1" min="22" max="22"/>
  </cols>
  <sheetData>
    <row r="1" ht="26" customHeight="1">
      <c r="A1" s="55" t="inlineStr">
        <is>
          <t>仕入請求台帳（受け取った請求書1枚を1行）</t>
        </is>
      </c>
      <c r="B1" s="56" t="n"/>
      <c r="C1" s="56" t="n"/>
      <c r="D1" s="56" t="n"/>
      <c r="E1" s="56" t="n"/>
      <c r="F1" s="56" t="n"/>
      <c r="G1" s="56" t="n"/>
      <c r="H1" s="56" t="n"/>
      <c r="I1" s="56" t="n"/>
      <c r="J1" s="56" t="n"/>
      <c r="K1" s="56" t="n"/>
      <c r="L1" s="56" t="n"/>
      <c r="M1" s="56" t="n"/>
      <c r="N1" s="56" t="n"/>
      <c r="O1" s="56" t="n"/>
      <c r="P1" s="56" t="n"/>
      <c r="Q1" s="56" t="n"/>
      <c r="R1" s="56" t="n"/>
      <c r="S1" s="56" t="n"/>
      <c r="T1" s="56" t="n"/>
      <c r="U1" s="56" t="n"/>
      <c r="V1" s="56" t="n"/>
    </row>
    <row r="2" ht="30" customHeight="1">
      <c r="A2" s="59" t="inlineStr">
        <is>
          <t>請求書を受け取ったら1行入れ、払ったら同じ行に支払日・支払額を入れます。2回に分けて払ったときは、支払額に合計、支払日に最後に払った日を入れます。支払予定日は仕入日（空なら請求書の日付）と仕入先の締日・支払サイト・支払日から出します。休日はずらしません（手入力が優先）。</t>
        </is>
      </c>
      <c r="B2" s="56" t="n"/>
      <c r="C2" s="56" t="n"/>
      <c r="D2" s="56" t="n"/>
      <c r="E2" s="56" t="n"/>
      <c r="F2" s="56" t="n"/>
      <c r="G2" s="56" t="n"/>
      <c r="H2" s="56" t="n"/>
      <c r="I2" s="56" t="n"/>
      <c r="J2" s="56" t="n"/>
      <c r="K2" s="56" t="n"/>
      <c r="L2" s="56" t="n"/>
      <c r="M2" s="56" t="n"/>
      <c r="N2" s="56" t="n"/>
      <c r="O2" s="56" t="n"/>
      <c r="P2" s="56" t="n"/>
      <c r="Q2" s="56" t="n"/>
      <c r="R2" s="56" t="n"/>
      <c r="S2" s="56" t="n"/>
      <c r="T2" s="56" t="n"/>
      <c r="U2" s="56" t="n"/>
      <c r="V2" s="56" t="n"/>
    </row>
    <row r="3" ht="20" customHeight="1">
      <c r="A3" s="60" t="inlineStr">
        <is>
          <t>基準日</t>
        </is>
      </c>
      <c r="B3" s="63">
        <f>'設定'!$B$7</f>
        <v/>
      </c>
      <c r="C3" s="56" t="n"/>
      <c r="D3" s="56" t="n"/>
      <c r="E3" s="56" t="n"/>
      <c r="F3" s="56" t="n"/>
      <c r="G3" s="56" t="n"/>
      <c r="H3" s="56" t="n"/>
      <c r="I3" s="56" t="n"/>
      <c r="J3" s="56" t="n"/>
      <c r="K3" s="56" t="n"/>
      <c r="L3" s="60" t="inlineStr">
        <is>
          <t>未払残の合計</t>
        </is>
      </c>
      <c r="M3" s="66" t="n"/>
      <c r="N3" s="67">
        <f>SUMIF($N$5:$N$504,"&gt;0")</f>
        <v/>
      </c>
      <c r="O3" s="56" t="n"/>
      <c r="P3" s="56" t="n"/>
      <c r="Q3" s="56" t="n"/>
      <c r="R3" s="56" t="n"/>
      <c r="S3" s="56" t="n"/>
      <c r="T3" s="56" t="n"/>
      <c r="U3" s="56" t="n"/>
      <c r="V3" s="56" t="n"/>
    </row>
    <row r="4" ht="44" customHeight="1">
      <c r="A4" s="15" t="inlineStr">
        <is>
          <t>請求書の日付</t>
        </is>
      </c>
      <c r="B4" s="15" t="inlineStr">
        <is>
          <t>仕入先コード</t>
        </is>
      </c>
      <c r="C4" s="16" t="inlineStr">
        <is>
          <t>仕入先名</t>
        </is>
      </c>
      <c r="D4" s="15" t="inlineStr">
        <is>
          <t>仕入日（計上日）</t>
        </is>
      </c>
      <c r="E4" s="15" t="inlineStr">
        <is>
          <t>仕入先の請求書No</t>
        </is>
      </c>
      <c r="F4" s="15" t="inlineStr">
        <is>
          <t>摘要</t>
        </is>
      </c>
      <c r="G4" s="15" t="inlineStr">
        <is>
          <t>請求額（税込）</t>
        </is>
      </c>
      <c r="H4" s="16" t="inlineStr">
        <is>
          <t>支払予定日（計算）</t>
        </is>
      </c>
      <c r="I4" s="15" t="inlineStr">
        <is>
          <t>支払予定日（手入力・優先）</t>
        </is>
      </c>
      <c r="J4" s="16" t="inlineStr">
        <is>
          <t>支払予定日</t>
        </is>
      </c>
      <c r="K4" s="15" t="inlineStr">
        <is>
          <t>支払日</t>
        </is>
      </c>
      <c r="L4" s="15" t="inlineStr">
        <is>
          <t>支払額</t>
        </is>
      </c>
      <c r="M4" s="15" t="inlineStr">
        <is>
          <t>値引・相殺</t>
        </is>
      </c>
      <c r="N4" s="16" t="inlineStr">
        <is>
          <t>未払残</t>
        </is>
      </c>
      <c r="O4" s="16" t="inlineStr">
        <is>
          <t>状態</t>
        </is>
      </c>
      <c r="P4" s="16" t="inlineStr">
        <is>
          <t>期日まで</t>
        </is>
      </c>
      <c r="Q4" s="56" t="n"/>
      <c r="R4" s="25" t="inlineStr">
        <is>
          <t>作業:仕入先の行</t>
        </is>
      </c>
      <c r="S4" s="25" t="inlineStr">
        <is>
          <t>作業:計上日</t>
        </is>
      </c>
      <c r="T4" s="25" t="inlineStr">
        <is>
          <t>作業:予定表キー</t>
        </is>
      </c>
      <c r="U4" s="25" t="inlineStr">
        <is>
          <t>作業:買掛帳キー（仕入）</t>
        </is>
      </c>
      <c r="V4" s="25" t="inlineStr">
        <is>
          <t>作業:買掛帳キー（支払）</t>
        </is>
      </c>
    </row>
    <row r="5" ht="18" customHeight="1">
      <c r="A5" s="26" t="n"/>
      <c r="B5" s="18" t="n"/>
      <c r="C5" s="20">
        <f>IF($B5="","",IF($R5="なし","※仕入先にないコード",INDEX('仕入先'!$C$5:$C$54,$R5)&amp;""))</f>
        <v/>
      </c>
      <c r="D5" s="26" t="n"/>
      <c r="E5" s="18" t="n"/>
      <c r="F5" s="19" t="n"/>
      <c r="G5" s="27" t="n"/>
      <c r="H5" s="29">
        <f>IF(OR($B5="",NOT(ISNUMBER($R5)),NOT(ISNUMBER($S5))),"",IF(OR(INDEX('仕入先'!$D$5:$D$54,$R5)="",INDEX('仕入先'!$E$5:$E$54,$R5)="",INDEX('仕入先'!$F$5:$F$54,$R5)=""),"",IF(INDEX('仕入先'!$F$5:$F$54,$R5)="末",DATE(YEAR($S5),(MONTH($S5)+IF(INDEX('仕入先'!$D$5:$D$54,$R5)="末",0,IF(DAY($S5)&lt;=INDEX('仕入先'!$D$5:$D$54,$R5),0,1))+N(INDEX('仕入先'!$E$5:$E$54,$R5)))+1,0),DATE(YEAR($S5),(MONTH($S5)+IF(INDEX('仕入先'!$D$5:$D$54,$R5)="末",0,IF(DAY($S5)&lt;=INDEX('仕入先'!$D$5:$D$54,$R5),0,1))+N(INDEX('仕入先'!$E$5:$E$54,$R5))),MIN(INDEX('仕入先'!$F$5:$F$54,$R5),DAY(DATE(YEAR($S5),(MONTH($S5)+IF(INDEX('仕入先'!$D$5:$D$54,$R5)="末",0,IF(DAY($S5)&lt;=INDEX('仕入先'!$D$5:$D$54,$R5),0,1))+N(INDEX('仕入先'!$E$5:$E$54,$R5)))+1,0)))))))</f>
        <v/>
      </c>
      <c r="I5" s="26" t="n"/>
      <c r="J5" s="29">
        <f>IF($B5="","",IF(ISNUMBER($I5),$I5,$H5))</f>
        <v/>
      </c>
      <c r="K5" s="26" t="n"/>
      <c r="L5" s="27" t="n"/>
      <c r="M5" s="27" t="n"/>
      <c r="N5" s="28">
        <f>IF($B5="","",N($G5)-N($L5)-N($M5))</f>
        <v/>
      </c>
      <c r="O5" s="30">
        <f>IF($B5="","",IF(AND(OR(N($L5)&lt;&gt;0,N($M5)&lt;&gt;0),NOT(ISNUMBER($K5))),"支払日なし",IF($N5=0,IF(N($G5)=0,"請求額0","支払済"),IF($N5&lt;0,"払いすぎ",IF(N($L5)+N($M5)=0,"未払","一部支払")))))</f>
        <v/>
      </c>
      <c r="P5" s="30">
        <f>IF(OR($B5="",N($N5)&lt;=0,NOT(ISNUMBER($J5))),"",IF($J5&lt;'設定'!$B$7,"期日超過 "&amp;('設定'!$B$7-$J5)&amp;"日",IF($J5='設定'!$B$7,"今日","あと "&amp;($J5-'設定'!$B$7)&amp;"日")))</f>
        <v/>
      </c>
      <c r="Q5" s="56" t="n"/>
      <c r="R5" s="32">
        <f>IF($B5="","",IFERROR(MATCH($B5,'仕入先'!$B$5:$B$54,0),"なし"))</f>
        <v/>
      </c>
      <c r="S5" s="33">
        <f>IF($B5="","",IF(ISNUMBER($D5),$D5,IF(ISNUMBER($A5),$A5,"")))</f>
        <v/>
      </c>
      <c r="T5" s="34">
        <f>IF(OR($B5="",N($N5)&lt;=0),"",IF(ISNUMBER($J5),$J5,99999)+ROW()/1000000)</f>
        <v/>
      </c>
      <c r="U5" s="35">
        <f>IF(OR($B5="",$B5&lt;&gt;'買掛帳'!$B$3,NOT(ISNUMBER($S5))),"",IF(AND($S5&gt;='買掛帳'!$Q$3,$S5&lt;='買掛帳'!$Q$4),$S5+ROW()/10000000,""))</f>
        <v/>
      </c>
      <c r="V5" s="35">
        <f>IF(OR($B5="",$B5&lt;&gt;'買掛帳'!$B$3,NOT(ISNUMBER($K5)),N($L5)+N($M5)=0),"",IF(AND($K5&gt;='買掛帳'!$Q$3,$K5&lt;='買掛帳'!$Q$4),$K5+0.5+ROW()/10000000,""))</f>
        <v/>
      </c>
    </row>
    <row r="6" ht="18" customHeight="1">
      <c r="A6" s="26" t="n"/>
      <c r="B6" s="18" t="n"/>
      <c r="C6" s="20">
        <f>IF($B6="","",IF($R6="なし","※仕入先にないコード",INDEX('仕入先'!$C$5:$C$54,$R6)&amp;""))</f>
        <v/>
      </c>
      <c r="D6" s="26" t="n"/>
      <c r="E6" s="18" t="n"/>
      <c r="F6" s="19" t="n"/>
      <c r="G6" s="27" t="n"/>
      <c r="H6" s="29">
        <f>IF(OR($B6="",NOT(ISNUMBER($R6)),NOT(ISNUMBER($S6))),"",IF(OR(INDEX('仕入先'!$D$5:$D$54,$R6)="",INDEX('仕入先'!$E$5:$E$54,$R6)="",INDEX('仕入先'!$F$5:$F$54,$R6)=""),"",IF(INDEX('仕入先'!$F$5:$F$54,$R6)="末",DATE(YEAR($S6),(MONTH($S6)+IF(INDEX('仕入先'!$D$5:$D$54,$R6)="末",0,IF(DAY($S6)&lt;=INDEX('仕入先'!$D$5:$D$54,$R6),0,1))+N(INDEX('仕入先'!$E$5:$E$54,$R6)))+1,0),DATE(YEAR($S6),(MONTH($S6)+IF(INDEX('仕入先'!$D$5:$D$54,$R6)="末",0,IF(DAY($S6)&lt;=INDEX('仕入先'!$D$5:$D$54,$R6),0,1))+N(INDEX('仕入先'!$E$5:$E$54,$R6))),MIN(INDEX('仕入先'!$F$5:$F$54,$R6),DAY(DATE(YEAR($S6),(MONTH($S6)+IF(INDEX('仕入先'!$D$5:$D$54,$R6)="末",0,IF(DAY($S6)&lt;=INDEX('仕入先'!$D$5:$D$54,$R6),0,1))+N(INDEX('仕入先'!$E$5:$E$54,$R6)))+1,0)))))))</f>
        <v/>
      </c>
      <c r="I6" s="26" t="n"/>
      <c r="J6" s="29">
        <f>IF($B6="","",IF(ISNUMBER($I6),$I6,$H6))</f>
        <v/>
      </c>
      <c r="K6" s="26" t="n"/>
      <c r="L6" s="27" t="n"/>
      <c r="M6" s="27" t="n"/>
      <c r="N6" s="28">
        <f>IF($B6="","",N($G6)-N($L6)-N($M6))</f>
        <v/>
      </c>
      <c r="O6" s="30">
        <f>IF($B6="","",IF(AND(OR(N($L6)&lt;&gt;0,N($M6)&lt;&gt;0),NOT(ISNUMBER($K6))),"支払日なし",IF($N6=0,IF(N($G6)=0,"請求額0","支払済"),IF($N6&lt;0,"払いすぎ",IF(N($L6)+N($M6)=0,"未払","一部支払")))))</f>
        <v/>
      </c>
      <c r="P6" s="30">
        <f>IF(OR($B6="",N($N6)&lt;=0,NOT(ISNUMBER($J6))),"",IF($J6&lt;'設定'!$B$7,"期日超過 "&amp;('設定'!$B$7-$J6)&amp;"日",IF($J6='設定'!$B$7,"今日","あと "&amp;($J6-'設定'!$B$7)&amp;"日")))</f>
        <v/>
      </c>
      <c r="Q6" s="56" t="n"/>
      <c r="R6" s="32">
        <f>IF($B6="","",IFERROR(MATCH($B6,'仕入先'!$B$5:$B$54,0),"なし"))</f>
        <v/>
      </c>
      <c r="S6" s="33">
        <f>IF($B6="","",IF(ISNUMBER($D6),$D6,IF(ISNUMBER($A6),$A6,"")))</f>
        <v/>
      </c>
      <c r="T6" s="34">
        <f>IF(OR($B6="",N($N6)&lt;=0),"",IF(ISNUMBER($J6),$J6,99999)+ROW()/1000000)</f>
        <v/>
      </c>
      <c r="U6" s="35">
        <f>IF(OR($B6="",$B6&lt;&gt;'買掛帳'!$B$3,NOT(ISNUMBER($S6))),"",IF(AND($S6&gt;='買掛帳'!$Q$3,$S6&lt;='買掛帳'!$Q$4),$S6+ROW()/10000000,""))</f>
        <v/>
      </c>
      <c r="V6" s="35">
        <f>IF(OR($B6="",$B6&lt;&gt;'買掛帳'!$B$3,NOT(ISNUMBER($K6)),N($L6)+N($M6)=0),"",IF(AND($K6&gt;='買掛帳'!$Q$3,$K6&lt;='買掛帳'!$Q$4),$K6+0.5+ROW()/10000000,""))</f>
        <v/>
      </c>
    </row>
    <row r="7" ht="18" customHeight="1">
      <c r="A7" s="26" t="n"/>
      <c r="B7" s="18" t="n"/>
      <c r="C7" s="20">
        <f>IF($B7="","",IF($R7="なし","※仕入先にないコード",INDEX('仕入先'!$C$5:$C$54,$R7)&amp;""))</f>
        <v/>
      </c>
      <c r="D7" s="26" t="n"/>
      <c r="E7" s="18" t="n"/>
      <c r="F7" s="19" t="n"/>
      <c r="G7" s="27" t="n"/>
      <c r="H7" s="29">
        <f>IF(OR($B7="",NOT(ISNUMBER($R7)),NOT(ISNUMBER($S7))),"",IF(OR(INDEX('仕入先'!$D$5:$D$54,$R7)="",INDEX('仕入先'!$E$5:$E$54,$R7)="",INDEX('仕入先'!$F$5:$F$54,$R7)=""),"",IF(INDEX('仕入先'!$F$5:$F$54,$R7)="末",DATE(YEAR($S7),(MONTH($S7)+IF(INDEX('仕入先'!$D$5:$D$54,$R7)="末",0,IF(DAY($S7)&lt;=INDEX('仕入先'!$D$5:$D$54,$R7),0,1))+N(INDEX('仕入先'!$E$5:$E$54,$R7)))+1,0),DATE(YEAR($S7),(MONTH($S7)+IF(INDEX('仕入先'!$D$5:$D$54,$R7)="末",0,IF(DAY($S7)&lt;=INDEX('仕入先'!$D$5:$D$54,$R7),0,1))+N(INDEX('仕入先'!$E$5:$E$54,$R7))),MIN(INDEX('仕入先'!$F$5:$F$54,$R7),DAY(DATE(YEAR($S7),(MONTH($S7)+IF(INDEX('仕入先'!$D$5:$D$54,$R7)="末",0,IF(DAY($S7)&lt;=INDEX('仕入先'!$D$5:$D$54,$R7),0,1))+N(INDEX('仕入先'!$E$5:$E$54,$R7)))+1,0)))))))</f>
        <v/>
      </c>
      <c r="I7" s="26" t="n"/>
      <c r="J7" s="29">
        <f>IF($B7="","",IF(ISNUMBER($I7),$I7,$H7))</f>
        <v/>
      </c>
      <c r="K7" s="26" t="n"/>
      <c r="L7" s="27" t="n"/>
      <c r="M7" s="27" t="n"/>
      <c r="N7" s="28">
        <f>IF($B7="","",N($G7)-N($L7)-N($M7))</f>
        <v/>
      </c>
      <c r="O7" s="30">
        <f>IF($B7="","",IF(AND(OR(N($L7)&lt;&gt;0,N($M7)&lt;&gt;0),NOT(ISNUMBER($K7))),"支払日なし",IF($N7=0,IF(N($G7)=0,"請求額0","支払済"),IF($N7&lt;0,"払いすぎ",IF(N($L7)+N($M7)=0,"未払","一部支払")))))</f>
        <v/>
      </c>
      <c r="P7" s="30">
        <f>IF(OR($B7="",N($N7)&lt;=0,NOT(ISNUMBER($J7))),"",IF($J7&lt;'設定'!$B$7,"期日超過 "&amp;('設定'!$B$7-$J7)&amp;"日",IF($J7='設定'!$B$7,"今日","あと "&amp;($J7-'設定'!$B$7)&amp;"日")))</f>
        <v/>
      </c>
      <c r="Q7" s="56" t="n"/>
      <c r="R7" s="32">
        <f>IF($B7="","",IFERROR(MATCH($B7,'仕入先'!$B$5:$B$54,0),"なし"))</f>
        <v/>
      </c>
      <c r="S7" s="33">
        <f>IF($B7="","",IF(ISNUMBER($D7),$D7,IF(ISNUMBER($A7),$A7,"")))</f>
        <v/>
      </c>
      <c r="T7" s="34">
        <f>IF(OR($B7="",N($N7)&lt;=0),"",IF(ISNUMBER($J7),$J7,99999)+ROW()/1000000)</f>
        <v/>
      </c>
      <c r="U7" s="35">
        <f>IF(OR($B7="",$B7&lt;&gt;'買掛帳'!$B$3,NOT(ISNUMBER($S7))),"",IF(AND($S7&gt;='買掛帳'!$Q$3,$S7&lt;='買掛帳'!$Q$4),$S7+ROW()/10000000,""))</f>
        <v/>
      </c>
      <c r="V7" s="35">
        <f>IF(OR($B7="",$B7&lt;&gt;'買掛帳'!$B$3,NOT(ISNUMBER($K7)),N($L7)+N($M7)=0),"",IF(AND($K7&gt;='買掛帳'!$Q$3,$K7&lt;='買掛帳'!$Q$4),$K7+0.5+ROW()/10000000,""))</f>
        <v/>
      </c>
    </row>
    <row r="8" ht="18" customHeight="1">
      <c r="A8" s="26" t="n"/>
      <c r="B8" s="18" t="n"/>
      <c r="C8" s="20">
        <f>IF($B8="","",IF($R8="なし","※仕入先にないコード",INDEX('仕入先'!$C$5:$C$54,$R8)&amp;""))</f>
        <v/>
      </c>
      <c r="D8" s="26" t="n"/>
      <c r="E8" s="18" t="n"/>
      <c r="F8" s="19" t="n"/>
      <c r="G8" s="27" t="n"/>
      <c r="H8" s="29">
        <f>IF(OR($B8="",NOT(ISNUMBER($R8)),NOT(ISNUMBER($S8))),"",IF(OR(INDEX('仕入先'!$D$5:$D$54,$R8)="",INDEX('仕入先'!$E$5:$E$54,$R8)="",INDEX('仕入先'!$F$5:$F$54,$R8)=""),"",IF(INDEX('仕入先'!$F$5:$F$54,$R8)="末",DATE(YEAR($S8),(MONTH($S8)+IF(INDEX('仕入先'!$D$5:$D$54,$R8)="末",0,IF(DAY($S8)&lt;=INDEX('仕入先'!$D$5:$D$54,$R8),0,1))+N(INDEX('仕入先'!$E$5:$E$54,$R8)))+1,0),DATE(YEAR($S8),(MONTH($S8)+IF(INDEX('仕入先'!$D$5:$D$54,$R8)="末",0,IF(DAY($S8)&lt;=INDEX('仕入先'!$D$5:$D$54,$R8),0,1))+N(INDEX('仕入先'!$E$5:$E$54,$R8))),MIN(INDEX('仕入先'!$F$5:$F$54,$R8),DAY(DATE(YEAR($S8),(MONTH($S8)+IF(INDEX('仕入先'!$D$5:$D$54,$R8)="末",0,IF(DAY($S8)&lt;=INDEX('仕入先'!$D$5:$D$54,$R8),0,1))+N(INDEX('仕入先'!$E$5:$E$54,$R8)))+1,0)))))))</f>
        <v/>
      </c>
      <c r="I8" s="26" t="n"/>
      <c r="J8" s="29">
        <f>IF($B8="","",IF(ISNUMBER($I8),$I8,$H8))</f>
        <v/>
      </c>
      <c r="K8" s="26" t="n"/>
      <c r="L8" s="27" t="n"/>
      <c r="M8" s="27" t="n"/>
      <c r="N8" s="28">
        <f>IF($B8="","",N($G8)-N($L8)-N($M8))</f>
        <v/>
      </c>
      <c r="O8" s="30">
        <f>IF($B8="","",IF(AND(OR(N($L8)&lt;&gt;0,N($M8)&lt;&gt;0),NOT(ISNUMBER($K8))),"支払日なし",IF($N8=0,IF(N($G8)=0,"請求額0","支払済"),IF($N8&lt;0,"払いすぎ",IF(N($L8)+N($M8)=0,"未払","一部支払")))))</f>
        <v/>
      </c>
      <c r="P8" s="30">
        <f>IF(OR($B8="",N($N8)&lt;=0,NOT(ISNUMBER($J8))),"",IF($J8&lt;'設定'!$B$7,"期日超過 "&amp;('設定'!$B$7-$J8)&amp;"日",IF($J8='設定'!$B$7,"今日","あと "&amp;($J8-'設定'!$B$7)&amp;"日")))</f>
        <v/>
      </c>
      <c r="Q8" s="56" t="n"/>
      <c r="R8" s="32">
        <f>IF($B8="","",IFERROR(MATCH($B8,'仕入先'!$B$5:$B$54,0),"なし"))</f>
        <v/>
      </c>
      <c r="S8" s="33">
        <f>IF($B8="","",IF(ISNUMBER($D8),$D8,IF(ISNUMBER($A8),$A8,"")))</f>
        <v/>
      </c>
      <c r="T8" s="34">
        <f>IF(OR($B8="",N($N8)&lt;=0),"",IF(ISNUMBER($J8),$J8,99999)+ROW()/1000000)</f>
        <v/>
      </c>
      <c r="U8" s="35">
        <f>IF(OR($B8="",$B8&lt;&gt;'買掛帳'!$B$3,NOT(ISNUMBER($S8))),"",IF(AND($S8&gt;='買掛帳'!$Q$3,$S8&lt;='買掛帳'!$Q$4),$S8+ROW()/10000000,""))</f>
        <v/>
      </c>
      <c r="V8" s="35">
        <f>IF(OR($B8="",$B8&lt;&gt;'買掛帳'!$B$3,NOT(ISNUMBER($K8)),N($L8)+N($M8)=0),"",IF(AND($K8&gt;='買掛帳'!$Q$3,$K8&lt;='買掛帳'!$Q$4),$K8+0.5+ROW()/10000000,""))</f>
        <v/>
      </c>
    </row>
    <row r="9" ht="18" customHeight="1">
      <c r="A9" s="26" t="n"/>
      <c r="B9" s="18" t="n"/>
      <c r="C9" s="20">
        <f>IF($B9="","",IF($R9="なし","※仕入先にないコード",INDEX('仕入先'!$C$5:$C$54,$R9)&amp;""))</f>
        <v/>
      </c>
      <c r="D9" s="26" t="n"/>
      <c r="E9" s="18" t="n"/>
      <c r="F9" s="19" t="n"/>
      <c r="G9" s="27" t="n"/>
      <c r="H9" s="29">
        <f>IF(OR($B9="",NOT(ISNUMBER($R9)),NOT(ISNUMBER($S9))),"",IF(OR(INDEX('仕入先'!$D$5:$D$54,$R9)="",INDEX('仕入先'!$E$5:$E$54,$R9)="",INDEX('仕入先'!$F$5:$F$54,$R9)=""),"",IF(INDEX('仕入先'!$F$5:$F$54,$R9)="末",DATE(YEAR($S9),(MONTH($S9)+IF(INDEX('仕入先'!$D$5:$D$54,$R9)="末",0,IF(DAY($S9)&lt;=INDEX('仕入先'!$D$5:$D$54,$R9),0,1))+N(INDEX('仕入先'!$E$5:$E$54,$R9)))+1,0),DATE(YEAR($S9),(MONTH($S9)+IF(INDEX('仕入先'!$D$5:$D$54,$R9)="末",0,IF(DAY($S9)&lt;=INDEX('仕入先'!$D$5:$D$54,$R9),0,1))+N(INDEX('仕入先'!$E$5:$E$54,$R9))),MIN(INDEX('仕入先'!$F$5:$F$54,$R9),DAY(DATE(YEAR($S9),(MONTH($S9)+IF(INDEX('仕入先'!$D$5:$D$54,$R9)="末",0,IF(DAY($S9)&lt;=INDEX('仕入先'!$D$5:$D$54,$R9),0,1))+N(INDEX('仕入先'!$E$5:$E$54,$R9)))+1,0)))))))</f>
        <v/>
      </c>
      <c r="I9" s="26" t="n"/>
      <c r="J9" s="29">
        <f>IF($B9="","",IF(ISNUMBER($I9),$I9,$H9))</f>
        <v/>
      </c>
      <c r="K9" s="26" t="n"/>
      <c r="L9" s="27" t="n"/>
      <c r="M9" s="27" t="n"/>
      <c r="N9" s="28">
        <f>IF($B9="","",N($G9)-N($L9)-N($M9))</f>
        <v/>
      </c>
      <c r="O9" s="30">
        <f>IF($B9="","",IF(AND(OR(N($L9)&lt;&gt;0,N($M9)&lt;&gt;0),NOT(ISNUMBER($K9))),"支払日なし",IF($N9=0,IF(N($G9)=0,"請求額0","支払済"),IF($N9&lt;0,"払いすぎ",IF(N($L9)+N($M9)=0,"未払","一部支払")))))</f>
        <v/>
      </c>
      <c r="P9" s="30">
        <f>IF(OR($B9="",N($N9)&lt;=0,NOT(ISNUMBER($J9))),"",IF($J9&lt;'設定'!$B$7,"期日超過 "&amp;('設定'!$B$7-$J9)&amp;"日",IF($J9='設定'!$B$7,"今日","あと "&amp;($J9-'設定'!$B$7)&amp;"日")))</f>
        <v/>
      </c>
      <c r="Q9" s="56" t="n"/>
      <c r="R9" s="32">
        <f>IF($B9="","",IFERROR(MATCH($B9,'仕入先'!$B$5:$B$54,0),"なし"))</f>
        <v/>
      </c>
      <c r="S9" s="33">
        <f>IF($B9="","",IF(ISNUMBER($D9),$D9,IF(ISNUMBER($A9),$A9,"")))</f>
        <v/>
      </c>
      <c r="T9" s="34">
        <f>IF(OR($B9="",N($N9)&lt;=0),"",IF(ISNUMBER($J9),$J9,99999)+ROW()/1000000)</f>
        <v/>
      </c>
      <c r="U9" s="35">
        <f>IF(OR($B9="",$B9&lt;&gt;'買掛帳'!$B$3,NOT(ISNUMBER($S9))),"",IF(AND($S9&gt;='買掛帳'!$Q$3,$S9&lt;='買掛帳'!$Q$4),$S9+ROW()/10000000,""))</f>
        <v/>
      </c>
      <c r="V9" s="35">
        <f>IF(OR($B9="",$B9&lt;&gt;'買掛帳'!$B$3,NOT(ISNUMBER($K9)),N($L9)+N($M9)=0),"",IF(AND($K9&gt;='買掛帳'!$Q$3,$K9&lt;='買掛帳'!$Q$4),$K9+0.5+ROW()/10000000,""))</f>
        <v/>
      </c>
    </row>
    <row r="10" ht="18" customHeight="1">
      <c r="A10" s="26" t="n"/>
      <c r="B10" s="18" t="n"/>
      <c r="C10" s="20">
        <f>IF($B10="","",IF($R10="なし","※仕入先にないコード",INDEX('仕入先'!$C$5:$C$54,$R10)&amp;""))</f>
        <v/>
      </c>
      <c r="D10" s="26" t="n"/>
      <c r="E10" s="18" t="n"/>
      <c r="F10" s="19" t="n"/>
      <c r="G10" s="27" t="n"/>
      <c r="H10" s="29">
        <f>IF(OR($B10="",NOT(ISNUMBER($R10)),NOT(ISNUMBER($S10))),"",IF(OR(INDEX('仕入先'!$D$5:$D$54,$R10)="",INDEX('仕入先'!$E$5:$E$54,$R10)="",INDEX('仕入先'!$F$5:$F$54,$R10)=""),"",IF(INDEX('仕入先'!$F$5:$F$54,$R10)="末",DATE(YEAR($S10),(MONTH($S10)+IF(INDEX('仕入先'!$D$5:$D$54,$R10)="末",0,IF(DAY($S10)&lt;=INDEX('仕入先'!$D$5:$D$54,$R10),0,1))+N(INDEX('仕入先'!$E$5:$E$54,$R10)))+1,0),DATE(YEAR($S10),(MONTH($S10)+IF(INDEX('仕入先'!$D$5:$D$54,$R10)="末",0,IF(DAY($S10)&lt;=INDEX('仕入先'!$D$5:$D$54,$R10),0,1))+N(INDEX('仕入先'!$E$5:$E$54,$R10))),MIN(INDEX('仕入先'!$F$5:$F$54,$R10),DAY(DATE(YEAR($S10),(MONTH($S10)+IF(INDEX('仕入先'!$D$5:$D$54,$R10)="末",0,IF(DAY($S10)&lt;=INDEX('仕入先'!$D$5:$D$54,$R10),0,1))+N(INDEX('仕入先'!$E$5:$E$54,$R10)))+1,0)))))))</f>
        <v/>
      </c>
      <c r="I10" s="26" t="n"/>
      <c r="J10" s="29">
        <f>IF($B10="","",IF(ISNUMBER($I10),$I10,$H10))</f>
        <v/>
      </c>
      <c r="K10" s="26" t="n"/>
      <c r="L10" s="27" t="n"/>
      <c r="M10" s="27" t="n"/>
      <c r="N10" s="28">
        <f>IF($B10="","",N($G10)-N($L10)-N($M10))</f>
        <v/>
      </c>
      <c r="O10" s="30">
        <f>IF($B10="","",IF(AND(OR(N($L10)&lt;&gt;0,N($M10)&lt;&gt;0),NOT(ISNUMBER($K10))),"支払日なし",IF($N10=0,IF(N($G10)=0,"請求額0","支払済"),IF($N10&lt;0,"払いすぎ",IF(N($L10)+N($M10)=0,"未払","一部支払")))))</f>
        <v/>
      </c>
      <c r="P10" s="30">
        <f>IF(OR($B10="",N($N10)&lt;=0,NOT(ISNUMBER($J10))),"",IF($J10&lt;'設定'!$B$7,"期日超過 "&amp;('設定'!$B$7-$J10)&amp;"日",IF($J10='設定'!$B$7,"今日","あと "&amp;($J10-'設定'!$B$7)&amp;"日")))</f>
        <v/>
      </c>
      <c r="Q10" s="56" t="n"/>
      <c r="R10" s="32">
        <f>IF($B10="","",IFERROR(MATCH($B10,'仕入先'!$B$5:$B$54,0),"なし"))</f>
        <v/>
      </c>
      <c r="S10" s="33">
        <f>IF($B10="","",IF(ISNUMBER($D10),$D10,IF(ISNUMBER($A10),$A10,"")))</f>
        <v/>
      </c>
      <c r="T10" s="34">
        <f>IF(OR($B10="",N($N10)&lt;=0),"",IF(ISNUMBER($J10),$J10,99999)+ROW()/1000000)</f>
        <v/>
      </c>
      <c r="U10" s="35">
        <f>IF(OR($B10="",$B10&lt;&gt;'買掛帳'!$B$3,NOT(ISNUMBER($S10))),"",IF(AND($S10&gt;='買掛帳'!$Q$3,$S10&lt;='買掛帳'!$Q$4),$S10+ROW()/10000000,""))</f>
        <v/>
      </c>
      <c r="V10" s="35">
        <f>IF(OR($B10="",$B10&lt;&gt;'買掛帳'!$B$3,NOT(ISNUMBER($K10)),N($L10)+N($M10)=0),"",IF(AND($K10&gt;='買掛帳'!$Q$3,$K10&lt;='買掛帳'!$Q$4),$K10+0.5+ROW()/10000000,""))</f>
        <v/>
      </c>
    </row>
    <row r="11" ht="18" customHeight="1">
      <c r="A11" s="26" t="n"/>
      <c r="B11" s="18" t="n"/>
      <c r="C11" s="20">
        <f>IF($B11="","",IF($R11="なし","※仕入先にないコード",INDEX('仕入先'!$C$5:$C$54,$R11)&amp;""))</f>
        <v/>
      </c>
      <c r="D11" s="26" t="n"/>
      <c r="E11" s="18" t="n"/>
      <c r="F11" s="19" t="n"/>
      <c r="G11" s="27" t="n"/>
      <c r="H11" s="29">
        <f>IF(OR($B11="",NOT(ISNUMBER($R11)),NOT(ISNUMBER($S11))),"",IF(OR(INDEX('仕入先'!$D$5:$D$54,$R11)="",INDEX('仕入先'!$E$5:$E$54,$R11)="",INDEX('仕入先'!$F$5:$F$54,$R11)=""),"",IF(INDEX('仕入先'!$F$5:$F$54,$R11)="末",DATE(YEAR($S11),(MONTH($S11)+IF(INDEX('仕入先'!$D$5:$D$54,$R11)="末",0,IF(DAY($S11)&lt;=INDEX('仕入先'!$D$5:$D$54,$R11),0,1))+N(INDEX('仕入先'!$E$5:$E$54,$R11)))+1,0),DATE(YEAR($S11),(MONTH($S11)+IF(INDEX('仕入先'!$D$5:$D$54,$R11)="末",0,IF(DAY($S11)&lt;=INDEX('仕入先'!$D$5:$D$54,$R11),0,1))+N(INDEX('仕入先'!$E$5:$E$54,$R11))),MIN(INDEX('仕入先'!$F$5:$F$54,$R11),DAY(DATE(YEAR($S11),(MONTH($S11)+IF(INDEX('仕入先'!$D$5:$D$54,$R11)="末",0,IF(DAY($S11)&lt;=INDEX('仕入先'!$D$5:$D$54,$R11),0,1))+N(INDEX('仕入先'!$E$5:$E$54,$R11)))+1,0)))))))</f>
        <v/>
      </c>
      <c r="I11" s="26" t="n"/>
      <c r="J11" s="29">
        <f>IF($B11="","",IF(ISNUMBER($I11),$I11,$H11))</f>
        <v/>
      </c>
      <c r="K11" s="26" t="n"/>
      <c r="L11" s="27" t="n"/>
      <c r="M11" s="27" t="n"/>
      <c r="N11" s="28">
        <f>IF($B11="","",N($G11)-N($L11)-N($M11))</f>
        <v/>
      </c>
      <c r="O11" s="30">
        <f>IF($B11="","",IF(AND(OR(N($L11)&lt;&gt;0,N($M11)&lt;&gt;0),NOT(ISNUMBER($K11))),"支払日なし",IF($N11=0,IF(N($G11)=0,"請求額0","支払済"),IF($N11&lt;0,"払いすぎ",IF(N($L11)+N($M11)=0,"未払","一部支払")))))</f>
        <v/>
      </c>
      <c r="P11" s="30">
        <f>IF(OR($B11="",N($N11)&lt;=0,NOT(ISNUMBER($J11))),"",IF($J11&lt;'設定'!$B$7,"期日超過 "&amp;('設定'!$B$7-$J11)&amp;"日",IF($J11='設定'!$B$7,"今日","あと "&amp;($J11-'設定'!$B$7)&amp;"日")))</f>
        <v/>
      </c>
      <c r="Q11" s="56" t="n"/>
      <c r="R11" s="32">
        <f>IF($B11="","",IFERROR(MATCH($B11,'仕入先'!$B$5:$B$54,0),"なし"))</f>
        <v/>
      </c>
      <c r="S11" s="33">
        <f>IF($B11="","",IF(ISNUMBER($D11),$D11,IF(ISNUMBER($A11),$A11,"")))</f>
        <v/>
      </c>
      <c r="T11" s="34">
        <f>IF(OR($B11="",N($N11)&lt;=0),"",IF(ISNUMBER($J11),$J11,99999)+ROW()/1000000)</f>
        <v/>
      </c>
      <c r="U11" s="35">
        <f>IF(OR($B11="",$B11&lt;&gt;'買掛帳'!$B$3,NOT(ISNUMBER($S11))),"",IF(AND($S11&gt;='買掛帳'!$Q$3,$S11&lt;='買掛帳'!$Q$4),$S11+ROW()/10000000,""))</f>
        <v/>
      </c>
      <c r="V11" s="35">
        <f>IF(OR($B11="",$B11&lt;&gt;'買掛帳'!$B$3,NOT(ISNUMBER($K11)),N($L11)+N($M11)=0),"",IF(AND($K11&gt;='買掛帳'!$Q$3,$K11&lt;='買掛帳'!$Q$4),$K11+0.5+ROW()/10000000,""))</f>
        <v/>
      </c>
    </row>
    <row r="12" ht="18" customHeight="1">
      <c r="A12" s="26" t="n"/>
      <c r="B12" s="18" t="n"/>
      <c r="C12" s="20">
        <f>IF($B12="","",IF($R12="なし","※仕入先にないコード",INDEX('仕入先'!$C$5:$C$54,$R12)&amp;""))</f>
        <v/>
      </c>
      <c r="D12" s="26" t="n"/>
      <c r="E12" s="18" t="n"/>
      <c r="F12" s="19" t="n"/>
      <c r="G12" s="27" t="n"/>
      <c r="H12" s="29">
        <f>IF(OR($B12="",NOT(ISNUMBER($R12)),NOT(ISNUMBER($S12))),"",IF(OR(INDEX('仕入先'!$D$5:$D$54,$R12)="",INDEX('仕入先'!$E$5:$E$54,$R12)="",INDEX('仕入先'!$F$5:$F$54,$R12)=""),"",IF(INDEX('仕入先'!$F$5:$F$54,$R12)="末",DATE(YEAR($S12),(MONTH($S12)+IF(INDEX('仕入先'!$D$5:$D$54,$R12)="末",0,IF(DAY($S12)&lt;=INDEX('仕入先'!$D$5:$D$54,$R12),0,1))+N(INDEX('仕入先'!$E$5:$E$54,$R12)))+1,0),DATE(YEAR($S12),(MONTH($S12)+IF(INDEX('仕入先'!$D$5:$D$54,$R12)="末",0,IF(DAY($S12)&lt;=INDEX('仕入先'!$D$5:$D$54,$R12),0,1))+N(INDEX('仕入先'!$E$5:$E$54,$R12))),MIN(INDEX('仕入先'!$F$5:$F$54,$R12),DAY(DATE(YEAR($S12),(MONTH($S12)+IF(INDEX('仕入先'!$D$5:$D$54,$R12)="末",0,IF(DAY($S12)&lt;=INDEX('仕入先'!$D$5:$D$54,$R12),0,1))+N(INDEX('仕入先'!$E$5:$E$54,$R12)))+1,0)))))))</f>
        <v/>
      </c>
      <c r="I12" s="26" t="n"/>
      <c r="J12" s="29">
        <f>IF($B12="","",IF(ISNUMBER($I12),$I12,$H12))</f>
        <v/>
      </c>
      <c r="K12" s="26" t="n"/>
      <c r="L12" s="27" t="n"/>
      <c r="M12" s="27" t="n"/>
      <c r="N12" s="28">
        <f>IF($B12="","",N($G12)-N($L12)-N($M12))</f>
        <v/>
      </c>
      <c r="O12" s="30">
        <f>IF($B12="","",IF(AND(OR(N($L12)&lt;&gt;0,N($M12)&lt;&gt;0),NOT(ISNUMBER($K12))),"支払日なし",IF($N12=0,IF(N($G12)=0,"請求額0","支払済"),IF($N12&lt;0,"払いすぎ",IF(N($L12)+N($M12)=0,"未払","一部支払")))))</f>
        <v/>
      </c>
      <c r="P12" s="30">
        <f>IF(OR($B12="",N($N12)&lt;=0,NOT(ISNUMBER($J12))),"",IF($J12&lt;'設定'!$B$7,"期日超過 "&amp;('設定'!$B$7-$J12)&amp;"日",IF($J12='設定'!$B$7,"今日","あと "&amp;($J12-'設定'!$B$7)&amp;"日")))</f>
        <v/>
      </c>
      <c r="Q12" s="56" t="n"/>
      <c r="R12" s="32">
        <f>IF($B12="","",IFERROR(MATCH($B12,'仕入先'!$B$5:$B$54,0),"なし"))</f>
        <v/>
      </c>
      <c r="S12" s="33">
        <f>IF($B12="","",IF(ISNUMBER($D12),$D12,IF(ISNUMBER($A12),$A12,"")))</f>
        <v/>
      </c>
      <c r="T12" s="34">
        <f>IF(OR($B12="",N($N12)&lt;=0),"",IF(ISNUMBER($J12),$J12,99999)+ROW()/1000000)</f>
        <v/>
      </c>
      <c r="U12" s="35">
        <f>IF(OR($B12="",$B12&lt;&gt;'買掛帳'!$B$3,NOT(ISNUMBER($S12))),"",IF(AND($S12&gt;='買掛帳'!$Q$3,$S12&lt;='買掛帳'!$Q$4),$S12+ROW()/10000000,""))</f>
        <v/>
      </c>
      <c r="V12" s="35">
        <f>IF(OR($B12="",$B12&lt;&gt;'買掛帳'!$B$3,NOT(ISNUMBER($K12)),N($L12)+N($M12)=0),"",IF(AND($K12&gt;='買掛帳'!$Q$3,$K12&lt;='買掛帳'!$Q$4),$K12+0.5+ROW()/10000000,""))</f>
        <v/>
      </c>
    </row>
    <row r="13" ht="18" customHeight="1">
      <c r="A13" s="26" t="n"/>
      <c r="B13" s="18" t="n"/>
      <c r="C13" s="20">
        <f>IF($B13="","",IF($R13="なし","※仕入先にないコード",INDEX('仕入先'!$C$5:$C$54,$R13)&amp;""))</f>
        <v/>
      </c>
      <c r="D13" s="26" t="n"/>
      <c r="E13" s="18" t="n"/>
      <c r="F13" s="19" t="n"/>
      <c r="G13" s="27" t="n"/>
      <c r="H13" s="29">
        <f>IF(OR($B13="",NOT(ISNUMBER($R13)),NOT(ISNUMBER($S13))),"",IF(OR(INDEX('仕入先'!$D$5:$D$54,$R13)="",INDEX('仕入先'!$E$5:$E$54,$R13)="",INDEX('仕入先'!$F$5:$F$54,$R13)=""),"",IF(INDEX('仕入先'!$F$5:$F$54,$R13)="末",DATE(YEAR($S13),(MONTH($S13)+IF(INDEX('仕入先'!$D$5:$D$54,$R13)="末",0,IF(DAY($S13)&lt;=INDEX('仕入先'!$D$5:$D$54,$R13),0,1))+N(INDEX('仕入先'!$E$5:$E$54,$R13)))+1,0),DATE(YEAR($S13),(MONTH($S13)+IF(INDEX('仕入先'!$D$5:$D$54,$R13)="末",0,IF(DAY($S13)&lt;=INDEX('仕入先'!$D$5:$D$54,$R13),0,1))+N(INDEX('仕入先'!$E$5:$E$54,$R13))),MIN(INDEX('仕入先'!$F$5:$F$54,$R13),DAY(DATE(YEAR($S13),(MONTH($S13)+IF(INDEX('仕入先'!$D$5:$D$54,$R13)="末",0,IF(DAY($S13)&lt;=INDEX('仕入先'!$D$5:$D$54,$R13),0,1))+N(INDEX('仕入先'!$E$5:$E$54,$R13)))+1,0)))))))</f>
        <v/>
      </c>
      <c r="I13" s="26" t="n"/>
      <c r="J13" s="29">
        <f>IF($B13="","",IF(ISNUMBER($I13),$I13,$H13))</f>
        <v/>
      </c>
      <c r="K13" s="26" t="n"/>
      <c r="L13" s="27" t="n"/>
      <c r="M13" s="27" t="n"/>
      <c r="N13" s="28">
        <f>IF($B13="","",N($G13)-N($L13)-N($M13))</f>
        <v/>
      </c>
      <c r="O13" s="30">
        <f>IF($B13="","",IF(AND(OR(N($L13)&lt;&gt;0,N($M13)&lt;&gt;0),NOT(ISNUMBER($K13))),"支払日なし",IF($N13=0,IF(N($G13)=0,"請求額0","支払済"),IF($N13&lt;0,"払いすぎ",IF(N($L13)+N($M13)=0,"未払","一部支払")))))</f>
        <v/>
      </c>
      <c r="P13" s="30">
        <f>IF(OR($B13="",N($N13)&lt;=0,NOT(ISNUMBER($J13))),"",IF($J13&lt;'設定'!$B$7,"期日超過 "&amp;('設定'!$B$7-$J13)&amp;"日",IF($J13='設定'!$B$7,"今日","あと "&amp;($J13-'設定'!$B$7)&amp;"日")))</f>
        <v/>
      </c>
      <c r="Q13" s="56" t="n"/>
      <c r="R13" s="32">
        <f>IF($B13="","",IFERROR(MATCH($B13,'仕入先'!$B$5:$B$54,0),"なし"))</f>
        <v/>
      </c>
      <c r="S13" s="33">
        <f>IF($B13="","",IF(ISNUMBER($D13),$D13,IF(ISNUMBER($A13),$A13,"")))</f>
        <v/>
      </c>
      <c r="T13" s="34">
        <f>IF(OR($B13="",N($N13)&lt;=0),"",IF(ISNUMBER($J13),$J13,99999)+ROW()/1000000)</f>
        <v/>
      </c>
      <c r="U13" s="35">
        <f>IF(OR($B13="",$B13&lt;&gt;'買掛帳'!$B$3,NOT(ISNUMBER($S13))),"",IF(AND($S13&gt;='買掛帳'!$Q$3,$S13&lt;='買掛帳'!$Q$4),$S13+ROW()/10000000,""))</f>
        <v/>
      </c>
      <c r="V13" s="35">
        <f>IF(OR($B13="",$B13&lt;&gt;'買掛帳'!$B$3,NOT(ISNUMBER($K13)),N($L13)+N($M13)=0),"",IF(AND($K13&gt;='買掛帳'!$Q$3,$K13&lt;='買掛帳'!$Q$4),$K13+0.5+ROW()/10000000,""))</f>
        <v/>
      </c>
    </row>
    <row r="14" ht="18" customHeight="1">
      <c r="A14" s="26" t="n"/>
      <c r="B14" s="18" t="n"/>
      <c r="C14" s="20">
        <f>IF($B14="","",IF($R14="なし","※仕入先にないコード",INDEX('仕入先'!$C$5:$C$54,$R14)&amp;""))</f>
        <v/>
      </c>
      <c r="D14" s="26" t="n"/>
      <c r="E14" s="18" t="n"/>
      <c r="F14" s="19" t="n"/>
      <c r="G14" s="27" t="n"/>
      <c r="H14" s="29">
        <f>IF(OR($B14="",NOT(ISNUMBER($R14)),NOT(ISNUMBER($S14))),"",IF(OR(INDEX('仕入先'!$D$5:$D$54,$R14)="",INDEX('仕入先'!$E$5:$E$54,$R14)="",INDEX('仕入先'!$F$5:$F$54,$R14)=""),"",IF(INDEX('仕入先'!$F$5:$F$54,$R14)="末",DATE(YEAR($S14),(MONTH($S14)+IF(INDEX('仕入先'!$D$5:$D$54,$R14)="末",0,IF(DAY($S14)&lt;=INDEX('仕入先'!$D$5:$D$54,$R14),0,1))+N(INDEX('仕入先'!$E$5:$E$54,$R14)))+1,0),DATE(YEAR($S14),(MONTH($S14)+IF(INDEX('仕入先'!$D$5:$D$54,$R14)="末",0,IF(DAY($S14)&lt;=INDEX('仕入先'!$D$5:$D$54,$R14),0,1))+N(INDEX('仕入先'!$E$5:$E$54,$R14))),MIN(INDEX('仕入先'!$F$5:$F$54,$R14),DAY(DATE(YEAR($S14),(MONTH($S14)+IF(INDEX('仕入先'!$D$5:$D$54,$R14)="末",0,IF(DAY($S14)&lt;=INDEX('仕入先'!$D$5:$D$54,$R14),0,1))+N(INDEX('仕入先'!$E$5:$E$54,$R14)))+1,0)))))))</f>
        <v/>
      </c>
      <c r="I14" s="26" t="n"/>
      <c r="J14" s="29">
        <f>IF($B14="","",IF(ISNUMBER($I14),$I14,$H14))</f>
        <v/>
      </c>
      <c r="K14" s="26" t="n"/>
      <c r="L14" s="27" t="n"/>
      <c r="M14" s="27" t="n"/>
      <c r="N14" s="28">
        <f>IF($B14="","",N($G14)-N($L14)-N($M14))</f>
        <v/>
      </c>
      <c r="O14" s="30">
        <f>IF($B14="","",IF(AND(OR(N($L14)&lt;&gt;0,N($M14)&lt;&gt;0),NOT(ISNUMBER($K14))),"支払日なし",IF($N14=0,IF(N($G14)=0,"請求額0","支払済"),IF($N14&lt;0,"払いすぎ",IF(N($L14)+N($M14)=0,"未払","一部支払")))))</f>
        <v/>
      </c>
      <c r="P14" s="30">
        <f>IF(OR($B14="",N($N14)&lt;=0,NOT(ISNUMBER($J14))),"",IF($J14&lt;'設定'!$B$7,"期日超過 "&amp;('設定'!$B$7-$J14)&amp;"日",IF($J14='設定'!$B$7,"今日","あと "&amp;($J14-'設定'!$B$7)&amp;"日")))</f>
        <v/>
      </c>
      <c r="Q14" s="56" t="n"/>
      <c r="R14" s="32">
        <f>IF($B14="","",IFERROR(MATCH($B14,'仕入先'!$B$5:$B$54,0),"なし"))</f>
        <v/>
      </c>
      <c r="S14" s="33">
        <f>IF($B14="","",IF(ISNUMBER($D14),$D14,IF(ISNUMBER($A14),$A14,"")))</f>
        <v/>
      </c>
      <c r="T14" s="34">
        <f>IF(OR($B14="",N($N14)&lt;=0),"",IF(ISNUMBER($J14),$J14,99999)+ROW()/1000000)</f>
        <v/>
      </c>
      <c r="U14" s="35">
        <f>IF(OR($B14="",$B14&lt;&gt;'買掛帳'!$B$3,NOT(ISNUMBER($S14))),"",IF(AND($S14&gt;='買掛帳'!$Q$3,$S14&lt;='買掛帳'!$Q$4),$S14+ROW()/10000000,""))</f>
        <v/>
      </c>
      <c r="V14" s="35">
        <f>IF(OR($B14="",$B14&lt;&gt;'買掛帳'!$B$3,NOT(ISNUMBER($K14)),N($L14)+N($M14)=0),"",IF(AND($K14&gt;='買掛帳'!$Q$3,$K14&lt;='買掛帳'!$Q$4),$K14+0.5+ROW()/10000000,""))</f>
        <v/>
      </c>
    </row>
    <row r="15" ht="18" customHeight="1">
      <c r="A15" s="26" t="n"/>
      <c r="B15" s="18" t="n"/>
      <c r="C15" s="20">
        <f>IF($B15="","",IF($R15="なし","※仕入先にないコード",INDEX('仕入先'!$C$5:$C$54,$R15)&amp;""))</f>
        <v/>
      </c>
      <c r="D15" s="26" t="n"/>
      <c r="E15" s="18" t="n"/>
      <c r="F15" s="19" t="n"/>
      <c r="G15" s="27" t="n"/>
      <c r="H15" s="29">
        <f>IF(OR($B15="",NOT(ISNUMBER($R15)),NOT(ISNUMBER($S15))),"",IF(OR(INDEX('仕入先'!$D$5:$D$54,$R15)="",INDEX('仕入先'!$E$5:$E$54,$R15)="",INDEX('仕入先'!$F$5:$F$54,$R15)=""),"",IF(INDEX('仕入先'!$F$5:$F$54,$R15)="末",DATE(YEAR($S15),(MONTH($S15)+IF(INDEX('仕入先'!$D$5:$D$54,$R15)="末",0,IF(DAY($S15)&lt;=INDEX('仕入先'!$D$5:$D$54,$R15),0,1))+N(INDEX('仕入先'!$E$5:$E$54,$R15)))+1,0),DATE(YEAR($S15),(MONTH($S15)+IF(INDEX('仕入先'!$D$5:$D$54,$R15)="末",0,IF(DAY($S15)&lt;=INDEX('仕入先'!$D$5:$D$54,$R15),0,1))+N(INDEX('仕入先'!$E$5:$E$54,$R15))),MIN(INDEX('仕入先'!$F$5:$F$54,$R15),DAY(DATE(YEAR($S15),(MONTH($S15)+IF(INDEX('仕入先'!$D$5:$D$54,$R15)="末",0,IF(DAY($S15)&lt;=INDEX('仕入先'!$D$5:$D$54,$R15),0,1))+N(INDEX('仕入先'!$E$5:$E$54,$R15)))+1,0)))))))</f>
        <v/>
      </c>
      <c r="I15" s="26" t="n"/>
      <c r="J15" s="29">
        <f>IF($B15="","",IF(ISNUMBER($I15),$I15,$H15))</f>
        <v/>
      </c>
      <c r="K15" s="26" t="n"/>
      <c r="L15" s="27" t="n"/>
      <c r="M15" s="27" t="n"/>
      <c r="N15" s="28">
        <f>IF($B15="","",N($G15)-N($L15)-N($M15))</f>
        <v/>
      </c>
      <c r="O15" s="30">
        <f>IF($B15="","",IF(AND(OR(N($L15)&lt;&gt;0,N($M15)&lt;&gt;0),NOT(ISNUMBER($K15))),"支払日なし",IF($N15=0,IF(N($G15)=0,"請求額0","支払済"),IF($N15&lt;0,"払いすぎ",IF(N($L15)+N($M15)=0,"未払","一部支払")))))</f>
        <v/>
      </c>
      <c r="P15" s="30">
        <f>IF(OR($B15="",N($N15)&lt;=0,NOT(ISNUMBER($J15))),"",IF($J15&lt;'設定'!$B$7,"期日超過 "&amp;('設定'!$B$7-$J15)&amp;"日",IF($J15='設定'!$B$7,"今日","あと "&amp;($J15-'設定'!$B$7)&amp;"日")))</f>
        <v/>
      </c>
      <c r="Q15" s="56" t="n"/>
      <c r="R15" s="32">
        <f>IF($B15="","",IFERROR(MATCH($B15,'仕入先'!$B$5:$B$54,0),"なし"))</f>
        <v/>
      </c>
      <c r="S15" s="33">
        <f>IF($B15="","",IF(ISNUMBER($D15),$D15,IF(ISNUMBER($A15),$A15,"")))</f>
        <v/>
      </c>
      <c r="T15" s="34">
        <f>IF(OR($B15="",N($N15)&lt;=0),"",IF(ISNUMBER($J15),$J15,99999)+ROW()/1000000)</f>
        <v/>
      </c>
      <c r="U15" s="35">
        <f>IF(OR($B15="",$B15&lt;&gt;'買掛帳'!$B$3,NOT(ISNUMBER($S15))),"",IF(AND($S15&gt;='買掛帳'!$Q$3,$S15&lt;='買掛帳'!$Q$4),$S15+ROW()/10000000,""))</f>
        <v/>
      </c>
      <c r="V15" s="35">
        <f>IF(OR($B15="",$B15&lt;&gt;'買掛帳'!$B$3,NOT(ISNUMBER($K15)),N($L15)+N($M15)=0),"",IF(AND($K15&gt;='買掛帳'!$Q$3,$K15&lt;='買掛帳'!$Q$4),$K15+0.5+ROW()/10000000,""))</f>
        <v/>
      </c>
    </row>
    <row r="16" ht="18" customHeight="1">
      <c r="A16" s="26" t="n"/>
      <c r="B16" s="18" t="n"/>
      <c r="C16" s="20">
        <f>IF($B16="","",IF($R16="なし","※仕入先にないコード",INDEX('仕入先'!$C$5:$C$54,$R16)&amp;""))</f>
        <v/>
      </c>
      <c r="D16" s="26" t="n"/>
      <c r="E16" s="18" t="n"/>
      <c r="F16" s="19" t="n"/>
      <c r="G16" s="27" t="n"/>
      <c r="H16" s="29">
        <f>IF(OR($B16="",NOT(ISNUMBER($R16)),NOT(ISNUMBER($S16))),"",IF(OR(INDEX('仕入先'!$D$5:$D$54,$R16)="",INDEX('仕入先'!$E$5:$E$54,$R16)="",INDEX('仕入先'!$F$5:$F$54,$R16)=""),"",IF(INDEX('仕入先'!$F$5:$F$54,$R16)="末",DATE(YEAR($S16),(MONTH($S16)+IF(INDEX('仕入先'!$D$5:$D$54,$R16)="末",0,IF(DAY($S16)&lt;=INDEX('仕入先'!$D$5:$D$54,$R16),0,1))+N(INDEX('仕入先'!$E$5:$E$54,$R16)))+1,0),DATE(YEAR($S16),(MONTH($S16)+IF(INDEX('仕入先'!$D$5:$D$54,$R16)="末",0,IF(DAY($S16)&lt;=INDEX('仕入先'!$D$5:$D$54,$R16),0,1))+N(INDEX('仕入先'!$E$5:$E$54,$R16))),MIN(INDEX('仕入先'!$F$5:$F$54,$R16),DAY(DATE(YEAR($S16),(MONTH($S16)+IF(INDEX('仕入先'!$D$5:$D$54,$R16)="末",0,IF(DAY($S16)&lt;=INDEX('仕入先'!$D$5:$D$54,$R16),0,1))+N(INDEX('仕入先'!$E$5:$E$54,$R16)))+1,0)))))))</f>
        <v/>
      </c>
      <c r="I16" s="26" t="n"/>
      <c r="J16" s="29">
        <f>IF($B16="","",IF(ISNUMBER($I16),$I16,$H16))</f>
        <v/>
      </c>
      <c r="K16" s="26" t="n"/>
      <c r="L16" s="27" t="n"/>
      <c r="M16" s="27" t="n"/>
      <c r="N16" s="28">
        <f>IF($B16="","",N($G16)-N($L16)-N($M16))</f>
        <v/>
      </c>
      <c r="O16" s="30">
        <f>IF($B16="","",IF(AND(OR(N($L16)&lt;&gt;0,N($M16)&lt;&gt;0),NOT(ISNUMBER($K16))),"支払日なし",IF($N16=0,IF(N($G16)=0,"請求額0","支払済"),IF($N16&lt;0,"払いすぎ",IF(N($L16)+N($M16)=0,"未払","一部支払")))))</f>
        <v/>
      </c>
      <c r="P16" s="30">
        <f>IF(OR($B16="",N($N16)&lt;=0,NOT(ISNUMBER($J16))),"",IF($J16&lt;'設定'!$B$7,"期日超過 "&amp;('設定'!$B$7-$J16)&amp;"日",IF($J16='設定'!$B$7,"今日","あと "&amp;($J16-'設定'!$B$7)&amp;"日")))</f>
        <v/>
      </c>
      <c r="Q16" s="56" t="n"/>
      <c r="R16" s="32">
        <f>IF($B16="","",IFERROR(MATCH($B16,'仕入先'!$B$5:$B$54,0),"なし"))</f>
        <v/>
      </c>
      <c r="S16" s="33">
        <f>IF($B16="","",IF(ISNUMBER($D16),$D16,IF(ISNUMBER($A16),$A16,"")))</f>
        <v/>
      </c>
      <c r="T16" s="34">
        <f>IF(OR($B16="",N($N16)&lt;=0),"",IF(ISNUMBER($J16),$J16,99999)+ROW()/1000000)</f>
        <v/>
      </c>
      <c r="U16" s="35">
        <f>IF(OR($B16="",$B16&lt;&gt;'買掛帳'!$B$3,NOT(ISNUMBER($S16))),"",IF(AND($S16&gt;='買掛帳'!$Q$3,$S16&lt;='買掛帳'!$Q$4),$S16+ROW()/10000000,""))</f>
        <v/>
      </c>
      <c r="V16" s="35">
        <f>IF(OR($B16="",$B16&lt;&gt;'買掛帳'!$B$3,NOT(ISNUMBER($K16)),N($L16)+N($M16)=0),"",IF(AND($K16&gt;='買掛帳'!$Q$3,$K16&lt;='買掛帳'!$Q$4),$K16+0.5+ROW()/10000000,""))</f>
        <v/>
      </c>
    </row>
    <row r="17" ht="18" customHeight="1">
      <c r="A17" s="26" t="n"/>
      <c r="B17" s="18" t="n"/>
      <c r="C17" s="20">
        <f>IF($B17="","",IF($R17="なし","※仕入先にないコード",INDEX('仕入先'!$C$5:$C$54,$R17)&amp;""))</f>
        <v/>
      </c>
      <c r="D17" s="26" t="n"/>
      <c r="E17" s="18" t="n"/>
      <c r="F17" s="19" t="n"/>
      <c r="G17" s="27" t="n"/>
      <c r="H17" s="29">
        <f>IF(OR($B17="",NOT(ISNUMBER($R17)),NOT(ISNUMBER($S17))),"",IF(OR(INDEX('仕入先'!$D$5:$D$54,$R17)="",INDEX('仕入先'!$E$5:$E$54,$R17)="",INDEX('仕入先'!$F$5:$F$54,$R17)=""),"",IF(INDEX('仕入先'!$F$5:$F$54,$R17)="末",DATE(YEAR($S17),(MONTH($S17)+IF(INDEX('仕入先'!$D$5:$D$54,$R17)="末",0,IF(DAY($S17)&lt;=INDEX('仕入先'!$D$5:$D$54,$R17),0,1))+N(INDEX('仕入先'!$E$5:$E$54,$R17)))+1,0),DATE(YEAR($S17),(MONTH($S17)+IF(INDEX('仕入先'!$D$5:$D$54,$R17)="末",0,IF(DAY($S17)&lt;=INDEX('仕入先'!$D$5:$D$54,$R17),0,1))+N(INDEX('仕入先'!$E$5:$E$54,$R17))),MIN(INDEX('仕入先'!$F$5:$F$54,$R17),DAY(DATE(YEAR($S17),(MONTH($S17)+IF(INDEX('仕入先'!$D$5:$D$54,$R17)="末",0,IF(DAY($S17)&lt;=INDEX('仕入先'!$D$5:$D$54,$R17),0,1))+N(INDEX('仕入先'!$E$5:$E$54,$R17)))+1,0)))))))</f>
        <v/>
      </c>
      <c r="I17" s="26" t="n"/>
      <c r="J17" s="29">
        <f>IF($B17="","",IF(ISNUMBER($I17),$I17,$H17))</f>
        <v/>
      </c>
      <c r="K17" s="26" t="n"/>
      <c r="L17" s="27" t="n"/>
      <c r="M17" s="27" t="n"/>
      <c r="N17" s="28">
        <f>IF($B17="","",N($G17)-N($L17)-N($M17))</f>
        <v/>
      </c>
      <c r="O17" s="30">
        <f>IF($B17="","",IF(AND(OR(N($L17)&lt;&gt;0,N($M17)&lt;&gt;0),NOT(ISNUMBER($K17))),"支払日なし",IF($N17=0,IF(N($G17)=0,"請求額0","支払済"),IF($N17&lt;0,"払いすぎ",IF(N($L17)+N($M17)=0,"未払","一部支払")))))</f>
        <v/>
      </c>
      <c r="P17" s="30">
        <f>IF(OR($B17="",N($N17)&lt;=0,NOT(ISNUMBER($J17))),"",IF($J17&lt;'設定'!$B$7,"期日超過 "&amp;('設定'!$B$7-$J17)&amp;"日",IF($J17='設定'!$B$7,"今日","あと "&amp;($J17-'設定'!$B$7)&amp;"日")))</f>
        <v/>
      </c>
      <c r="Q17" s="56" t="n"/>
      <c r="R17" s="32">
        <f>IF($B17="","",IFERROR(MATCH($B17,'仕入先'!$B$5:$B$54,0),"なし"))</f>
        <v/>
      </c>
      <c r="S17" s="33">
        <f>IF($B17="","",IF(ISNUMBER($D17),$D17,IF(ISNUMBER($A17),$A17,"")))</f>
        <v/>
      </c>
      <c r="T17" s="34">
        <f>IF(OR($B17="",N($N17)&lt;=0),"",IF(ISNUMBER($J17),$J17,99999)+ROW()/1000000)</f>
        <v/>
      </c>
      <c r="U17" s="35">
        <f>IF(OR($B17="",$B17&lt;&gt;'買掛帳'!$B$3,NOT(ISNUMBER($S17))),"",IF(AND($S17&gt;='買掛帳'!$Q$3,$S17&lt;='買掛帳'!$Q$4),$S17+ROW()/10000000,""))</f>
        <v/>
      </c>
      <c r="V17" s="35">
        <f>IF(OR($B17="",$B17&lt;&gt;'買掛帳'!$B$3,NOT(ISNUMBER($K17)),N($L17)+N($M17)=0),"",IF(AND($K17&gt;='買掛帳'!$Q$3,$K17&lt;='買掛帳'!$Q$4),$K17+0.5+ROW()/10000000,""))</f>
        <v/>
      </c>
    </row>
    <row r="18" ht="18" customHeight="1">
      <c r="A18" s="26" t="n"/>
      <c r="B18" s="18" t="n"/>
      <c r="C18" s="20">
        <f>IF($B18="","",IF($R18="なし","※仕入先にないコード",INDEX('仕入先'!$C$5:$C$54,$R18)&amp;""))</f>
        <v/>
      </c>
      <c r="D18" s="26" t="n"/>
      <c r="E18" s="18" t="n"/>
      <c r="F18" s="19" t="n"/>
      <c r="G18" s="27" t="n"/>
      <c r="H18" s="29">
        <f>IF(OR($B18="",NOT(ISNUMBER($R18)),NOT(ISNUMBER($S18))),"",IF(OR(INDEX('仕入先'!$D$5:$D$54,$R18)="",INDEX('仕入先'!$E$5:$E$54,$R18)="",INDEX('仕入先'!$F$5:$F$54,$R18)=""),"",IF(INDEX('仕入先'!$F$5:$F$54,$R18)="末",DATE(YEAR($S18),(MONTH($S18)+IF(INDEX('仕入先'!$D$5:$D$54,$R18)="末",0,IF(DAY($S18)&lt;=INDEX('仕入先'!$D$5:$D$54,$R18),0,1))+N(INDEX('仕入先'!$E$5:$E$54,$R18)))+1,0),DATE(YEAR($S18),(MONTH($S18)+IF(INDEX('仕入先'!$D$5:$D$54,$R18)="末",0,IF(DAY($S18)&lt;=INDEX('仕入先'!$D$5:$D$54,$R18),0,1))+N(INDEX('仕入先'!$E$5:$E$54,$R18))),MIN(INDEX('仕入先'!$F$5:$F$54,$R18),DAY(DATE(YEAR($S18),(MONTH($S18)+IF(INDEX('仕入先'!$D$5:$D$54,$R18)="末",0,IF(DAY($S18)&lt;=INDEX('仕入先'!$D$5:$D$54,$R18),0,1))+N(INDEX('仕入先'!$E$5:$E$54,$R18)))+1,0)))))))</f>
        <v/>
      </c>
      <c r="I18" s="26" t="n"/>
      <c r="J18" s="29">
        <f>IF($B18="","",IF(ISNUMBER($I18),$I18,$H18))</f>
        <v/>
      </c>
      <c r="K18" s="26" t="n"/>
      <c r="L18" s="27" t="n"/>
      <c r="M18" s="27" t="n"/>
      <c r="N18" s="28">
        <f>IF($B18="","",N($G18)-N($L18)-N($M18))</f>
        <v/>
      </c>
      <c r="O18" s="30">
        <f>IF($B18="","",IF(AND(OR(N($L18)&lt;&gt;0,N($M18)&lt;&gt;0),NOT(ISNUMBER($K18))),"支払日なし",IF($N18=0,IF(N($G18)=0,"請求額0","支払済"),IF($N18&lt;0,"払いすぎ",IF(N($L18)+N($M18)=0,"未払","一部支払")))))</f>
        <v/>
      </c>
      <c r="P18" s="30">
        <f>IF(OR($B18="",N($N18)&lt;=0,NOT(ISNUMBER($J18))),"",IF($J18&lt;'設定'!$B$7,"期日超過 "&amp;('設定'!$B$7-$J18)&amp;"日",IF($J18='設定'!$B$7,"今日","あと "&amp;($J18-'設定'!$B$7)&amp;"日")))</f>
        <v/>
      </c>
      <c r="Q18" s="56" t="n"/>
      <c r="R18" s="32">
        <f>IF($B18="","",IFERROR(MATCH($B18,'仕入先'!$B$5:$B$54,0),"なし"))</f>
        <v/>
      </c>
      <c r="S18" s="33">
        <f>IF($B18="","",IF(ISNUMBER($D18),$D18,IF(ISNUMBER($A18),$A18,"")))</f>
        <v/>
      </c>
      <c r="T18" s="34">
        <f>IF(OR($B18="",N($N18)&lt;=0),"",IF(ISNUMBER($J18),$J18,99999)+ROW()/1000000)</f>
        <v/>
      </c>
      <c r="U18" s="35">
        <f>IF(OR($B18="",$B18&lt;&gt;'買掛帳'!$B$3,NOT(ISNUMBER($S18))),"",IF(AND($S18&gt;='買掛帳'!$Q$3,$S18&lt;='買掛帳'!$Q$4),$S18+ROW()/10000000,""))</f>
        <v/>
      </c>
      <c r="V18" s="35">
        <f>IF(OR($B18="",$B18&lt;&gt;'買掛帳'!$B$3,NOT(ISNUMBER($K18)),N($L18)+N($M18)=0),"",IF(AND($K18&gt;='買掛帳'!$Q$3,$K18&lt;='買掛帳'!$Q$4),$K18+0.5+ROW()/10000000,""))</f>
        <v/>
      </c>
    </row>
    <row r="19" ht="18" customHeight="1">
      <c r="A19" s="26" t="n"/>
      <c r="B19" s="18" t="n"/>
      <c r="C19" s="20">
        <f>IF($B19="","",IF($R19="なし","※仕入先にないコード",INDEX('仕入先'!$C$5:$C$54,$R19)&amp;""))</f>
        <v/>
      </c>
      <c r="D19" s="26" t="n"/>
      <c r="E19" s="18" t="n"/>
      <c r="F19" s="19" t="n"/>
      <c r="G19" s="27" t="n"/>
      <c r="H19" s="29">
        <f>IF(OR($B19="",NOT(ISNUMBER($R19)),NOT(ISNUMBER($S19))),"",IF(OR(INDEX('仕入先'!$D$5:$D$54,$R19)="",INDEX('仕入先'!$E$5:$E$54,$R19)="",INDEX('仕入先'!$F$5:$F$54,$R19)=""),"",IF(INDEX('仕入先'!$F$5:$F$54,$R19)="末",DATE(YEAR($S19),(MONTH($S19)+IF(INDEX('仕入先'!$D$5:$D$54,$R19)="末",0,IF(DAY($S19)&lt;=INDEX('仕入先'!$D$5:$D$54,$R19),0,1))+N(INDEX('仕入先'!$E$5:$E$54,$R19)))+1,0),DATE(YEAR($S19),(MONTH($S19)+IF(INDEX('仕入先'!$D$5:$D$54,$R19)="末",0,IF(DAY($S19)&lt;=INDEX('仕入先'!$D$5:$D$54,$R19),0,1))+N(INDEX('仕入先'!$E$5:$E$54,$R19))),MIN(INDEX('仕入先'!$F$5:$F$54,$R19),DAY(DATE(YEAR($S19),(MONTH($S19)+IF(INDEX('仕入先'!$D$5:$D$54,$R19)="末",0,IF(DAY($S19)&lt;=INDEX('仕入先'!$D$5:$D$54,$R19),0,1))+N(INDEX('仕入先'!$E$5:$E$54,$R19)))+1,0)))))))</f>
        <v/>
      </c>
      <c r="I19" s="26" t="n"/>
      <c r="J19" s="29">
        <f>IF($B19="","",IF(ISNUMBER($I19),$I19,$H19))</f>
        <v/>
      </c>
      <c r="K19" s="26" t="n"/>
      <c r="L19" s="27" t="n"/>
      <c r="M19" s="27" t="n"/>
      <c r="N19" s="28">
        <f>IF($B19="","",N($G19)-N($L19)-N($M19))</f>
        <v/>
      </c>
      <c r="O19" s="30">
        <f>IF($B19="","",IF(AND(OR(N($L19)&lt;&gt;0,N($M19)&lt;&gt;0),NOT(ISNUMBER($K19))),"支払日なし",IF($N19=0,IF(N($G19)=0,"請求額0","支払済"),IF($N19&lt;0,"払いすぎ",IF(N($L19)+N($M19)=0,"未払","一部支払")))))</f>
        <v/>
      </c>
      <c r="P19" s="30">
        <f>IF(OR($B19="",N($N19)&lt;=0,NOT(ISNUMBER($J19))),"",IF($J19&lt;'設定'!$B$7,"期日超過 "&amp;('設定'!$B$7-$J19)&amp;"日",IF($J19='設定'!$B$7,"今日","あと "&amp;($J19-'設定'!$B$7)&amp;"日")))</f>
        <v/>
      </c>
      <c r="Q19" s="56" t="n"/>
      <c r="R19" s="32">
        <f>IF($B19="","",IFERROR(MATCH($B19,'仕入先'!$B$5:$B$54,0),"なし"))</f>
        <v/>
      </c>
      <c r="S19" s="33">
        <f>IF($B19="","",IF(ISNUMBER($D19),$D19,IF(ISNUMBER($A19),$A19,"")))</f>
        <v/>
      </c>
      <c r="T19" s="34">
        <f>IF(OR($B19="",N($N19)&lt;=0),"",IF(ISNUMBER($J19),$J19,99999)+ROW()/1000000)</f>
        <v/>
      </c>
      <c r="U19" s="35">
        <f>IF(OR($B19="",$B19&lt;&gt;'買掛帳'!$B$3,NOT(ISNUMBER($S19))),"",IF(AND($S19&gt;='買掛帳'!$Q$3,$S19&lt;='買掛帳'!$Q$4),$S19+ROW()/10000000,""))</f>
        <v/>
      </c>
      <c r="V19" s="35">
        <f>IF(OR($B19="",$B19&lt;&gt;'買掛帳'!$B$3,NOT(ISNUMBER($K19)),N($L19)+N($M19)=0),"",IF(AND($K19&gt;='買掛帳'!$Q$3,$K19&lt;='買掛帳'!$Q$4),$K19+0.5+ROW()/10000000,""))</f>
        <v/>
      </c>
    </row>
    <row r="20" ht="18" customHeight="1">
      <c r="A20" s="26" t="n"/>
      <c r="B20" s="18" t="n"/>
      <c r="C20" s="20">
        <f>IF($B20="","",IF($R20="なし","※仕入先にないコード",INDEX('仕入先'!$C$5:$C$54,$R20)&amp;""))</f>
        <v/>
      </c>
      <c r="D20" s="26" t="n"/>
      <c r="E20" s="18" t="n"/>
      <c r="F20" s="19" t="n"/>
      <c r="G20" s="27" t="n"/>
      <c r="H20" s="29">
        <f>IF(OR($B20="",NOT(ISNUMBER($R20)),NOT(ISNUMBER($S20))),"",IF(OR(INDEX('仕入先'!$D$5:$D$54,$R20)="",INDEX('仕入先'!$E$5:$E$54,$R20)="",INDEX('仕入先'!$F$5:$F$54,$R20)=""),"",IF(INDEX('仕入先'!$F$5:$F$54,$R20)="末",DATE(YEAR($S20),(MONTH($S20)+IF(INDEX('仕入先'!$D$5:$D$54,$R20)="末",0,IF(DAY($S20)&lt;=INDEX('仕入先'!$D$5:$D$54,$R20),0,1))+N(INDEX('仕入先'!$E$5:$E$54,$R20)))+1,0),DATE(YEAR($S20),(MONTH($S20)+IF(INDEX('仕入先'!$D$5:$D$54,$R20)="末",0,IF(DAY($S20)&lt;=INDEX('仕入先'!$D$5:$D$54,$R20),0,1))+N(INDEX('仕入先'!$E$5:$E$54,$R20))),MIN(INDEX('仕入先'!$F$5:$F$54,$R20),DAY(DATE(YEAR($S20),(MONTH($S20)+IF(INDEX('仕入先'!$D$5:$D$54,$R20)="末",0,IF(DAY($S20)&lt;=INDEX('仕入先'!$D$5:$D$54,$R20),0,1))+N(INDEX('仕入先'!$E$5:$E$54,$R20)))+1,0)))))))</f>
        <v/>
      </c>
      <c r="I20" s="26" t="n"/>
      <c r="J20" s="29">
        <f>IF($B20="","",IF(ISNUMBER($I20),$I20,$H20))</f>
        <v/>
      </c>
      <c r="K20" s="26" t="n"/>
      <c r="L20" s="27" t="n"/>
      <c r="M20" s="27" t="n"/>
      <c r="N20" s="28">
        <f>IF($B20="","",N($G20)-N($L20)-N($M20))</f>
        <v/>
      </c>
      <c r="O20" s="30">
        <f>IF($B20="","",IF(AND(OR(N($L20)&lt;&gt;0,N($M20)&lt;&gt;0),NOT(ISNUMBER($K20))),"支払日なし",IF($N20=0,IF(N($G20)=0,"請求額0","支払済"),IF($N20&lt;0,"払いすぎ",IF(N($L20)+N($M20)=0,"未払","一部支払")))))</f>
        <v/>
      </c>
      <c r="P20" s="30">
        <f>IF(OR($B20="",N($N20)&lt;=0,NOT(ISNUMBER($J20))),"",IF($J20&lt;'設定'!$B$7,"期日超過 "&amp;('設定'!$B$7-$J20)&amp;"日",IF($J20='設定'!$B$7,"今日","あと "&amp;($J20-'設定'!$B$7)&amp;"日")))</f>
        <v/>
      </c>
      <c r="Q20" s="56" t="n"/>
      <c r="R20" s="32">
        <f>IF($B20="","",IFERROR(MATCH($B20,'仕入先'!$B$5:$B$54,0),"なし"))</f>
        <v/>
      </c>
      <c r="S20" s="33">
        <f>IF($B20="","",IF(ISNUMBER($D20),$D20,IF(ISNUMBER($A20),$A20,"")))</f>
        <v/>
      </c>
      <c r="T20" s="34">
        <f>IF(OR($B20="",N($N20)&lt;=0),"",IF(ISNUMBER($J20),$J20,99999)+ROW()/1000000)</f>
        <v/>
      </c>
      <c r="U20" s="35">
        <f>IF(OR($B20="",$B20&lt;&gt;'買掛帳'!$B$3,NOT(ISNUMBER($S20))),"",IF(AND($S20&gt;='買掛帳'!$Q$3,$S20&lt;='買掛帳'!$Q$4),$S20+ROW()/10000000,""))</f>
        <v/>
      </c>
      <c r="V20" s="35">
        <f>IF(OR($B20="",$B20&lt;&gt;'買掛帳'!$B$3,NOT(ISNUMBER($K20)),N($L20)+N($M20)=0),"",IF(AND($K20&gt;='買掛帳'!$Q$3,$K20&lt;='買掛帳'!$Q$4),$K20+0.5+ROW()/10000000,""))</f>
        <v/>
      </c>
    </row>
    <row r="21" ht="18" customHeight="1">
      <c r="A21" s="26" t="n"/>
      <c r="B21" s="18" t="n"/>
      <c r="C21" s="20">
        <f>IF($B21="","",IF($R21="なし","※仕入先にないコード",INDEX('仕入先'!$C$5:$C$54,$R21)&amp;""))</f>
        <v/>
      </c>
      <c r="D21" s="26" t="n"/>
      <c r="E21" s="18" t="n"/>
      <c r="F21" s="19" t="n"/>
      <c r="G21" s="27" t="n"/>
      <c r="H21" s="29">
        <f>IF(OR($B21="",NOT(ISNUMBER($R21)),NOT(ISNUMBER($S21))),"",IF(OR(INDEX('仕入先'!$D$5:$D$54,$R21)="",INDEX('仕入先'!$E$5:$E$54,$R21)="",INDEX('仕入先'!$F$5:$F$54,$R21)=""),"",IF(INDEX('仕入先'!$F$5:$F$54,$R21)="末",DATE(YEAR($S21),(MONTH($S21)+IF(INDEX('仕入先'!$D$5:$D$54,$R21)="末",0,IF(DAY($S21)&lt;=INDEX('仕入先'!$D$5:$D$54,$R21),0,1))+N(INDEX('仕入先'!$E$5:$E$54,$R21)))+1,0),DATE(YEAR($S21),(MONTH($S21)+IF(INDEX('仕入先'!$D$5:$D$54,$R21)="末",0,IF(DAY($S21)&lt;=INDEX('仕入先'!$D$5:$D$54,$R21),0,1))+N(INDEX('仕入先'!$E$5:$E$54,$R21))),MIN(INDEX('仕入先'!$F$5:$F$54,$R21),DAY(DATE(YEAR($S21),(MONTH($S21)+IF(INDEX('仕入先'!$D$5:$D$54,$R21)="末",0,IF(DAY($S21)&lt;=INDEX('仕入先'!$D$5:$D$54,$R21),0,1))+N(INDEX('仕入先'!$E$5:$E$54,$R21)))+1,0)))))))</f>
        <v/>
      </c>
      <c r="I21" s="26" t="n"/>
      <c r="J21" s="29">
        <f>IF($B21="","",IF(ISNUMBER($I21),$I21,$H21))</f>
        <v/>
      </c>
      <c r="K21" s="26" t="n"/>
      <c r="L21" s="27" t="n"/>
      <c r="M21" s="27" t="n"/>
      <c r="N21" s="28">
        <f>IF($B21="","",N($G21)-N($L21)-N($M21))</f>
        <v/>
      </c>
      <c r="O21" s="30">
        <f>IF($B21="","",IF(AND(OR(N($L21)&lt;&gt;0,N($M21)&lt;&gt;0),NOT(ISNUMBER($K21))),"支払日なし",IF($N21=0,IF(N($G21)=0,"請求額0","支払済"),IF($N21&lt;0,"払いすぎ",IF(N($L21)+N($M21)=0,"未払","一部支払")))))</f>
        <v/>
      </c>
      <c r="P21" s="30">
        <f>IF(OR($B21="",N($N21)&lt;=0,NOT(ISNUMBER($J21))),"",IF($J21&lt;'設定'!$B$7,"期日超過 "&amp;('設定'!$B$7-$J21)&amp;"日",IF($J21='設定'!$B$7,"今日","あと "&amp;($J21-'設定'!$B$7)&amp;"日")))</f>
        <v/>
      </c>
      <c r="Q21" s="56" t="n"/>
      <c r="R21" s="32">
        <f>IF($B21="","",IFERROR(MATCH($B21,'仕入先'!$B$5:$B$54,0),"なし"))</f>
        <v/>
      </c>
      <c r="S21" s="33">
        <f>IF($B21="","",IF(ISNUMBER($D21),$D21,IF(ISNUMBER($A21),$A21,"")))</f>
        <v/>
      </c>
      <c r="T21" s="34">
        <f>IF(OR($B21="",N($N21)&lt;=0),"",IF(ISNUMBER($J21),$J21,99999)+ROW()/1000000)</f>
        <v/>
      </c>
      <c r="U21" s="35">
        <f>IF(OR($B21="",$B21&lt;&gt;'買掛帳'!$B$3,NOT(ISNUMBER($S21))),"",IF(AND($S21&gt;='買掛帳'!$Q$3,$S21&lt;='買掛帳'!$Q$4),$S21+ROW()/10000000,""))</f>
        <v/>
      </c>
      <c r="V21" s="35">
        <f>IF(OR($B21="",$B21&lt;&gt;'買掛帳'!$B$3,NOT(ISNUMBER($K21)),N($L21)+N($M21)=0),"",IF(AND($K21&gt;='買掛帳'!$Q$3,$K21&lt;='買掛帳'!$Q$4),$K21+0.5+ROW()/10000000,""))</f>
        <v/>
      </c>
    </row>
    <row r="22" ht="18" customHeight="1">
      <c r="A22" s="26" t="n"/>
      <c r="B22" s="18" t="n"/>
      <c r="C22" s="20">
        <f>IF($B22="","",IF($R22="なし","※仕入先にないコード",INDEX('仕入先'!$C$5:$C$54,$R22)&amp;""))</f>
        <v/>
      </c>
      <c r="D22" s="26" t="n"/>
      <c r="E22" s="18" t="n"/>
      <c r="F22" s="19" t="n"/>
      <c r="G22" s="27" t="n"/>
      <c r="H22" s="29">
        <f>IF(OR($B22="",NOT(ISNUMBER($R22)),NOT(ISNUMBER($S22))),"",IF(OR(INDEX('仕入先'!$D$5:$D$54,$R22)="",INDEX('仕入先'!$E$5:$E$54,$R22)="",INDEX('仕入先'!$F$5:$F$54,$R22)=""),"",IF(INDEX('仕入先'!$F$5:$F$54,$R22)="末",DATE(YEAR($S22),(MONTH($S22)+IF(INDEX('仕入先'!$D$5:$D$54,$R22)="末",0,IF(DAY($S22)&lt;=INDEX('仕入先'!$D$5:$D$54,$R22),0,1))+N(INDEX('仕入先'!$E$5:$E$54,$R22)))+1,0),DATE(YEAR($S22),(MONTH($S22)+IF(INDEX('仕入先'!$D$5:$D$54,$R22)="末",0,IF(DAY($S22)&lt;=INDEX('仕入先'!$D$5:$D$54,$R22),0,1))+N(INDEX('仕入先'!$E$5:$E$54,$R22))),MIN(INDEX('仕入先'!$F$5:$F$54,$R22),DAY(DATE(YEAR($S22),(MONTH($S22)+IF(INDEX('仕入先'!$D$5:$D$54,$R22)="末",0,IF(DAY($S22)&lt;=INDEX('仕入先'!$D$5:$D$54,$R22),0,1))+N(INDEX('仕入先'!$E$5:$E$54,$R22)))+1,0)))))))</f>
        <v/>
      </c>
      <c r="I22" s="26" t="n"/>
      <c r="J22" s="29">
        <f>IF($B22="","",IF(ISNUMBER($I22),$I22,$H22))</f>
        <v/>
      </c>
      <c r="K22" s="26" t="n"/>
      <c r="L22" s="27" t="n"/>
      <c r="M22" s="27" t="n"/>
      <c r="N22" s="28">
        <f>IF($B22="","",N($G22)-N($L22)-N($M22))</f>
        <v/>
      </c>
      <c r="O22" s="30">
        <f>IF($B22="","",IF(AND(OR(N($L22)&lt;&gt;0,N($M22)&lt;&gt;0),NOT(ISNUMBER($K22))),"支払日なし",IF($N22=0,IF(N($G22)=0,"請求額0","支払済"),IF($N22&lt;0,"払いすぎ",IF(N($L22)+N($M22)=0,"未払","一部支払")))))</f>
        <v/>
      </c>
      <c r="P22" s="30">
        <f>IF(OR($B22="",N($N22)&lt;=0,NOT(ISNUMBER($J22))),"",IF($J22&lt;'設定'!$B$7,"期日超過 "&amp;('設定'!$B$7-$J22)&amp;"日",IF($J22='設定'!$B$7,"今日","あと "&amp;($J22-'設定'!$B$7)&amp;"日")))</f>
        <v/>
      </c>
      <c r="Q22" s="56" t="n"/>
      <c r="R22" s="32">
        <f>IF($B22="","",IFERROR(MATCH($B22,'仕入先'!$B$5:$B$54,0),"なし"))</f>
        <v/>
      </c>
      <c r="S22" s="33">
        <f>IF($B22="","",IF(ISNUMBER($D22),$D22,IF(ISNUMBER($A22),$A22,"")))</f>
        <v/>
      </c>
      <c r="T22" s="34">
        <f>IF(OR($B22="",N($N22)&lt;=0),"",IF(ISNUMBER($J22),$J22,99999)+ROW()/1000000)</f>
        <v/>
      </c>
      <c r="U22" s="35">
        <f>IF(OR($B22="",$B22&lt;&gt;'買掛帳'!$B$3,NOT(ISNUMBER($S22))),"",IF(AND($S22&gt;='買掛帳'!$Q$3,$S22&lt;='買掛帳'!$Q$4),$S22+ROW()/10000000,""))</f>
        <v/>
      </c>
      <c r="V22" s="35">
        <f>IF(OR($B22="",$B22&lt;&gt;'買掛帳'!$B$3,NOT(ISNUMBER($K22)),N($L22)+N($M22)=0),"",IF(AND($K22&gt;='買掛帳'!$Q$3,$K22&lt;='買掛帳'!$Q$4),$K22+0.5+ROW()/10000000,""))</f>
        <v/>
      </c>
    </row>
    <row r="23" ht="18" customHeight="1">
      <c r="A23" s="26" t="n"/>
      <c r="B23" s="18" t="n"/>
      <c r="C23" s="20">
        <f>IF($B23="","",IF($R23="なし","※仕入先にないコード",INDEX('仕入先'!$C$5:$C$54,$R23)&amp;""))</f>
        <v/>
      </c>
      <c r="D23" s="26" t="n"/>
      <c r="E23" s="18" t="n"/>
      <c r="F23" s="19" t="n"/>
      <c r="G23" s="27" t="n"/>
      <c r="H23" s="29">
        <f>IF(OR($B23="",NOT(ISNUMBER($R23)),NOT(ISNUMBER($S23))),"",IF(OR(INDEX('仕入先'!$D$5:$D$54,$R23)="",INDEX('仕入先'!$E$5:$E$54,$R23)="",INDEX('仕入先'!$F$5:$F$54,$R23)=""),"",IF(INDEX('仕入先'!$F$5:$F$54,$R23)="末",DATE(YEAR($S23),(MONTH($S23)+IF(INDEX('仕入先'!$D$5:$D$54,$R23)="末",0,IF(DAY($S23)&lt;=INDEX('仕入先'!$D$5:$D$54,$R23),0,1))+N(INDEX('仕入先'!$E$5:$E$54,$R23)))+1,0),DATE(YEAR($S23),(MONTH($S23)+IF(INDEX('仕入先'!$D$5:$D$54,$R23)="末",0,IF(DAY($S23)&lt;=INDEX('仕入先'!$D$5:$D$54,$R23),0,1))+N(INDEX('仕入先'!$E$5:$E$54,$R23))),MIN(INDEX('仕入先'!$F$5:$F$54,$R23),DAY(DATE(YEAR($S23),(MONTH($S23)+IF(INDEX('仕入先'!$D$5:$D$54,$R23)="末",0,IF(DAY($S23)&lt;=INDEX('仕入先'!$D$5:$D$54,$R23),0,1))+N(INDEX('仕入先'!$E$5:$E$54,$R23)))+1,0)))))))</f>
        <v/>
      </c>
      <c r="I23" s="26" t="n"/>
      <c r="J23" s="29">
        <f>IF($B23="","",IF(ISNUMBER($I23),$I23,$H23))</f>
        <v/>
      </c>
      <c r="K23" s="26" t="n"/>
      <c r="L23" s="27" t="n"/>
      <c r="M23" s="27" t="n"/>
      <c r="N23" s="28">
        <f>IF($B23="","",N($G23)-N($L23)-N($M23))</f>
        <v/>
      </c>
      <c r="O23" s="30">
        <f>IF($B23="","",IF(AND(OR(N($L23)&lt;&gt;0,N($M23)&lt;&gt;0),NOT(ISNUMBER($K23))),"支払日なし",IF($N23=0,IF(N($G23)=0,"請求額0","支払済"),IF($N23&lt;0,"払いすぎ",IF(N($L23)+N($M23)=0,"未払","一部支払")))))</f>
        <v/>
      </c>
      <c r="P23" s="30">
        <f>IF(OR($B23="",N($N23)&lt;=0,NOT(ISNUMBER($J23))),"",IF($J23&lt;'設定'!$B$7,"期日超過 "&amp;('設定'!$B$7-$J23)&amp;"日",IF($J23='設定'!$B$7,"今日","あと "&amp;($J23-'設定'!$B$7)&amp;"日")))</f>
        <v/>
      </c>
      <c r="Q23" s="56" t="n"/>
      <c r="R23" s="32">
        <f>IF($B23="","",IFERROR(MATCH($B23,'仕入先'!$B$5:$B$54,0),"なし"))</f>
        <v/>
      </c>
      <c r="S23" s="33">
        <f>IF($B23="","",IF(ISNUMBER($D23),$D23,IF(ISNUMBER($A23),$A23,"")))</f>
        <v/>
      </c>
      <c r="T23" s="34">
        <f>IF(OR($B23="",N($N23)&lt;=0),"",IF(ISNUMBER($J23),$J23,99999)+ROW()/1000000)</f>
        <v/>
      </c>
      <c r="U23" s="35">
        <f>IF(OR($B23="",$B23&lt;&gt;'買掛帳'!$B$3,NOT(ISNUMBER($S23))),"",IF(AND($S23&gt;='買掛帳'!$Q$3,$S23&lt;='買掛帳'!$Q$4),$S23+ROW()/10000000,""))</f>
        <v/>
      </c>
      <c r="V23" s="35">
        <f>IF(OR($B23="",$B23&lt;&gt;'買掛帳'!$B$3,NOT(ISNUMBER($K23)),N($L23)+N($M23)=0),"",IF(AND($K23&gt;='買掛帳'!$Q$3,$K23&lt;='買掛帳'!$Q$4),$K23+0.5+ROW()/10000000,""))</f>
        <v/>
      </c>
    </row>
    <row r="24" ht="18" customHeight="1">
      <c r="A24" s="26" t="n"/>
      <c r="B24" s="18" t="n"/>
      <c r="C24" s="20">
        <f>IF($B24="","",IF($R24="なし","※仕入先にないコード",INDEX('仕入先'!$C$5:$C$54,$R24)&amp;""))</f>
        <v/>
      </c>
      <c r="D24" s="26" t="n"/>
      <c r="E24" s="18" t="n"/>
      <c r="F24" s="19" t="n"/>
      <c r="G24" s="27" t="n"/>
      <c r="H24" s="29">
        <f>IF(OR($B24="",NOT(ISNUMBER($R24)),NOT(ISNUMBER($S24))),"",IF(OR(INDEX('仕入先'!$D$5:$D$54,$R24)="",INDEX('仕入先'!$E$5:$E$54,$R24)="",INDEX('仕入先'!$F$5:$F$54,$R24)=""),"",IF(INDEX('仕入先'!$F$5:$F$54,$R24)="末",DATE(YEAR($S24),(MONTH($S24)+IF(INDEX('仕入先'!$D$5:$D$54,$R24)="末",0,IF(DAY($S24)&lt;=INDEX('仕入先'!$D$5:$D$54,$R24),0,1))+N(INDEX('仕入先'!$E$5:$E$54,$R24)))+1,0),DATE(YEAR($S24),(MONTH($S24)+IF(INDEX('仕入先'!$D$5:$D$54,$R24)="末",0,IF(DAY($S24)&lt;=INDEX('仕入先'!$D$5:$D$54,$R24),0,1))+N(INDEX('仕入先'!$E$5:$E$54,$R24))),MIN(INDEX('仕入先'!$F$5:$F$54,$R24),DAY(DATE(YEAR($S24),(MONTH($S24)+IF(INDEX('仕入先'!$D$5:$D$54,$R24)="末",0,IF(DAY($S24)&lt;=INDEX('仕入先'!$D$5:$D$54,$R24),0,1))+N(INDEX('仕入先'!$E$5:$E$54,$R24)))+1,0)))))))</f>
        <v/>
      </c>
      <c r="I24" s="26" t="n"/>
      <c r="J24" s="29">
        <f>IF($B24="","",IF(ISNUMBER($I24),$I24,$H24))</f>
        <v/>
      </c>
      <c r="K24" s="26" t="n"/>
      <c r="L24" s="27" t="n"/>
      <c r="M24" s="27" t="n"/>
      <c r="N24" s="28">
        <f>IF($B24="","",N($G24)-N($L24)-N($M24))</f>
        <v/>
      </c>
      <c r="O24" s="30">
        <f>IF($B24="","",IF(AND(OR(N($L24)&lt;&gt;0,N($M24)&lt;&gt;0),NOT(ISNUMBER($K24))),"支払日なし",IF($N24=0,IF(N($G24)=0,"請求額0","支払済"),IF($N24&lt;0,"払いすぎ",IF(N($L24)+N($M24)=0,"未払","一部支払")))))</f>
        <v/>
      </c>
      <c r="P24" s="30">
        <f>IF(OR($B24="",N($N24)&lt;=0,NOT(ISNUMBER($J24))),"",IF($J24&lt;'設定'!$B$7,"期日超過 "&amp;('設定'!$B$7-$J24)&amp;"日",IF($J24='設定'!$B$7,"今日","あと "&amp;($J24-'設定'!$B$7)&amp;"日")))</f>
        <v/>
      </c>
      <c r="Q24" s="56" t="n"/>
      <c r="R24" s="32">
        <f>IF($B24="","",IFERROR(MATCH($B24,'仕入先'!$B$5:$B$54,0),"なし"))</f>
        <v/>
      </c>
      <c r="S24" s="33">
        <f>IF($B24="","",IF(ISNUMBER($D24),$D24,IF(ISNUMBER($A24),$A24,"")))</f>
        <v/>
      </c>
      <c r="T24" s="34">
        <f>IF(OR($B24="",N($N24)&lt;=0),"",IF(ISNUMBER($J24),$J24,99999)+ROW()/1000000)</f>
        <v/>
      </c>
      <c r="U24" s="35">
        <f>IF(OR($B24="",$B24&lt;&gt;'買掛帳'!$B$3,NOT(ISNUMBER($S24))),"",IF(AND($S24&gt;='買掛帳'!$Q$3,$S24&lt;='買掛帳'!$Q$4),$S24+ROW()/10000000,""))</f>
        <v/>
      </c>
      <c r="V24" s="35">
        <f>IF(OR($B24="",$B24&lt;&gt;'買掛帳'!$B$3,NOT(ISNUMBER($K24)),N($L24)+N($M24)=0),"",IF(AND($K24&gt;='買掛帳'!$Q$3,$K24&lt;='買掛帳'!$Q$4),$K24+0.5+ROW()/10000000,""))</f>
        <v/>
      </c>
    </row>
    <row r="25" ht="18" customHeight="1">
      <c r="A25" s="26" t="n"/>
      <c r="B25" s="18" t="n"/>
      <c r="C25" s="20">
        <f>IF($B25="","",IF($R25="なし","※仕入先にないコード",INDEX('仕入先'!$C$5:$C$54,$R25)&amp;""))</f>
        <v/>
      </c>
      <c r="D25" s="26" t="n"/>
      <c r="E25" s="18" t="n"/>
      <c r="F25" s="19" t="n"/>
      <c r="G25" s="27" t="n"/>
      <c r="H25" s="29">
        <f>IF(OR($B25="",NOT(ISNUMBER($R25)),NOT(ISNUMBER($S25))),"",IF(OR(INDEX('仕入先'!$D$5:$D$54,$R25)="",INDEX('仕入先'!$E$5:$E$54,$R25)="",INDEX('仕入先'!$F$5:$F$54,$R25)=""),"",IF(INDEX('仕入先'!$F$5:$F$54,$R25)="末",DATE(YEAR($S25),(MONTH($S25)+IF(INDEX('仕入先'!$D$5:$D$54,$R25)="末",0,IF(DAY($S25)&lt;=INDEX('仕入先'!$D$5:$D$54,$R25),0,1))+N(INDEX('仕入先'!$E$5:$E$54,$R25)))+1,0),DATE(YEAR($S25),(MONTH($S25)+IF(INDEX('仕入先'!$D$5:$D$54,$R25)="末",0,IF(DAY($S25)&lt;=INDEX('仕入先'!$D$5:$D$54,$R25),0,1))+N(INDEX('仕入先'!$E$5:$E$54,$R25))),MIN(INDEX('仕入先'!$F$5:$F$54,$R25),DAY(DATE(YEAR($S25),(MONTH($S25)+IF(INDEX('仕入先'!$D$5:$D$54,$R25)="末",0,IF(DAY($S25)&lt;=INDEX('仕入先'!$D$5:$D$54,$R25),0,1))+N(INDEX('仕入先'!$E$5:$E$54,$R25)))+1,0)))))))</f>
        <v/>
      </c>
      <c r="I25" s="26" t="n"/>
      <c r="J25" s="29">
        <f>IF($B25="","",IF(ISNUMBER($I25),$I25,$H25))</f>
        <v/>
      </c>
      <c r="K25" s="26" t="n"/>
      <c r="L25" s="27" t="n"/>
      <c r="M25" s="27" t="n"/>
      <c r="N25" s="28">
        <f>IF($B25="","",N($G25)-N($L25)-N($M25))</f>
        <v/>
      </c>
      <c r="O25" s="30">
        <f>IF($B25="","",IF(AND(OR(N($L25)&lt;&gt;0,N($M25)&lt;&gt;0),NOT(ISNUMBER($K25))),"支払日なし",IF($N25=0,IF(N($G25)=0,"請求額0","支払済"),IF($N25&lt;0,"払いすぎ",IF(N($L25)+N($M25)=0,"未払","一部支払")))))</f>
        <v/>
      </c>
      <c r="P25" s="30">
        <f>IF(OR($B25="",N($N25)&lt;=0,NOT(ISNUMBER($J25))),"",IF($J25&lt;'設定'!$B$7,"期日超過 "&amp;('設定'!$B$7-$J25)&amp;"日",IF($J25='設定'!$B$7,"今日","あと "&amp;($J25-'設定'!$B$7)&amp;"日")))</f>
        <v/>
      </c>
      <c r="Q25" s="56" t="n"/>
      <c r="R25" s="32">
        <f>IF($B25="","",IFERROR(MATCH($B25,'仕入先'!$B$5:$B$54,0),"なし"))</f>
        <v/>
      </c>
      <c r="S25" s="33">
        <f>IF($B25="","",IF(ISNUMBER($D25),$D25,IF(ISNUMBER($A25),$A25,"")))</f>
        <v/>
      </c>
      <c r="T25" s="34">
        <f>IF(OR($B25="",N($N25)&lt;=0),"",IF(ISNUMBER($J25),$J25,99999)+ROW()/1000000)</f>
        <v/>
      </c>
      <c r="U25" s="35">
        <f>IF(OR($B25="",$B25&lt;&gt;'買掛帳'!$B$3,NOT(ISNUMBER($S25))),"",IF(AND($S25&gt;='買掛帳'!$Q$3,$S25&lt;='買掛帳'!$Q$4),$S25+ROW()/10000000,""))</f>
        <v/>
      </c>
      <c r="V25" s="35">
        <f>IF(OR($B25="",$B25&lt;&gt;'買掛帳'!$B$3,NOT(ISNUMBER($K25)),N($L25)+N($M25)=0),"",IF(AND($K25&gt;='買掛帳'!$Q$3,$K25&lt;='買掛帳'!$Q$4),$K25+0.5+ROW()/10000000,""))</f>
        <v/>
      </c>
    </row>
    <row r="26" ht="18" customHeight="1">
      <c r="A26" s="26" t="n"/>
      <c r="B26" s="18" t="n"/>
      <c r="C26" s="20">
        <f>IF($B26="","",IF($R26="なし","※仕入先にないコード",INDEX('仕入先'!$C$5:$C$54,$R26)&amp;""))</f>
        <v/>
      </c>
      <c r="D26" s="26" t="n"/>
      <c r="E26" s="18" t="n"/>
      <c r="F26" s="19" t="n"/>
      <c r="G26" s="27" t="n"/>
      <c r="H26" s="29">
        <f>IF(OR($B26="",NOT(ISNUMBER($R26)),NOT(ISNUMBER($S26))),"",IF(OR(INDEX('仕入先'!$D$5:$D$54,$R26)="",INDEX('仕入先'!$E$5:$E$54,$R26)="",INDEX('仕入先'!$F$5:$F$54,$R26)=""),"",IF(INDEX('仕入先'!$F$5:$F$54,$R26)="末",DATE(YEAR($S26),(MONTH($S26)+IF(INDEX('仕入先'!$D$5:$D$54,$R26)="末",0,IF(DAY($S26)&lt;=INDEX('仕入先'!$D$5:$D$54,$R26),0,1))+N(INDEX('仕入先'!$E$5:$E$54,$R26)))+1,0),DATE(YEAR($S26),(MONTH($S26)+IF(INDEX('仕入先'!$D$5:$D$54,$R26)="末",0,IF(DAY($S26)&lt;=INDEX('仕入先'!$D$5:$D$54,$R26),0,1))+N(INDEX('仕入先'!$E$5:$E$54,$R26))),MIN(INDEX('仕入先'!$F$5:$F$54,$R26),DAY(DATE(YEAR($S26),(MONTH($S26)+IF(INDEX('仕入先'!$D$5:$D$54,$R26)="末",0,IF(DAY($S26)&lt;=INDEX('仕入先'!$D$5:$D$54,$R26),0,1))+N(INDEX('仕入先'!$E$5:$E$54,$R26)))+1,0)))))))</f>
        <v/>
      </c>
      <c r="I26" s="26" t="n"/>
      <c r="J26" s="29">
        <f>IF($B26="","",IF(ISNUMBER($I26),$I26,$H26))</f>
        <v/>
      </c>
      <c r="K26" s="26" t="n"/>
      <c r="L26" s="27" t="n"/>
      <c r="M26" s="27" t="n"/>
      <c r="N26" s="28">
        <f>IF($B26="","",N($G26)-N($L26)-N($M26))</f>
        <v/>
      </c>
      <c r="O26" s="30">
        <f>IF($B26="","",IF(AND(OR(N($L26)&lt;&gt;0,N($M26)&lt;&gt;0),NOT(ISNUMBER($K26))),"支払日なし",IF($N26=0,IF(N($G26)=0,"請求額0","支払済"),IF($N26&lt;0,"払いすぎ",IF(N($L26)+N($M26)=0,"未払","一部支払")))))</f>
        <v/>
      </c>
      <c r="P26" s="30">
        <f>IF(OR($B26="",N($N26)&lt;=0,NOT(ISNUMBER($J26))),"",IF($J26&lt;'設定'!$B$7,"期日超過 "&amp;('設定'!$B$7-$J26)&amp;"日",IF($J26='設定'!$B$7,"今日","あと "&amp;($J26-'設定'!$B$7)&amp;"日")))</f>
        <v/>
      </c>
      <c r="Q26" s="56" t="n"/>
      <c r="R26" s="32">
        <f>IF($B26="","",IFERROR(MATCH($B26,'仕入先'!$B$5:$B$54,0),"なし"))</f>
        <v/>
      </c>
      <c r="S26" s="33">
        <f>IF($B26="","",IF(ISNUMBER($D26),$D26,IF(ISNUMBER($A26),$A26,"")))</f>
        <v/>
      </c>
      <c r="T26" s="34">
        <f>IF(OR($B26="",N($N26)&lt;=0),"",IF(ISNUMBER($J26),$J26,99999)+ROW()/1000000)</f>
        <v/>
      </c>
      <c r="U26" s="35">
        <f>IF(OR($B26="",$B26&lt;&gt;'買掛帳'!$B$3,NOT(ISNUMBER($S26))),"",IF(AND($S26&gt;='買掛帳'!$Q$3,$S26&lt;='買掛帳'!$Q$4),$S26+ROW()/10000000,""))</f>
        <v/>
      </c>
      <c r="V26" s="35">
        <f>IF(OR($B26="",$B26&lt;&gt;'買掛帳'!$B$3,NOT(ISNUMBER($K26)),N($L26)+N($M26)=0),"",IF(AND($K26&gt;='買掛帳'!$Q$3,$K26&lt;='買掛帳'!$Q$4),$K26+0.5+ROW()/10000000,""))</f>
        <v/>
      </c>
    </row>
    <row r="27" ht="18" customHeight="1">
      <c r="A27" s="26" t="n"/>
      <c r="B27" s="18" t="n"/>
      <c r="C27" s="20">
        <f>IF($B27="","",IF($R27="なし","※仕入先にないコード",INDEX('仕入先'!$C$5:$C$54,$R27)&amp;""))</f>
        <v/>
      </c>
      <c r="D27" s="26" t="n"/>
      <c r="E27" s="18" t="n"/>
      <c r="F27" s="19" t="n"/>
      <c r="G27" s="27" t="n"/>
      <c r="H27" s="29">
        <f>IF(OR($B27="",NOT(ISNUMBER($R27)),NOT(ISNUMBER($S27))),"",IF(OR(INDEX('仕入先'!$D$5:$D$54,$R27)="",INDEX('仕入先'!$E$5:$E$54,$R27)="",INDEX('仕入先'!$F$5:$F$54,$R27)=""),"",IF(INDEX('仕入先'!$F$5:$F$54,$R27)="末",DATE(YEAR($S27),(MONTH($S27)+IF(INDEX('仕入先'!$D$5:$D$54,$R27)="末",0,IF(DAY($S27)&lt;=INDEX('仕入先'!$D$5:$D$54,$R27),0,1))+N(INDEX('仕入先'!$E$5:$E$54,$R27)))+1,0),DATE(YEAR($S27),(MONTH($S27)+IF(INDEX('仕入先'!$D$5:$D$54,$R27)="末",0,IF(DAY($S27)&lt;=INDEX('仕入先'!$D$5:$D$54,$R27),0,1))+N(INDEX('仕入先'!$E$5:$E$54,$R27))),MIN(INDEX('仕入先'!$F$5:$F$54,$R27),DAY(DATE(YEAR($S27),(MONTH($S27)+IF(INDEX('仕入先'!$D$5:$D$54,$R27)="末",0,IF(DAY($S27)&lt;=INDEX('仕入先'!$D$5:$D$54,$R27),0,1))+N(INDEX('仕入先'!$E$5:$E$54,$R27)))+1,0)))))))</f>
        <v/>
      </c>
      <c r="I27" s="26" t="n"/>
      <c r="J27" s="29">
        <f>IF($B27="","",IF(ISNUMBER($I27),$I27,$H27))</f>
        <v/>
      </c>
      <c r="K27" s="26" t="n"/>
      <c r="L27" s="27" t="n"/>
      <c r="M27" s="27" t="n"/>
      <c r="N27" s="28">
        <f>IF($B27="","",N($G27)-N($L27)-N($M27))</f>
        <v/>
      </c>
      <c r="O27" s="30">
        <f>IF($B27="","",IF(AND(OR(N($L27)&lt;&gt;0,N($M27)&lt;&gt;0),NOT(ISNUMBER($K27))),"支払日なし",IF($N27=0,IF(N($G27)=0,"請求額0","支払済"),IF($N27&lt;0,"払いすぎ",IF(N($L27)+N($M27)=0,"未払","一部支払")))))</f>
        <v/>
      </c>
      <c r="P27" s="30">
        <f>IF(OR($B27="",N($N27)&lt;=0,NOT(ISNUMBER($J27))),"",IF($J27&lt;'設定'!$B$7,"期日超過 "&amp;('設定'!$B$7-$J27)&amp;"日",IF($J27='設定'!$B$7,"今日","あと "&amp;($J27-'設定'!$B$7)&amp;"日")))</f>
        <v/>
      </c>
      <c r="Q27" s="56" t="n"/>
      <c r="R27" s="32">
        <f>IF($B27="","",IFERROR(MATCH($B27,'仕入先'!$B$5:$B$54,0),"なし"))</f>
        <v/>
      </c>
      <c r="S27" s="33">
        <f>IF($B27="","",IF(ISNUMBER($D27),$D27,IF(ISNUMBER($A27),$A27,"")))</f>
        <v/>
      </c>
      <c r="T27" s="34">
        <f>IF(OR($B27="",N($N27)&lt;=0),"",IF(ISNUMBER($J27),$J27,99999)+ROW()/1000000)</f>
        <v/>
      </c>
      <c r="U27" s="35">
        <f>IF(OR($B27="",$B27&lt;&gt;'買掛帳'!$B$3,NOT(ISNUMBER($S27))),"",IF(AND($S27&gt;='買掛帳'!$Q$3,$S27&lt;='買掛帳'!$Q$4),$S27+ROW()/10000000,""))</f>
        <v/>
      </c>
      <c r="V27" s="35">
        <f>IF(OR($B27="",$B27&lt;&gt;'買掛帳'!$B$3,NOT(ISNUMBER($K27)),N($L27)+N($M27)=0),"",IF(AND($K27&gt;='買掛帳'!$Q$3,$K27&lt;='買掛帳'!$Q$4),$K27+0.5+ROW()/10000000,""))</f>
        <v/>
      </c>
    </row>
    <row r="28" ht="18" customHeight="1">
      <c r="A28" s="26" t="n"/>
      <c r="B28" s="18" t="n"/>
      <c r="C28" s="20">
        <f>IF($B28="","",IF($R28="なし","※仕入先にないコード",INDEX('仕入先'!$C$5:$C$54,$R28)&amp;""))</f>
        <v/>
      </c>
      <c r="D28" s="26" t="n"/>
      <c r="E28" s="18" t="n"/>
      <c r="F28" s="19" t="n"/>
      <c r="G28" s="27" t="n"/>
      <c r="H28" s="29">
        <f>IF(OR($B28="",NOT(ISNUMBER($R28)),NOT(ISNUMBER($S28))),"",IF(OR(INDEX('仕入先'!$D$5:$D$54,$R28)="",INDEX('仕入先'!$E$5:$E$54,$R28)="",INDEX('仕入先'!$F$5:$F$54,$R28)=""),"",IF(INDEX('仕入先'!$F$5:$F$54,$R28)="末",DATE(YEAR($S28),(MONTH($S28)+IF(INDEX('仕入先'!$D$5:$D$54,$R28)="末",0,IF(DAY($S28)&lt;=INDEX('仕入先'!$D$5:$D$54,$R28),0,1))+N(INDEX('仕入先'!$E$5:$E$54,$R28)))+1,0),DATE(YEAR($S28),(MONTH($S28)+IF(INDEX('仕入先'!$D$5:$D$54,$R28)="末",0,IF(DAY($S28)&lt;=INDEX('仕入先'!$D$5:$D$54,$R28),0,1))+N(INDEX('仕入先'!$E$5:$E$54,$R28))),MIN(INDEX('仕入先'!$F$5:$F$54,$R28),DAY(DATE(YEAR($S28),(MONTH($S28)+IF(INDEX('仕入先'!$D$5:$D$54,$R28)="末",0,IF(DAY($S28)&lt;=INDEX('仕入先'!$D$5:$D$54,$R28),0,1))+N(INDEX('仕入先'!$E$5:$E$54,$R28)))+1,0)))))))</f>
        <v/>
      </c>
      <c r="I28" s="26" t="n"/>
      <c r="J28" s="29">
        <f>IF($B28="","",IF(ISNUMBER($I28),$I28,$H28))</f>
        <v/>
      </c>
      <c r="K28" s="26" t="n"/>
      <c r="L28" s="27" t="n"/>
      <c r="M28" s="27" t="n"/>
      <c r="N28" s="28">
        <f>IF($B28="","",N($G28)-N($L28)-N($M28))</f>
        <v/>
      </c>
      <c r="O28" s="30">
        <f>IF($B28="","",IF(AND(OR(N($L28)&lt;&gt;0,N($M28)&lt;&gt;0),NOT(ISNUMBER($K28))),"支払日なし",IF($N28=0,IF(N($G28)=0,"請求額0","支払済"),IF($N28&lt;0,"払いすぎ",IF(N($L28)+N($M28)=0,"未払","一部支払")))))</f>
        <v/>
      </c>
      <c r="P28" s="30">
        <f>IF(OR($B28="",N($N28)&lt;=0,NOT(ISNUMBER($J28))),"",IF($J28&lt;'設定'!$B$7,"期日超過 "&amp;('設定'!$B$7-$J28)&amp;"日",IF($J28='設定'!$B$7,"今日","あと "&amp;($J28-'設定'!$B$7)&amp;"日")))</f>
        <v/>
      </c>
      <c r="Q28" s="56" t="n"/>
      <c r="R28" s="32">
        <f>IF($B28="","",IFERROR(MATCH($B28,'仕入先'!$B$5:$B$54,0),"なし"))</f>
        <v/>
      </c>
      <c r="S28" s="33">
        <f>IF($B28="","",IF(ISNUMBER($D28),$D28,IF(ISNUMBER($A28),$A28,"")))</f>
        <v/>
      </c>
      <c r="T28" s="34">
        <f>IF(OR($B28="",N($N28)&lt;=0),"",IF(ISNUMBER($J28),$J28,99999)+ROW()/1000000)</f>
        <v/>
      </c>
      <c r="U28" s="35">
        <f>IF(OR($B28="",$B28&lt;&gt;'買掛帳'!$B$3,NOT(ISNUMBER($S28))),"",IF(AND($S28&gt;='買掛帳'!$Q$3,$S28&lt;='買掛帳'!$Q$4),$S28+ROW()/10000000,""))</f>
        <v/>
      </c>
      <c r="V28" s="35">
        <f>IF(OR($B28="",$B28&lt;&gt;'買掛帳'!$B$3,NOT(ISNUMBER($K28)),N($L28)+N($M28)=0),"",IF(AND($K28&gt;='買掛帳'!$Q$3,$K28&lt;='買掛帳'!$Q$4),$K28+0.5+ROW()/10000000,""))</f>
        <v/>
      </c>
    </row>
    <row r="29" ht="18" customHeight="1">
      <c r="A29" s="26" t="n"/>
      <c r="B29" s="18" t="n"/>
      <c r="C29" s="20">
        <f>IF($B29="","",IF($R29="なし","※仕入先にないコード",INDEX('仕入先'!$C$5:$C$54,$R29)&amp;""))</f>
        <v/>
      </c>
      <c r="D29" s="26" t="n"/>
      <c r="E29" s="18" t="n"/>
      <c r="F29" s="19" t="n"/>
      <c r="G29" s="27" t="n"/>
      <c r="H29" s="29">
        <f>IF(OR($B29="",NOT(ISNUMBER($R29)),NOT(ISNUMBER($S29))),"",IF(OR(INDEX('仕入先'!$D$5:$D$54,$R29)="",INDEX('仕入先'!$E$5:$E$54,$R29)="",INDEX('仕入先'!$F$5:$F$54,$R29)=""),"",IF(INDEX('仕入先'!$F$5:$F$54,$R29)="末",DATE(YEAR($S29),(MONTH($S29)+IF(INDEX('仕入先'!$D$5:$D$54,$R29)="末",0,IF(DAY($S29)&lt;=INDEX('仕入先'!$D$5:$D$54,$R29),0,1))+N(INDEX('仕入先'!$E$5:$E$54,$R29)))+1,0),DATE(YEAR($S29),(MONTH($S29)+IF(INDEX('仕入先'!$D$5:$D$54,$R29)="末",0,IF(DAY($S29)&lt;=INDEX('仕入先'!$D$5:$D$54,$R29),0,1))+N(INDEX('仕入先'!$E$5:$E$54,$R29))),MIN(INDEX('仕入先'!$F$5:$F$54,$R29),DAY(DATE(YEAR($S29),(MONTH($S29)+IF(INDEX('仕入先'!$D$5:$D$54,$R29)="末",0,IF(DAY($S29)&lt;=INDEX('仕入先'!$D$5:$D$54,$R29),0,1))+N(INDEX('仕入先'!$E$5:$E$54,$R29)))+1,0)))))))</f>
        <v/>
      </c>
      <c r="I29" s="26" t="n"/>
      <c r="J29" s="29">
        <f>IF($B29="","",IF(ISNUMBER($I29),$I29,$H29))</f>
        <v/>
      </c>
      <c r="K29" s="26" t="n"/>
      <c r="L29" s="27" t="n"/>
      <c r="M29" s="27" t="n"/>
      <c r="N29" s="28">
        <f>IF($B29="","",N($G29)-N($L29)-N($M29))</f>
        <v/>
      </c>
      <c r="O29" s="30">
        <f>IF($B29="","",IF(AND(OR(N($L29)&lt;&gt;0,N($M29)&lt;&gt;0),NOT(ISNUMBER($K29))),"支払日なし",IF($N29=0,IF(N($G29)=0,"請求額0","支払済"),IF($N29&lt;0,"払いすぎ",IF(N($L29)+N($M29)=0,"未払","一部支払")))))</f>
        <v/>
      </c>
      <c r="P29" s="30">
        <f>IF(OR($B29="",N($N29)&lt;=0,NOT(ISNUMBER($J29))),"",IF($J29&lt;'設定'!$B$7,"期日超過 "&amp;('設定'!$B$7-$J29)&amp;"日",IF($J29='設定'!$B$7,"今日","あと "&amp;($J29-'設定'!$B$7)&amp;"日")))</f>
        <v/>
      </c>
      <c r="Q29" s="56" t="n"/>
      <c r="R29" s="32">
        <f>IF($B29="","",IFERROR(MATCH($B29,'仕入先'!$B$5:$B$54,0),"なし"))</f>
        <v/>
      </c>
      <c r="S29" s="33">
        <f>IF($B29="","",IF(ISNUMBER($D29),$D29,IF(ISNUMBER($A29),$A29,"")))</f>
        <v/>
      </c>
      <c r="T29" s="34">
        <f>IF(OR($B29="",N($N29)&lt;=0),"",IF(ISNUMBER($J29),$J29,99999)+ROW()/1000000)</f>
        <v/>
      </c>
      <c r="U29" s="35">
        <f>IF(OR($B29="",$B29&lt;&gt;'買掛帳'!$B$3,NOT(ISNUMBER($S29))),"",IF(AND($S29&gt;='買掛帳'!$Q$3,$S29&lt;='買掛帳'!$Q$4),$S29+ROW()/10000000,""))</f>
        <v/>
      </c>
      <c r="V29" s="35">
        <f>IF(OR($B29="",$B29&lt;&gt;'買掛帳'!$B$3,NOT(ISNUMBER($K29)),N($L29)+N($M29)=0),"",IF(AND($K29&gt;='買掛帳'!$Q$3,$K29&lt;='買掛帳'!$Q$4),$K29+0.5+ROW()/10000000,""))</f>
        <v/>
      </c>
    </row>
    <row r="30" ht="18" customHeight="1">
      <c r="A30" s="26" t="n"/>
      <c r="B30" s="18" t="n"/>
      <c r="C30" s="20">
        <f>IF($B30="","",IF($R30="なし","※仕入先にないコード",INDEX('仕入先'!$C$5:$C$54,$R30)&amp;""))</f>
        <v/>
      </c>
      <c r="D30" s="26" t="n"/>
      <c r="E30" s="18" t="n"/>
      <c r="F30" s="19" t="n"/>
      <c r="G30" s="27" t="n"/>
      <c r="H30" s="29">
        <f>IF(OR($B30="",NOT(ISNUMBER($R30)),NOT(ISNUMBER($S30))),"",IF(OR(INDEX('仕入先'!$D$5:$D$54,$R30)="",INDEX('仕入先'!$E$5:$E$54,$R30)="",INDEX('仕入先'!$F$5:$F$54,$R30)=""),"",IF(INDEX('仕入先'!$F$5:$F$54,$R30)="末",DATE(YEAR($S30),(MONTH($S30)+IF(INDEX('仕入先'!$D$5:$D$54,$R30)="末",0,IF(DAY($S30)&lt;=INDEX('仕入先'!$D$5:$D$54,$R30),0,1))+N(INDEX('仕入先'!$E$5:$E$54,$R30)))+1,0),DATE(YEAR($S30),(MONTH($S30)+IF(INDEX('仕入先'!$D$5:$D$54,$R30)="末",0,IF(DAY($S30)&lt;=INDEX('仕入先'!$D$5:$D$54,$R30),0,1))+N(INDEX('仕入先'!$E$5:$E$54,$R30))),MIN(INDEX('仕入先'!$F$5:$F$54,$R30),DAY(DATE(YEAR($S30),(MONTH($S30)+IF(INDEX('仕入先'!$D$5:$D$54,$R30)="末",0,IF(DAY($S30)&lt;=INDEX('仕入先'!$D$5:$D$54,$R30),0,1))+N(INDEX('仕入先'!$E$5:$E$54,$R30)))+1,0)))))))</f>
        <v/>
      </c>
      <c r="I30" s="26" t="n"/>
      <c r="J30" s="29">
        <f>IF($B30="","",IF(ISNUMBER($I30),$I30,$H30))</f>
        <v/>
      </c>
      <c r="K30" s="26" t="n"/>
      <c r="L30" s="27" t="n"/>
      <c r="M30" s="27" t="n"/>
      <c r="N30" s="28">
        <f>IF($B30="","",N($G30)-N($L30)-N($M30))</f>
        <v/>
      </c>
      <c r="O30" s="30">
        <f>IF($B30="","",IF(AND(OR(N($L30)&lt;&gt;0,N($M30)&lt;&gt;0),NOT(ISNUMBER($K30))),"支払日なし",IF($N30=0,IF(N($G30)=0,"請求額0","支払済"),IF($N30&lt;0,"払いすぎ",IF(N($L30)+N($M30)=0,"未払","一部支払")))))</f>
        <v/>
      </c>
      <c r="P30" s="30">
        <f>IF(OR($B30="",N($N30)&lt;=0,NOT(ISNUMBER($J30))),"",IF($J30&lt;'設定'!$B$7,"期日超過 "&amp;('設定'!$B$7-$J30)&amp;"日",IF($J30='設定'!$B$7,"今日","あと "&amp;($J30-'設定'!$B$7)&amp;"日")))</f>
        <v/>
      </c>
      <c r="Q30" s="56" t="n"/>
      <c r="R30" s="32">
        <f>IF($B30="","",IFERROR(MATCH($B30,'仕入先'!$B$5:$B$54,0),"なし"))</f>
        <v/>
      </c>
      <c r="S30" s="33">
        <f>IF($B30="","",IF(ISNUMBER($D30),$D30,IF(ISNUMBER($A30),$A30,"")))</f>
        <v/>
      </c>
      <c r="T30" s="34">
        <f>IF(OR($B30="",N($N30)&lt;=0),"",IF(ISNUMBER($J30),$J30,99999)+ROW()/1000000)</f>
        <v/>
      </c>
      <c r="U30" s="35">
        <f>IF(OR($B30="",$B30&lt;&gt;'買掛帳'!$B$3,NOT(ISNUMBER($S30))),"",IF(AND($S30&gt;='買掛帳'!$Q$3,$S30&lt;='買掛帳'!$Q$4),$S30+ROW()/10000000,""))</f>
        <v/>
      </c>
      <c r="V30" s="35">
        <f>IF(OR($B30="",$B30&lt;&gt;'買掛帳'!$B$3,NOT(ISNUMBER($K30)),N($L30)+N($M30)=0),"",IF(AND($K30&gt;='買掛帳'!$Q$3,$K30&lt;='買掛帳'!$Q$4),$K30+0.5+ROW()/10000000,""))</f>
        <v/>
      </c>
    </row>
    <row r="31" ht="18" customHeight="1">
      <c r="A31" s="26" t="n"/>
      <c r="B31" s="18" t="n"/>
      <c r="C31" s="20">
        <f>IF($B31="","",IF($R31="なし","※仕入先にないコード",INDEX('仕入先'!$C$5:$C$54,$R31)&amp;""))</f>
        <v/>
      </c>
      <c r="D31" s="26" t="n"/>
      <c r="E31" s="18" t="n"/>
      <c r="F31" s="19" t="n"/>
      <c r="G31" s="27" t="n"/>
      <c r="H31" s="29">
        <f>IF(OR($B31="",NOT(ISNUMBER($R31)),NOT(ISNUMBER($S31))),"",IF(OR(INDEX('仕入先'!$D$5:$D$54,$R31)="",INDEX('仕入先'!$E$5:$E$54,$R31)="",INDEX('仕入先'!$F$5:$F$54,$R31)=""),"",IF(INDEX('仕入先'!$F$5:$F$54,$R31)="末",DATE(YEAR($S31),(MONTH($S31)+IF(INDEX('仕入先'!$D$5:$D$54,$R31)="末",0,IF(DAY($S31)&lt;=INDEX('仕入先'!$D$5:$D$54,$R31),0,1))+N(INDEX('仕入先'!$E$5:$E$54,$R31)))+1,0),DATE(YEAR($S31),(MONTH($S31)+IF(INDEX('仕入先'!$D$5:$D$54,$R31)="末",0,IF(DAY($S31)&lt;=INDEX('仕入先'!$D$5:$D$54,$R31),0,1))+N(INDEX('仕入先'!$E$5:$E$54,$R31))),MIN(INDEX('仕入先'!$F$5:$F$54,$R31),DAY(DATE(YEAR($S31),(MONTH($S31)+IF(INDEX('仕入先'!$D$5:$D$54,$R31)="末",0,IF(DAY($S31)&lt;=INDEX('仕入先'!$D$5:$D$54,$R31),0,1))+N(INDEX('仕入先'!$E$5:$E$54,$R31)))+1,0)))))))</f>
        <v/>
      </c>
      <c r="I31" s="26" t="n"/>
      <c r="J31" s="29">
        <f>IF($B31="","",IF(ISNUMBER($I31),$I31,$H31))</f>
        <v/>
      </c>
      <c r="K31" s="26" t="n"/>
      <c r="L31" s="27" t="n"/>
      <c r="M31" s="27" t="n"/>
      <c r="N31" s="28">
        <f>IF($B31="","",N($G31)-N($L31)-N($M31))</f>
        <v/>
      </c>
      <c r="O31" s="30">
        <f>IF($B31="","",IF(AND(OR(N($L31)&lt;&gt;0,N($M31)&lt;&gt;0),NOT(ISNUMBER($K31))),"支払日なし",IF($N31=0,IF(N($G31)=0,"請求額0","支払済"),IF($N31&lt;0,"払いすぎ",IF(N($L31)+N($M31)=0,"未払","一部支払")))))</f>
        <v/>
      </c>
      <c r="P31" s="30">
        <f>IF(OR($B31="",N($N31)&lt;=0,NOT(ISNUMBER($J31))),"",IF($J31&lt;'設定'!$B$7,"期日超過 "&amp;('設定'!$B$7-$J31)&amp;"日",IF($J31='設定'!$B$7,"今日","あと "&amp;($J31-'設定'!$B$7)&amp;"日")))</f>
        <v/>
      </c>
      <c r="Q31" s="56" t="n"/>
      <c r="R31" s="32">
        <f>IF($B31="","",IFERROR(MATCH($B31,'仕入先'!$B$5:$B$54,0),"なし"))</f>
        <v/>
      </c>
      <c r="S31" s="33">
        <f>IF($B31="","",IF(ISNUMBER($D31),$D31,IF(ISNUMBER($A31),$A31,"")))</f>
        <v/>
      </c>
      <c r="T31" s="34">
        <f>IF(OR($B31="",N($N31)&lt;=0),"",IF(ISNUMBER($J31),$J31,99999)+ROW()/1000000)</f>
        <v/>
      </c>
      <c r="U31" s="35">
        <f>IF(OR($B31="",$B31&lt;&gt;'買掛帳'!$B$3,NOT(ISNUMBER($S31))),"",IF(AND($S31&gt;='買掛帳'!$Q$3,$S31&lt;='買掛帳'!$Q$4),$S31+ROW()/10000000,""))</f>
        <v/>
      </c>
      <c r="V31" s="35">
        <f>IF(OR($B31="",$B31&lt;&gt;'買掛帳'!$B$3,NOT(ISNUMBER($K31)),N($L31)+N($M31)=0),"",IF(AND($K31&gt;='買掛帳'!$Q$3,$K31&lt;='買掛帳'!$Q$4),$K31+0.5+ROW()/10000000,""))</f>
        <v/>
      </c>
    </row>
    <row r="32" ht="18" customHeight="1">
      <c r="A32" s="26" t="n"/>
      <c r="B32" s="18" t="n"/>
      <c r="C32" s="20">
        <f>IF($B32="","",IF($R32="なし","※仕入先にないコード",INDEX('仕入先'!$C$5:$C$54,$R32)&amp;""))</f>
        <v/>
      </c>
      <c r="D32" s="26" t="n"/>
      <c r="E32" s="18" t="n"/>
      <c r="F32" s="19" t="n"/>
      <c r="G32" s="27" t="n"/>
      <c r="H32" s="29">
        <f>IF(OR($B32="",NOT(ISNUMBER($R32)),NOT(ISNUMBER($S32))),"",IF(OR(INDEX('仕入先'!$D$5:$D$54,$R32)="",INDEX('仕入先'!$E$5:$E$54,$R32)="",INDEX('仕入先'!$F$5:$F$54,$R32)=""),"",IF(INDEX('仕入先'!$F$5:$F$54,$R32)="末",DATE(YEAR($S32),(MONTH($S32)+IF(INDEX('仕入先'!$D$5:$D$54,$R32)="末",0,IF(DAY($S32)&lt;=INDEX('仕入先'!$D$5:$D$54,$R32),0,1))+N(INDEX('仕入先'!$E$5:$E$54,$R32)))+1,0),DATE(YEAR($S32),(MONTH($S32)+IF(INDEX('仕入先'!$D$5:$D$54,$R32)="末",0,IF(DAY($S32)&lt;=INDEX('仕入先'!$D$5:$D$54,$R32),0,1))+N(INDEX('仕入先'!$E$5:$E$54,$R32))),MIN(INDEX('仕入先'!$F$5:$F$54,$R32),DAY(DATE(YEAR($S32),(MONTH($S32)+IF(INDEX('仕入先'!$D$5:$D$54,$R32)="末",0,IF(DAY($S32)&lt;=INDEX('仕入先'!$D$5:$D$54,$R32),0,1))+N(INDEX('仕入先'!$E$5:$E$54,$R32)))+1,0)))))))</f>
        <v/>
      </c>
      <c r="I32" s="26" t="n"/>
      <c r="J32" s="29">
        <f>IF($B32="","",IF(ISNUMBER($I32),$I32,$H32))</f>
        <v/>
      </c>
      <c r="K32" s="26" t="n"/>
      <c r="L32" s="27" t="n"/>
      <c r="M32" s="27" t="n"/>
      <c r="N32" s="28">
        <f>IF($B32="","",N($G32)-N($L32)-N($M32))</f>
        <v/>
      </c>
      <c r="O32" s="30">
        <f>IF($B32="","",IF(AND(OR(N($L32)&lt;&gt;0,N($M32)&lt;&gt;0),NOT(ISNUMBER($K32))),"支払日なし",IF($N32=0,IF(N($G32)=0,"請求額0","支払済"),IF($N32&lt;0,"払いすぎ",IF(N($L32)+N($M32)=0,"未払","一部支払")))))</f>
        <v/>
      </c>
      <c r="P32" s="30">
        <f>IF(OR($B32="",N($N32)&lt;=0,NOT(ISNUMBER($J32))),"",IF($J32&lt;'設定'!$B$7,"期日超過 "&amp;('設定'!$B$7-$J32)&amp;"日",IF($J32='設定'!$B$7,"今日","あと "&amp;($J32-'設定'!$B$7)&amp;"日")))</f>
        <v/>
      </c>
      <c r="Q32" s="56" t="n"/>
      <c r="R32" s="32">
        <f>IF($B32="","",IFERROR(MATCH($B32,'仕入先'!$B$5:$B$54,0),"なし"))</f>
        <v/>
      </c>
      <c r="S32" s="33">
        <f>IF($B32="","",IF(ISNUMBER($D32),$D32,IF(ISNUMBER($A32),$A32,"")))</f>
        <v/>
      </c>
      <c r="T32" s="34">
        <f>IF(OR($B32="",N($N32)&lt;=0),"",IF(ISNUMBER($J32),$J32,99999)+ROW()/1000000)</f>
        <v/>
      </c>
      <c r="U32" s="35">
        <f>IF(OR($B32="",$B32&lt;&gt;'買掛帳'!$B$3,NOT(ISNUMBER($S32))),"",IF(AND($S32&gt;='買掛帳'!$Q$3,$S32&lt;='買掛帳'!$Q$4),$S32+ROW()/10000000,""))</f>
        <v/>
      </c>
      <c r="V32" s="35">
        <f>IF(OR($B32="",$B32&lt;&gt;'買掛帳'!$B$3,NOT(ISNUMBER($K32)),N($L32)+N($M32)=0),"",IF(AND($K32&gt;='買掛帳'!$Q$3,$K32&lt;='買掛帳'!$Q$4),$K32+0.5+ROW()/10000000,""))</f>
        <v/>
      </c>
    </row>
    <row r="33" ht="18" customHeight="1">
      <c r="A33" s="26" t="n"/>
      <c r="B33" s="18" t="n"/>
      <c r="C33" s="20">
        <f>IF($B33="","",IF($R33="なし","※仕入先にないコード",INDEX('仕入先'!$C$5:$C$54,$R33)&amp;""))</f>
        <v/>
      </c>
      <c r="D33" s="26" t="n"/>
      <c r="E33" s="18" t="n"/>
      <c r="F33" s="19" t="n"/>
      <c r="G33" s="27" t="n"/>
      <c r="H33" s="29">
        <f>IF(OR($B33="",NOT(ISNUMBER($R33)),NOT(ISNUMBER($S33))),"",IF(OR(INDEX('仕入先'!$D$5:$D$54,$R33)="",INDEX('仕入先'!$E$5:$E$54,$R33)="",INDEX('仕入先'!$F$5:$F$54,$R33)=""),"",IF(INDEX('仕入先'!$F$5:$F$54,$R33)="末",DATE(YEAR($S33),(MONTH($S33)+IF(INDEX('仕入先'!$D$5:$D$54,$R33)="末",0,IF(DAY($S33)&lt;=INDEX('仕入先'!$D$5:$D$54,$R33),0,1))+N(INDEX('仕入先'!$E$5:$E$54,$R33)))+1,0),DATE(YEAR($S33),(MONTH($S33)+IF(INDEX('仕入先'!$D$5:$D$54,$R33)="末",0,IF(DAY($S33)&lt;=INDEX('仕入先'!$D$5:$D$54,$R33),0,1))+N(INDEX('仕入先'!$E$5:$E$54,$R33))),MIN(INDEX('仕入先'!$F$5:$F$54,$R33),DAY(DATE(YEAR($S33),(MONTH($S33)+IF(INDEX('仕入先'!$D$5:$D$54,$R33)="末",0,IF(DAY($S33)&lt;=INDEX('仕入先'!$D$5:$D$54,$R33),0,1))+N(INDEX('仕入先'!$E$5:$E$54,$R33)))+1,0)))))))</f>
        <v/>
      </c>
      <c r="I33" s="26" t="n"/>
      <c r="J33" s="29">
        <f>IF($B33="","",IF(ISNUMBER($I33),$I33,$H33))</f>
        <v/>
      </c>
      <c r="K33" s="26" t="n"/>
      <c r="L33" s="27" t="n"/>
      <c r="M33" s="27" t="n"/>
      <c r="N33" s="28">
        <f>IF($B33="","",N($G33)-N($L33)-N($M33))</f>
        <v/>
      </c>
      <c r="O33" s="30">
        <f>IF($B33="","",IF(AND(OR(N($L33)&lt;&gt;0,N($M33)&lt;&gt;0),NOT(ISNUMBER($K33))),"支払日なし",IF($N33=0,IF(N($G33)=0,"請求額0","支払済"),IF($N33&lt;0,"払いすぎ",IF(N($L33)+N($M33)=0,"未払","一部支払")))))</f>
        <v/>
      </c>
      <c r="P33" s="30">
        <f>IF(OR($B33="",N($N33)&lt;=0,NOT(ISNUMBER($J33))),"",IF($J33&lt;'設定'!$B$7,"期日超過 "&amp;('設定'!$B$7-$J33)&amp;"日",IF($J33='設定'!$B$7,"今日","あと "&amp;($J33-'設定'!$B$7)&amp;"日")))</f>
        <v/>
      </c>
      <c r="Q33" s="56" t="n"/>
      <c r="R33" s="32">
        <f>IF($B33="","",IFERROR(MATCH($B33,'仕入先'!$B$5:$B$54,0),"なし"))</f>
        <v/>
      </c>
      <c r="S33" s="33">
        <f>IF($B33="","",IF(ISNUMBER($D33),$D33,IF(ISNUMBER($A33),$A33,"")))</f>
        <v/>
      </c>
      <c r="T33" s="34">
        <f>IF(OR($B33="",N($N33)&lt;=0),"",IF(ISNUMBER($J33),$J33,99999)+ROW()/1000000)</f>
        <v/>
      </c>
      <c r="U33" s="35">
        <f>IF(OR($B33="",$B33&lt;&gt;'買掛帳'!$B$3,NOT(ISNUMBER($S33))),"",IF(AND($S33&gt;='買掛帳'!$Q$3,$S33&lt;='買掛帳'!$Q$4),$S33+ROW()/10000000,""))</f>
        <v/>
      </c>
      <c r="V33" s="35">
        <f>IF(OR($B33="",$B33&lt;&gt;'買掛帳'!$B$3,NOT(ISNUMBER($K33)),N($L33)+N($M33)=0),"",IF(AND($K33&gt;='買掛帳'!$Q$3,$K33&lt;='買掛帳'!$Q$4),$K33+0.5+ROW()/10000000,""))</f>
        <v/>
      </c>
    </row>
    <row r="34" ht="18" customHeight="1">
      <c r="A34" s="26" t="n"/>
      <c r="B34" s="18" t="n"/>
      <c r="C34" s="20">
        <f>IF($B34="","",IF($R34="なし","※仕入先にないコード",INDEX('仕入先'!$C$5:$C$54,$R34)&amp;""))</f>
        <v/>
      </c>
      <c r="D34" s="26" t="n"/>
      <c r="E34" s="18" t="n"/>
      <c r="F34" s="19" t="n"/>
      <c r="G34" s="27" t="n"/>
      <c r="H34" s="29">
        <f>IF(OR($B34="",NOT(ISNUMBER($R34)),NOT(ISNUMBER($S34))),"",IF(OR(INDEX('仕入先'!$D$5:$D$54,$R34)="",INDEX('仕入先'!$E$5:$E$54,$R34)="",INDEX('仕入先'!$F$5:$F$54,$R34)=""),"",IF(INDEX('仕入先'!$F$5:$F$54,$R34)="末",DATE(YEAR($S34),(MONTH($S34)+IF(INDEX('仕入先'!$D$5:$D$54,$R34)="末",0,IF(DAY($S34)&lt;=INDEX('仕入先'!$D$5:$D$54,$R34),0,1))+N(INDEX('仕入先'!$E$5:$E$54,$R34)))+1,0),DATE(YEAR($S34),(MONTH($S34)+IF(INDEX('仕入先'!$D$5:$D$54,$R34)="末",0,IF(DAY($S34)&lt;=INDEX('仕入先'!$D$5:$D$54,$R34),0,1))+N(INDEX('仕入先'!$E$5:$E$54,$R34))),MIN(INDEX('仕入先'!$F$5:$F$54,$R34),DAY(DATE(YEAR($S34),(MONTH($S34)+IF(INDEX('仕入先'!$D$5:$D$54,$R34)="末",0,IF(DAY($S34)&lt;=INDEX('仕入先'!$D$5:$D$54,$R34),0,1))+N(INDEX('仕入先'!$E$5:$E$54,$R34)))+1,0)))))))</f>
        <v/>
      </c>
      <c r="I34" s="26" t="n"/>
      <c r="J34" s="29">
        <f>IF($B34="","",IF(ISNUMBER($I34),$I34,$H34))</f>
        <v/>
      </c>
      <c r="K34" s="26" t="n"/>
      <c r="L34" s="27" t="n"/>
      <c r="M34" s="27" t="n"/>
      <c r="N34" s="28">
        <f>IF($B34="","",N($G34)-N($L34)-N($M34))</f>
        <v/>
      </c>
      <c r="O34" s="30">
        <f>IF($B34="","",IF(AND(OR(N($L34)&lt;&gt;0,N($M34)&lt;&gt;0),NOT(ISNUMBER($K34))),"支払日なし",IF($N34=0,IF(N($G34)=0,"請求額0","支払済"),IF($N34&lt;0,"払いすぎ",IF(N($L34)+N($M34)=0,"未払","一部支払")))))</f>
        <v/>
      </c>
      <c r="P34" s="30">
        <f>IF(OR($B34="",N($N34)&lt;=0,NOT(ISNUMBER($J34))),"",IF($J34&lt;'設定'!$B$7,"期日超過 "&amp;('設定'!$B$7-$J34)&amp;"日",IF($J34='設定'!$B$7,"今日","あと "&amp;($J34-'設定'!$B$7)&amp;"日")))</f>
        <v/>
      </c>
      <c r="Q34" s="56" t="n"/>
      <c r="R34" s="32">
        <f>IF($B34="","",IFERROR(MATCH($B34,'仕入先'!$B$5:$B$54,0),"なし"))</f>
        <v/>
      </c>
      <c r="S34" s="33">
        <f>IF($B34="","",IF(ISNUMBER($D34),$D34,IF(ISNUMBER($A34),$A34,"")))</f>
        <v/>
      </c>
      <c r="T34" s="34">
        <f>IF(OR($B34="",N($N34)&lt;=0),"",IF(ISNUMBER($J34),$J34,99999)+ROW()/1000000)</f>
        <v/>
      </c>
      <c r="U34" s="35">
        <f>IF(OR($B34="",$B34&lt;&gt;'買掛帳'!$B$3,NOT(ISNUMBER($S34))),"",IF(AND($S34&gt;='買掛帳'!$Q$3,$S34&lt;='買掛帳'!$Q$4),$S34+ROW()/10000000,""))</f>
        <v/>
      </c>
      <c r="V34" s="35">
        <f>IF(OR($B34="",$B34&lt;&gt;'買掛帳'!$B$3,NOT(ISNUMBER($K34)),N($L34)+N($M34)=0),"",IF(AND($K34&gt;='買掛帳'!$Q$3,$K34&lt;='買掛帳'!$Q$4),$K34+0.5+ROW()/10000000,""))</f>
        <v/>
      </c>
    </row>
    <row r="35" ht="18" customHeight="1">
      <c r="A35" s="26" t="n"/>
      <c r="B35" s="18" t="n"/>
      <c r="C35" s="20">
        <f>IF($B35="","",IF($R35="なし","※仕入先にないコード",INDEX('仕入先'!$C$5:$C$54,$R35)&amp;""))</f>
        <v/>
      </c>
      <c r="D35" s="26" t="n"/>
      <c r="E35" s="18" t="n"/>
      <c r="F35" s="19" t="n"/>
      <c r="G35" s="27" t="n"/>
      <c r="H35" s="29">
        <f>IF(OR($B35="",NOT(ISNUMBER($R35)),NOT(ISNUMBER($S35))),"",IF(OR(INDEX('仕入先'!$D$5:$D$54,$R35)="",INDEX('仕入先'!$E$5:$E$54,$R35)="",INDEX('仕入先'!$F$5:$F$54,$R35)=""),"",IF(INDEX('仕入先'!$F$5:$F$54,$R35)="末",DATE(YEAR($S35),(MONTH($S35)+IF(INDEX('仕入先'!$D$5:$D$54,$R35)="末",0,IF(DAY($S35)&lt;=INDEX('仕入先'!$D$5:$D$54,$R35),0,1))+N(INDEX('仕入先'!$E$5:$E$54,$R35)))+1,0),DATE(YEAR($S35),(MONTH($S35)+IF(INDEX('仕入先'!$D$5:$D$54,$R35)="末",0,IF(DAY($S35)&lt;=INDEX('仕入先'!$D$5:$D$54,$R35),0,1))+N(INDEX('仕入先'!$E$5:$E$54,$R35))),MIN(INDEX('仕入先'!$F$5:$F$54,$R35),DAY(DATE(YEAR($S35),(MONTH($S35)+IF(INDEX('仕入先'!$D$5:$D$54,$R35)="末",0,IF(DAY($S35)&lt;=INDEX('仕入先'!$D$5:$D$54,$R35),0,1))+N(INDEX('仕入先'!$E$5:$E$54,$R35)))+1,0)))))))</f>
        <v/>
      </c>
      <c r="I35" s="26" t="n"/>
      <c r="J35" s="29">
        <f>IF($B35="","",IF(ISNUMBER($I35),$I35,$H35))</f>
        <v/>
      </c>
      <c r="K35" s="26" t="n"/>
      <c r="L35" s="27" t="n"/>
      <c r="M35" s="27" t="n"/>
      <c r="N35" s="28">
        <f>IF($B35="","",N($G35)-N($L35)-N($M35))</f>
        <v/>
      </c>
      <c r="O35" s="30">
        <f>IF($B35="","",IF(AND(OR(N($L35)&lt;&gt;0,N($M35)&lt;&gt;0),NOT(ISNUMBER($K35))),"支払日なし",IF($N35=0,IF(N($G35)=0,"請求額0","支払済"),IF($N35&lt;0,"払いすぎ",IF(N($L35)+N($M35)=0,"未払","一部支払")))))</f>
        <v/>
      </c>
      <c r="P35" s="30">
        <f>IF(OR($B35="",N($N35)&lt;=0,NOT(ISNUMBER($J35))),"",IF($J35&lt;'設定'!$B$7,"期日超過 "&amp;('設定'!$B$7-$J35)&amp;"日",IF($J35='設定'!$B$7,"今日","あと "&amp;($J35-'設定'!$B$7)&amp;"日")))</f>
        <v/>
      </c>
      <c r="Q35" s="56" t="n"/>
      <c r="R35" s="32">
        <f>IF($B35="","",IFERROR(MATCH($B35,'仕入先'!$B$5:$B$54,0),"なし"))</f>
        <v/>
      </c>
      <c r="S35" s="33">
        <f>IF($B35="","",IF(ISNUMBER($D35),$D35,IF(ISNUMBER($A35),$A35,"")))</f>
        <v/>
      </c>
      <c r="T35" s="34">
        <f>IF(OR($B35="",N($N35)&lt;=0),"",IF(ISNUMBER($J35),$J35,99999)+ROW()/1000000)</f>
        <v/>
      </c>
      <c r="U35" s="35">
        <f>IF(OR($B35="",$B35&lt;&gt;'買掛帳'!$B$3,NOT(ISNUMBER($S35))),"",IF(AND($S35&gt;='買掛帳'!$Q$3,$S35&lt;='買掛帳'!$Q$4),$S35+ROW()/10000000,""))</f>
        <v/>
      </c>
      <c r="V35" s="35">
        <f>IF(OR($B35="",$B35&lt;&gt;'買掛帳'!$B$3,NOT(ISNUMBER($K35)),N($L35)+N($M35)=0),"",IF(AND($K35&gt;='買掛帳'!$Q$3,$K35&lt;='買掛帳'!$Q$4),$K35+0.5+ROW()/10000000,""))</f>
        <v/>
      </c>
    </row>
    <row r="36" ht="18" customHeight="1">
      <c r="A36" s="26" t="n"/>
      <c r="B36" s="18" t="n"/>
      <c r="C36" s="20">
        <f>IF($B36="","",IF($R36="なし","※仕入先にないコード",INDEX('仕入先'!$C$5:$C$54,$R36)&amp;""))</f>
        <v/>
      </c>
      <c r="D36" s="26" t="n"/>
      <c r="E36" s="18" t="n"/>
      <c r="F36" s="19" t="n"/>
      <c r="G36" s="27" t="n"/>
      <c r="H36" s="29">
        <f>IF(OR($B36="",NOT(ISNUMBER($R36)),NOT(ISNUMBER($S36))),"",IF(OR(INDEX('仕入先'!$D$5:$D$54,$R36)="",INDEX('仕入先'!$E$5:$E$54,$R36)="",INDEX('仕入先'!$F$5:$F$54,$R36)=""),"",IF(INDEX('仕入先'!$F$5:$F$54,$R36)="末",DATE(YEAR($S36),(MONTH($S36)+IF(INDEX('仕入先'!$D$5:$D$54,$R36)="末",0,IF(DAY($S36)&lt;=INDEX('仕入先'!$D$5:$D$54,$R36),0,1))+N(INDEX('仕入先'!$E$5:$E$54,$R36)))+1,0),DATE(YEAR($S36),(MONTH($S36)+IF(INDEX('仕入先'!$D$5:$D$54,$R36)="末",0,IF(DAY($S36)&lt;=INDEX('仕入先'!$D$5:$D$54,$R36),0,1))+N(INDEX('仕入先'!$E$5:$E$54,$R36))),MIN(INDEX('仕入先'!$F$5:$F$54,$R36),DAY(DATE(YEAR($S36),(MONTH($S36)+IF(INDEX('仕入先'!$D$5:$D$54,$R36)="末",0,IF(DAY($S36)&lt;=INDEX('仕入先'!$D$5:$D$54,$R36),0,1))+N(INDEX('仕入先'!$E$5:$E$54,$R36)))+1,0)))))))</f>
        <v/>
      </c>
      <c r="I36" s="26" t="n"/>
      <c r="J36" s="29">
        <f>IF($B36="","",IF(ISNUMBER($I36),$I36,$H36))</f>
        <v/>
      </c>
      <c r="K36" s="26" t="n"/>
      <c r="L36" s="27" t="n"/>
      <c r="M36" s="27" t="n"/>
      <c r="N36" s="28">
        <f>IF($B36="","",N($G36)-N($L36)-N($M36))</f>
        <v/>
      </c>
      <c r="O36" s="30">
        <f>IF($B36="","",IF(AND(OR(N($L36)&lt;&gt;0,N($M36)&lt;&gt;0),NOT(ISNUMBER($K36))),"支払日なし",IF($N36=0,IF(N($G36)=0,"請求額0","支払済"),IF($N36&lt;0,"払いすぎ",IF(N($L36)+N($M36)=0,"未払","一部支払")))))</f>
        <v/>
      </c>
      <c r="P36" s="30">
        <f>IF(OR($B36="",N($N36)&lt;=0,NOT(ISNUMBER($J36))),"",IF($J36&lt;'設定'!$B$7,"期日超過 "&amp;('設定'!$B$7-$J36)&amp;"日",IF($J36='設定'!$B$7,"今日","あと "&amp;($J36-'設定'!$B$7)&amp;"日")))</f>
        <v/>
      </c>
      <c r="Q36" s="56" t="n"/>
      <c r="R36" s="32">
        <f>IF($B36="","",IFERROR(MATCH($B36,'仕入先'!$B$5:$B$54,0),"なし"))</f>
        <v/>
      </c>
      <c r="S36" s="33">
        <f>IF($B36="","",IF(ISNUMBER($D36),$D36,IF(ISNUMBER($A36),$A36,"")))</f>
        <v/>
      </c>
      <c r="T36" s="34">
        <f>IF(OR($B36="",N($N36)&lt;=0),"",IF(ISNUMBER($J36),$J36,99999)+ROW()/1000000)</f>
        <v/>
      </c>
      <c r="U36" s="35">
        <f>IF(OR($B36="",$B36&lt;&gt;'買掛帳'!$B$3,NOT(ISNUMBER($S36))),"",IF(AND($S36&gt;='買掛帳'!$Q$3,$S36&lt;='買掛帳'!$Q$4),$S36+ROW()/10000000,""))</f>
        <v/>
      </c>
      <c r="V36" s="35">
        <f>IF(OR($B36="",$B36&lt;&gt;'買掛帳'!$B$3,NOT(ISNUMBER($K36)),N($L36)+N($M36)=0),"",IF(AND($K36&gt;='買掛帳'!$Q$3,$K36&lt;='買掛帳'!$Q$4),$K36+0.5+ROW()/10000000,""))</f>
        <v/>
      </c>
    </row>
    <row r="37" ht="18" customHeight="1">
      <c r="A37" s="26" t="n"/>
      <c r="B37" s="18" t="n"/>
      <c r="C37" s="20">
        <f>IF($B37="","",IF($R37="なし","※仕入先にないコード",INDEX('仕入先'!$C$5:$C$54,$R37)&amp;""))</f>
        <v/>
      </c>
      <c r="D37" s="26" t="n"/>
      <c r="E37" s="18" t="n"/>
      <c r="F37" s="19" t="n"/>
      <c r="G37" s="27" t="n"/>
      <c r="H37" s="29">
        <f>IF(OR($B37="",NOT(ISNUMBER($R37)),NOT(ISNUMBER($S37))),"",IF(OR(INDEX('仕入先'!$D$5:$D$54,$R37)="",INDEX('仕入先'!$E$5:$E$54,$R37)="",INDEX('仕入先'!$F$5:$F$54,$R37)=""),"",IF(INDEX('仕入先'!$F$5:$F$54,$R37)="末",DATE(YEAR($S37),(MONTH($S37)+IF(INDEX('仕入先'!$D$5:$D$54,$R37)="末",0,IF(DAY($S37)&lt;=INDEX('仕入先'!$D$5:$D$54,$R37),0,1))+N(INDEX('仕入先'!$E$5:$E$54,$R37)))+1,0),DATE(YEAR($S37),(MONTH($S37)+IF(INDEX('仕入先'!$D$5:$D$54,$R37)="末",0,IF(DAY($S37)&lt;=INDEX('仕入先'!$D$5:$D$54,$R37),0,1))+N(INDEX('仕入先'!$E$5:$E$54,$R37))),MIN(INDEX('仕入先'!$F$5:$F$54,$R37),DAY(DATE(YEAR($S37),(MONTH($S37)+IF(INDEX('仕入先'!$D$5:$D$54,$R37)="末",0,IF(DAY($S37)&lt;=INDEX('仕入先'!$D$5:$D$54,$R37),0,1))+N(INDEX('仕入先'!$E$5:$E$54,$R37)))+1,0)))))))</f>
        <v/>
      </c>
      <c r="I37" s="26" t="n"/>
      <c r="J37" s="29">
        <f>IF($B37="","",IF(ISNUMBER($I37),$I37,$H37))</f>
        <v/>
      </c>
      <c r="K37" s="26" t="n"/>
      <c r="L37" s="27" t="n"/>
      <c r="M37" s="27" t="n"/>
      <c r="N37" s="28">
        <f>IF($B37="","",N($G37)-N($L37)-N($M37))</f>
        <v/>
      </c>
      <c r="O37" s="30">
        <f>IF($B37="","",IF(AND(OR(N($L37)&lt;&gt;0,N($M37)&lt;&gt;0),NOT(ISNUMBER($K37))),"支払日なし",IF($N37=0,IF(N($G37)=0,"請求額0","支払済"),IF($N37&lt;0,"払いすぎ",IF(N($L37)+N($M37)=0,"未払","一部支払")))))</f>
        <v/>
      </c>
      <c r="P37" s="30">
        <f>IF(OR($B37="",N($N37)&lt;=0,NOT(ISNUMBER($J37))),"",IF($J37&lt;'設定'!$B$7,"期日超過 "&amp;('設定'!$B$7-$J37)&amp;"日",IF($J37='設定'!$B$7,"今日","あと "&amp;($J37-'設定'!$B$7)&amp;"日")))</f>
        <v/>
      </c>
      <c r="Q37" s="56" t="n"/>
      <c r="R37" s="32">
        <f>IF($B37="","",IFERROR(MATCH($B37,'仕入先'!$B$5:$B$54,0),"なし"))</f>
        <v/>
      </c>
      <c r="S37" s="33">
        <f>IF($B37="","",IF(ISNUMBER($D37),$D37,IF(ISNUMBER($A37),$A37,"")))</f>
        <v/>
      </c>
      <c r="T37" s="34">
        <f>IF(OR($B37="",N($N37)&lt;=0),"",IF(ISNUMBER($J37),$J37,99999)+ROW()/1000000)</f>
        <v/>
      </c>
      <c r="U37" s="35">
        <f>IF(OR($B37="",$B37&lt;&gt;'買掛帳'!$B$3,NOT(ISNUMBER($S37))),"",IF(AND($S37&gt;='買掛帳'!$Q$3,$S37&lt;='買掛帳'!$Q$4),$S37+ROW()/10000000,""))</f>
        <v/>
      </c>
      <c r="V37" s="35">
        <f>IF(OR($B37="",$B37&lt;&gt;'買掛帳'!$B$3,NOT(ISNUMBER($K37)),N($L37)+N($M37)=0),"",IF(AND($K37&gt;='買掛帳'!$Q$3,$K37&lt;='買掛帳'!$Q$4),$K37+0.5+ROW()/10000000,""))</f>
        <v/>
      </c>
    </row>
    <row r="38" ht="18" customHeight="1">
      <c r="A38" s="26" t="n"/>
      <c r="B38" s="18" t="n"/>
      <c r="C38" s="20">
        <f>IF($B38="","",IF($R38="なし","※仕入先にないコード",INDEX('仕入先'!$C$5:$C$54,$R38)&amp;""))</f>
        <v/>
      </c>
      <c r="D38" s="26" t="n"/>
      <c r="E38" s="18" t="n"/>
      <c r="F38" s="19" t="n"/>
      <c r="G38" s="27" t="n"/>
      <c r="H38" s="29">
        <f>IF(OR($B38="",NOT(ISNUMBER($R38)),NOT(ISNUMBER($S38))),"",IF(OR(INDEX('仕入先'!$D$5:$D$54,$R38)="",INDEX('仕入先'!$E$5:$E$54,$R38)="",INDEX('仕入先'!$F$5:$F$54,$R38)=""),"",IF(INDEX('仕入先'!$F$5:$F$54,$R38)="末",DATE(YEAR($S38),(MONTH($S38)+IF(INDEX('仕入先'!$D$5:$D$54,$R38)="末",0,IF(DAY($S38)&lt;=INDEX('仕入先'!$D$5:$D$54,$R38),0,1))+N(INDEX('仕入先'!$E$5:$E$54,$R38)))+1,0),DATE(YEAR($S38),(MONTH($S38)+IF(INDEX('仕入先'!$D$5:$D$54,$R38)="末",0,IF(DAY($S38)&lt;=INDEX('仕入先'!$D$5:$D$54,$R38),0,1))+N(INDEX('仕入先'!$E$5:$E$54,$R38))),MIN(INDEX('仕入先'!$F$5:$F$54,$R38),DAY(DATE(YEAR($S38),(MONTH($S38)+IF(INDEX('仕入先'!$D$5:$D$54,$R38)="末",0,IF(DAY($S38)&lt;=INDEX('仕入先'!$D$5:$D$54,$R38),0,1))+N(INDEX('仕入先'!$E$5:$E$54,$R38)))+1,0)))))))</f>
        <v/>
      </c>
      <c r="I38" s="26" t="n"/>
      <c r="J38" s="29">
        <f>IF($B38="","",IF(ISNUMBER($I38),$I38,$H38))</f>
        <v/>
      </c>
      <c r="K38" s="26" t="n"/>
      <c r="L38" s="27" t="n"/>
      <c r="M38" s="27" t="n"/>
      <c r="N38" s="28">
        <f>IF($B38="","",N($G38)-N($L38)-N($M38))</f>
        <v/>
      </c>
      <c r="O38" s="30">
        <f>IF($B38="","",IF(AND(OR(N($L38)&lt;&gt;0,N($M38)&lt;&gt;0),NOT(ISNUMBER($K38))),"支払日なし",IF($N38=0,IF(N($G38)=0,"請求額0","支払済"),IF($N38&lt;0,"払いすぎ",IF(N($L38)+N($M38)=0,"未払","一部支払")))))</f>
        <v/>
      </c>
      <c r="P38" s="30">
        <f>IF(OR($B38="",N($N38)&lt;=0,NOT(ISNUMBER($J38))),"",IF($J38&lt;'設定'!$B$7,"期日超過 "&amp;('設定'!$B$7-$J38)&amp;"日",IF($J38='設定'!$B$7,"今日","あと "&amp;($J38-'設定'!$B$7)&amp;"日")))</f>
        <v/>
      </c>
      <c r="Q38" s="56" t="n"/>
      <c r="R38" s="32">
        <f>IF($B38="","",IFERROR(MATCH($B38,'仕入先'!$B$5:$B$54,0),"なし"))</f>
        <v/>
      </c>
      <c r="S38" s="33">
        <f>IF($B38="","",IF(ISNUMBER($D38),$D38,IF(ISNUMBER($A38),$A38,"")))</f>
        <v/>
      </c>
      <c r="T38" s="34">
        <f>IF(OR($B38="",N($N38)&lt;=0),"",IF(ISNUMBER($J38),$J38,99999)+ROW()/1000000)</f>
        <v/>
      </c>
      <c r="U38" s="35">
        <f>IF(OR($B38="",$B38&lt;&gt;'買掛帳'!$B$3,NOT(ISNUMBER($S38))),"",IF(AND($S38&gt;='買掛帳'!$Q$3,$S38&lt;='買掛帳'!$Q$4),$S38+ROW()/10000000,""))</f>
        <v/>
      </c>
      <c r="V38" s="35">
        <f>IF(OR($B38="",$B38&lt;&gt;'買掛帳'!$B$3,NOT(ISNUMBER($K38)),N($L38)+N($M38)=0),"",IF(AND($K38&gt;='買掛帳'!$Q$3,$K38&lt;='買掛帳'!$Q$4),$K38+0.5+ROW()/10000000,""))</f>
        <v/>
      </c>
    </row>
    <row r="39" ht="18" customHeight="1">
      <c r="A39" s="26" t="n"/>
      <c r="B39" s="18" t="n"/>
      <c r="C39" s="20">
        <f>IF($B39="","",IF($R39="なし","※仕入先にないコード",INDEX('仕入先'!$C$5:$C$54,$R39)&amp;""))</f>
        <v/>
      </c>
      <c r="D39" s="26" t="n"/>
      <c r="E39" s="18" t="n"/>
      <c r="F39" s="19" t="n"/>
      <c r="G39" s="27" t="n"/>
      <c r="H39" s="29">
        <f>IF(OR($B39="",NOT(ISNUMBER($R39)),NOT(ISNUMBER($S39))),"",IF(OR(INDEX('仕入先'!$D$5:$D$54,$R39)="",INDEX('仕入先'!$E$5:$E$54,$R39)="",INDEX('仕入先'!$F$5:$F$54,$R39)=""),"",IF(INDEX('仕入先'!$F$5:$F$54,$R39)="末",DATE(YEAR($S39),(MONTH($S39)+IF(INDEX('仕入先'!$D$5:$D$54,$R39)="末",0,IF(DAY($S39)&lt;=INDEX('仕入先'!$D$5:$D$54,$R39),0,1))+N(INDEX('仕入先'!$E$5:$E$54,$R39)))+1,0),DATE(YEAR($S39),(MONTH($S39)+IF(INDEX('仕入先'!$D$5:$D$54,$R39)="末",0,IF(DAY($S39)&lt;=INDEX('仕入先'!$D$5:$D$54,$R39),0,1))+N(INDEX('仕入先'!$E$5:$E$54,$R39))),MIN(INDEX('仕入先'!$F$5:$F$54,$R39),DAY(DATE(YEAR($S39),(MONTH($S39)+IF(INDEX('仕入先'!$D$5:$D$54,$R39)="末",0,IF(DAY($S39)&lt;=INDEX('仕入先'!$D$5:$D$54,$R39),0,1))+N(INDEX('仕入先'!$E$5:$E$54,$R39)))+1,0)))))))</f>
        <v/>
      </c>
      <c r="I39" s="26" t="n"/>
      <c r="J39" s="29">
        <f>IF($B39="","",IF(ISNUMBER($I39),$I39,$H39))</f>
        <v/>
      </c>
      <c r="K39" s="26" t="n"/>
      <c r="L39" s="27" t="n"/>
      <c r="M39" s="27" t="n"/>
      <c r="N39" s="28">
        <f>IF($B39="","",N($G39)-N($L39)-N($M39))</f>
        <v/>
      </c>
      <c r="O39" s="30">
        <f>IF($B39="","",IF(AND(OR(N($L39)&lt;&gt;0,N($M39)&lt;&gt;0),NOT(ISNUMBER($K39))),"支払日なし",IF($N39=0,IF(N($G39)=0,"請求額0","支払済"),IF($N39&lt;0,"払いすぎ",IF(N($L39)+N($M39)=0,"未払","一部支払")))))</f>
        <v/>
      </c>
      <c r="P39" s="30">
        <f>IF(OR($B39="",N($N39)&lt;=0,NOT(ISNUMBER($J39))),"",IF($J39&lt;'設定'!$B$7,"期日超過 "&amp;('設定'!$B$7-$J39)&amp;"日",IF($J39='設定'!$B$7,"今日","あと "&amp;($J39-'設定'!$B$7)&amp;"日")))</f>
        <v/>
      </c>
      <c r="Q39" s="56" t="n"/>
      <c r="R39" s="32">
        <f>IF($B39="","",IFERROR(MATCH($B39,'仕入先'!$B$5:$B$54,0),"なし"))</f>
        <v/>
      </c>
      <c r="S39" s="33">
        <f>IF($B39="","",IF(ISNUMBER($D39),$D39,IF(ISNUMBER($A39),$A39,"")))</f>
        <v/>
      </c>
      <c r="T39" s="34">
        <f>IF(OR($B39="",N($N39)&lt;=0),"",IF(ISNUMBER($J39),$J39,99999)+ROW()/1000000)</f>
        <v/>
      </c>
      <c r="U39" s="35">
        <f>IF(OR($B39="",$B39&lt;&gt;'買掛帳'!$B$3,NOT(ISNUMBER($S39))),"",IF(AND($S39&gt;='買掛帳'!$Q$3,$S39&lt;='買掛帳'!$Q$4),$S39+ROW()/10000000,""))</f>
        <v/>
      </c>
      <c r="V39" s="35">
        <f>IF(OR($B39="",$B39&lt;&gt;'買掛帳'!$B$3,NOT(ISNUMBER($K39)),N($L39)+N($M39)=0),"",IF(AND($K39&gt;='買掛帳'!$Q$3,$K39&lt;='買掛帳'!$Q$4),$K39+0.5+ROW()/10000000,""))</f>
        <v/>
      </c>
    </row>
    <row r="40" ht="18" customHeight="1">
      <c r="A40" s="26" t="n"/>
      <c r="B40" s="18" t="n"/>
      <c r="C40" s="20">
        <f>IF($B40="","",IF($R40="なし","※仕入先にないコード",INDEX('仕入先'!$C$5:$C$54,$R40)&amp;""))</f>
        <v/>
      </c>
      <c r="D40" s="26" t="n"/>
      <c r="E40" s="18" t="n"/>
      <c r="F40" s="19" t="n"/>
      <c r="G40" s="27" t="n"/>
      <c r="H40" s="29">
        <f>IF(OR($B40="",NOT(ISNUMBER($R40)),NOT(ISNUMBER($S40))),"",IF(OR(INDEX('仕入先'!$D$5:$D$54,$R40)="",INDEX('仕入先'!$E$5:$E$54,$R40)="",INDEX('仕入先'!$F$5:$F$54,$R40)=""),"",IF(INDEX('仕入先'!$F$5:$F$54,$R40)="末",DATE(YEAR($S40),(MONTH($S40)+IF(INDEX('仕入先'!$D$5:$D$54,$R40)="末",0,IF(DAY($S40)&lt;=INDEX('仕入先'!$D$5:$D$54,$R40),0,1))+N(INDEX('仕入先'!$E$5:$E$54,$R40)))+1,0),DATE(YEAR($S40),(MONTH($S40)+IF(INDEX('仕入先'!$D$5:$D$54,$R40)="末",0,IF(DAY($S40)&lt;=INDEX('仕入先'!$D$5:$D$54,$R40),0,1))+N(INDEX('仕入先'!$E$5:$E$54,$R40))),MIN(INDEX('仕入先'!$F$5:$F$54,$R40),DAY(DATE(YEAR($S40),(MONTH($S40)+IF(INDEX('仕入先'!$D$5:$D$54,$R40)="末",0,IF(DAY($S40)&lt;=INDEX('仕入先'!$D$5:$D$54,$R40),0,1))+N(INDEX('仕入先'!$E$5:$E$54,$R40)))+1,0)))))))</f>
        <v/>
      </c>
      <c r="I40" s="26" t="n"/>
      <c r="J40" s="29">
        <f>IF($B40="","",IF(ISNUMBER($I40),$I40,$H40))</f>
        <v/>
      </c>
      <c r="K40" s="26" t="n"/>
      <c r="L40" s="27" t="n"/>
      <c r="M40" s="27" t="n"/>
      <c r="N40" s="28">
        <f>IF($B40="","",N($G40)-N($L40)-N($M40))</f>
        <v/>
      </c>
      <c r="O40" s="30">
        <f>IF($B40="","",IF(AND(OR(N($L40)&lt;&gt;0,N($M40)&lt;&gt;0),NOT(ISNUMBER($K40))),"支払日なし",IF($N40=0,IF(N($G40)=0,"請求額0","支払済"),IF($N40&lt;0,"払いすぎ",IF(N($L40)+N($M40)=0,"未払","一部支払")))))</f>
        <v/>
      </c>
      <c r="P40" s="30">
        <f>IF(OR($B40="",N($N40)&lt;=0,NOT(ISNUMBER($J40))),"",IF($J40&lt;'設定'!$B$7,"期日超過 "&amp;('設定'!$B$7-$J40)&amp;"日",IF($J40='設定'!$B$7,"今日","あと "&amp;($J40-'設定'!$B$7)&amp;"日")))</f>
        <v/>
      </c>
      <c r="Q40" s="56" t="n"/>
      <c r="R40" s="32">
        <f>IF($B40="","",IFERROR(MATCH($B40,'仕入先'!$B$5:$B$54,0),"なし"))</f>
        <v/>
      </c>
      <c r="S40" s="33">
        <f>IF($B40="","",IF(ISNUMBER($D40),$D40,IF(ISNUMBER($A40),$A40,"")))</f>
        <v/>
      </c>
      <c r="T40" s="34">
        <f>IF(OR($B40="",N($N40)&lt;=0),"",IF(ISNUMBER($J40),$J40,99999)+ROW()/1000000)</f>
        <v/>
      </c>
      <c r="U40" s="35">
        <f>IF(OR($B40="",$B40&lt;&gt;'買掛帳'!$B$3,NOT(ISNUMBER($S40))),"",IF(AND($S40&gt;='買掛帳'!$Q$3,$S40&lt;='買掛帳'!$Q$4),$S40+ROW()/10000000,""))</f>
        <v/>
      </c>
      <c r="V40" s="35">
        <f>IF(OR($B40="",$B40&lt;&gt;'買掛帳'!$B$3,NOT(ISNUMBER($K40)),N($L40)+N($M40)=0),"",IF(AND($K40&gt;='買掛帳'!$Q$3,$K40&lt;='買掛帳'!$Q$4),$K40+0.5+ROW()/10000000,""))</f>
        <v/>
      </c>
    </row>
    <row r="41" ht="18" customHeight="1">
      <c r="A41" s="26" t="n"/>
      <c r="B41" s="18" t="n"/>
      <c r="C41" s="20">
        <f>IF($B41="","",IF($R41="なし","※仕入先にないコード",INDEX('仕入先'!$C$5:$C$54,$R41)&amp;""))</f>
        <v/>
      </c>
      <c r="D41" s="26" t="n"/>
      <c r="E41" s="18" t="n"/>
      <c r="F41" s="19" t="n"/>
      <c r="G41" s="27" t="n"/>
      <c r="H41" s="29">
        <f>IF(OR($B41="",NOT(ISNUMBER($R41)),NOT(ISNUMBER($S41))),"",IF(OR(INDEX('仕入先'!$D$5:$D$54,$R41)="",INDEX('仕入先'!$E$5:$E$54,$R41)="",INDEX('仕入先'!$F$5:$F$54,$R41)=""),"",IF(INDEX('仕入先'!$F$5:$F$54,$R41)="末",DATE(YEAR($S41),(MONTH($S41)+IF(INDEX('仕入先'!$D$5:$D$54,$R41)="末",0,IF(DAY($S41)&lt;=INDEX('仕入先'!$D$5:$D$54,$R41),0,1))+N(INDEX('仕入先'!$E$5:$E$54,$R41)))+1,0),DATE(YEAR($S41),(MONTH($S41)+IF(INDEX('仕入先'!$D$5:$D$54,$R41)="末",0,IF(DAY($S41)&lt;=INDEX('仕入先'!$D$5:$D$54,$R41),0,1))+N(INDEX('仕入先'!$E$5:$E$54,$R41))),MIN(INDEX('仕入先'!$F$5:$F$54,$R41),DAY(DATE(YEAR($S41),(MONTH($S41)+IF(INDEX('仕入先'!$D$5:$D$54,$R41)="末",0,IF(DAY($S41)&lt;=INDEX('仕入先'!$D$5:$D$54,$R41),0,1))+N(INDEX('仕入先'!$E$5:$E$54,$R41)))+1,0)))))))</f>
        <v/>
      </c>
      <c r="I41" s="26" t="n"/>
      <c r="J41" s="29">
        <f>IF($B41="","",IF(ISNUMBER($I41),$I41,$H41))</f>
        <v/>
      </c>
      <c r="K41" s="26" t="n"/>
      <c r="L41" s="27" t="n"/>
      <c r="M41" s="27" t="n"/>
      <c r="N41" s="28">
        <f>IF($B41="","",N($G41)-N($L41)-N($M41))</f>
        <v/>
      </c>
      <c r="O41" s="30">
        <f>IF($B41="","",IF(AND(OR(N($L41)&lt;&gt;0,N($M41)&lt;&gt;0),NOT(ISNUMBER($K41))),"支払日なし",IF($N41=0,IF(N($G41)=0,"請求額0","支払済"),IF($N41&lt;0,"払いすぎ",IF(N($L41)+N($M41)=0,"未払","一部支払")))))</f>
        <v/>
      </c>
      <c r="P41" s="30">
        <f>IF(OR($B41="",N($N41)&lt;=0,NOT(ISNUMBER($J41))),"",IF($J41&lt;'設定'!$B$7,"期日超過 "&amp;('設定'!$B$7-$J41)&amp;"日",IF($J41='設定'!$B$7,"今日","あと "&amp;($J41-'設定'!$B$7)&amp;"日")))</f>
        <v/>
      </c>
      <c r="Q41" s="56" t="n"/>
      <c r="R41" s="32">
        <f>IF($B41="","",IFERROR(MATCH($B41,'仕入先'!$B$5:$B$54,0),"なし"))</f>
        <v/>
      </c>
      <c r="S41" s="33">
        <f>IF($B41="","",IF(ISNUMBER($D41),$D41,IF(ISNUMBER($A41),$A41,"")))</f>
        <v/>
      </c>
      <c r="T41" s="34">
        <f>IF(OR($B41="",N($N41)&lt;=0),"",IF(ISNUMBER($J41),$J41,99999)+ROW()/1000000)</f>
        <v/>
      </c>
      <c r="U41" s="35">
        <f>IF(OR($B41="",$B41&lt;&gt;'買掛帳'!$B$3,NOT(ISNUMBER($S41))),"",IF(AND($S41&gt;='買掛帳'!$Q$3,$S41&lt;='買掛帳'!$Q$4),$S41+ROW()/10000000,""))</f>
        <v/>
      </c>
      <c r="V41" s="35">
        <f>IF(OR($B41="",$B41&lt;&gt;'買掛帳'!$B$3,NOT(ISNUMBER($K41)),N($L41)+N($M41)=0),"",IF(AND($K41&gt;='買掛帳'!$Q$3,$K41&lt;='買掛帳'!$Q$4),$K41+0.5+ROW()/10000000,""))</f>
        <v/>
      </c>
    </row>
    <row r="42" ht="18" customHeight="1">
      <c r="A42" s="26" t="n"/>
      <c r="B42" s="18" t="n"/>
      <c r="C42" s="20">
        <f>IF($B42="","",IF($R42="なし","※仕入先にないコード",INDEX('仕入先'!$C$5:$C$54,$R42)&amp;""))</f>
        <v/>
      </c>
      <c r="D42" s="26" t="n"/>
      <c r="E42" s="18" t="n"/>
      <c r="F42" s="19" t="n"/>
      <c r="G42" s="27" t="n"/>
      <c r="H42" s="29">
        <f>IF(OR($B42="",NOT(ISNUMBER($R42)),NOT(ISNUMBER($S42))),"",IF(OR(INDEX('仕入先'!$D$5:$D$54,$R42)="",INDEX('仕入先'!$E$5:$E$54,$R42)="",INDEX('仕入先'!$F$5:$F$54,$R42)=""),"",IF(INDEX('仕入先'!$F$5:$F$54,$R42)="末",DATE(YEAR($S42),(MONTH($S42)+IF(INDEX('仕入先'!$D$5:$D$54,$R42)="末",0,IF(DAY($S42)&lt;=INDEX('仕入先'!$D$5:$D$54,$R42),0,1))+N(INDEX('仕入先'!$E$5:$E$54,$R42)))+1,0),DATE(YEAR($S42),(MONTH($S42)+IF(INDEX('仕入先'!$D$5:$D$54,$R42)="末",0,IF(DAY($S42)&lt;=INDEX('仕入先'!$D$5:$D$54,$R42),0,1))+N(INDEX('仕入先'!$E$5:$E$54,$R42))),MIN(INDEX('仕入先'!$F$5:$F$54,$R42),DAY(DATE(YEAR($S42),(MONTH($S42)+IF(INDEX('仕入先'!$D$5:$D$54,$R42)="末",0,IF(DAY($S42)&lt;=INDEX('仕入先'!$D$5:$D$54,$R42),0,1))+N(INDEX('仕入先'!$E$5:$E$54,$R42)))+1,0)))))))</f>
        <v/>
      </c>
      <c r="I42" s="26" t="n"/>
      <c r="J42" s="29">
        <f>IF($B42="","",IF(ISNUMBER($I42),$I42,$H42))</f>
        <v/>
      </c>
      <c r="K42" s="26" t="n"/>
      <c r="L42" s="27" t="n"/>
      <c r="M42" s="27" t="n"/>
      <c r="N42" s="28">
        <f>IF($B42="","",N($G42)-N($L42)-N($M42))</f>
        <v/>
      </c>
      <c r="O42" s="30">
        <f>IF($B42="","",IF(AND(OR(N($L42)&lt;&gt;0,N($M42)&lt;&gt;0),NOT(ISNUMBER($K42))),"支払日なし",IF($N42=0,IF(N($G42)=0,"請求額0","支払済"),IF($N42&lt;0,"払いすぎ",IF(N($L42)+N($M42)=0,"未払","一部支払")))))</f>
        <v/>
      </c>
      <c r="P42" s="30">
        <f>IF(OR($B42="",N($N42)&lt;=0,NOT(ISNUMBER($J42))),"",IF($J42&lt;'設定'!$B$7,"期日超過 "&amp;('設定'!$B$7-$J42)&amp;"日",IF($J42='設定'!$B$7,"今日","あと "&amp;($J42-'設定'!$B$7)&amp;"日")))</f>
        <v/>
      </c>
      <c r="Q42" s="56" t="n"/>
      <c r="R42" s="32">
        <f>IF($B42="","",IFERROR(MATCH($B42,'仕入先'!$B$5:$B$54,0),"なし"))</f>
        <v/>
      </c>
      <c r="S42" s="33">
        <f>IF($B42="","",IF(ISNUMBER($D42),$D42,IF(ISNUMBER($A42),$A42,"")))</f>
        <v/>
      </c>
      <c r="T42" s="34">
        <f>IF(OR($B42="",N($N42)&lt;=0),"",IF(ISNUMBER($J42),$J42,99999)+ROW()/1000000)</f>
        <v/>
      </c>
      <c r="U42" s="35">
        <f>IF(OR($B42="",$B42&lt;&gt;'買掛帳'!$B$3,NOT(ISNUMBER($S42))),"",IF(AND($S42&gt;='買掛帳'!$Q$3,$S42&lt;='買掛帳'!$Q$4),$S42+ROW()/10000000,""))</f>
        <v/>
      </c>
      <c r="V42" s="35">
        <f>IF(OR($B42="",$B42&lt;&gt;'買掛帳'!$B$3,NOT(ISNUMBER($K42)),N($L42)+N($M42)=0),"",IF(AND($K42&gt;='買掛帳'!$Q$3,$K42&lt;='買掛帳'!$Q$4),$K42+0.5+ROW()/10000000,""))</f>
        <v/>
      </c>
    </row>
    <row r="43" ht="18" customHeight="1">
      <c r="A43" s="26" t="n"/>
      <c r="B43" s="18" t="n"/>
      <c r="C43" s="20">
        <f>IF($B43="","",IF($R43="なし","※仕入先にないコード",INDEX('仕入先'!$C$5:$C$54,$R43)&amp;""))</f>
        <v/>
      </c>
      <c r="D43" s="26" t="n"/>
      <c r="E43" s="18" t="n"/>
      <c r="F43" s="19" t="n"/>
      <c r="G43" s="27" t="n"/>
      <c r="H43" s="29">
        <f>IF(OR($B43="",NOT(ISNUMBER($R43)),NOT(ISNUMBER($S43))),"",IF(OR(INDEX('仕入先'!$D$5:$D$54,$R43)="",INDEX('仕入先'!$E$5:$E$54,$R43)="",INDEX('仕入先'!$F$5:$F$54,$R43)=""),"",IF(INDEX('仕入先'!$F$5:$F$54,$R43)="末",DATE(YEAR($S43),(MONTH($S43)+IF(INDEX('仕入先'!$D$5:$D$54,$R43)="末",0,IF(DAY($S43)&lt;=INDEX('仕入先'!$D$5:$D$54,$R43),0,1))+N(INDEX('仕入先'!$E$5:$E$54,$R43)))+1,0),DATE(YEAR($S43),(MONTH($S43)+IF(INDEX('仕入先'!$D$5:$D$54,$R43)="末",0,IF(DAY($S43)&lt;=INDEX('仕入先'!$D$5:$D$54,$R43),0,1))+N(INDEX('仕入先'!$E$5:$E$54,$R43))),MIN(INDEX('仕入先'!$F$5:$F$54,$R43),DAY(DATE(YEAR($S43),(MONTH($S43)+IF(INDEX('仕入先'!$D$5:$D$54,$R43)="末",0,IF(DAY($S43)&lt;=INDEX('仕入先'!$D$5:$D$54,$R43),0,1))+N(INDEX('仕入先'!$E$5:$E$54,$R43)))+1,0)))))))</f>
        <v/>
      </c>
      <c r="I43" s="26" t="n"/>
      <c r="J43" s="29">
        <f>IF($B43="","",IF(ISNUMBER($I43),$I43,$H43))</f>
        <v/>
      </c>
      <c r="K43" s="26" t="n"/>
      <c r="L43" s="27" t="n"/>
      <c r="M43" s="27" t="n"/>
      <c r="N43" s="28">
        <f>IF($B43="","",N($G43)-N($L43)-N($M43))</f>
        <v/>
      </c>
      <c r="O43" s="30">
        <f>IF($B43="","",IF(AND(OR(N($L43)&lt;&gt;0,N($M43)&lt;&gt;0),NOT(ISNUMBER($K43))),"支払日なし",IF($N43=0,IF(N($G43)=0,"請求額0","支払済"),IF($N43&lt;0,"払いすぎ",IF(N($L43)+N($M43)=0,"未払","一部支払")))))</f>
        <v/>
      </c>
      <c r="P43" s="30">
        <f>IF(OR($B43="",N($N43)&lt;=0,NOT(ISNUMBER($J43))),"",IF($J43&lt;'設定'!$B$7,"期日超過 "&amp;('設定'!$B$7-$J43)&amp;"日",IF($J43='設定'!$B$7,"今日","あと "&amp;($J43-'設定'!$B$7)&amp;"日")))</f>
        <v/>
      </c>
      <c r="Q43" s="56" t="n"/>
      <c r="R43" s="32">
        <f>IF($B43="","",IFERROR(MATCH($B43,'仕入先'!$B$5:$B$54,0),"なし"))</f>
        <v/>
      </c>
      <c r="S43" s="33">
        <f>IF($B43="","",IF(ISNUMBER($D43),$D43,IF(ISNUMBER($A43),$A43,"")))</f>
        <v/>
      </c>
      <c r="T43" s="34">
        <f>IF(OR($B43="",N($N43)&lt;=0),"",IF(ISNUMBER($J43),$J43,99999)+ROW()/1000000)</f>
        <v/>
      </c>
      <c r="U43" s="35">
        <f>IF(OR($B43="",$B43&lt;&gt;'買掛帳'!$B$3,NOT(ISNUMBER($S43))),"",IF(AND($S43&gt;='買掛帳'!$Q$3,$S43&lt;='買掛帳'!$Q$4),$S43+ROW()/10000000,""))</f>
        <v/>
      </c>
      <c r="V43" s="35">
        <f>IF(OR($B43="",$B43&lt;&gt;'買掛帳'!$B$3,NOT(ISNUMBER($K43)),N($L43)+N($M43)=0),"",IF(AND($K43&gt;='買掛帳'!$Q$3,$K43&lt;='買掛帳'!$Q$4),$K43+0.5+ROW()/10000000,""))</f>
        <v/>
      </c>
    </row>
    <row r="44" ht="18" customHeight="1">
      <c r="A44" s="26" t="n"/>
      <c r="B44" s="18" t="n"/>
      <c r="C44" s="20">
        <f>IF($B44="","",IF($R44="なし","※仕入先にないコード",INDEX('仕入先'!$C$5:$C$54,$R44)&amp;""))</f>
        <v/>
      </c>
      <c r="D44" s="26" t="n"/>
      <c r="E44" s="18" t="n"/>
      <c r="F44" s="19" t="n"/>
      <c r="G44" s="27" t="n"/>
      <c r="H44" s="29">
        <f>IF(OR($B44="",NOT(ISNUMBER($R44)),NOT(ISNUMBER($S44))),"",IF(OR(INDEX('仕入先'!$D$5:$D$54,$R44)="",INDEX('仕入先'!$E$5:$E$54,$R44)="",INDEX('仕入先'!$F$5:$F$54,$R44)=""),"",IF(INDEX('仕入先'!$F$5:$F$54,$R44)="末",DATE(YEAR($S44),(MONTH($S44)+IF(INDEX('仕入先'!$D$5:$D$54,$R44)="末",0,IF(DAY($S44)&lt;=INDEX('仕入先'!$D$5:$D$54,$R44),0,1))+N(INDEX('仕入先'!$E$5:$E$54,$R44)))+1,0),DATE(YEAR($S44),(MONTH($S44)+IF(INDEX('仕入先'!$D$5:$D$54,$R44)="末",0,IF(DAY($S44)&lt;=INDEX('仕入先'!$D$5:$D$54,$R44),0,1))+N(INDEX('仕入先'!$E$5:$E$54,$R44))),MIN(INDEX('仕入先'!$F$5:$F$54,$R44),DAY(DATE(YEAR($S44),(MONTH($S44)+IF(INDEX('仕入先'!$D$5:$D$54,$R44)="末",0,IF(DAY($S44)&lt;=INDEX('仕入先'!$D$5:$D$54,$R44),0,1))+N(INDEX('仕入先'!$E$5:$E$54,$R44)))+1,0)))))))</f>
        <v/>
      </c>
      <c r="I44" s="26" t="n"/>
      <c r="J44" s="29">
        <f>IF($B44="","",IF(ISNUMBER($I44),$I44,$H44))</f>
        <v/>
      </c>
      <c r="K44" s="26" t="n"/>
      <c r="L44" s="27" t="n"/>
      <c r="M44" s="27" t="n"/>
      <c r="N44" s="28">
        <f>IF($B44="","",N($G44)-N($L44)-N($M44))</f>
        <v/>
      </c>
      <c r="O44" s="30">
        <f>IF($B44="","",IF(AND(OR(N($L44)&lt;&gt;0,N($M44)&lt;&gt;0),NOT(ISNUMBER($K44))),"支払日なし",IF($N44=0,IF(N($G44)=0,"請求額0","支払済"),IF($N44&lt;0,"払いすぎ",IF(N($L44)+N($M44)=0,"未払","一部支払")))))</f>
        <v/>
      </c>
      <c r="P44" s="30">
        <f>IF(OR($B44="",N($N44)&lt;=0,NOT(ISNUMBER($J44))),"",IF($J44&lt;'設定'!$B$7,"期日超過 "&amp;('設定'!$B$7-$J44)&amp;"日",IF($J44='設定'!$B$7,"今日","あと "&amp;($J44-'設定'!$B$7)&amp;"日")))</f>
        <v/>
      </c>
      <c r="Q44" s="56" t="n"/>
      <c r="R44" s="32">
        <f>IF($B44="","",IFERROR(MATCH($B44,'仕入先'!$B$5:$B$54,0),"なし"))</f>
        <v/>
      </c>
      <c r="S44" s="33">
        <f>IF($B44="","",IF(ISNUMBER($D44),$D44,IF(ISNUMBER($A44),$A44,"")))</f>
        <v/>
      </c>
      <c r="T44" s="34">
        <f>IF(OR($B44="",N($N44)&lt;=0),"",IF(ISNUMBER($J44),$J44,99999)+ROW()/1000000)</f>
        <v/>
      </c>
      <c r="U44" s="35">
        <f>IF(OR($B44="",$B44&lt;&gt;'買掛帳'!$B$3,NOT(ISNUMBER($S44))),"",IF(AND($S44&gt;='買掛帳'!$Q$3,$S44&lt;='買掛帳'!$Q$4),$S44+ROW()/10000000,""))</f>
        <v/>
      </c>
      <c r="V44" s="35">
        <f>IF(OR($B44="",$B44&lt;&gt;'買掛帳'!$B$3,NOT(ISNUMBER($K44)),N($L44)+N($M44)=0),"",IF(AND($K44&gt;='買掛帳'!$Q$3,$K44&lt;='買掛帳'!$Q$4),$K44+0.5+ROW()/10000000,""))</f>
        <v/>
      </c>
    </row>
    <row r="45" ht="18" customHeight="1">
      <c r="A45" s="26" t="n"/>
      <c r="B45" s="18" t="n"/>
      <c r="C45" s="20">
        <f>IF($B45="","",IF($R45="なし","※仕入先にないコード",INDEX('仕入先'!$C$5:$C$54,$R45)&amp;""))</f>
        <v/>
      </c>
      <c r="D45" s="26" t="n"/>
      <c r="E45" s="18" t="n"/>
      <c r="F45" s="19" t="n"/>
      <c r="G45" s="27" t="n"/>
      <c r="H45" s="29">
        <f>IF(OR($B45="",NOT(ISNUMBER($R45)),NOT(ISNUMBER($S45))),"",IF(OR(INDEX('仕入先'!$D$5:$D$54,$R45)="",INDEX('仕入先'!$E$5:$E$54,$R45)="",INDEX('仕入先'!$F$5:$F$54,$R45)=""),"",IF(INDEX('仕入先'!$F$5:$F$54,$R45)="末",DATE(YEAR($S45),(MONTH($S45)+IF(INDEX('仕入先'!$D$5:$D$54,$R45)="末",0,IF(DAY($S45)&lt;=INDEX('仕入先'!$D$5:$D$54,$R45),0,1))+N(INDEX('仕入先'!$E$5:$E$54,$R45)))+1,0),DATE(YEAR($S45),(MONTH($S45)+IF(INDEX('仕入先'!$D$5:$D$54,$R45)="末",0,IF(DAY($S45)&lt;=INDEX('仕入先'!$D$5:$D$54,$R45),0,1))+N(INDEX('仕入先'!$E$5:$E$54,$R45))),MIN(INDEX('仕入先'!$F$5:$F$54,$R45),DAY(DATE(YEAR($S45),(MONTH($S45)+IF(INDEX('仕入先'!$D$5:$D$54,$R45)="末",0,IF(DAY($S45)&lt;=INDEX('仕入先'!$D$5:$D$54,$R45),0,1))+N(INDEX('仕入先'!$E$5:$E$54,$R45)))+1,0)))))))</f>
        <v/>
      </c>
      <c r="I45" s="26" t="n"/>
      <c r="J45" s="29">
        <f>IF($B45="","",IF(ISNUMBER($I45),$I45,$H45))</f>
        <v/>
      </c>
      <c r="K45" s="26" t="n"/>
      <c r="L45" s="27" t="n"/>
      <c r="M45" s="27" t="n"/>
      <c r="N45" s="28">
        <f>IF($B45="","",N($G45)-N($L45)-N($M45))</f>
        <v/>
      </c>
      <c r="O45" s="30">
        <f>IF($B45="","",IF(AND(OR(N($L45)&lt;&gt;0,N($M45)&lt;&gt;0),NOT(ISNUMBER($K45))),"支払日なし",IF($N45=0,IF(N($G45)=0,"請求額0","支払済"),IF($N45&lt;0,"払いすぎ",IF(N($L45)+N($M45)=0,"未払","一部支払")))))</f>
        <v/>
      </c>
      <c r="P45" s="30">
        <f>IF(OR($B45="",N($N45)&lt;=0,NOT(ISNUMBER($J45))),"",IF($J45&lt;'設定'!$B$7,"期日超過 "&amp;('設定'!$B$7-$J45)&amp;"日",IF($J45='設定'!$B$7,"今日","あと "&amp;($J45-'設定'!$B$7)&amp;"日")))</f>
        <v/>
      </c>
      <c r="Q45" s="56" t="n"/>
      <c r="R45" s="32">
        <f>IF($B45="","",IFERROR(MATCH($B45,'仕入先'!$B$5:$B$54,0),"なし"))</f>
        <v/>
      </c>
      <c r="S45" s="33">
        <f>IF($B45="","",IF(ISNUMBER($D45),$D45,IF(ISNUMBER($A45),$A45,"")))</f>
        <v/>
      </c>
      <c r="T45" s="34">
        <f>IF(OR($B45="",N($N45)&lt;=0),"",IF(ISNUMBER($J45),$J45,99999)+ROW()/1000000)</f>
        <v/>
      </c>
      <c r="U45" s="35">
        <f>IF(OR($B45="",$B45&lt;&gt;'買掛帳'!$B$3,NOT(ISNUMBER($S45))),"",IF(AND($S45&gt;='買掛帳'!$Q$3,$S45&lt;='買掛帳'!$Q$4),$S45+ROW()/10000000,""))</f>
        <v/>
      </c>
      <c r="V45" s="35">
        <f>IF(OR($B45="",$B45&lt;&gt;'買掛帳'!$B$3,NOT(ISNUMBER($K45)),N($L45)+N($M45)=0),"",IF(AND($K45&gt;='買掛帳'!$Q$3,$K45&lt;='買掛帳'!$Q$4),$K45+0.5+ROW()/10000000,""))</f>
        <v/>
      </c>
    </row>
    <row r="46" ht="18" customHeight="1">
      <c r="A46" s="26" t="n"/>
      <c r="B46" s="18" t="n"/>
      <c r="C46" s="20">
        <f>IF($B46="","",IF($R46="なし","※仕入先にないコード",INDEX('仕入先'!$C$5:$C$54,$R46)&amp;""))</f>
        <v/>
      </c>
      <c r="D46" s="26" t="n"/>
      <c r="E46" s="18" t="n"/>
      <c r="F46" s="19" t="n"/>
      <c r="G46" s="27" t="n"/>
      <c r="H46" s="29">
        <f>IF(OR($B46="",NOT(ISNUMBER($R46)),NOT(ISNUMBER($S46))),"",IF(OR(INDEX('仕入先'!$D$5:$D$54,$R46)="",INDEX('仕入先'!$E$5:$E$54,$R46)="",INDEX('仕入先'!$F$5:$F$54,$R46)=""),"",IF(INDEX('仕入先'!$F$5:$F$54,$R46)="末",DATE(YEAR($S46),(MONTH($S46)+IF(INDEX('仕入先'!$D$5:$D$54,$R46)="末",0,IF(DAY($S46)&lt;=INDEX('仕入先'!$D$5:$D$54,$R46),0,1))+N(INDEX('仕入先'!$E$5:$E$54,$R46)))+1,0),DATE(YEAR($S46),(MONTH($S46)+IF(INDEX('仕入先'!$D$5:$D$54,$R46)="末",0,IF(DAY($S46)&lt;=INDEX('仕入先'!$D$5:$D$54,$R46),0,1))+N(INDEX('仕入先'!$E$5:$E$54,$R46))),MIN(INDEX('仕入先'!$F$5:$F$54,$R46),DAY(DATE(YEAR($S46),(MONTH($S46)+IF(INDEX('仕入先'!$D$5:$D$54,$R46)="末",0,IF(DAY($S46)&lt;=INDEX('仕入先'!$D$5:$D$54,$R46),0,1))+N(INDEX('仕入先'!$E$5:$E$54,$R46)))+1,0)))))))</f>
        <v/>
      </c>
      <c r="I46" s="26" t="n"/>
      <c r="J46" s="29">
        <f>IF($B46="","",IF(ISNUMBER($I46),$I46,$H46))</f>
        <v/>
      </c>
      <c r="K46" s="26" t="n"/>
      <c r="L46" s="27" t="n"/>
      <c r="M46" s="27" t="n"/>
      <c r="N46" s="28">
        <f>IF($B46="","",N($G46)-N($L46)-N($M46))</f>
        <v/>
      </c>
      <c r="O46" s="30">
        <f>IF($B46="","",IF(AND(OR(N($L46)&lt;&gt;0,N($M46)&lt;&gt;0),NOT(ISNUMBER($K46))),"支払日なし",IF($N46=0,IF(N($G46)=0,"請求額0","支払済"),IF($N46&lt;0,"払いすぎ",IF(N($L46)+N($M46)=0,"未払","一部支払")))))</f>
        <v/>
      </c>
      <c r="P46" s="30">
        <f>IF(OR($B46="",N($N46)&lt;=0,NOT(ISNUMBER($J46))),"",IF($J46&lt;'設定'!$B$7,"期日超過 "&amp;('設定'!$B$7-$J46)&amp;"日",IF($J46='設定'!$B$7,"今日","あと "&amp;($J46-'設定'!$B$7)&amp;"日")))</f>
        <v/>
      </c>
      <c r="Q46" s="56" t="n"/>
      <c r="R46" s="32">
        <f>IF($B46="","",IFERROR(MATCH($B46,'仕入先'!$B$5:$B$54,0),"なし"))</f>
        <v/>
      </c>
      <c r="S46" s="33">
        <f>IF($B46="","",IF(ISNUMBER($D46),$D46,IF(ISNUMBER($A46),$A46,"")))</f>
        <v/>
      </c>
      <c r="T46" s="34">
        <f>IF(OR($B46="",N($N46)&lt;=0),"",IF(ISNUMBER($J46),$J46,99999)+ROW()/1000000)</f>
        <v/>
      </c>
      <c r="U46" s="35">
        <f>IF(OR($B46="",$B46&lt;&gt;'買掛帳'!$B$3,NOT(ISNUMBER($S46))),"",IF(AND($S46&gt;='買掛帳'!$Q$3,$S46&lt;='買掛帳'!$Q$4),$S46+ROW()/10000000,""))</f>
        <v/>
      </c>
      <c r="V46" s="35">
        <f>IF(OR($B46="",$B46&lt;&gt;'買掛帳'!$B$3,NOT(ISNUMBER($K46)),N($L46)+N($M46)=0),"",IF(AND($K46&gt;='買掛帳'!$Q$3,$K46&lt;='買掛帳'!$Q$4),$K46+0.5+ROW()/10000000,""))</f>
        <v/>
      </c>
    </row>
    <row r="47" ht="18" customHeight="1">
      <c r="A47" s="26" t="n"/>
      <c r="B47" s="18" t="n"/>
      <c r="C47" s="20">
        <f>IF($B47="","",IF($R47="なし","※仕入先にないコード",INDEX('仕入先'!$C$5:$C$54,$R47)&amp;""))</f>
        <v/>
      </c>
      <c r="D47" s="26" t="n"/>
      <c r="E47" s="18" t="n"/>
      <c r="F47" s="19" t="n"/>
      <c r="G47" s="27" t="n"/>
      <c r="H47" s="29">
        <f>IF(OR($B47="",NOT(ISNUMBER($R47)),NOT(ISNUMBER($S47))),"",IF(OR(INDEX('仕入先'!$D$5:$D$54,$R47)="",INDEX('仕入先'!$E$5:$E$54,$R47)="",INDEX('仕入先'!$F$5:$F$54,$R47)=""),"",IF(INDEX('仕入先'!$F$5:$F$54,$R47)="末",DATE(YEAR($S47),(MONTH($S47)+IF(INDEX('仕入先'!$D$5:$D$54,$R47)="末",0,IF(DAY($S47)&lt;=INDEX('仕入先'!$D$5:$D$54,$R47),0,1))+N(INDEX('仕入先'!$E$5:$E$54,$R47)))+1,0),DATE(YEAR($S47),(MONTH($S47)+IF(INDEX('仕入先'!$D$5:$D$54,$R47)="末",0,IF(DAY($S47)&lt;=INDEX('仕入先'!$D$5:$D$54,$R47),0,1))+N(INDEX('仕入先'!$E$5:$E$54,$R47))),MIN(INDEX('仕入先'!$F$5:$F$54,$R47),DAY(DATE(YEAR($S47),(MONTH($S47)+IF(INDEX('仕入先'!$D$5:$D$54,$R47)="末",0,IF(DAY($S47)&lt;=INDEX('仕入先'!$D$5:$D$54,$R47),0,1))+N(INDEX('仕入先'!$E$5:$E$54,$R47)))+1,0)))))))</f>
        <v/>
      </c>
      <c r="I47" s="26" t="n"/>
      <c r="J47" s="29">
        <f>IF($B47="","",IF(ISNUMBER($I47),$I47,$H47))</f>
        <v/>
      </c>
      <c r="K47" s="26" t="n"/>
      <c r="L47" s="27" t="n"/>
      <c r="M47" s="27" t="n"/>
      <c r="N47" s="28">
        <f>IF($B47="","",N($G47)-N($L47)-N($M47))</f>
        <v/>
      </c>
      <c r="O47" s="30">
        <f>IF($B47="","",IF(AND(OR(N($L47)&lt;&gt;0,N($M47)&lt;&gt;0),NOT(ISNUMBER($K47))),"支払日なし",IF($N47=0,IF(N($G47)=0,"請求額0","支払済"),IF($N47&lt;0,"払いすぎ",IF(N($L47)+N($M47)=0,"未払","一部支払")))))</f>
        <v/>
      </c>
      <c r="P47" s="30">
        <f>IF(OR($B47="",N($N47)&lt;=0,NOT(ISNUMBER($J47))),"",IF($J47&lt;'設定'!$B$7,"期日超過 "&amp;('設定'!$B$7-$J47)&amp;"日",IF($J47='設定'!$B$7,"今日","あと "&amp;($J47-'設定'!$B$7)&amp;"日")))</f>
        <v/>
      </c>
      <c r="Q47" s="56" t="n"/>
      <c r="R47" s="32">
        <f>IF($B47="","",IFERROR(MATCH($B47,'仕入先'!$B$5:$B$54,0),"なし"))</f>
        <v/>
      </c>
      <c r="S47" s="33">
        <f>IF($B47="","",IF(ISNUMBER($D47),$D47,IF(ISNUMBER($A47),$A47,"")))</f>
        <v/>
      </c>
      <c r="T47" s="34">
        <f>IF(OR($B47="",N($N47)&lt;=0),"",IF(ISNUMBER($J47),$J47,99999)+ROW()/1000000)</f>
        <v/>
      </c>
      <c r="U47" s="35">
        <f>IF(OR($B47="",$B47&lt;&gt;'買掛帳'!$B$3,NOT(ISNUMBER($S47))),"",IF(AND($S47&gt;='買掛帳'!$Q$3,$S47&lt;='買掛帳'!$Q$4),$S47+ROW()/10000000,""))</f>
        <v/>
      </c>
      <c r="V47" s="35">
        <f>IF(OR($B47="",$B47&lt;&gt;'買掛帳'!$B$3,NOT(ISNUMBER($K47)),N($L47)+N($M47)=0),"",IF(AND($K47&gt;='買掛帳'!$Q$3,$K47&lt;='買掛帳'!$Q$4),$K47+0.5+ROW()/10000000,""))</f>
        <v/>
      </c>
    </row>
    <row r="48" ht="18" customHeight="1">
      <c r="A48" s="26" t="n"/>
      <c r="B48" s="18" t="n"/>
      <c r="C48" s="20">
        <f>IF($B48="","",IF($R48="なし","※仕入先にないコード",INDEX('仕入先'!$C$5:$C$54,$R48)&amp;""))</f>
        <v/>
      </c>
      <c r="D48" s="26" t="n"/>
      <c r="E48" s="18" t="n"/>
      <c r="F48" s="19" t="n"/>
      <c r="G48" s="27" t="n"/>
      <c r="H48" s="29">
        <f>IF(OR($B48="",NOT(ISNUMBER($R48)),NOT(ISNUMBER($S48))),"",IF(OR(INDEX('仕入先'!$D$5:$D$54,$R48)="",INDEX('仕入先'!$E$5:$E$54,$R48)="",INDEX('仕入先'!$F$5:$F$54,$R48)=""),"",IF(INDEX('仕入先'!$F$5:$F$54,$R48)="末",DATE(YEAR($S48),(MONTH($S48)+IF(INDEX('仕入先'!$D$5:$D$54,$R48)="末",0,IF(DAY($S48)&lt;=INDEX('仕入先'!$D$5:$D$54,$R48),0,1))+N(INDEX('仕入先'!$E$5:$E$54,$R48)))+1,0),DATE(YEAR($S48),(MONTH($S48)+IF(INDEX('仕入先'!$D$5:$D$54,$R48)="末",0,IF(DAY($S48)&lt;=INDEX('仕入先'!$D$5:$D$54,$R48),0,1))+N(INDEX('仕入先'!$E$5:$E$54,$R48))),MIN(INDEX('仕入先'!$F$5:$F$54,$R48),DAY(DATE(YEAR($S48),(MONTH($S48)+IF(INDEX('仕入先'!$D$5:$D$54,$R48)="末",0,IF(DAY($S48)&lt;=INDEX('仕入先'!$D$5:$D$54,$R48),0,1))+N(INDEX('仕入先'!$E$5:$E$54,$R48)))+1,0)))))))</f>
        <v/>
      </c>
      <c r="I48" s="26" t="n"/>
      <c r="J48" s="29">
        <f>IF($B48="","",IF(ISNUMBER($I48),$I48,$H48))</f>
        <v/>
      </c>
      <c r="K48" s="26" t="n"/>
      <c r="L48" s="27" t="n"/>
      <c r="M48" s="27" t="n"/>
      <c r="N48" s="28">
        <f>IF($B48="","",N($G48)-N($L48)-N($M48))</f>
        <v/>
      </c>
      <c r="O48" s="30">
        <f>IF($B48="","",IF(AND(OR(N($L48)&lt;&gt;0,N($M48)&lt;&gt;0),NOT(ISNUMBER($K48))),"支払日なし",IF($N48=0,IF(N($G48)=0,"請求額0","支払済"),IF($N48&lt;0,"払いすぎ",IF(N($L48)+N($M48)=0,"未払","一部支払")))))</f>
        <v/>
      </c>
      <c r="P48" s="30">
        <f>IF(OR($B48="",N($N48)&lt;=0,NOT(ISNUMBER($J48))),"",IF($J48&lt;'設定'!$B$7,"期日超過 "&amp;('設定'!$B$7-$J48)&amp;"日",IF($J48='設定'!$B$7,"今日","あと "&amp;($J48-'設定'!$B$7)&amp;"日")))</f>
        <v/>
      </c>
      <c r="Q48" s="56" t="n"/>
      <c r="R48" s="32">
        <f>IF($B48="","",IFERROR(MATCH($B48,'仕入先'!$B$5:$B$54,0),"なし"))</f>
        <v/>
      </c>
      <c r="S48" s="33">
        <f>IF($B48="","",IF(ISNUMBER($D48),$D48,IF(ISNUMBER($A48),$A48,"")))</f>
        <v/>
      </c>
      <c r="T48" s="34">
        <f>IF(OR($B48="",N($N48)&lt;=0),"",IF(ISNUMBER($J48),$J48,99999)+ROW()/1000000)</f>
        <v/>
      </c>
      <c r="U48" s="35">
        <f>IF(OR($B48="",$B48&lt;&gt;'買掛帳'!$B$3,NOT(ISNUMBER($S48))),"",IF(AND($S48&gt;='買掛帳'!$Q$3,$S48&lt;='買掛帳'!$Q$4),$S48+ROW()/10000000,""))</f>
        <v/>
      </c>
      <c r="V48" s="35">
        <f>IF(OR($B48="",$B48&lt;&gt;'買掛帳'!$B$3,NOT(ISNUMBER($K48)),N($L48)+N($M48)=0),"",IF(AND($K48&gt;='買掛帳'!$Q$3,$K48&lt;='買掛帳'!$Q$4),$K48+0.5+ROW()/10000000,""))</f>
        <v/>
      </c>
    </row>
    <row r="49" ht="18" customHeight="1">
      <c r="A49" s="26" t="n"/>
      <c r="B49" s="18" t="n"/>
      <c r="C49" s="20">
        <f>IF($B49="","",IF($R49="なし","※仕入先にないコード",INDEX('仕入先'!$C$5:$C$54,$R49)&amp;""))</f>
        <v/>
      </c>
      <c r="D49" s="26" t="n"/>
      <c r="E49" s="18" t="n"/>
      <c r="F49" s="19" t="n"/>
      <c r="G49" s="27" t="n"/>
      <c r="H49" s="29">
        <f>IF(OR($B49="",NOT(ISNUMBER($R49)),NOT(ISNUMBER($S49))),"",IF(OR(INDEX('仕入先'!$D$5:$D$54,$R49)="",INDEX('仕入先'!$E$5:$E$54,$R49)="",INDEX('仕入先'!$F$5:$F$54,$R49)=""),"",IF(INDEX('仕入先'!$F$5:$F$54,$R49)="末",DATE(YEAR($S49),(MONTH($S49)+IF(INDEX('仕入先'!$D$5:$D$54,$R49)="末",0,IF(DAY($S49)&lt;=INDEX('仕入先'!$D$5:$D$54,$R49),0,1))+N(INDEX('仕入先'!$E$5:$E$54,$R49)))+1,0),DATE(YEAR($S49),(MONTH($S49)+IF(INDEX('仕入先'!$D$5:$D$54,$R49)="末",0,IF(DAY($S49)&lt;=INDEX('仕入先'!$D$5:$D$54,$R49),0,1))+N(INDEX('仕入先'!$E$5:$E$54,$R49))),MIN(INDEX('仕入先'!$F$5:$F$54,$R49),DAY(DATE(YEAR($S49),(MONTH($S49)+IF(INDEX('仕入先'!$D$5:$D$54,$R49)="末",0,IF(DAY($S49)&lt;=INDEX('仕入先'!$D$5:$D$54,$R49),0,1))+N(INDEX('仕入先'!$E$5:$E$54,$R49)))+1,0)))))))</f>
        <v/>
      </c>
      <c r="I49" s="26" t="n"/>
      <c r="J49" s="29">
        <f>IF($B49="","",IF(ISNUMBER($I49),$I49,$H49))</f>
        <v/>
      </c>
      <c r="K49" s="26" t="n"/>
      <c r="L49" s="27" t="n"/>
      <c r="M49" s="27" t="n"/>
      <c r="N49" s="28">
        <f>IF($B49="","",N($G49)-N($L49)-N($M49))</f>
        <v/>
      </c>
      <c r="O49" s="30">
        <f>IF($B49="","",IF(AND(OR(N($L49)&lt;&gt;0,N($M49)&lt;&gt;0),NOT(ISNUMBER($K49))),"支払日なし",IF($N49=0,IF(N($G49)=0,"請求額0","支払済"),IF($N49&lt;0,"払いすぎ",IF(N($L49)+N($M49)=0,"未払","一部支払")))))</f>
        <v/>
      </c>
      <c r="P49" s="30">
        <f>IF(OR($B49="",N($N49)&lt;=0,NOT(ISNUMBER($J49))),"",IF($J49&lt;'設定'!$B$7,"期日超過 "&amp;('設定'!$B$7-$J49)&amp;"日",IF($J49='設定'!$B$7,"今日","あと "&amp;($J49-'設定'!$B$7)&amp;"日")))</f>
        <v/>
      </c>
      <c r="Q49" s="56" t="n"/>
      <c r="R49" s="32">
        <f>IF($B49="","",IFERROR(MATCH($B49,'仕入先'!$B$5:$B$54,0),"なし"))</f>
        <v/>
      </c>
      <c r="S49" s="33">
        <f>IF($B49="","",IF(ISNUMBER($D49),$D49,IF(ISNUMBER($A49),$A49,"")))</f>
        <v/>
      </c>
      <c r="T49" s="34">
        <f>IF(OR($B49="",N($N49)&lt;=0),"",IF(ISNUMBER($J49),$J49,99999)+ROW()/1000000)</f>
        <v/>
      </c>
      <c r="U49" s="35">
        <f>IF(OR($B49="",$B49&lt;&gt;'買掛帳'!$B$3,NOT(ISNUMBER($S49))),"",IF(AND($S49&gt;='買掛帳'!$Q$3,$S49&lt;='買掛帳'!$Q$4),$S49+ROW()/10000000,""))</f>
        <v/>
      </c>
      <c r="V49" s="35">
        <f>IF(OR($B49="",$B49&lt;&gt;'買掛帳'!$B$3,NOT(ISNUMBER($K49)),N($L49)+N($M49)=0),"",IF(AND($K49&gt;='買掛帳'!$Q$3,$K49&lt;='買掛帳'!$Q$4),$K49+0.5+ROW()/10000000,""))</f>
        <v/>
      </c>
    </row>
    <row r="50" ht="18" customHeight="1">
      <c r="A50" s="26" t="n"/>
      <c r="B50" s="18" t="n"/>
      <c r="C50" s="20">
        <f>IF($B50="","",IF($R50="なし","※仕入先にないコード",INDEX('仕入先'!$C$5:$C$54,$R50)&amp;""))</f>
        <v/>
      </c>
      <c r="D50" s="26" t="n"/>
      <c r="E50" s="18" t="n"/>
      <c r="F50" s="19" t="n"/>
      <c r="G50" s="27" t="n"/>
      <c r="H50" s="29">
        <f>IF(OR($B50="",NOT(ISNUMBER($R50)),NOT(ISNUMBER($S50))),"",IF(OR(INDEX('仕入先'!$D$5:$D$54,$R50)="",INDEX('仕入先'!$E$5:$E$54,$R50)="",INDEX('仕入先'!$F$5:$F$54,$R50)=""),"",IF(INDEX('仕入先'!$F$5:$F$54,$R50)="末",DATE(YEAR($S50),(MONTH($S50)+IF(INDEX('仕入先'!$D$5:$D$54,$R50)="末",0,IF(DAY($S50)&lt;=INDEX('仕入先'!$D$5:$D$54,$R50),0,1))+N(INDEX('仕入先'!$E$5:$E$54,$R50)))+1,0),DATE(YEAR($S50),(MONTH($S50)+IF(INDEX('仕入先'!$D$5:$D$54,$R50)="末",0,IF(DAY($S50)&lt;=INDEX('仕入先'!$D$5:$D$54,$R50),0,1))+N(INDEX('仕入先'!$E$5:$E$54,$R50))),MIN(INDEX('仕入先'!$F$5:$F$54,$R50),DAY(DATE(YEAR($S50),(MONTH($S50)+IF(INDEX('仕入先'!$D$5:$D$54,$R50)="末",0,IF(DAY($S50)&lt;=INDEX('仕入先'!$D$5:$D$54,$R50),0,1))+N(INDEX('仕入先'!$E$5:$E$54,$R50)))+1,0)))))))</f>
        <v/>
      </c>
      <c r="I50" s="26" t="n"/>
      <c r="J50" s="29">
        <f>IF($B50="","",IF(ISNUMBER($I50),$I50,$H50))</f>
        <v/>
      </c>
      <c r="K50" s="26" t="n"/>
      <c r="L50" s="27" t="n"/>
      <c r="M50" s="27" t="n"/>
      <c r="N50" s="28">
        <f>IF($B50="","",N($G50)-N($L50)-N($M50))</f>
        <v/>
      </c>
      <c r="O50" s="30">
        <f>IF($B50="","",IF(AND(OR(N($L50)&lt;&gt;0,N($M50)&lt;&gt;0),NOT(ISNUMBER($K50))),"支払日なし",IF($N50=0,IF(N($G50)=0,"請求額0","支払済"),IF($N50&lt;0,"払いすぎ",IF(N($L50)+N($M50)=0,"未払","一部支払")))))</f>
        <v/>
      </c>
      <c r="P50" s="30">
        <f>IF(OR($B50="",N($N50)&lt;=0,NOT(ISNUMBER($J50))),"",IF($J50&lt;'設定'!$B$7,"期日超過 "&amp;('設定'!$B$7-$J50)&amp;"日",IF($J50='設定'!$B$7,"今日","あと "&amp;($J50-'設定'!$B$7)&amp;"日")))</f>
        <v/>
      </c>
      <c r="Q50" s="56" t="n"/>
      <c r="R50" s="32">
        <f>IF($B50="","",IFERROR(MATCH($B50,'仕入先'!$B$5:$B$54,0),"なし"))</f>
        <v/>
      </c>
      <c r="S50" s="33">
        <f>IF($B50="","",IF(ISNUMBER($D50),$D50,IF(ISNUMBER($A50),$A50,"")))</f>
        <v/>
      </c>
      <c r="T50" s="34">
        <f>IF(OR($B50="",N($N50)&lt;=0),"",IF(ISNUMBER($J50),$J50,99999)+ROW()/1000000)</f>
        <v/>
      </c>
      <c r="U50" s="35">
        <f>IF(OR($B50="",$B50&lt;&gt;'買掛帳'!$B$3,NOT(ISNUMBER($S50))),"",IF(AND($S50&gt;='買掛帳'!$Q$3,$S50&lt;='買掛帳'!$Q$4),$S50+ROW()/10000000,""))</f>
        <v/>
      </c>
      <c r="V50" s="35">
        <f>IF(OR($B50="",$B50&lt;&gt;'買掛帳'!$B$3,NOT(ISNUMBER($K50)),N($L50)+N($M50)=0),"",IF(AND($K50&gt;='買掛帳'!$Q$3,$K50&lt;='買掛帳'!$Q$4),$K50+0.5+ROW()/10000000,""))</f>
        <v/>
      </c>
    </row>
    <row r="51" ht="18" customHeight="1">
      <c r="A51" s="26" t="n"/>
      <c r="B51" s="18" t="n"/>
      <c r="C51" s="20">
        <f>IF($B51="","",IF($R51="なし","※仕入先にないコード",INDEX('仕入先'!$C$5:$C$54,$R51)&amp;""))</f>
        <v/>
      </c>
      <c r="D51" s="26" t="n"/>
      <c r="E51" s="18" t="n"/>
      <c r="F51" s="19" t="n"/>
      <c r="G51" s="27" t="n"/>
      <c r="H51" s="29">
        <f>IF(OR($B51="",NOT(ISNUMBER($R51)),NOT(ISNUMBER($S51))),"",IF(OR(INDEX('仕入先'!$D$5:$D$54,$R51)="",INDEX('仕入先'!$E$5:$E$54,$R51)="",INDEX('仕入先'!$F$5:$F$54,$R51)=""),"",IF(INDEX('仕入先'!$F$5:$F$54,$R51)="末",DATE(YEAR($S51),(MONTH($S51)+IF(INDEX('仕入先'!$D$5:$D$54,$R51)="末",0,IF(DAY($S51)&lt;=INDEX('仕入先'!$D$5:$D$54,$R51),0,1))+N(INDEX('仕入先'!$E$5:$E$54,$R51)))+1,0),DATE(YEAR($S51),(MONTH($S51)+IF(INDEX('仕入先'!$D$5:$D$54,$R51)="末",0,IF(DAY($S51)&lt;=INDEX('仕入先'!$D$5:$D$54,$R51),0,1))+N(INDEX('仕入先'!$E$5:$E$54,$R51))),MIN(INDEX('仕入先'!$F$5:$F$54,$R51),DAY(DATE(YEAR($S51),(MONTH($S51)+IF(INDEX('仕入先'!$D$5:$D$54,$R51)="末",0,IF(DAY($S51)&lt;=INDEX('仕入先'!$D$5:$D$54,$R51),0,1))+N(INDEX('仕入先'!$E$5:$E$54,$R51)))+1,0)))))))</f>
        <v/>
      </c>
      <c r="I51" s="26" t="n"/>
      <c r="J51" s="29">
        <f>IF($B51="","",IF(ISNUMBER($I51),$I51,$H51))</f>
        <v/>
      </c>
      <c r="K51" s="26" t="n"/>
      <c r="L51" s="27" t="n"/>
      <c r="M51" s="27" t="n"/>
      <c r="N51" s="28">
        <f>IF($B51="","",N($G51)-N($L51)-N($M51))</f>
        <v/>
      </c>
      <c r="O51" s="30">
        <f>IF($B51="","",IF(AND(OR(N($L51)&lt;&gt;0,N($M51)&lt;&gt;0),NOT(ISNUMBER($K51))),"支払日なし",IF($N51=0,IF(N($G51)=0,"請求額0","支払済"),IF($N51&lt;0,"払いすぎ",IF(N($L51)+N($M51)=0,"未払","一部支払")))))</f>
        <v/>
      </c>
      <c r="P51" s="30">
        <f>IF(OR($B51="",N($N51)&lt;=0,NOT(ISNUMBER($J51))),"",IF($J51&lt;'設定'!$B$7,"期日超過 "&amp;('設定'!$B$7-$J51)&amp;"日",IF($J51='設定'!$B$7,"今日","あと "&amp;($J51-'設定'!$B$7)&amp;"日")))</f>
        <v/>
      </c>
      <c r="Q51" s="56" t="n"/>
      <c r="R51" s="32">
        <f>IF($B51="","",IFERROR(MATCH($B51,'仕入先'!$B$5:$B$54,0),"なし"))</f>
        <v/>
      </c>
      <c r="S51" s="33">
        <f>IF($B51="","",IF(ISNUMBER($D51),$D51,IF(ISNUMBER($A51),$A51,"")))</f>
        <v/>
      </c>
      <c r="T51" s="34">
        <f>IF(OR($B51="",N($N51)&lt;=0),"",IF(ISNUMBER($J51),$J51,99999)+ROW()/1000000)</f>
        <v/>
      </c>
      <c r="U51" s="35">
        <f>IF(OR($B51="",$B51&lt;&gt;'買掛帳'!$B$3,NOT(ISNUMBER($S51))),"",IF(AND($S51&gt;='買掛帳'!$Q$3,$S51&lt;='買掛帳'!$Q$4),$S51+ROW()/10000000,""))</f>
        <v/>
      </c>
      <c r="V51" s="35">
        <f>IF(OR($B51="",$B51&lt;&gt;'買掛帳'!$B$3,NOT(ISNUMBER($K51)),N($L51)+N($M51)=0),"",IF(AND($K51&gt;='買掛帳'!$Q$3,$K51&lt;='買掛帳'!$Q$4),$K51+0.5+ROW()/10000000,""))</f>
        <v/>
      </c>
    </row>
    <row r="52" ht="18" customHeight="1">
      <c r="A52" s="26" t="n"/>
      <c r="B52" s="18" t="n"/>
      <c r="C52" s="20">
        <f>IF($B52="","",IF($R52="なし","※仕入先にないコード",INDEX('仕入先'!$C$5:$C$54,$R52)&amp;""))</f>
        <v/>
      </c>
      <c r="D52" s="26" t="n"/>
      <c r="E52" s="18" t="n"/>
      <c r="F52" s="19" t="n"/>
      <c r="G52" s="27" t="n"/>
      <c r="H52" s="29">
        <f>IF(OR($B52="",NOT(ISNUMBER($R52)),NOT(ISNUMBER($S52))),"",IF(OR(INDEX('仕入先'!$D$5:$D$54,$R52)="",INDEX('仕入先'!$E$5:$E$54,$R52)="",INDEX('仕入先'!$F$5:$F$54,$R52)=""),"",IF(INDEX('仕入先'!$F$5:$F$54,$R52)="末",DATE(YEAR($S52),(MONTH($S52)+IF(INDEX('仕入先'!$D$5:$D$54,$R52)="末",0,IF(DAY($S52)&lt;=INDEX('仕入先'!$D$5:$D$54,$R52),0,1))+N(INDEX('仕入先'!$E$5:$E$54,$R52)))+1,0),DATE(YEAR($S52),(MONTH($S52)+IF(INDEX('仕入先'!$D$5:$D$54,$R52)="末",0,IF(DAY($S52)&lt;=INDEX('仕入先'!$D$5:$D$54,$R52),0,1))+N(INDEX('仕入先'!$E$5:$E$54,$R52))),MIN(INDEX('仕入先'!$F$5:$F$54,$R52),DAY(DATE(YEAR($S52),(MONTH($S52)+IF(INDEX('仕入先'!$D$5:$D$54,$R52)="末",0,IF(DAY($S52)&lt;=INDEX('仕入先'!$D$5:$D$54,$R52),0,1))+N(INDEX('仕入先'!$E$5:$E$54,$R52)))+1,0)))))))</f>
        <v/>
      </c>
      <c r="I52" s="26" t="n"/>
      <c r="J52" s="29">
        <f>IF($B52="","",IF(ISNUMBER($I52),$I52,$H52))</f>
        <v/>
      </c>
      <c r="K52" s="26" t="n"/>
      <c r="L52" s="27" t="n"/>
      <c r="M52" s="27" t="n"/>
      <c r="N52" s="28">
        <f>IF($B52="","",N($G52)-N($L52)-N($M52))</f>
        <v/>
      </c>
      <c r="O52" s="30">
        <f>IF($B52="","",IF(AND(OR(N($L52)&lt;&gt;0,N($M52)&lt;&gt;0),NOT(ISNUMBER($K52))),"支払日なし",IF($N52=0,IF(N($G52)=0,"請求額0","支払済"),IF($N52&lt;0,"払いすぎ",IF(N($L52)+N($M52)=0,"未払","一部支払")))))</f>
        <v/>
      </c>
      <c r="P52" s="30">
        <f>IF(OR($B52="",N($N52)&lt;=0,NOT(ISNUMBER($J52))),"",IF($J52&lt;'設定'!$B$7,"期日超過 "&amp;('設定'!$B$7-$J52)&amp;"日",IF($J52='設定'!$B$7,"今日","あと "&amp;($J52-'設定'!$B$7)&amp;"日")))</f>
        <v/>
      </c>
      <c r="Q52" s="56" t="n"/>
      <c r="R52" s="32">
        <f>IF($B52="","",IFERROR(MATCH($B52,'仕入先'!$B$5:$B$54,0),"なし"))</f>
        <v/>
      </c>
      <c r="S52" s="33">
        <f>IF($B52="","",IF(ISNUMBER($D52),$D52,IF(ISNUMBER($A52),$A52,"")))</f>
        <v/>
      </c>
      <c r="T52" s="34">
        <f>IF(OR($B52="",N($N52)&lt;=0),"",IF(ISNUMBER($J52),$J52,99999)+ROW()/1000000)</f>
        <v/>
      </c>
      <c r="U52" s="35">
        <f>IF(OR($B52="",$B52&lt;&gt;'買掛帳'!$B$3,NOT(ISNUMBER($S52))),"",IF(AND($S52&gt;='買掛帳'!$Q$3,$S52&lt;='買掛帳'!$Q$4),$S52+ROW()/10000000,""))</f>
        <v/>
      </c>
      <c r="V52" s="35">
        <f>IF(OR($B52="",$B52&lt;&gt;'買掛帳'!$B$3,NOT(ISNUMBER($K52)),N($L52)+N($M52)=0),"",IF(AND($K52&gt;='買掛帳'!$Q$3,$K52&lt;='買掛帳'!$Q$4),$K52+0.5+ROW()/10000000,""))</f>
        <v/>
      </c>
    </row>
    <row r="53" ht="18" customHeight="1">
      <c r="A53" s="26" t="n"/>
      <c r="B53" s="18" t="n"/>
      <c r="C53" s="20">
        <f>IF($B53="","",IF($R53="なし","※仕入先にないコード",INDEX('仕入先'!$C$5:$C$54,$R53)&amp;""))</f>
        <v/>
      </c>
      <c r="D53" s="26" t="n"/>
      <c r="E53" s="18" t="n"/>
      <c r="F53" s="19" t="n"/>
      <c r="G53" s="27" t="n"/>
      <c r="H53" s="29">
        <f>IF(OR($B53="",NOT(ISNUMBER($R53)),NOT(ISNUMBER($S53))),"",IF(OR(INDEX('仕入先'!$D$5:$D$54,$R53)="",INDEX('仕入先'!$E$5:$E$54,$R53)="",INDEX('仕入先'!$F$5:$F$54,$R53)=""),"",IF(INDEX('仕入先'!$F$5:$F$54,$R53)="末",DATE(YEAR($S53),(MONTH($S53)+IF(INDEX('仕入先'!$D$5:$D$54,$R53)="末",0,IF(DAY($S53)&lt;=INDEX('仕入先'!$D$5:$D$54,$R53),0,1))+N(INDEX('仕入先'!$E$5:$E$54,$R53)))+1,0),DATE(YEAR($S53),(MONTH($S53)+IF(INDEX('仕入先'!$D$5:$D$54,$R53)="末",0,IF(DAY($S53)&lt;=INDEX('仕入先'!$D$5:$D$54,$R53),0,1))+N(INDEX('仕入先'!$E$5:$E$54,$R53))),MIN(INDEX('仕入先'!$F$5:$F$54,$R53),DAY(DATE(YEAR($S53),(MONTH($S53)+IF(INDEX('仕入先'!$D$5:$D$54,$R53)="末",0,IF(DAY($S53)&lt;=INDEX('仕入先'!$D$5:$D$54,$R53),0,1))+N(INDEX('仕入先'!$E$5:$E$54,$R53)))+1,0)))))))</f>
        <v/>
      </c>
      <c r="I53" s="26" t="n"/>
      <c r="J53" s="29">
        <f>IF($B53="","",IF(ISNUMBER($I53),$I53,$H53))</f>
        <v/>
      </c>
      <c r="K53" s="26" t="n"/>
      <c r="L53" s="27" t="n"/>
      <c r="M53" s="27" t="n"/>
      <c r="N53" s="28">
        <f>IF($B53="","",N($G53)-N($L53)-N($M53))</f>
        <v/>
      </c>
      <c r="O53" s="30">
        <f>IF($B53="","",IF(AND(OR(N($L53)&lt;&gt;0,N($M53)&lt;&gt;0),NOT(ISNUMBER($K53))),"支払日なし",IF($N53=0,IF(N($G53)=0,"請求額0","支払済"),IF($N53&lt;0,"払いすぎ",IF(N($L53)+N($M53)=0,"未払","一部支払")))))</f>
        <v/>
      </c>
      <c r="P53" s="30">
        <f>IF(OR($B53="",N($N53)&lt;=0,NOT(ISNUMBER($J53))),"",IF($J53&lt;'設定'!$B$7,"期日超過 "&amp;('設定'!$B$7-$J53)&amp;"日",IF($J53='設定'!$B$7,"今日","あと "&amp;($J53-'設定'!$B$7)&amp;"日")))</f>
        <v/>
      </c>
      <c r="Q53" s="56" t="n"/>
      <c r="R53" s="32">
        <f>IF($B53="","",IFERROR(MATCH($B53,'仕入先'!$B$5:$B$54,0),"なし"))</f>
        <v/>
      </c>
      <c r="S53" s="33">
        <f>IF($B53="","",IF(ISNUMBER($D53),$D53,IF(ISNUMBER($A53),$A53,"")))</f>
        <v/>
      </c>
      <c r="T53" s="34">
        <f>IF(OR($B53="",N($N53)&lt;=0),"",IF(ISNUMBER($J53),$J53,99999)+ROW()/1000000)</f>
        <v/>
      </c>
      <c r="U53" s="35">
        <f>IF(OR($B53="",$B53&lt;&gt;'買掛帳'!$B$3,NOT(ISNUMBER($S53))),"",IF(AND($S53&gt;='買掛帳'!$Q$3,$S53&lt;='買掛帳'!$Q$4),$S53+ROW()/10000000,""))</f>
        <v/>
      </c>
      <c r="V53" s="35">
        <f>IF(OR($B53="",$B53&lt;&gt;'買掛帳'!$B$3,NOT(ISNUMBER($K53)),N($L53)+N($M53)=0),"",IF(AND($K53&gt;='買掛帳'!$Q$3,$K53&lt;='買掛帳'!$Q$4),$K53+0.5+ROW()/10000000,""))</f>
        <v/>
      </c>
    </row>
    <row r="54" ht="18" customHeight="1">
      <c r="A54" s="26" t="n"/>
      <c r="B54" s="18" t="n"/>
      <c r="C54" s="20">
        <f>IF($B54="","",IF($R54="なし","※仕入先にないコード",INDEX('仕入先'!$C$5:$C$54,$R54)&amp;""))</f>
        <v/>
      </c>
      <c r="D54" s="26" t="n"/>
      <c r="E54" s="18" t="n"/>
      <c r="F54" s="19" t="n"/>
      <c r="G54" s="27" t="n"/>
      <c r="H54" s="29">
        <f>IF(OR($B54="",NOT(ISNUMBER($R54)),NOT(ISNUMBER($S54))),"",IF(OR(INDEX('仕入先'!$D$5:$D$54,$R54)="",INDEX('仕入先'!$E$5:$E$54,$R54)="",INDEX('仕入先'!$F$5:$F$54,$R54)=""),"",IF(INDEX('仕入先'!$F$5:$F$54,$R54)="末",DATE(YEAR($S54),(MONTH($S54)+IF(INDEX('仕入先'!$D$5:$D$54,$R54)="末",0,IF(DAY($S54)&lt;=INDEX('仕入先'!$D$5:$D$54,$R54),0,1))+N(INDEX('仕入先'!$E$5:$E$54,$R54)))+1,0),DATE(YEAR($S54),(MONTH($S54)+IF(INDEX('仕入先'!$D$5:$D$54,$R54)="末",0,IF(DAY($S54)&lt;=INDEX('仕入先'!$D$5:$D$54,$R54),0,1))+N(INDEX('仕入先'!$E$5:$E$54,$R54))),MIN(INDEX('仕入先'!$F$5:$F$54,$R54),DAY(DATE(YEAR($S54),(MONTH($S54)+IF(INDEX('仕入先'!$D$5:$D$54,$R54)="末",0,IF(DAY($S54)&lt;=INDEX('仕入先'!$D$5:$D$54,$R54),0,1))+N(INDEX('仕入先'!$E$5:$E$54,$R54)))+1,0)))))))</f>
        <v/>
      </c>
      <c r="I54" s="26" t="n"/>
      <c r="J54" s="29">
        <f>IF($B54="","",IF(ISNUMBER($I54),$I54,$H54))</f>
        <v/>
      </c>
      <c r="K54" s="26" t="n"/>
      <c r="L54" s="27" t="n"/>
      <c r="M54" s="27" t="n"/>
      <c r="N54" s="28">
        <f>IF($B54="","",N($G54)-N($L54)-N($M54))</f>
        <v/>
      </c>
      <c r="O54" s="30">
        <f>IF($B54="","",IF(AND(OR(N($L54)&lt;&gt;0,N($M54)&lt;&gt;0),NOT(ISNUMBER($K54))),"支払日なし",IF($N54=0,IF(N($G54)=0,"請求額0","支払済"),IF($N54&lt;0,"払いすぎ",IF(N($L54)+N($M54)=0,"未払","一部支払")))))</f>
        <v/>
      </c>
      <c r="P54" s="30">
        <f>IF(OR($B54="",N($N54)&lt;=0,NOT(ISNUMBER($J54))),"",IF($J54&lt;'設定'!$B$7,"期日超過 "&amp;('設定'!$B$7-$J54)&amp;"日",IF($J54='設定'!$B$7,"今日","あと "&amp;($J54-'設定'!$B$7)&amp;"日")))</f>
        <v/>
      </c>
      <c r="Q54" s="56" t="n"/>
      <c r="R54" s="32">
        <f>IF($B54="","",IFERROR(MATCH($B54,'仕入先'!$B$5:$B$54,0),"なし"))</f>
        <v/>
      </c>
      <c r="S54" s="33">
        <f>IF($B54="","",IF(ISNUMBER($D54),$D54,IF(ISNUMBER($A54),$A54,"")))</f>
        <v/>
      </c>
      <c r="T54" s="34">
        <f>IF(OR($B54="",N($N54)&lt;=0),"",IF(ISNUMBER($J54),$J54,99999)+ROW()/1000000)</f>
        <v/>
      </c>
      <c r="U54" s="35">
        <f>IF(OR($B54="",$B54&lt;&gt;'買掛帳'!$B$3,NOT(ISNUMBER($S54))),"",IF(AND($S54&gt;='買掛帳'!$Q$3,$S54&lt;='買掛帳'!$Q$4),$S54+ROW()/10000000,""))</f>
        <v/>
      </c>
      <c r="V54" s="35">
        <f>IF(OR($B54="",$B54&lt;&gt;'買掛帳'!$B$3,NOT(ISNUMBER($K54)),N($L54)+N($M54)=0),"",IF(AND($K54&gt;='買掛帳'!$Q$3,$K54&lt;='買掛帳'!$Q$4),$K54+0.5+ROW()/10000000,""))</f>
        <v/>
      </c>
    </row>
    <row r="55" ht="18" customHeight="1">
      <c r="A55" s="26" t="n"/>
      <c r="B55" s="18" t="n"/>
      <c r="C55" s="20">
        <f>IF($B55="","",IF($R55="なし","※仕入先にないコード",INDEX('仕入先'!$C$5:$C$54,$R55)&amp;""))</f>
        <v/>
      </c>
      <c r="D55" s="26" t="n"/>
      <c r="E55" s="18" t="n"/>
      <c r="F55" s="19" t="n"/>
      <c r="G55" s="27" t="n"/>
      <c r="H55" s="29">
        <f>IF(OR($B55="",NOT(ISNUMBER($R55)),NOT(ISNUMBER($S55))),"",IF(OR(INDEX('仕入先'!$D$5:$D$54,$R55)="",INDEX('仕入先'!$E$5:$E$54,$R55)="",INDEX('仕入先'!$F$5:$F$54,$R55)=""),"",IF(INDEX('仕入先'!$F$5:$F$54,$R55)="末",DATE(YEAR($S55),(MONTH($S55)+IF(INDEX('仕入先'!$D$5:$D$54,$R55)="末",0,IF(DAY($S55)&lt;=INDEX('仕入先'!$D$5:$D$54,$R55),0,1))+N(INDEX('仕入先'!$E$5:$E$54,$R55)))+1,0),DATE(YEAR($S55),(MONTH($S55)+IF(INDEX('仕入先'!$D$5:$D$54,$R55)="末",0,IF(DAY($S55)&lt;=INDEX('仕入先'!$D$5:$D$54,$R55),0,1))+N(INDEX('仕入先'!$E$5:$E$54,$R55))),MIN(INDEX('仕入先'!$F$5:$F$54,$R55),DAY(DATE(YEAR($S55),(MONTH($S55)+IF(INDEX('仕入先'!$D$5:$D$54,$R55)="末",0,IF(DAY($S55)&lt;=INDEX('仕入先'!$D$5:$D$54,$R55),0,1))+N(INDEX('仕入先'!$E$5:$E$54,$R55)))+1,0)))))))</f>
        <v/>
      </c>
      <c r="I55" s="26" t="n"/>
      <c r="J55" s="29">
        <f>IF($B55="","",IF(ISNUMBER($I55),$I55,$H55))</f>
        <v/>
      </c>
      <c r="K55" s="26" t="n"/>
      <c r="L55" s="27" t="n"/>
      <c r="M55" s="27" t="n"/>
      <c r="N55" s="28">
        <f>IF($B55="","",N($G55)-N($L55)-N($M55))</f>
        <v/>
      </c>
      <c r="O55" s="30">
        <f>IF($B55="","",IF(AND(OR(N($L55)&lt;&gt;0,N($M55)&lt;&gt;0),NOT(ISNUMBER($K55))),"支払日なし",IF($N55=0,IF(N($G55)=0,"請求額0","支払済"),IF($N55&lt;0,"払いすぎ",IF(N($L55)+N($M55)=0,"未払","一部支払")))))</f>
        <v/>
      </c>
      <c r="P55" s="30">
        <f>IF(OR($B55="",N($N55)&lt;=0,NOT(ISNUMBER($J55))),"",IF($J55&lt;'設定'!$B$7,"期日超過 "&amp;('設定'!$B$7-$J55)&amp;"日",IF($J55='設定'!$B$7,"今日","あと "&amp;($J55-'設定'!$B$7)&amp;"日")))</f>
        <v/>
      </c>
      <c r="Q55" s="56" t="n"/>
      <c r="R55" s="32">
        <f>IF($B55="","",IFERROR(MATCH($B55,'仕入先'!$B$5:$B$54,0),"なし"))</f>
        <v/>
      </c>
      <c r="S55" s="33">
        <f>IF($B55="","",IF(ISNUMBER($D55),$D55,IF(ISNUMBER($A55),$A55,"")))</f>
        <v/>
      </c>
      <c r="T55" s="34">
        <f>IF(OR($B55="",N($N55)&lt;=0),"",IF(ISNUMBER($J55),$J55,99999)+ROW()/1000000)</f>
        <v/>
      </c>
      <c r="U55" s="35">
        <f>IF(OR($B55="",$B55&lt;&gt;'買掛帳'!$B$3,NOT(ISNUMBER($S55))),"",IF(AND($S55&gt;='買掛帳'!$Q$3,$S55&lt;='買掛帳'!$Q$4),$S55+ROW()/10000000,""))</f>
        <v/>
      </c>
      <c r="V55" s="35">
        <f>IF(OR($B55="",$B55&lt;&gt;'買掛帳'!$B$3,NOT(ISNUMBER($K55)),N($L55)+N($M55)=0),"",IF(AND($K55&gt;='買掛帳'!$Q$3,$K55&lt;='買掛帳'!$Q$4),$K55+0.5+ROW()/10000000,""))</f>
        <v/>
      </c>
    </row>
    <row r="56" ht="18" customHeight="1">
      <c r="A56" s="26" t="n"/>
      <c r="B56" s="18" t="n"/>
      <c r="C56" s="20">
        <f>IF($B56="","",IF($R56="なし","※仕入先にないコード",INDEX('仕入先'!$C$5:$C$54,$R56)&amp;""))</f>
        <v/>
      </c>
      <c r="D56" s="26" t="n"/>
      <c r="E56" s="18" t="n"/>
      <c r="F56" s="19" t="n"/>
      <c r="G56" s="27" t="n"/>
      <c r="H56" s="29">
        <f>IF(OR($B56="",NOT(ISNUMBER($R56)),NOT(ISNUMBER($S56))),"",IF(OR(INDEX('仕入先'!$D$5:$D$54,$R56)="",INDEX('仕入先'!$E$5:$E$54,$R56)="",INDEX('仕入先'!$F$5:$F$54,$R56)=""),"",IF(INDEX('仕入先'!$F$5:$F$54,$R56)="末",DATE(YEAR($S56),(MONTH($S56)+IF(INDEX('仕入先'!$D$5:$D$54,$R56)="末",0,IF(DAY($S56)&lt;=INDEX('仕入先'!$D$5:$D$54,$R56),0,1))+N(INDEX('仕入先'!$E$5:$E$54,$R56)))+1,0),DATE(YEAR($S56),(MONTH($S56)+IF(INDEX('仕入先'!$D$5:$D$54,$R56)="末",0,IF(DAY($S56)&lt;=INDEX('仕入先'!$D$5:$D$54,$R56),0,1))+N(INDEX('仕入先'!$E$5:$E$54,$R56))),MIN(INDEX('仕入先'!$F$5:$F$54,$R56),DAY(DATE(YEAR($S56),(MONTH($S56)+IF(INDEX('仕入先'!$D$5:$D$54,$R56)="末",0,IF(DAY($S56)&lt;=INDEX('仕入先'!$D$5:$D$54,$R56),0,1))+N(INDEX('仕入先'!$E$5:$E$54,$R56)))+1,0)))))))</f>
        <v/>
      </c>
      <c r="I56" s="26" t="n"/>
      <c r="J56" s="29">
        <f>IF($B56="","",IF(ISNUMBER($I56),$I56,$H56))</f>
        <v/>
      </c>
      <c r="K56" s="26" t="n"/>
      <c r="L56" s="27" t="n"/>
      <c r="M56" s="27" t="n"/>
      <c r="N56" s="28">
        <f>IF($B56="","",N($G56)-N($L56)-N($M56))</f>
        <v/>
      </c>
      <c r="O56" s="30">
        <f>IF($B56="","",IF(AND(OR(N($L56)&lt;&gt;0,N($M56)&lt;&gt;0),NOT(ISNUMBER($K56))),"支払日なし",IF($N56=0,IF(N($G56)=0,"請求額0","支払済"),IF($N56&lt;0,"払いすぎ",IF(N($L56)+N($M56)=0,"未払","一部支払")))))</f>
        <v/>
      </c>
      <c r="P56" s="30">
        <f>IF(OR($B56="",N($N56)&lt;=0,NOT(ISNUMBER($J56))),"",IF($J56&lt;'設定'!$B$7,"期日超過 "&amp;('設定'!$B$7-$J56)&amp;"日",IF($J56='設定'!$B$7,"今日","あと "&amp;($J56-'設定'!$B$7)&amp;"日")))</f>
        <v/>
      </c>
      <c r="Q56" s="56" t="n"/>
      <c r="R56" s="32">
        <f>IF($B56="","",IFERROR(MATCH($B56,'仕入先'!$B$5:$B$54,0),"なし"))</f>
        <v/>
      </c>
      <c r="S56" s="33">
        <f>IF($B56="","",IF(ISNUMBER($D56),$D56,IF(ISNUMBER($A56),$A56,"")))</f>
        <v/>
      </c>
      <c r="T56" s="34">
        <f>IF(OR($B56="",N($N56)&lt;=0),"",IF(ISNUMBER($J56),$J56,99999)+ROW()/1000000)</f>
        <v/>
      </c>
      <c r="U56" s="35">
        <f>IF(OR($B56="",$B56&lt;&gt;'買掛帳'!$B$3,NOT(ISNUMBER($S56))),"",IF(AND($S56&gt;='買掛帳'!$Q$3,$S56&lt;='買掛帳'!$Q$4),$S56+ROW()/10000000,""))</f>
        <v/>
      </c>
      <c r="V56" s="35">
        <f>IF(OR($B56="",$B56&lt;&gt;'買掛帳'!$B$3,NOT(ISNUMBER($K56)),N($L56)+N($M56)=0),"",IF(AND($K56&gt;='買掛帳'!$Q$3,$K56&lt;='買掛帳'!$Q$4),$K56+0.5+ROW()/10000000,""))</f>
        <v/>
      </c>
    </row>
    <row r="57" ht="18" customHeight="1">
      <c r="A57" s="26" t="n"/>
      <c r="B57" s="18" t="n"/>
      <c r="C57" s="20">
        <f>IF($B57="","",IF($R57="なし","※仕入先にないコード",INDEX('仕入先'!$C$5:$C$54,$R57)&amp;""))</f>
        <v/>
      </c>
      <c r="D57" s="26" t="n"/>
      <c r="E57" s="18" t="n"/>
      <c r="F57" s="19" t="n"/>
      <c r="G57" s="27" t="n"/>
      <c r="H57" s="29">
        <f>IF(OR($B57="",NOT(ISNUMBER($R57)),NOT(ISNUMBER($S57))),"",IF(OR(INDEX('仕入先'!$D$5:$D$54,$R57)="",INDEX('仕入先'!$E$5:$E$54,$R57)="",INDEX('仕入先'!$F$5:$F$54,$R57)=""),"",IF(INDEX('仕入先'!$F$5:$F$54,$R57)="末",DATE(YEAR($S57),(MONTH($S57)+IF(INDEX('仕入先'!$D$5:$D$54,$R57)="末",0,IF(DAY($S57)&lt;=INDEX('仕入先'!$D$5:$D$54,$R57),0,1))+N(INDEX('仕入先'!$E$5:$E$54,$R57)))+1,0),DATE(YEAR($S57),(MONTH($S57)+IF(INDEX('仕入先'!$D$5:$D$54,$R57)="末",0,IF(DAY($S57)&lt;=INDEX('仕入先'!$D$5:$D$54,$R57),0,1))+N(INDEX('仕入先'!$E$5:$E$54,$R57))),MIN(INDEX('仕入先'!$F$5:$F$54,$R57),DAY(DATE(YEAR($S57),(MONTH($S57)+IF(INDEX('仕入先'!$D$5:$D$54,$R57)="末",0,IF(DAY($S57)&lt;=INDEX('仕入先'!$D$5:$D$54,$R57),0,1))+N(INDEX('仕入先'!$E$5:$E$54,$R57)))+1,0)))))))</f>
        <v/>
      </c>
      <c r="I57" s="26" t="n"/>
      <c r="J57" s="29">
        <f>IF($B57="","",IF(ISNUMBER($I57),$I57,$H57))</f>
        <v/>
      </c>
      <c r="K57" s="26" t="n"/>
      <c r="L57" s="27" t="n"/>
      <c r="M57" s="27" t="n"/>
      <c r="N57" s="28">
        <f>IF($B57="","",N($G57)-N($L57)-N($M57))</f>
        <v/>
      </c>
      <c r="O57" s="30">
        <f>IF($B57="","",IF(AND(OR(N($L57)&lt;&gt;0,N($M57)&lt;&gt;0),NOT(ISNUMBER($K57))),"支払日なし",IF($N57=0,IF(N($G57)=0,"請求額0","支払済"),IF($N57&lt;0,"払いすぎ",IF(N($L57)+N($M57)=0,"未払","一部支払")))))</f>
        <v/>
      </c>
      <c r="P57" s="30">
        <f>IF(OR($B57="",N($N57)&lt;=0,NOT(ISNUMBER($J57))),"",IF($J57&lt;'設定'!$B$7,"期日超過 "&amp;('設定'!$B$7-$J57)&amp;"日",IF($J57='設定'!$B$7,"今日","あと "&amp;($J57-'設定'!$B$7)&amp;"日")))</f>
        <v/>
      </c>
      <c r="Q57" s="56" t="n"/>
      <c r="R57" s="32">
        <f>IF($B57="","",IFERROR(MATCH($B57,'仕入先'!$B$5:$B$54,0),"なし"))</f>
        <v/>
      </c>
      <c r="S57" s="33">
        <f>IF($B57="","",IF(ISNUMBER($D57),$D57,IF(ISNUMBER($A57),$A57,"")))</f>
        <v/>
      </c>
      <c r="T57" s="34">
        <f>IF(OR($B57="",N($N57)&lt;=0),"",IF(ISNUMBER($J57),$J57,99999)+ROW()/1000000)</f>
        <v/>
      </c>
      <c r="U57" s="35">
        <f>IF(OR($B57="",$B57&lt;&gt;'買掛帳'!$B$3,NOT(ISNUMBER($S57))),"",IF(AND($S57&gt;='買掛帳'!$Q$3,$S57&lt;='買掛帳'!$Q$4),$S57+ROW()/10000000,""))</f>
        <v/>
      </c>
      <c r="V57" s="35">
        <f>IF(OR($B57="",$B57&lt;&gt;'買掛帳'!$B$3,NOT(ISNUMBER($K57)),N($L57)+N($M57)=0),"",IF(AND($K57&gt;='買掛帳'!$Q$3,$K57&lt;='買掛帳'!$Q$4),$K57+0.5+ROW()/10000000,""))</f>
        <v/>
      </c>
    </row>
    <row r="58" ht="18" customHeight="1">
      <c r="A58" s="26" t="n"/>
      <c r="B58" s="18" t="n"/>
      <c r="C58" s="20">
        <f>IF($B58="","",IF($R58="なし","※仕入先にないコード",INDEX('仕入先'!$C$5:$C$54,$R58)&amp;""))</f>
        <v/>
      </c>
      <c r="D58" s="26" t="n"/>
      <c r="E58" s="18" t="n"/>
      <c r="F58" s="19" t="n"/>
      <c r="G58" s="27" t="n"/>
      <c r="H58" s="29">
        <f>IF(OR($B58="",NOT(ISNUMBER($R58)),NOT(ISNUMBER($S58))),"",IF(OR(INDEX('仕入先'!$D$5:$D$54,$R58)="",INDEX('仕入先'!$E$5:$E$54,$R58)="",INDEX('仕入先'!$F$5:$F$54,$R58)=""),"",IF(INDEX('仕入先'!$F$5:$F$54,$R58)="末",DATE(YEAR($S58),(MONTH($S58)+IF(INDEX('仕入先'!$D$5:$D$54,$R58)="末",0,IF(DAY($S58)&lt;=INDEX('仕入先'!$D$5:$D$54,$R58),0,1))+N(INDEX('仕入先'!$E$5:$E$54,$R58)))+1,0),DATE(YEAR($S58),(MONTH($S58)+IF(INDEX('仕入先'!$D$5:$D$54,$R58)="末",0,IF(DAY($S58)&lt;=INDEX('仕入先'!$D$5:$D$54,$R58),0,1))+N(INDEX('仕入先'!$E$5:$E$54,$R58))),MIN(INDEX('仕入先'!$F$5:$F$54,$R58),DAY(DATE(YEAR($S58),(MONTH($S58)+IF(INDEX('仕入先'!$D$5:$D$54,$R58)="末",0,IF(DAY($S58)&lt;=INDEX('仕入先'!$D$5:$D$54,$R58),0,1))+N(INDEX('仕入先'!$E$5:$E$54,$R58)))+1,0)))))))</f>
        <v/>
      </c>
      <c r="I58" s="26" t="n"/>
      <c r="J58" s="29">
        <f>IF($B58="","",IF(ISNUMBER($I58),$I58,$H58))</f>
        <v/>
      </c>
      <c r="K58" s="26" t="n"/>
      <c r="L58" s="27" t="n"/>
      <c r="M58" s="27" t="n"/>
      <c r="N58" s="28">
        <f>IF($B58="","",N($G58)-N($L58)-N($M58))</f>
        <v/>
      </c>
      <c r="O58" s="30">
        <f>IF($B58="","",IF(AND(OR(N($L58)&lt;&gt;0,N($M58)&lt;&gt;0),NOT(ISNUMBER($K58))),"支払日なし",IF($N58=0,IF(N($G58)=0,"請求額0","支払済"),IF($N58&lt;0,"払いすぎ",IF(N($L58)+N($M58)=0,"未払","一部支払")))))</f>
        <v/>
      </c>
      <c r="P58" s="30">
        <f>IF(OR($B58="",N($N58)&lt;=0,NOT(ISNUMBER($J58))),"",IF($J58&lt;'設定'!$B$7,"期日超過 "&amp;('設定'!$B$7-$J58)&amp;"日",IF($J58='設定'!$B$7,"今日","あと "&amp;($J58-'設定'!$B$7)&amp;"日")))</f>
        <v/>
      </c>
      <c r="Q58" s="56" t="n"/>
      <c r="R58" s="32">
        <f>IF($B58="","",IFERROR(MATCH($B58,'仕入先'!$B$5:$B$54,0),"なし"))</f>
        <v/>
      </c>
      <c r="S58" s="33">
        <f>IF($B58="","",IF(ISNUMBER($D58),$D58,IF(ISNUMBER($A58),$A58,"")))</f>
        <v/>
      </c>
      <c r="T58" s="34">
        <f>IF(OR($B58="",N($N58)&lt;=0),"",IF(ISNUMBER($J58),$J58,99999)+ROW()/1000000)</f>
        <v/>
      </c>
      <c r="U58" s="35">
        <f>IF(OR($B58="",$B58&lt;&gt;'買掛帳'!$B$3,NOT(ISNUMBER($S58))),"",IF(AND($S58&gt;='買掛帳'!$Q$3,$S58&lt;='買掛帳'!$Q$4),$S58+ROW()/10000000,""))</f>
        <v/>
      </c>
      <c r="V58" s="35">
        <f>IF(OR($B58="",$B58&lt;&gt;'買掛帳'!$B$3,NOT(ISNUMBER($K58)),N($L58)+N($M58)=0),"",IF(AND($K58&gt;='買掛帳'!$Q$3,$K58&lt;='買掛帳'!$Q$4),$K58+0.5+ROW()/10000000,""))</f>
        <v/>
      </c>
    </row>
    <row r="59" ht="18" customHeight="1">
      <c r="A59" s="26" t="n"/>
      <c r="B59" s="18" t="n"/>
      <c r="C59" s="20">
        <f>IF($B59="","",IF($R59="なし","※仕入先にないコード",INDEX('仕入先'!$C$5:$C$54,$R59)&amp;""))</f>
        <v/>
      </c>
      <c r="D59" s="26" t="n"/>
      <c r="E59" s="18" t="n"/>
      <c r="F59" s="19" t="n"/>
      <c r="G59" s="27" t="n"/>
      <c r="H59" s="29">
        <f>IF(OR($B59="",NOT(ISNUMBER($R59)),NOT(ISNUMBER($S59))),"",IF(OR(INDEX('仕入先'!$D$5:$D$54,$R59)="",INDEX('仕入先'!$E$5:$E$54,$R59)="",INDEX('仕入先'!$F$5:$F$54,$R59)=""),"",IF(INDEX('仕入先'!$F$5:$F$54,$R59)="末",DATE(YEAR($S59),(MONTH($S59)+IF(INDEX('仕入先'!$D$5:$D$54,$R59)="末",0,IF(DAY($S59)&lt;=INDEX('仕入先'!$D$5:$D$54,$R59),0,1))+N(INDEX('仕入先'!$E$5:$E$54,$R59)))+1,0),DATE(YEAR($S59),(MONTH($S59)+IF(INDEX('仕入先'!$D$5:$D$54,$R59)="末",0,IF(DAY($S59)&lt;=INDEX('仕入先'!$D$5:$D$54,$R59),0,1))+N(INDEX('仕入先'!$E$5:$E$54,$R59))),MIN(INDEX('仕入先'!$F$5:$F$54,$R59),DAY(DATE(YEAR($S59),(MONTH($S59)+IF(INDEX('仕入先'!$D$5:$D$54,$R59)="末",0,IF(DAY($S59)&lt;=INDEX('仕入先'!$D$5:$D$54,$R59),0,1))+N(INDEX('仕入先'!$E$5:$E$54,$R59)))+1,0)))))))</f>
        <v/>
      </c>
      <c r="I59" s="26" t="n"/>
      <c r="J59" s="29">
        <f>IF($B59="","",IF(ISNUMBER($I59),$I59,$H59))</f>
        <v/>
      </c>
      <c r="K59" s="26" t="n"/>
      <c r="L59" s="27" t="n"/>
      <c r="M59" s="27" t="n"/>
      <c r="N59" s="28">
        <f>IF($B59="","",N($G59)-N($L59)-N($M59))</f>
        <v/>
      </c>
      <c r="O59" s="30">
        <f>IF($B59="","",IF(AND(OR(N($L59)&lt;&gt;0,N($M59)&lt;&gt;0),NOT(ISNUMBER($K59))),"支払日なし",IF($N59=0,IF(N($G59)=0,"請求額0","支払済"),IF($N59&lt;0,"払いすぎ",IF(N($L59)+N($M59)=0,"未払","一部支払")))))</f>
        <v/>
      </c>
      <c r="P59" s="30">
        <f>IF(OR($B59="",N($N59)&lt;=0,NOT(ISNUMBER($J59))),"",IF($J59&lt;'設定'!$B$7,"期日超過 "&amp;('設定'!$B$7-$J59)&amp;"日",IF($J59='設定'!$B$7,"今日","あと "&amp;($J59-'設定'!$B$7)&amp;"日")))</f>
        <v/>
      </c>
      <c r="Q59" s="56" t="n"/>
      <c r="R59" s="32">
        <f>IF($B59="","",IFERROR(MATCH($B59,'仕入先'!$B$5:$B$54,0),"なし"))</f>
        <v/>
      </c>
      <c r="S59" s="33">
        <f>IF($B59="","",IF(ISNUMBER($D59),$D59,IF(ISNUMBER($A59),$A59,"")))</f>
        <v/>
      </c>
      <c r="T59" s="34">
        <f>IF(OR($B59="",N($N59)&lt;=0),"",IF(ISNUMBER($J59),$J59,99999)+ROW()/1000000)</f>
        <v/>
      </c>
      <c r="U59" s="35">
        <f>IF(OR($B59="",$B59&lt;&gt;'買掛帳'!$B$3,NOT(ISNUMBER($S59))),"",IF(AND($S59&gt;='買掛帳'!$Q$3,$S59&lt;='買掛帳'!$Q$4),$S59+ROW()/10000000,""))</f>
        <v/>
      </c>
      <c r="V59" s="35">
        <f>IF(OR($B59="",$B59&lt;&gt;'買掛帳'!$B$3,NOT(ISNUMBER($K59)),N($L59)+N($M59)=0),"",IF(AND($K59&gt;='買掛帳'!$Q$3,$K59&lt;='買掛帳'!$Q$4),$K59+0.5+ROW()/10000000,""))</f>
        <v/>
      </c>
    </row>
    <row r="60" ht="18" customHeight="1">
      <c r="A60" s="26" t="n"/>
      <c r="B60" s="18" t="n"/>
      <c r="C60" s="20">
        <f>IF($B60="","",IF($R60="なし","※仕入先にないコード",INDEX('仕入先'!$C$5:$C$54,$R60)&amp;""))</f>
        <v/>
      </c>
      <c r="D60" s="26" t="n"/>
      <c r="E60" s="18" t="n"/>
      <c r="F60" s="19" t="n"/>
      <c r="G60" s="27" t="n"/>
      <c r="H60" s="29">
        <f>IF(OR($B60="",NOT(ISNUMBER($R60)),NOT(ISNUMBER($S60))),"",IF(OR(INDEX('仕入先'!$D$5:$D$54,$R60)="",INDEX('仕入先'!$E$5:$E$54,$R60)="",INDEX('仕入先'!$F$5:$F$54,$R60)=""),"",IF(INDEX('仕入先'!$F$5:$F$54,$R60)="末",DATE(YEAR($S60),(MONTH($S60)+IF(INDEX('仕入先'!$D$5:$D$54,$R60)="末",0,IF(DAY($S60)&lt;=INDEX('仕入先'!$D$5:$D$54,$R60),0,1))+N(INDEX('仕入先'!$E$5:$E$54,$R60)))+1,0),DATE(YEAR($S60),(MONTH($S60)+IF(INDEX('仕入先'!$D$5:$D$54,$R60)="末",0,IF(DAY($S60)&lt;=INDEX('仕入先'!$D$5:$D$54,$R60),0,1))+N(INDEX('仕入先'!$E$5:$E$54,$R60))),MIN(INDEX('仕入先'!$F$5:$F$54,$R60),DAY(DATE(YEAR($S60),(MONTH($S60)+IF(INDEX('仕入先'!$D$5:$D$54,$R60)="末",0,IF(DAY($S60)&lt;=INDEX('仕入先'!$D$5:$D$54,$R60),0,1))+N(INDEX('仕入先'!$E$5:$E$54,$R60)))+1,0)))))))</f>
        <v/>
      </c>
      <c r="I60" s="26" t="n"/>
      <c r="J60" s="29">
        <f>IF($B60="","",IF(ISNUMBER($I60),$I60,$H60))</f>
        <v/>
      </c>
      <c r="K60" s="26" t="n"/>
      <c r="L60" s="27" t="n"/>
      <c r="M60" s="27" t="n"/>
      <c r="N60" s="28">
        <f>IF($B60="","",N($G60)-N($L60)-N($M60))</f>
        <v/>
      </c>
      <c r="O60" s="30">
        <f>IF($B60="","",IF(AND(OR(N($L60)&lt;&gt;0,N($M60)&lt;&gt;0),NOT(ISNUMBER($K60))),"支払日なし",IF($N60=0,IF(N($G60)=0,"請求額0","支払済"),IF($N60&lt;0,"払いすぎ",IF(N($L60)+N($M60)=0,"未払","一部支払")))))</f>
        <v/>
      </c>
      <c r="P60" s="30">
        <f>IF(OR($B60="",N($N60)&lt;=0,NOT(ISNUMBER($J60))),"",IF($J60&lt;'設定'!$B$7,"期日超過 "&amp;('設定'!$B$7-$J60)&amp;"日",IF($J60='設定'!$B$7,"今日","あと "&amp;($J60-'設定'!$B$7)&amp;"日")))</f>
        <v/>
      </c>
      <c r="Q60" s="56" t="n"/>
      <c r="R60" s="32">
        <f>IF($B60="","",IFERROR(MATCH($B60,'仕入先'!$B$5:$B$54,0),"なし"))</f>
        <v/>
      </c>
      <c r="S60" s="33">
        <f>IF($B60="","",IF(ISNUMBER($D60),$D60,IF(ISNUMBER($A60),$A60,"")))</f>
        <v/>
      </c>
      <c r="T60" s="34">
        <f>IF(OR($B60="",N($N60)&lt;=0),"",IF(ISNUMBER($J60),$J60,99999)+ROW()/1000000)</f>
        <v/>
      </c>
      <c r="U60" s="35">
        <f>IF(OR($B60="",$B60&lt;&gt;'買掛帳'!$B$3,NOT(ISNUMBER($S60))),"",IF(AND($S60&gt;='買掛帳'!$Q$3,$S60&lt;='買掛帳'!$Q$4),$S60+ROW()/10000000,""))</f>
        <v/>
      </c>
      <c r="V60" s="35">
        <f>IF(OR($B60="",$B60&lt;&gt;'買掛帳'!$B$3,NOT(ISNUMBER($K60)),N($L60)+N($M60)=0),"",IF(AND($K60&gt;='買掛帳'!$Q$3,$K60&lt;='買掛帳'!$Q$4),$K60+0.5+ROW()/10000000,""))</f>
        <v/>
      </c>
    </row>
    <row r="61" ht="18" customHeight="1">
      <c r="A61" s="26" t="n"/>
      <c r="B61" s="18" t="n"/>
      <c r="C61" s="20">
        <f>IF($B61="","",IF($R61="なし","※仕入先にないコード",INDEX('仕入先'!$C$5:$C$54,$R61)&amp;""))</f>
        <v/>
      </c>
      <c r="D61" s="26" t="n"/>
      <c r="E61" s="18" t="n"/>
      <c r="F61" s="19" t="n"/>
      <c r="G61" s="27" t="n"/>
      <c r="H61" s="29">
        <f>IF(OR($B61="",NOT(ISNUMBER($R61)),NOT(ISNUMBER($S61))),"",IF(OR(INDEX('仕入先'!$D$5:$D$54,$R61)="",INDEX('仕入先'!$E$5:$E$54,$R61)="",INDEX('仕入先'!$F$5:$F$54,$R61)=""),"",IF(INDEX('仕入先'!$F$5:$F$54,$R61)="末",DATE(YEAR($S61),(MONTH($S61)+IF(INDEX('仕入先'!$D$5:$D$54,$R61)="末",0,IF(DAY($S61)&lt;=INDEX('仕入先'!$D$5:$D$54,$R61),0,1))+N(INDEX('仕入先'!$E$5:$E$54,$R61)))+1,0),DATE(YEAR($S61),(MONTH($S61)+IF(INDEX('仕入先'!$D$5:$D$54,$R61)="末",0,IF(DAY($S61)&lt;=INDEX('仕入先'!$D$5:$D$54,$R61),0,1))+N(INDEX('仕入先'!$E$5:$E$54,$R61))),MIN(INDEX('仕入先'!$F$5:$F$54,$R61),DAY(DATE(YEAR($S61),(MONTH($S61)+IF(INDEX('仕入先'!$D$5:$D$54,$R61)="末",0,IF(DAY($S61)&lt;=INDEX('仕入先'!$D$5:$D$54,$R61),0,1))+N(INDEX('仕入先'!$E$5:$E$54,$R61)))+1,0)))))))</f>
        <v/>
      </c>
      <c r="I61" s="26" t="n"/>
      <c r="J61" s="29">
        <f>IF($B61="","",IF(ISNUMBER($I61),$I61,$H61))</f>
        <v/>
      </c>
      <c r="K61" s="26" t="n"/>
      <c r="L61" s="27" t="n"/>
      <c r="M61" s="27" t="n"/>
      <c r="N61" s="28">
        <f>IF($B61="","",N($G61)-N($L61)-N($M61))</f>
        <v/>
      </c>
      <c r="O61" s="30">
        <f>IF($B61="","",IF(AND(OR(N($L61)&lt;&gt;0,N($M61)&lt;&gt;0),NOT(ISNUMBER($K61))),"支払日なし",IF($N61=0,IF(N($G61)=0,"請求額0","支払済"),IF($N61&lt;0,"払いすぎ",IF(N($L61)+N($M61)=0,"未払","一部支払")))))</f>
        <v/>
      </c>
      <c r="P61" s="30">
        <f>IF(OR($B61="",N($N61)&lt;=0,NOT(ISNUMBER($J61))),"",IF($J61&lt;'設定'!$B$7,"期日超過 "&amp;('設定'!$B$7-$J61)&amp;"日",IF($J61='設定'!$B$7,"今日","あと "&amp;($J61-'設定'!$B$7)&amp;"日")))</f>
        <v/>
      </c>
      <c r="Q61" s="56" t="n"/>
      <c r="R61" s="32">
        <f>IF($B61="","",IFERROR(MATCH($B61,'仕入先'!$B$5:$B$54,0),"なし"))</f>
        <v/>
      </c>
      <c r="S61" s="33">
        <f>IF($B61="","",IF(ISNUMBER($D61),$D61,IF(ISNUMBER($A61),$A61,"")))</f>
        <v/>
      </c>
      <c r="T61" s="34">
        <f>IF(OR($B61="",N($N61)&lt;=0),"",IF(ISNUMBER($J61),$J61,99999)+ROW()/1000000)</f>
        <v/>
      </c>
      <c r="U61" s="35">
        <f>IF(OR($B61="",$B61&lt;&gt;'買掛帳'!$B$3,NOT(ISNUMBER($S61))),"",IF(AND($S61&gt;='買掛帳'!$Q$3,$S61&lt;='買掛帳'!$Q$4),$S61+ROW()/10000000,""))</f>
        <v/>
      </c>
      <c r="V61" s="35">
        <f>IF(OR($B61="",$B61&lt;&gt;'買掛帳'!$B$3,NOT(ISNUMBER($K61)),N($L61)+N($M61)=0),"",IF(AND($K61&gt;='買掛帳'!$Q$3,$K61&lt;='買掛帳'!$Q$4),$K61+0.5+ROW()/10000000,""))</f>
        <v/>
      </c>
    </row>
    <row r="62" ht="18" customHeight="1">
      <c r="A62" s="26" t="n"/>
      <c r="B62" s="18" t="n"/>
      <c r="C62" s="20">
        <f>IF($B62="","",IF($R62="なし","※仕入先にないコード",INDEX('仕入先'!$C$5:$C$54,$R62)&amp;""))</f>
        <v/>
      </c>
      <c r="D62" s="26" t="n"/>
      <c r="E62" s="18" t="n"/>
      <c r="F62" s="19" t="n"/>
      <c r="G62" s="27" t="n"/>
      <c r="H62" s="29">
        <f>IF(OR($B62="",NOT(ISNUMBER($R62)),NOT(ISNUMBER($S62))),"",IF(OR(INDEX('仕入先'!$D$5:$D$54,$R62)="",INDEX('仕入先'!$E$5:$E$54,$R62)="",INDEX('仕入先'!$F$5:$F$54,$R62)=""),"",IF(INDEX('仕入先'!$F$5:$F$54,$R62)="末",DATE(YEAR($S62),(MONTH($S62)+IF(INDEX('仕入先'!$D$5:$D$54,$R62)="末",0,IF(DAY($S62)&lt;=INDEX('仕入先'!$D$5:$D$54,$R62),0,1))+N(INDEX('仕入先'!$E$5:$E$54,$R62)))+1,0),DATE(YEAR($S62),(MONTH($S62)+IF(INDEX('仕入先'!$D$5:$D$54,$R62)="末",0,IF(DAY($S62)&lt;=INDEX('仕入先'!$D$5:$D$54,$R62),0,1))+N(INDEX('仕入先'!$E$5:$E$54,$R62))),MIN(INDEX('仕入先'!$F$5:$F$54,$R62),DAY(DATE(YEAR($S62),(MONTH($S62)+IF(INDEX('仕入先'!$D$5:$D$54,$R62)="末",0,IF(DAY($S62)&lt;=INDEX('仕入先'!$D$5:$D$54,$R62),0,1))+N(INDEX('仕入先'!$E$5:$E$54,$R62)))+1,0)))))))</f>
        <v/>
      </c>
      <c r="I62" s="26" t="n"/>
      <c r="J62" s="29">
        <f>IF($B62="","",IF(ISNUMBER($I62),$I62,$H62))</f>
        <v/>
      </c>
      <c r="K62" s="26" t="n"/>
      <c r="L62" s="27" t="n"/>
      <c r="M62" s="27" t="n"/>
      <c r="N62" s="28">
        <f>IF($B62="","",N($G62)-N($L62)-N($M62))</f>
        <v/>
      </c>
      <c r="O62" s="30">
        <f>IF($B62="","",IF(AND(OR(N($L62)&lt;&gt;0,N($M62)&lt;&gt;0),NOT(ISNUMBER($K62))),"支払日なし",IF($N62=0,IF(N($G62)=0,"請求額0","支払済"),IF($N62&lt;0,"払いすぎ",IF(N($L62)+N($M62)=0,"未払","一部支払")))))</f>
        <v/>
      </c>
      <c r="P62" s="30">
        <f>IF(OR($B62="",N($N62)&lt;=0,NOT(ISNUMBER($J62))),"",IF($J62&lt;'設定'!$B$7,"期日超過 "&amp;('設定'!$B$7-$J62)&amp;"日",IF($J62='設定'!$B$7,"今日","あと "&amp;($J62-'設定'!$B$7)&amp;"日")))</f>
        <v/>
      </c>
      <c r="Q62" s="56" t="n"/>
      <c r="R62" s="32">
        <f>IF($B62="","",IFERROR(MATCH($B62,'仕入先'!$B$5:$B$54,0),"なし"))</f>
        <v/>
      </c>
      <c r="S62" s="33">
        <f>IF($B62="","",IF(ISNUMBER($D62),$D62,IF(ISNUMBER($A62),$A62,"")))</f>
        <v/>
      </c>
      <c r="T62" s="34">
        <f>IF(OR($B62="",N($N62)&lt;=0),"",IF(ISNUMBER($J62),$J62,99999)+ROW()/1000000)</f>
        <v/>
      </c>
      <c r="U62" s="35">
        <f>IF(OR($B62="",$B62&lt;&gt;'買掛帳'!$B$3,NOT(ISNUMBER($S62))),"",IF(AND($S62&gt;='買掛帳'!$Q$3,$S62&lt;='買掛帳'!$Q$4),$S62+ROW()/10000000,""))</f>
        <v/>
      </c>
      <c r="V62" s="35">
        <f>IF(OR($B62="",$B62&lt;&gt;'買掛帳'!$B$3,NOT(ISNUMBER($K62)),N($L62)+N($M62)=0),"",IF(AND($K62&gt;='買掛帳'!$Q$3,$K62&lt;='買掛帳'!$Q$4),$K62+0.5+ROW()/10000000,""))</f>
        <v/>
      </c>
    </row>
    <row r="63" ht="18" customHeight="1">
      <c r="A63" s="26" t="n"/>
      <c r="B63" s="18" t="n"/>
      <c r="C63" s="20">
        <f>IF($B63="","",IF($R63="なし","※仕入先にないコード",INDEX('仕入先'!$C$5:$C$54,$R63)&amp;""))</f>
        <v/>
      </c>
      <c r="D63" s="26" t="n"/>
      <c r="E63" s="18" t="n"/>
      <c r="F63" s="19" t="n"/>
      <c r="G63" s="27" t="n"/>
      <c r="H63" s="29">
        <f>IF(OR($B63="",NOT(ISNUMBER($R63)),NOT(ISNUMBER($S63))),"",IF(OR(INDEX('仕入先'!$D$5:$D$54,$R63)="",INDEX('仕入先'!$E$5:$E$54,$R63)="",INDEX('仕入先'!$F$5:$F$54,$R63)=""),"",IF(INDEX('仕入先'!$F$5:$F$54,$R63)="末",DATE(YEAR($S63),(MONTH($S63)+IF(INDEX('仕入先'!$D$5:$D$54,$R63)="末",0,IF(DAY($S63)&lt;=INDEX('仕入先'!$D$5:$D$54,$R63),0,1))+N(INDEX('仕入先'!$E$5:$E$54,$R63)))+1,0),DATE(YEAR($S63),(MONTH($S63)+IF(INDEX('仕入先'!$D$5:$D$54,$R63)="末",0,IF(DAY($S63)&lt;=INDEX('仕入先'!$D$5:$D$54,$R63),0,1))+N(INDEX('仕入先'!$E$5:$E$54,$R63))),MIN(INDEX('仕入先'!$F$5:$F$54,$R63),DAY(DATE(YEAR($S63),(MONTH($S63)+IF(INDEX('仕入先'!$D$5:$D$54,$R63)="末",0,IF(DAY($S63)&lt;=INDEX('仕入先'!$D$5:$D$54,$R63),0,1))+N(INDEX('仕入先'!$E$5:$E$54,$R63)))+1,0)))))))</f>
        <v/>
      </c>
      <c r="I63" s="26" t="n"/>
      <c r="J63" s="29">
        <f>IF($B63="","",IF(ISNUMBER($I63),$I63,$H63))</f>
        <v/>
      </c>
      <c r="K63" s="26" t="n"/>
      <c r="L63" s="27" t="n"/>
      <c r="M63" s="27" t="n"/>
      <c r="N63" s="28">
        <f>IF($B63="","",N($G63)-N($L63)-N($M63))</f>
        <v/>
      </c>
      <c r="O63" s="30">
        <f>IF($B63="","",IF(AND(OR(N($L63)&lt;&gt;0,N($M63)&lt;&gt;0),NOT(ISNUMBER($K63))),"支払日なし",IF($N63=0,IF(N($G63)=0,"請求額0","支払済"),IF($N63&lt;0,"払いすぎ",IF(N($L63)+N($M63)=0,"未払","一部支払")))))</f>
        <v/>
      </c>
      <c r="P63" s="30">
        <f>IF(OR($B63="",N($N63)&lt;=0,NOT(ISNUMBER($J63))),"",IF($J63&lt;'設定'!$B$7,"期日超過 "&amp;('設定'!$B$7-$J63)&amp;"日",IF($J63='設定'!$B$7,"今日","あと "&amp;($J63-'設定'!$B$7)&amp;"日")))</f>
        <v/>
      </c>
      <c r="Q63" s="56" t="n"/>
      <c r="R63" s="32">
        <f>IF($B63="","",IFERROR(MATCH($B63,'仕入先'!$B$5:$B$54,0),"なし"))</f>
        <v/>
      </c>
      <c r="S63" s="33">
        <f>IF($B63="","",IF(ISNUMBER($D63),$D63,IF(ISNUMBER($A63),$A63,"")))</f>
        <v/>
      </c>
      <c r="T63" s="34">
        <f>IF(OR($B63="",N($N63)&lt;=0),"",IF(ISNUMBER($J63),$J63,99999)+ROW()/1000000)</f>
        <v/>
      </c>
      <c r="U63" s="35">
        <f>IF(OR($B63="",$B63&lt;&gt;'買掛帳'!$B$3,NOT(ISNUMBER($S63))),"",IF(AND($S63&gt;='買掛帳'!$Q$3,$S63&lt;='買掛帳'!$Q$4),$S63+ROW()/10000000,""))</f>
        <v/>
      </c>
      <c r="V63" s="35">
        <f>IF(OR($B63="",$B63&lt;&gt;'買掛帳'!$B$3,NOT(ISNUMBER($K63)),N($L63)+N($M63)=0),"",IF(AND($K63&gt;='買掛帳'!$Q$3,$K63&lt;='買掛帳'!$Q$4),$K63+0.5+ROW()/10000000,""))</f>
        <v/>
      </c>
    </row>
    <row r="64" ht="18" customHeight="1">
      <c r="A64" s="26" t="n"/>
      <c r="B64" s="18" t="n"/>
      <c r="C64" s="20">
        <f>IF($B64="","",IF($R64="なし","※仕入先にないコード",INDEX('仕入先'!$C$5:$C$54,$R64)&amp;""))</f>
        <v/>
      </c>
      <c r="D64" s="26" t="n"/>
      <c r="E64" s="18" t="n"/>
      <c r="F64" s="19" t="n"/>
      <c r="G64" s="27" t="n"/>
      <c r="H64" s="29">
        <f>IF(OR($B64="",NOT(ISNUMBER($R64)),NOT(ISNUMBER($S64))),"",IF(OR(INDEX('仕入先'!$D$5:$D$54,$R64)="",INDEX('仕入先'!$E$5:$E$54,$R64)="",INDEX('仕入先'!$F$5:$F$54,$R64)=""),"",IF(INDEX('仕入先'!$F$5:$F$54,$R64)="末",DATE(YEAR($S64),(MONTH($S64)+IF(INDEX('仕入先'!$D$5:$D$54,$R64)="末",0,IF(DAY($S64)&lt;=INDEX('仕入先'!$D$5:$D$54,$R64),0,1))+N(INDEX('仕入先'!$E$5:$E$54,$R64)))+1,0),DATE(YEAR($S64),(MONTH($S64)+IF(INDEX('仕入先'!$D$5:$D$54,$R64)="末",0,IF(DAY($S64)&lt;=INDEX('仕入先'!$D$5:$D$54,$R64),0,1))+N(INDEX('仕入先'!$E$5:$E$54,$R64))),MIN(INDEX('仕入先'!$F$5:$F$54,$R64),DAY(DATE(YEAR($S64),(MONTH($S64)+IF(INDEX('仕入先'!$D$5:$D$54,$R64)="末",0,IF(DAY($S64)&lt;=INDEX('仕入先'!$D$5:$D$54,$R64),0,1))+N(INDEX('仕入先'!$E$5:$E$54,$R64)))+1,0)))))))</f>
        <v/>
      </c>
      <c r="I64" s="26" t="n"/>
      <c r="J64" s="29">
        <f>IF($B64="","",IF(ISNUMBER($I64),$I64,$H64))</f>
        <v/>
      </c>
      <c r="K64" s="26" t="n"/>
      <c r="L64" s="27" t="n"/>
      <c r="M64" s="27" t="n"/>
      <c r="N64" s="28">
        <f>IF($B64="","",N($G64)-N($L64)-N($M64))</f>
        <v/>
      </c>
      <c r="O64" s="30">
        <f>IF($B64="","",IF(AND(OR(N($L64)&lt;&gt;0,N($M64)&lt;&gt;0),NOT(ISNUMBER($K64))),"支払日なし",IF($N64=0,IF(N($G64)=0,"請求額0","支払済"),IF($N64&lt;0,"払いすぎ",IF(N($L64)+N($M64)=0,"未払","一部支払")))))</f>
        <v/>
      </c>
      <c r="P64" s="30">
        <f>IF(OR($B64="",N($N64)&lt;=0,NOT(ISNUMBER($J64))),"",IF($J64&lt;'設定'!$B$7,"期日超過 "&amp;('設定'!$B$7-$J64)&amp;"日",IF($J64='設定'!$B$7,"今日","あと "&amp;($J64-'設定'!$B$7)&amp;"日")))</f>
        <v/>
      </c>
      <c r="Q64" s="56" t="n"/>
      <c r="R64" s="32">
        <f>IF($B64="","",IFERROR(MATCH($B64,'仕入先'!$B$5:$B$54,0),"なし"))</f>
        <v/>
      </c>
      <c r="S64" s="33">
        <f>IF($B64="","",IF(ISNUMBER($D64),$D64,IF(ISNUMBER($A64),$A64,"")))</f>
        <v/>
      </c>
      <c r="T64" s="34">
        <f>IF(OR($B64="",N($N64)&lt;=0),"",IF(ISNUMBER($J64),$J64,99999)+ROW()/1000000)</f>
        <v/>
      </c>
      <c r="U64" s="35">
        <f>IF(OR($B64="",$B64&lt;&gt;'買掛帳'!$B$3,NOT(ISNUMBER($S64))),"",IF(AND($S64&gt;='買掛帳'!$Q$3,$S64&lt;='買掛帳'!$Q$4),$S64+ROW()/10000000,""))</f>
        <v/>
      </c>
      <c r="V64" s="35">
        <f>IF(OR($B64="",$B64&lt;&gt;'買掛帳'!$B$3,NOT(ISNUMBER($K64)),N($L64)+N($M64)=0),"",IF(AND($K64&gt;='買掛帳'!$Q$3,$K64&lt;='買掛帳'!$Q$4),$K64+0.5+ROW()/10000000,""))</f>
        <v/>
      </c>
    </row>
    <row r="65" ht="18" customHeight="1">
      <c r="A65" s="26" t="n"/>
      <c r="B65" s="18" t="n"/>
      <c r="C65" s="20">
        <f>IF($B65="","",IF($R65="なし","※仕入先にないコード",INDEX('仕入先'!$C$5:$C$54,$R65)&amp;""))</f>
        <v/>
      </c>
      <c r="D65" s="26" t="n"/>
      <c r="E65" s="18" t="n"/>
      <c r="F65" s="19" t="n"/>
      <c r="G65" s="27" t="n"/>
      <c r="H65" s="29">
        <f>IF(OR($B65="",NOT(ISNUMBER($R65)),NOT(ISNUMBER($S65))),"",IF(OR(INDEX('仕入先'!$D$5:$D$54,$R65)="",INDEX('仕入先'!$E$5:$E$54,$R65)="",INDEX('仕入先'!$F$5:$F$54,$R65)=""),"",IF(INDEX('仕入先'!$F$5:$F$54,$R65)="末",DATE(YEAR($S65),(MONTH($S65)+IF(INDEX('仕入先'!$D$5:$D$54,$R65)="末",0,IF(DAY($S65)&lt;=INDEX('仕入先'!$D$5:$D$54,$R65),0,1))+N(INDEX('仕入先'!$E$5:$E$54,$R65)))+1,0),DATE(YEAR($S65),(MONTH($S65)+IF(INDEX('仕入先'!$D$5:$D$54,$R65)="末",0,IF(DAY($S65)&lt;=INDEX('仕入先'!$D$5:$D$54,$R65),0,1))+N(INDEX('仕入先'!$E$5:$E$54,$R65))),MIN(INDEX('仕入先'!$F$5:$F$54,$R65),DAY(DATE(YEAR($S65),(MONTH($S65)+IF(INDEX('仕入先'!$D$5:$D$54,$R65)="末",0,IF(DAY($S65)&lt;=INDEX('仕入先'!$D$5:$D$54,$R65),0,1))+N(INDEX('仕入先'!$E$5:$E$54,$R65)))+1,0)))))))</f>
        <v/>
      </c>
      <c r="I65" s="26" t="n"/>
      <c r="J65" s="29">
        <f>IF($B65="","",IF(ISNUMBER($I65),$I65,$H65))</f>
        <v/>
      </c>
      <c r="K65" s="26" t="n"/>
      <c r="L65" s="27" t="n"/>
      <c r="M65" s="27" t="n"/>
      <c r="N65" s="28">
        <f>IF($B65="","",N($G65)-N($L65)-N($M65))</f>
        <v/>
      </c>
      <c r="O65" s="30">
        <f>IF($B65="","",IF(AND(OR(N($L65)&lt;&gt;0,N($M65)&lt;&gt;0),NOT(ISNUMBER($K65))),"支払日なし",IF($N65=0,IF(N($G65)=0,"請求額0","支払済"),IF($N65&lt;0,"払いすぎ",IF(N($L65)+N($M65)=0,"未払","一部支払")))))</f>
        <v/>
      </c>
      <c r="P65" s="30">
        <f>IF(OR($B65="",N($N65)&lt;=0,NOT(ISNUMBER($J65))),"",IF($J65&lt;'設定'!$B$7,"期日超過 "&amp;('設定'!$B$7-$J65)&amp;"日",IF($J65='設定'!$B$7,"今日","あと "&amp;($J65-'設定'!$B$7)&amp;"日")))</f>
        <v/>
      </c>
      <c r="Q65" s="56" t="n"/>
      <c r="R65" s="32">
        <f>IF($B65="","",IFERROR(MATCH($B65,'仕入先'!$B$5:$B$54,0),"なし"))</f>
        <v/>
      </c>
      <c r="S65" s="33">
        <f>IF($B65="","",IF(ISNUMBER($D65),$D65,IF(ISNUMBER($A65),$A65,"")))</f>
        <v/>
      </c>
      <c r="T65" s="34">
        <f>IF(OR($B65="",N($N65)&lt;=0),"",IF(ISNUMBER($J65),$J65,99999)+ROW()/1000000)</f>
        <v/>
      </c>
      <c r="U65" s="35">
        <f>IF(OR($B65="",$B65&lt;&gt;'買掛帳'!$B$3,NOT(ISNUMBER($S65))),"",IF(AND($S65&gt;='買掛帳'!$Q$3,$S65&lt;='買掛帳'!$Q$4),$S65+ROW()/10000000,""))</f>
        <v/>
      </c>
      <c r="V65" s="35">
        <f>IF(OR($B65="",$B65&lt;&gt;'買掛帳'!$B$3,NOT(ISNUMBER($K65)),N($L65)+N($M65)=0),"",IF(AND($K65&gt;='買掛帳'!$Q$3,$K65&lt;='買掛帳'!$Q$4),$K65+0.5+ROW()/10000000,""))</f>
        <v/>
      </c>
    </row>
    <row r="66" ht="18" customHeight="1">
      <c r="A66" s="26" t="n"/>
      <c r="B66" s="18" t="n"/>
      <c r="C66" s="20">
        <f>IF($B66="","",IF($R66="なし","※仕入先にないコード",INDEX('仕入先'!$C$5:$C$54,$R66)&amp;""))</f>
        <v/>
      </c>
      <c r="D66" s="26" t="n"/>
      <c r="E66" s="18" t="n"/>
      <c r="F66" s="19" t="n"/>
      <c r="G66" s="27" t="n"/>
      <c r="H66" s="29">
        <f>IF(OR($B66="",NOT(ISNUMBER($R66)),NOT(ISNUMBER($S66))),"",IF(OR(INDEX('仕入先'!$D$5:$D$54,$R66)="",INDEX('仕入先'!$E$5:$E$54,$R66)="",INDEX('仕入先'!$F$5:$F$54,$R66)=""),"",IF(INDEX('仕入先'!$F$5:$F$54,$R66)="末",DATE(YEAR($S66),(MONTH($S66)+IF(INDEX('仕入先'!$D$5:$D$54,$R66)="末",0,IF(DAY($S66)&lt;=INDEX('仕入先'!$D$5:$D$54,$R66),0,1))+N(INDEX('仕入先'!$E$5:$E$54,$R66)))+1,0),DATE(YEAR($S66),(MONTH($S66)+IF(INDEX('仕入先'!$D$5:$D$54,$R66)="末",0,IF(DAY($S66)&lt;=INDEX('仕入先'!$D$5:$D$54,$R66),0,1))+N(INDEX('仕入先'!$E$5:$E$54,$R66))),MIN(INDEX('仕入先'!$F$5:$F$54,$R66),DAY(DATE(YEAR($S66),(MONTH($S66)+IF(INDEX('仕入先'!$D$5:$D$54,$R66)="末",0,IF(DAY($S66)&lt;=INDEX('仕入先'!$D$5:$D$54,$R66),0,1))+N(INDEX('仕入先'!$E$5:$E$54,$R66)))+1,0)))))))</f>
        <v/>
      </c>
      <c r="I66" s="26" t="n"/>
      <c r="J66" s="29">
        <f>IF($B66="","",IF(ISNUMBER($I66),$I66,$H66))</f>
        <v/>
      </c>
      <c r="K66" s="26" t="n"/>
      <c r="L66" s="27" t="n"/>
      <c r="M66" s="27" t="n"/>
      <c r="N66" s="28">
        <f>IF($B66="","",N($G66)-N($L66)-N($M66))</f>
        <v/>
      </c>
      <c r="O66" s="30">
        <f>IF($B66="","",IF(AND(OR(N($L66)&lt;&gt;0,N($M66)&lt;&gt;0),NOT(ISNUMBER($K66))),"支払日なし",IF($N66=0,IF(N($G66)=0,"請求額0","支払済"),IF($N66&lt;0,"払いすぎ",IF(N($L66)+N($M66)=0,"未払","一部支払")))))</f>
        <v/>
      </c>
      <c r="P66" s="30">
        <f>IF(OR($B66="",N($N66)&lt;=0,NOT(ISNUMBER($J66))),"",IF($J66&lt;'設定'!$B$7,"期日超過 "&amp;('設定'!$B$7-$J66)&amp;"日",IF($J66='設定'!$B$7,"今日","あと "&amp;($J66-'設定'!$B$7)&amp;"日")))</f>
        <v/>
      </c>
      <c r="Q66" s="56" t="n"/>
      <c r="R66" s="32">
        <f>IF($B66="","",IFERROR(MATCH($B66,'仕入先'!$B$5:$B$54,0),"なし"))</f>
        <v/>
      </c>
      <c r="S66" s="33">
        <f>IF($B66="","",IF(ISNUMBER($D66),$D66,IF(ISNUMBER($A66),$A66,"")))</f>
        <v/>
      </c>
      <c r="T66" s="34">
        <f>IF(OR($B66="",N($N66)&lt;=0),"",IF(ISNUMBER($J66),$J66,99999)+ROW()/1000000)</f>
        <v/>
      </c>
      <c r="U66" s="35">
        <f>IF(OR($B66="",$B66&lt;&gt;'買掛帳'!$B$3,NOT(ISNUMBER($S66))),"",IF(AND($S66&gt;='買掛帳'!$Q$3,$S66&lt;='買掛帳'!$Q$4),$S66+ROW()/10000000,""))</f>
        <v/>
      </c>
      <c r="V66" s="35">
        <f>IF(OR($B66="",$B66&lt;&gt;'買掛帳'!$B$3,NOT(ISNUMBER($K66)),N($L66)+N($M66)=0),"",IF(AND($K66&gt;='買掛帳'!$Q$3,$K66&lt;='買掛帳'!$Q$4),$K66+0.5+ROW()/10000000,""))</f>
        <v/>
      </c>
    </row>
    <row r="67" ht="18" customHeight="1">
      <c r="A67" s="26" t="n"/>
      <c r="B67" s="18" t="n"/>
      <c r="C67" s="20">
        <f>IF($B67="","",IF($R67="なし","※仕入先にないコード",INDEX('仕入先'!$C$5:$C$54,$R67)&amp;""))</f>
        <v/>
      </c>
      <c r="D67" s="26" t="n"/>
      <c r="E67" s="18" t="n"/>
      <c r="F67" s="19" t="n"/>
      <c r="G67" s="27" t="n"/>
      <c r="H67" s="29">
        <f>IF(OR($B67="",NOT(ISNUMBER($R67)),NOT(ISNUMBER($S67))),"",IF(OR(INDEX('仕入先'!$D$5:$D$54,$R67)="",INDEX('仕入先'!$E$5:$E$54,$R67)="",INDEX('仕入先'!$F$5:$F$54,$R67)=""),"",IF(INDEX('仕入先'!$F$5:$F$54,$R67)="末",DATE(YEAR($S67),(MONTH($S67)+IF(INDEX('仕入先'!$D$5:$D$54,$R67)="末",0,IF(DAY($S67)&lt;=INDEX('仕入先'!$D$5:$D$54,$R67),0,1))+N(INDEX('仕入先'!$E$5:$E$54,$R67)))+1,0),DATE(YEAR($S67),(MONTH($S67)+IF(INDEX('仕入先'!$D$5:$D$54,$R67)="末",0,IF(DAY($S67)&lt;=INDEX('仕入先'!$D$5:$D$54,$R67),0,1))+N(INDEX('仕入先'!$E$5:$E$54,$R67))),MIN(INDEX('仕入先'!$F$5:$F$54,$R67),DAY(DATE(YEAR($S67),(MONTH($S67)+IF(INDEX('仕入先'!$D$5:$D$54,$R67)="末",0,IF(DAY($S67)&lt;=INDEX('仕入先'!$D$5:$D$54,$R67),0,1))+N(INDEX('仕入先'!$E$5:$E$54,$R67)))+1,0)))))))</f>
        <v/>
      </c>
      <c r="I67" s="26" t="n"/>
      <c r="J67" s="29">
        <f>IF($B67="","",IF(ISNUMBER($I67),$I67,$H67))</f>
        <v/>
      </c>
      <c r="K67" s="26" t="n"/>
      <c r="L67" s="27" t="n"/>
      <c r="M67" s="27" t="n"/>
      <c r="N67" s="28">
        <f>IF($B67="","",N($G67)-N($L67)-N($M67))</f>
        <v/>
      </c>
      <c r="O67" s="30">
        <f>IF($B67="","",IF(AND(OR(N($L67)&lt;&gt;0,N($M67)&lt;&gt;0),NOT(ISNUMBER($K67))),"支払日なし",IF($N67=0,IF(N($G67)=0,"請求額0","支払済"),IF($N67&lt;0,"払いすぎ",IF(N($L67)+N($M67)=0,"未払","一部支払")))))</f>
        <v/>
      </c>
      <c r="P67" s="30">
        <f>IF(OR($B67="",N($N67)&lt;=0,NOT(ISNUMBER($J67))),"",IF($J67&lt;'設定'!$B$7,"期日超過 "&amp;('設定'!$B$7-$J67)&amp;"日",IF($J67='設定'!$B$7,"今日","あと "&amp;($J67-'設定'!$B$7)&amp;"日")))</f>
        <v/>
      </c>
      <c r="Q67" s="56" t="n"/>
      <c r="R67" s="32">
        <f>IF($B67="","",IFERROR(MATCH($B67,'仕入先'!$B$5:$B$54,0),"なし"))</f>
        <v/>
      </c>
      <c r="S67" s="33">
        <f>IF($B67="","",IF(ISNUMBER($D67),$D67,IF(ISNUMBER($A67),$A67,"")))</f>
        <v/>
      </c>
      <c r="T67" s="34">
        <f>IF(OR($B67="",N($N67)&lt;=0),"",IF(ISNUMBER($J67),$J67,99999)+ROW()/1000000)</f>
        <v/>
      </c>
      <c r="U67" s="35">
        <f>IF(OR($B67="",$B67&lt;&gt;'買掛帳'!$B$3,NOT(ISNUMBER($S67))),"",IF(AND($S67&gt;='買掛帳'!$Q$3,$S67&lt;='買掛帳'!$Q$4),$S67+ROW()/10000000,""))</f>
        <v/>
      </c>
      <c r="V67" s="35">
        <f>IF(OR($B67="",$B67&lt;&gt;'買掛帳'!$B$3,NOT(ISNUMBER($K67)),N($L67)+N($M67)=0),"",IF(AND($K67&gt;='買掛帳'!$Q$3,$K67&lt;='買掛帳'!$Q$4),$K67+0.5+ROW()/10000000,""))</f>
        <v/>
      </c>
    </row>
    <row r="68" ht="18" customHeight="1">
      <c r="A68" s="26" t="n"/>
      <c r="B68" s="18" t="n"/>
      <c r="C68" s="20">
        <f>IF($B68="","",IF($R68="なし","※仕入先にないコード",INDEX('仕入先'!$C$5:$C$54,$R68)&amp;""))</f>
        <v/>
      </c>
      <c r="D68" s="26" t="n"/>
      <c r="E68" s="18" t="n"/>
      <c r="F68" s="19" t="n"/>
      <c r="G68" s="27" t="n"/>
      <c r="H68" s="29">
        <f>IF(OR($B68="",NOT(ISNUMBER($R68)),NOT(ISNUMBER($S68))),"",IF(OR(INDEX('仕入先'!$D$5:$D$54,$R68)="",INDEX('仕入先'!$E$5:$E$54,$R68)="",INDEX('仕入先'!$F$5:$F$54,$R68)=""),"",IF(INDEX('仕入先'!$F$5:$F$54,$R68)="末",DATE(YEAR($S68),(MONTH($S68)+IF(INDEX('仕入先'!$D$5:$D$54,$R68)="末",0,IF(DAY($S68)&lt;=INDEX('仕入先'!$D$5:$D$54,$R68),0,1))+N(INDEX('仕入先'!$E$5:$E$54,$R68)))+1,0),DATE(YEAR($S68),(MONTH($S68)+IF(INDEX('仕入先'!$D$5:$D$54,$R68)="末",0,IF(DAY($S68)&lt;=INDEX('仕入先'!$D$5:$D$54,$R68),0,1))+N(INDEX('仕入先'!$E$5:$E$54,$R68))),MIN(INDEX('仕入先'!$F$5:$F$54,$R68),DAY(DATE(YEAR($S68),(MONTH($S68)+IF(INDEX('仕入先'!$D$5:$D$54,$R68)="末",0,IF(DAY($S68)&lt;=INDEX('仕入先'!$D$5:$D$54,$R68),0,1))+N(INDEX('仕入先'!$E$5:$E$54,$R68)))+1,0)))))))</f>
        <v/>
      </c>
      <c r="I68" s="26" t="n"/>
      <c r="J68" s="29">
        <f>IF($B68="","",IF(ISNUMBER($I68),$I68,$H68))</f>
        <v/>
      </c>
      <c r="K68" s="26" t="n"/>
      <c r="L68" s="27" t="n"/>
      <c r="M68" s="27" t="n"/>
      <c r="N68" s="28">
        <f>IF($B68="","",N($G68)-N($L68)-N($M68))</f>
        <v/>
      </c>
      <c r="O68" s="30">
        <f>IF($B68="","",IF(AND(OR(N($L68)&lt;&gt;0,N($M68)&lt;&gt;0),NOT(ISNUMBER($K68))),"支払日なし",IF($N68=0,IF(N($G68)=0,"請求額0","支払済"),IF($N68&lt;0,"払いすぎ",IF(N($L68)+N($M68)=0,"未払","一部支払")))))</f>
        <v/>
      </c>
      <c r="P68" s="30">
        <f>IF(OR($B68="",N($N68)&lt;=0,NOT(ISNUMBER($J68))),"",IF($J68&lt;'設定'!$B$7,"期日超過 "&amp;('設定'!$B$7-$J68)&amp;"日",IF($J68='設定'!$B$7,"今日","あと "&amp;($J68-'設定'!$B$7)&amp;"日")))</f>
        <v/>
      </c>
      <c r="Q68" s="56" t="n"/>
      <c r="R68" s="32">
        <f>IF($B68="","",IFERROR(MATCH($B68,'仕入先'!$B$5:$B$54,0),"なし"))</f>
        <v/>
      </c>
      <c r="S68" s="33">
        <f>IF($B68="","",IF(ISNUMBER($D68),$D68,IF(ISNUMBER($A68),$A68,"")))</f>
        <v/>
      </c>
      <c r="T68" s="34">
        <f>IF(OR($B68="",N($N68)&lt;=0),"",IF(ISNUMBER($J68),$J68,99999)+ROW()/1000000)</f>
        <v/>
      </c>
      <c r="U68" s="35">
        <f>IF(OR($B68="",$B68&lt;&gt;'買掛帳'!$B$3,NOT(ISNUMBER($S68))),"",IF(AND($S68&gt;='買掛帳'!$Q$3,$S68&lt;='買掛帳'!$Q$4),$S68+ROW()/10000000,""))</f>
        <v/>
      </c>
      <c r="V68" s="35">
        <f>IF(OR($B68="",$B68&lt;&gt;'買掛帳'!$B$3,NOT(ISNUMBER($K68)),N($L68)+N($M68)=0),"",IF(AND($K68&gt;='買掛帳'!$Q$3,$K68&lt;='買掛帳'!$Q$4),$K68+0.5+ROW()/10000000,""))</f>
        <v/>
      </c>
    </row>
    <row r="69" ht="18" customHeight="1">
      <c r="A69" s="26" t="n"/>
      <c r="B69" s="18" t="n"/>
      <c r="C69" s="20">
        <f>IF($B69="","",IF($R69="なし","※仕入先にないコード",INDEX('仕入先'!$C$5:$C$54,$R69)&amp;""))</f>
        <v/>
      </c>
      <c r="D69" s="26" t="n"/>
      <c r="E69" s="18" t="n"/>
      <c r="F69" s="19" t="n"/>
      <c r="G69" s="27" t="n"/>
      <c r="H69" s="29">
        <f>IF(OR($B69="",NOT(ISNUMBER($R69)),NOT(ISNUMBER($S69))),"",IF(OR(INDEX('仕入先'!$D$5:$D$54,$R69)="",INDEX('仕入先'!$E$5:$E$54,$R69)="",INDEX('仕入先'!$F$5:$F$54,$R69)=""),"",IF(INDEX('仕入先'!$F$5:$F$54,$R69)="末",DATE(YEAR($S69),(MONTH($S69)+IF(INDEX('仕入先'!$D$5:$D$54,$R69)="末",0,IF(DAY($S69)&lt;=INDEX('仕入先'!$D$5:$D$54,$R69),0,1))+N(INDEX('仕入先'!$E$5:$E$54,$R69)))+1,0),DATE(YEAR($S69),(MONTH($S69)+IF(INDEX('仕入先'!$D$5:$D$54,$R69)="末",0,IF(DAY($S69)&lt;=INDEX('仕入先'!$D$5:$D$54,$R69),0,1))+N(INDEX('仕入先'!$E$5:$E$54,$R69))),MIN(INDEX('仕入先'!$F$5:$F$54,$R69),DAY(DATE(YEAR($S69),(MONTH($S69)+IF(INDEX('仕入先'!$D$5:$D$54,$R69)="末",0,IF(DAY($S69)&lt;=INDEX('仕入先'!$D$5:$D$54,$R69),0,1))+N(INDEX('仕入先'!$E$5:$E$54,$R69)))+1,0)))))))</f>
        <v/>
      </c>
      <c r="I69" s="26" t="n"/>
      <c r="J69" s="29">
        <f>IF($B69="","",IF(ISNUMBER($I69),$I69,$H69))</f>
        <v/>
      </c>
      <c r="K69" s="26" t="n"/>
      <c r="L69" s="27" t="n"/>
      <c r="M69" s="27" t="n"/>
      <c r="N69" s="28">
        <f>IF($B69="","",N($G69)-N($L69)-N($M69))</f>
        <v/>
      </c>
      <c r="O69" s="30">
        <f>IF($B69="","",IF(AND(OR(N($L69)&lt;&gt;0,N($M69)&lt;&gt;0),NOT(ISNUMBER($K69))),"支払日なし",IF($N69=0,IF(N($G69)=0,"請求額0","支払済"),IF($N69&lt;0,"払いすぎ",IF(N($L69)+N($M69)=0,"未払","一部支払")))))</f>
        <v/>
      </c>
      <c r="P69" s="30">
        <f>IF(OR($B69="",N($N69)&lt;=0,NOT(ISNUMBER($J69))),"",IF($J69&lt;'設定'!$B$7,"期日超過 "&amp;('設定'!$B$7-$J69)&amp;"日",IF($J69='設定'!$B$7,"今日","あと "&amp;($J69-'設定'!$B$7)&amp;"日")))</f>
        <v/>
      </c>
      <c r="Q69" s="56" t="n"/>
      <c r="R69" s="32">
        <f>IF($B69="","",IFERROR(MATCH($B69,'仕入先'!$B$5:$B$54,0),"なし"))</f>
        <v/>
      </c>
      <c r="S69" s="33">
        <f>IF($B69="","",IF(ISNUMBER($D69),$D69,IF(ISNUMBER($A69),$A69,"")))</f>
        <v/>
      </c>
      <c r="T69" s="34">
        <f>IF(OR($B69="",N($N69)&lt;=0),"",IF(ISNUMBER($J69),$J69,99999)+ROW()/1000000)</f>
        <v/>
      </c>
      <c r="U69" s="35">
        <f>IF(OR($B69="",$B69&lt;&gt;'買掛帳'!$B$3,NOT(ISNUMBER($S69))),"",IF(AND($S69&gt;='買掛帳'!$Q$3,$S69&lt;='買掛帳'!$Q$4),$S69+ROW()/10000000,""))</f>
        <v/>
      </c>
      <c r="V69" s="35">
        <f>IF(OR($B69="",$B69&lt;&gt;'買掛帳'!$B$3,NOT(ISNUMBER($K69)),N($L69)+N($M69)=0),"",IF(AND($K69&gt;='買掛帳'!$Q$3,$K69&lt;='買掛帳'!$Q$4),$K69+0.5+ROW()/10000000,""))</f>
        <v/>
      </c>
    </row>
    <row r="70" ht="18" customHeight="1">
      <c r="A70" s="26" t="n"/>
      <c r="B70" s="18" t="n"/>
      <c r="C70" s="20">
        <f>IF($B70="","",IF($R70="なし","※仕入先にないコード",INDEX('仕入先'!$C$5:$C$54,$R70)&amp;""))</f>
        <v/>
      </c>
      <c r="D70" s="26" t="n"/>
      <c r="E70" s="18" t="n"/>
      <c r="F70" s="19" t="n"/>
      <c r="G70" s="27" t="n"/>
      <c r="H70" s="29">
        <f>IF(OR($B70="",NOT(ISNUMBER($R70)),NOT(ISNUMBER($S70))),"",IF(OR(INDEX('仕入先'!$D$5:$D$54,$R70)="",INDEX('仕入先'!$E$5:$E$54,$R70)="",INDEX('仕入先'!$F$5:$F$54,$R70)=""),"",IF(INDEX('仕入先'!$F$5:$F$54,$R70)="末",DATE(YEAR($S70),(MONTH($S70)+IF(INDEX('仕入先'!$D$5:$D$54,$R70)="末",0,IF(DAY($S70)&lt;=INDEX('仕入先'!$D$5:$D$54,$R70),0,1))+N(INDEX('仕入先'!$E$5:$E$54,$R70)))+1,0),DATE(YEAR($S70),(MONTH($S70)+IF(INDEX('仕入先'!$D$5:$D$54,$R70)="末",0,IF(DAY($S70)&lt;=INDEX('仕入先'!$D$5:$D$54,$R70),0,1))+N(INDEX('仕入先'!$E$5:$E$54,$R70))),MIN(INDEX('仕入先'!$F$5:$F$54,$R70),DAY(DATE(YEAR($S70),(MONTH($S70)+IF(INDEX('仕入先'!$D$5:$D$54,$R70)="末",0,IF(DAY($S70)&lt;=INDEX('仕入先'!$D$5:$D$54,$R70),0,1))+N(INDEX('仕入先'!$E$5:$E$54,$R70)))+1,0)))))))</f>
        <v/>
      </c>
      <c r="I70" s="26" t="n"/>
      <c r="J70" s="29">
        <f>IF($B70="","",IF(ISNUMBER($I70),$I70,$H70))</f>
        <v/>
      </c>
      <c r="K70" s="26" t="n"/>
      <c r="L70" s="27" t="n"/>
      <c r="M70" s="27" t="n"/>
      <c r="N70" s="28">
        <f>IF($B70="","",N($G70)-N($L70)-N($M70))</f>
        <v/>
      </c>
      <c r="O70" s="30">
        <f>IF($B70="","",IF(AND(OR(N($L70)&lt;&gt;0,N($M70)&lt;&gt;0),NOT(ISNUMBER($K70))),"支払日なし",IF($N70=0,IF(N($G70)=0,"請求額0","支払済"),IF($N70&lt;0,"払いすぎ",IF(N($L70)+N($M70)=0,"未払","一部支払")))))</f>
        <v/>
      </c>
      <c r="P70" s="30">
        <f>IF(OR($B70="",N($N70)&lt;=0,NOT(ISNUMBER($J70))),"",IF($J70&lt;'設定'!$B$7,"期日超過 "&amp;('設定'!$B$7-$J70)&amp;"日",IF($J70='設定'!$B$7,"今日","あと "&amp;($J70-'設定'!$B$7)&amp;"日")))</f>
        <v/>
      </c>
      <c r="Q70" s="56" t="n"/>
      <c r="R70" s="32">
        <f>IF($B70="","",IFERROR(MATCH($B70,'仕入先'!$B$5:$B$54,0),"なし"))</f>
        <v/>
      </c>
      <c r="S70" s="33">
        <f>IF($B70="","",IF(ISNUMBER($D70),$D70,IF(ISNUMBER($A70),$A70,"")))</f>
        <v/>
      </c>
      <c r="T70" s="34">
        <f>IF(OR($B70="",N($N70)&lt;=0),"",IF(ISNUMBER($J70),$J70,99999)+ROW()/1000000)</f>
        <v/>
      </c>
      <c r="U70" s="35">
        <f>IF(OR($B70="",$B70&lt;&gt;'買掛帳'!$B$3,NOT(ISNUMBER($S70))),"",IF(AND($S70&gt;='買掛帳'!$Q$3,$S70&lt;='買掛帳'!$Q$4),$S70+ROW()/10000000,""))</f>
        <v/>
      </c>
      <c r="V70" s="35">
        <f>IF(OR($B70="",$B70&lt;&gt;'買掛帳'!$B$3,NOT(ISNUMBER($K70)),N($L70)+N($M70)=0),"",IF(AND($K70&gt;='買掛帳'!$Q$3,$K70&lt;='買掛帳'!$Q$4),$K70+0.5+ROW()/10000000,""))</f>
        <v/>
      </c>
    </row>
    <row r="71" ht="18" customHeight="1">
      <c r="A71" s="26" t="n"/>
      <c r="B71" s="18" t="n"/>
      <c r="C71" s="20">
        <f>IF($B71="","",IF($R71="なし","※仕入先にないコード",INDEX('仕入先'!$C$5:$C$54,$R71)&amp;""))</f>
        <v/>
      </c>
      <c r="D71" s="26" t="n"/>
      <c r="E71" s="18" t="n"/>
      <c r="F71" s="19" t="n"/>
      <c r="G71" s="27" t="n"/>
      <c r="H71" s="29">
        <f>IF(OR($B71="",NOT(ISNUMBER($R71)),NOT(ISNUMBER($S71))),"",IF(OR(INDEX('仕入先'!$D$5:$D$54,$R71)="",INDEX('仕入先'!$E$5:$E$54,$R71)="",INDEX('仕入先'!$F$5:$F$54,$R71)=""),"",IF(INDEX('仕入先'!$F$5:$F$54,$R71)="末",DATE(YEAR($S71),(MONTH($S71)+IF(INDEX('仕入先'!$D$5:$D$54,$R71)="末",0,IF(DAY($S71)&lt;=INDEX('仕入先'!$D$5:$D$54,$R71),0,1))+N(INDEX('仕入先'!$E$5:$E$54,$R71)))+1,0),DATE(YEAR($S71),(MONTH($S71)+IF(INDEX('仕入先'!$D$5:$D$54,$R71)="末",0,IF(DAY($S71)&lt;=INDEX('仕入先'!$D$5:$D$54,$R71),0,1))+N(INDEX('仕入先'!$E$5:$E$54,$R71))),MIN(INDEX('仕入先'!$F$5:$F$54,$R71),DAY(DATE(YEAR($S71),(MONTH($S71)+IF(INDEX('仕入先'!$D$5:$D$54,$R71)="末",0,IF(DAY($S71)&lt;=INDEX('仕入先'!$D$5:$D$54,$R71),0,1))+N(INDEX('仕入先'!$E$5:$E$54,$R71)))+1,0)))))))</f>
        <v/>
      </c>
      <c r="I71" s="26" t="n"/>
      <c r="J71" s="29">
        <f>IF($B71="","",IF(ISNUMBER($I71),$I71,$H71))</f>
        <v/>
      </c>
      <c r="K71" s="26" t="n"/>
      <c r="L71" s="27" t="n"/>
      <c r="M71" s="27" t="n"/>
      <c r="N71" s="28">
        <f>IF($B71="","",N($G71)-N($L71)-N($M71))</f>
        <v/>
      </c>
      <c r="O71" s="30">
        <f>IF($B71="","",IF(AND(OR(N($L71)&lt;&gt;0,N($M71)&lt;&gt;0),NOT(ISNUMBER($K71))),"支払日なし",IF($N71=0,IF(N($G71)=0,"請求額0","支払済"),IF($N71&lt;0,"払いすぎ",IF(N($L71)+N($M71)=0,"未払","一部支払")))))</f>
        <v/>
      </c>
      <c r="P71" s="30">
        <f>IF(OR($B71="",N($N71)&lt;=0,NOT(ISNUMBER($J71))),"",IF($J71&lt;'設定'!$B$7,"期日超過 "&amp;('設定'!$B$7-$J71)&amp;"日",IF($J71='設定'!$B$7,"今日","あと "&amp;($J71-'設定'!$B$7)&amp;"日")))</f>
        <v/>
      </c>
      <c r="Q71" s="56" t="n"/>
      <c r="R71" s="32">
        <f>IF($B71="","",IFERROR(MATCH($B71,'仕入先'!$B$5:$B$54,0),"なし"))</f>
        <v/>
      </c>
      <c r="S71" s="33">
        <f>IF($B71="","",IF(ISNUMBER($D71),$D71,IF(ISNUMBER($A71),$A71,"")))</f>
        <v/>
      </c>
      <c r="T71" s="34">
        <f>IF(OR($B71="",N($N71)&lt;=0),"",IF(ISNUMBER($J71),$J71,99999)+ROW()/1000000)</f>
        <v/>
      </c>
      <c r="U71" s="35">
        <f>IF(OR($B71="",$B71&lt;&gt;'買掛帳'!$B$3,NOT(ISNUMBER($S71))),"",IF(AND($S71&gt;='買掛帳'!$Q$3,$S71&lt;='買掛帳'!$Q$4),$S71+ROW()/10000000,""))</f>
        <v/>
      </c>
      <c r="V71" s="35">
        <f>IF(OR($B71="",$B71&lt;&gt;'買掛帳'!$B$3,NOT(ISNUMBER($K71)),N($L71)+N($M71)=0),"",IF(AND($K71&gt;='買掛帳'!$Q$3,$K71&lt;='買掛帳'!$Q$4),$K71+0.5+ROW()/10000000,""))</f>
        <v/>
      </c>
    </row>
    <row r="72" ht="18" customHeight="1">
      <c r="A72" s="26" t="n"/>
      <c r="B72" s="18" t="n"/>
      <c r="C72" s="20">
        <f>IF($B72="","",IF($R72="なし","※仕入先にないコード",INDEX('仕入先'!$C$5:$C$54,$R72)&amp;""))</f>
        <v/>
      </c>
      <c r="D72" s="26" t="n"/>
      <c r="E72" s="18" t="n"/>
      <c r="F72" s="19" t="n"/>
      <c r="G72" s="27" t="n"/>
      <c r="H72" s="29">
        <f>IF(OR($B72="",NOT(ISNUMBER($R72)),NOT(ISNUMBER($S72))),"",IF(OR(INDEX('仕入先'!$D$5:$D$54,$R72)="",INDEX('仕入先'!$E$5:$E$54,$R72)="",INDEX('仕入先'!$F$5:$F$54,$R72)=""),"",IF(INDEX('仕入先'!$F$5:$F$54,$R72)="末",DATE(YEAR($S72),(MONTH($S72)+IF(INDEX('仕入先'!$D$5:$D$54,$R72)="末",0,IF(DAY($S72)&lt;=INDEX('仕入先'!$D$5:$D$54,$R72),0,1))+N(INDEX('仕入先'!$E$5:$E$54,$R72)))+1,0),DATE(YEAR($S72),(MONTH($S72)+IF(INDEX('仕入先'!$D$5:$D$54,$R72)="末",0,IF(DAY($S72)&lt;=INDEX('仕入先'!$D$5:$D$54,$R72),0,1))+N(INDEX('仕入先'!$E$5:$E$54,$R72))),MIN(INDEX('仕入先'!$F$5:$F$54,$R72),DAY(DATE(YEAR($S72),(MONTH($S72)+IF(INDEX('仕入先'!$D$5:$D$54,$R72)="末",0,IF(DAY($S72)&lt;=INDEX('仕入先'!$D$5:$D$54,$R72),0,1))+N(INDEX('仕入先'!$E$5:$E$54,$R72)))+1,0)))))))</f>
        <v/>
      </c>
      <c r="I72" s="26" t="n"/>
      <c r="J72" s="29">
        <f>IF($B72="","",IF(ISNUMBER($I72),$I72,$H72))</f>
        <v/>
      </c>
      <c r="K72" s="26" t="n"/>
      <c r="L72" s="27" t="n"/>
      <c r="M72" s="27" t="n"/>
      <c r="N72" s="28">
        <f>IF($B72="","",N($G72)-N($L72)-N($M72))</f>
        <v/>
      </c>
      <c r="O72" s="30">
        <f>IF($B72="","",IF(AND(OR(N($L72)&lt;&gt;0,N($M72)&lt;&gt;0),NOT(ISNUMBER($K72))),"支払日なし",IF($N72=0,IF(N($G72)=0,"請求額0","支払済"),IF($N72&lt;0,"払いすぎ",IF(N($L72)+N($M72)=0,"未払","一部支払")))))</f>
        <v/>
      </c>
      <c r="P72" s="30">
        <f>IF(OR($B72="",N($N72)&lt;=0,NOT(ISNUMBER($J72))),"",IF($J72&lt;'設定'!$B$7,"期日超過 "&amp;('設定'!$B$7-$J72)&amp;"日",IF($J72='設定'!$B$7,"今日","あと "&amp;($J72-'設定'!$B$7)&amp;"日")))</f>
        <v/>
      </c>
      <c r="Q72" s="56" t="n"/>
      <c r="R72" s="32">
        <f>IF($B72="","",IFERROR(MATCH($B72,'仕入先'!$B$5:$B$54,0),"なし"))</f>
        <v/>
      </c>
      <c r="S72" s="33">
        <f>IF($B72="","",IF(ISNUMBER($D72),$D72,IF(ISNUMBER($A72),$A72,"")))</f>
        <v/>
      </c>
      <c r="T72" s="34">
        <f>IF(OR($B72="",N($N72)&lt;=0),"",IF(ISNUMBER($J72),$J72,99999)+ROW()/1000000)</f>
        <v/>
      </c>
      <c r="U72" s="35">
        <f>IF(OR($B72="",$B72&lt;&gt;'買掛帳'!$B$3,NOT(ISNUMBER($S72))),"",IF(AND($S72&gt;='買掛帳'!$Q$3,$S72&lt;='買掛帳'!$Q$4),$S72+ROW()/10000000,""))</f>
        <v/>
      </c>
      <c r="V72" s="35">
        <f>IF(OR($B72="",$B72&lt;&gt;'買掛帳'!$B$3,NOT(ISNUMBER($K72)),N($L72)+N($M72)=0),"",IF(AND($K72&gt;='買掛帳'!$Q$3,$K72&lt;='買掛帳'!$Q$4),$K72+0.5+ROW()/10000000,""))</f>
        <v/>
      </c>
    </row>
    <row r="73" ht="18" customHeight="1">
      <c r="A73" s="26" t="n"/>
      <c r="B73" s="18" t="n"/>
      <c r="C73" s="20">
        <f>IF($B73="","",IF($R73="なし","※仕入先にないコード",INDEX('仕入先'!$C$5:$C$54,$R73)&amp;""))</f>
        <v/>
      </c>
      <c r="D73" s="26" t="n"/>
      <c r="E73" s="18" t="n"/>
      <c r="F73" s="19" t="n"/>
      <c r="G73" s="27" t="n"/>
      <c r="H73" s="29">
        <f>IF(OR($B73="",NOT(ISNUMBER($R73)),NOT(ISNUMBER($S73))),"",IF(OR(INDEX('仕入先'!$D$5:$D$54,$R73)="",INDEX('仕入先'!$E$5:$E$54,$R73)="",INDEX('仕入先'!$F$5:$F$54,$R73)=""),"",IF(INDEX('仕入先'!$F$5:$F$54,$R73)="末",DATE(YEAR($S73),(MONTH($S73)+IF(INDEX('仕入先'!$D$5:$D$54,$R73)="末",0,IF(DAY($S73)&lt;=INDEX('仕入先'!$D$5:$D$54,$R73),0,1))+N(INDEX('仕入先'!$E$5:$E$54,$R73)))+1,0),DATE(YEAR($S73),(MONTH($S73)+IF(INDEX('仕入先'!$D$5:$D$54,$R73)="末",0,IF(DAY($S73)&lt;=INDEX('仕入先'!$D$5:$D$54,$R73),0,1))+N(INDEX('仕入先'!$E$5:$E$54,$R73))),MIN(INDEX('仕入先'!$F$5:$F$54,$R73),DAY(DATE(YEAR($S73),(MONTH($S73)+IF(INDEX('仕入先'!$D$5:$D$54,$R73)="末",0,IF(DAY($S73)&lt;=INDEX('仕入先'!$D$5:$D$54,$R73),0,1))+N(INDEX('仕入先'!$E$5:$E$54,$R73)))+1,0)))))))</f>
        <v/>
      </c>
      <c r="I73" s="26" t="n"/>
      <c r="J73" s="29">
        <f>IF($B73="","",IF(ISNUMBER($I73),$I73,$H73))</f>
        <v/>
      </c>
      <c r="K73" s="26" t="n"/>
      <c r="L73" s="27" t="n"/>
      <c r="M73" s="27" t="n"/>
      <c r="N73" s="28">
        <f>IF($B73="","",N($G73)-N($L73)-N($M73))</f>
        <v/>
      </c>
      <c r="O73" s="30">
        <f>IF($B73="","",IF(AND(OR(N($L73)&lt;&gt;0,N($M73)&lt;&gt;0),NOT(ISNUMBER($K73))),"支払日なし",IF($N73=0,IF(N($G73)=0,"請求額0","支払済"),IF($N73&lt;0,"払いすぎ",IF(N($L73)+N($M73)=0,"未払","一部支払")))))</f>
        <v/>
      </c>
      <c r="P73" s="30">
        <f>IF(OR($B73="",N($N73)&lt;=0,NOT(ISNUMBER($J73))),"",IF($J73&lt;'設定'!$B$7,"期日超過 "&amp;('設定'!$B$7-$J73)&amp;"日",IF($J73='設定'!$B$7,"今日","あと "&amp;($J73-'設定'!$B$7)&amp;"日")))</f>
        <v/>
      </c>
      <c r="Q73" s="56" t="n"/>
      <c r="R73" s="32">
        <f>IF($B73="","",IFERROR(MATCH($B73,'仕入先'!$B$5:$B$54,0),"なし"))</f>
        <v/>
      </c>
      <c r="S73" s="33">
        <f>IF($B73="","",IF(ISNUMBER($D73),$D73,IF(ISNUMBER($A73),$A73,"")))</f>
        <v/>
      </c>
      <c r="T73" s="34">
        <f>IF(OR($B73="",N($N73)&lt;=0),"",IF(ISNUMBER($J73),$J73,99999)+ROW()/1000000)</f>
        <v/>
      </c>
      <c r="U73" s="35">
        <f>IF(OR($B73="",$B73&lt;&gt;'買掛帳'!$B$3,NOT(ISNUMBER($S73))),"",IF(AND($S73&gt;='買掛帳'!$Q$3,$S73&lt;='買掛帳'!$Q$4),$S73+ROW()/10000000,""))</f>
        <v/>
      </c>
      <c r="V73" s="35">
        <f>IF(OR($B73="",$B73&lt;&gt;'買掛帳'!$B$3,NOT(ISNUMBER($K73)),N($L73)+N($M73)=0),"",IF(AND($K73&gt;='買掛帳'!$Q$3,$K73&lt;='買掛帳'!$Q$4),$K73+0.5+ROW()/10000000,""))</f>
        <v/>
      </c>
    </row>
    <row r="74" ht="18" customHeight="1">
      <c r="A74" s="26" t="n"/>
      <c r="B74" s="18" t="n"/>
      <c r="C74" s="20">
        <f>IF($B74="","",IF($R74="なし","※仕入先にないコード",INDEX('仕入先'!$C$5:$C$54,$R74)&amp;""))</f>
        <v/>
      </c>
      <c r="D74" s="26" t="n"/>
      <c r="E74" s="18" t="n"/>
      <c r="F74" s="19" t="n"/>
      <c r="G74" s="27" t="n"/>
      <c r="H74" s="29">
        <f>IF(OR($B74="",NOT(ISNUMBER($R74)),NOT(ISNUMBER($S74))),"",IF(OR(INDEX('仕入先'!$D$5:$D$54,$R74)="",INDEX('仕入先'!$E$5:$E$54,$R74)="",INDEX('仕入先'!$F$5:$F$54,$R74)=""),"",IF(INDEX('仕入先'!$F$5:$F$54,$R74)="末",DATE(YEAR($S74),(MONTH($S74)+IF(INDEX('仕入先'!$D$5:$D$54,$R74)="末",0,IF(DAY($S74)&lt;=INDEX('仕入先'!$D$5:$D$54,$R74),0,1))+N(INDEX('仕入先'!$E$5:$E$54,$R74)))+1,0),DATE(YEAR($S74),(MONTH($S74)+IF(INDEX('仕入先'!$D$5:$D$54,$R74)="末",0,IF(DAY($S74)&lt;=INDEX('仕入先'!$D$5:$D$54,$R74),0,1))+N(INDEX('仕入先'!$E$5:$E$54,$R74))),MIN(INDEX('仕入先'!$F$5:$F$54,$R74),DAY(DATE(YEAR($S74),(MONTH($S74)+IF(INDEX('仕入先'!$D$5:$D$54,$R74)="末",0,IF(DAY($S74)&lt;=INDEX('仕入先'!$D$5:$D$54,$R74),0,1))+N(INDEX('仕入先'!$E$5:$E$54,$R74)))+1,0)))))))</f>
        <v/>
      </c>
      <c r="I74" s="26" t="n"/>
      <c r="J74" s="29">
        <f>IF($B74="","",IF(ISNUMBER($I74),$I74,$H74))</f>
        <v/>
      </c>
      <c r="K74" s="26" t="n"/>
      <c r="L74" s="27" t="n"/>
      <c r="M74" s="27" t="n"/>
      <c r="N74" s="28">
        <f>IF($B74="","",N($G74)-N($L74)-N($M74))</f>
        <v/>
      </c>
      <c r="O74" s="30">
        <f>IF($B74="","",IF(AND(OR(N($L74)&lt;&gt;0,N($M74)&lt;&gt;0),NOT(ISNUMBER($K74))),"支払日なし",IF($N74=0,IF(N($G74)=0,"請求額0","支払済"),IF($N74&lt;0,"払いすぎ",IF(N($L74)+N($M74)=0,"未払","一部支払")))))</f>
        <v/>
      </c>
      <c r="P74" s="30">
        <f>IF(OR($B74="",N($N74)&lt;=0,NOT(ISNUMBER($J74))),"",IF($J74&lt;'設定'!$B$7,"期日超過 "&amp;('設定'!$B$7-$J74)&amp;"日",IF($J74='設定'!$B$7,"今日","あと "&amp;($J74-'設定'!$B$7)&amp;"日")))</f>
        <v/>
      </c>
      <c r="Q74" s="56" t="n"/>
      <c r="R74" s="32">
        <f>IF($B74="","",IFERROR(MATCH($B74,'仕入先'!$B$5:$B$54,0),"なし"))</f>
        <v/>
      </c>
      <c r="S74" s="33">
        <f>IF($B74="","",IF(ISNUMBER($D74),$D74,IF(ISNUMBER($A74),$A74,"")))</f>
        <v/>
      </c>
      <c r="T74" s="34">
        <f>IF(OR($B74="",N($N74)&lt;=0),"",IF(ISNUMBER($J74),$J74,99999)+ROW()/1000000)</f>
        <v/>
      </c>
      <c r="U74" s="35">
        <f>IF(OR($B74="",$B74&lt;&gt;'買掛帳'!$B$3,NOT(ISNUMBER($S74))),"",IF(AND($S74&gt;='買掛帳'!$Q$3,$S74&lt;='買掛帳'!$Q$4),$S74+ROW()/10000000,""))</f>
        <v/>
      </c>
      <c r="V74" s="35">
        <f>IF(OR($B74="",$B74&lt;&gt;'買掛帳'!$B$3,NOT(ISNUMBER($K74)),N($L74)+N($M74)=0),"",IF(AND($K74&gt;='買掛帳'!$Q$3,$K74&lt;='買掛帳'!$Q$4),$K74+0.5+ROW()/10000000,""))</f>
        <v/>
      </c>
    </row>
    <row r="75" ht="18" customHeight="1">
      <c r="A75" s="26" t="n"/>
      <c r="B75" s="18" t="n"/>
      <c r="C75" s="20">
        <f>IF($B75="","",IF($R75="なし","※仕入先にないコード",INDEX('仕入先'!$C$5:$C$54,$R75)&amp;""))</f>
        <v/>
      </c>
      <c r="D75" s="26" t="n"/>
      <c r="E75" s="18" t="n"/>
      <c r="F75" s="19" t="n"/>
      <c r="G75" s="27" t="n"/>
      <c r="H75" s="29">
        <f>IF(OR($B75="",NOT(ISNUMBER($R75)),NOT(ISNUMBER($S75))),"",IF(OR(INDEX('仕入先'!$D$5:$D$54,$R75)="",INDEX('仕入先'!$E$5:$E$54,$R75)="",INDEX('仕入先'!$F$5:$F$54,$R75)=""),"",IF(INDEX('仕入先'!$F$5:$F$54,$R75)="末",DATE(YEAR($S75),(MONTH($S75)+IF(INDEX('仕入先'!$D$5:$D$54,$R75)="末",0,IF(DAY($S75)&lt;=INDEX('仕入先'!$D$5:$D$54,$R75),0,1))+N(INDEX('仕入先'!$E$5:$E$54,$R75)))+1,0),DATE(YEAR($S75),(MONTH($S75)+IF(INDEX('仕入先'!$D$5:$D$54,$R75)="末",0,IF(DAY($S75)&lt;=INDEX('仕入先'!$D$5:$D$54,$R75),0,1))+N(INDEX('仕入先'!$E$5:$E$54,$R75))),MIN(INDEX('仕入先'!$F$5:$F$54,$R75),DAY(DATE(YEAR($S75),(MONTH($S75)+IF(INDEX('仕入先'!$D$5:$D$54,$R75)="末",0,IF(DAY($S75)&lt;=INDEX('仕入先'!$D$5:$D$54,$R75),0,1))+N(INDEX('仕入先'!$E$5:$E$54,$R75)))+1,0)))))))</f>
        <v/>
      </c>
      <c r="I75" s="26" t="n"/>
      <c r="J75" s="29">
        <f>IF($B75="","",IF(ISNUMBER($I75),$I75,$H75))</f>
        <v/>
      </c>
      <c r="K75" s="26" t="n"/>
      <c r="L75" s="27" t="n"/>
      <c r="M75" s="27" t="n"/>
      <c r="N75" s="28">
        <f>IF($B75="","",N($G75)-N($L75)-N($M75))</f>
        <v/>
      </c>
      <c r="O75" s="30">
        <f>IF($B75="","",IF(AND(OR(N($L75)&lt;&gt;0,N($M75)&lt;&gt;0),NOT(ISNUMBER($K75))),"支払日なし",IF($N75=0,IF(N($G75)=0,"請求額0","支払済"),IF($N75&lt;0,"払いすぎ",IF(N($L75)+N($M75)=0,"未払","一部支払")))))</f>
        <v/>
      </c>
      <c r="P75" s="30">
        <f>IF(OR($B75="",N($N75)&lt;=0,NOT(ISNUMBER($J75))),"",IF($J75&lt;'設定'!$B$7,"期日超過 "&amp;('設定'!$B$7-$J75)&amp;"日",IF($J75='設定'!$B$7,"今日","あと "&amp;($J75-'設定'!$B$7)&amp;"日")))</f>
        <v/>
      </c>
      <c r="Q75" s="56" t="n"/>
      <c r="R75" s="32">
        <f>IF($B75="","",IFERROR(MATCH($B75,'仕入先'!$B$5:$B$54,0),"なし"))</f>
        <v/>
      </c>
      <c r="S75" s="33">
        <f>IF($B75="","",IF(ISNUMBER($D75),$D75,IF(ISNUMBER($A75),$A75,"")))</f>
        <v/>
      </c>
      <c r="T75" s="34">
        <f>IF(OR($B75="",N($N75)&lt;=0),"",IF(ISNUMBER($J75),$J75,99999)+ROW()/1000000)</f>
        <v/>
      </c>
      <c r="U75" s="35">
        <f>IF(OR($B75="",$B75&lt;&gt;'買掛帳'!$B$3,NOT(ISNUMBER($S75))),"",IF(AND($S75&gt;='買掛帳'!$Q$3,$S75&lt;='買掛帳'!$Q$4),$S75+ROW()/10000000,""))</f>
        <v/>
      </c>
      <c r="V75" s="35">
        <f>IF(OR($B75="",$B75&lt;&gt;'買掛帳'!$B$3,NOT(ISNUMBER($K75)),N($L75)+N($M75)=0),"",IF(AND($K75&gt;='買掛帳'!$Q$3,$K75&lt;='買掛帳'!$Q$4),$K75+0.5+ROW()/10000000,""))</f>
        <v/>
      </c>
    </row>
    <row r="76" ht="18" customHeight="1">
      <c r="A76" s="26" t="n"/>
      <c r="B76" s="18" t="n"/>
      <c r="C76" s="20">
        <f>IF($B76="","",IF($R76="なし","※仕入先にないコード",INDEX('仕入先'!$C$5:$C$54,$R76)&amp;""))</f>
        <v/>
      </c>
      <c r="D76" s="26" t="n"/>
      <c r="E76" s="18" t="n"/>
      <c r="F76" s="19" t="n"/>
      <c r="G76" s="27" t="n"/>
      <c r="H76" s="29">
        <f>IF(OR($B76="",NOT(ISNUMBER($R76)),NOT(ISNUMBER($S76))),"",IF(OR(INDEX('仕入先'!$D$5:$D$54,$R76)="",INDEX('仕入先'!$E$5:$E$54,$R76)="",INDEX('仕入先'!$F$5:$F$54,$R76)=""),"",IF(INDEX('仕入先'!$F$5:$F$54,$R76)="末",DATE(YEAR($S76),(MONTH($S76)+IF(INDEX('仕入先'!$D$5:$D$54,$R76)="末",0,IF(DAY($S76)&lt;=INDEX('仕入先'!$D$5:$D$54,$R76),0,1))+N(INDEX('仕入先'!$E$5:$E$54,$R76)))+1,0),DATE(YEAR($S76),(MONTH($S76)+IF(INDEX('仕入先'!$D$5:$D$54,$R76)="末",0,IF(DAY($S76)&lt;=INDEX('仕入先'!$D$5:$D$54,$R76),0,1))+N(INDEX('仕入先'!$E$5:$E$54,$R76))),MIN(INDEX('仕入先'!$F$5:$F$54,$R76),DAY(DATE(YEAR($S76),(MONTH($S76)+IF(INDEX('仕入先'!$D$5:$D$54,$R76)="末",0,IF(DAY($S76)&lt;=INDEX('仕入先'!$D$5:$D$54,$R76),0,1))+N(INDEX('仕入先'!$E$5:$E$54,$R76)))+1,0)))))))</f>
        <v/>
      </c>
      <c r="I76" s="26" t="n"/>
      <c r="J76" s="29">
        <f>IF($B76="","",IF(ISNUMBER($I76),$I76,$H76))</f>
        <v/>
      </c>
      <c r="K76" s="26" t="n"/>
      <c r="L76" s="27" t="n"/>
      <c r="M76" s="27" t="n"/>
      <c r="N76" s="28">
        <f>IF($B76="","",N($G76)-N($L76)-N($M76))</f>
        <v/>
      </c>
      <c r="O76" s="30">
        <f>IF($B76="","",IF(AND(OR(N($L76)&lt;&gt;0,N($M76)&lt;&gt;0),NOT(ISNUMBER($K76))),"支払日なし",IF($N76=0,IF(N($G76)=0,"請求額0","支払済"),IF($N76&lt;0,"払いすぎ",IF(N($L76)+N($M76)=0,"未払","一部支払")))))</f>
        <v/>
      </c>
      <c r="P76" s="30">
        <f>IF(OR($B76="",N($N76)&lt;=0,NOT(ISNUMBER($J76))),"",IF($J76&lt;'設定'!$B$7,"期日超過 "&amp;('設定'!$B$7-$J76)&amp;"日",IF($J76='設定'!$B$7,"今日","あと "&amp;($J76-'設定'!$B$7)&amp;"日")))</f>
        <v/>
      </c>
      <c r="Q76" s="56" t="n"/>
      <c r="R76" s="32">
        <f>IF($B76="","",IFERROR(MATCH($B76,'仕入先'!$B$5:$B$54,0),"なし"))</f>
        <v/>
      </c>
      <c r="S76" s="33">
        <f>IF($B76="","",IF(ISNUMBER($D76),$D76,IF(ISNUMBER($A76),$A76,"")))</f>
        <v/>
      </c>
      <c r="T76" s="34">
        <f>IF(OR($B76="",N($N76)&lt;=0),"",IF(ISNUMBER($J76),$J76,99999)+ROW()/1000000)</f>
        <v/>
      </c>
      <c r="U76" s="35">
        <f>IF(OR($B76="",$B76&lt;&gt;'買掛帳'!$B$3,NOT(ISNUMBER($S76))),"",IF(AND($S76&gt;='買掛帳'!$Q$3,$S76&lt;='買掛帳'!$Q$4),$S76+ROW()/10000000,""))</f>
        <v/>
      </c>
      <c r="V76" s="35">
        <f>IF(OR($B76="",$B76&lt;&gt;'買掛帳'!$B$3,NOT(ISNUMBER($K76)),N($L76)+N($M76)=0),"",IF(AND($K76&gt;='買掛帳'!$Q$3,$K76&lt;='買掛帳'!$Q$4),$K76+0.5+ROW()/10000000,""))</f>
        <v/>
      </c>
    </row>
    <row r="77" ht="18" customHeight="1">
      <c r="A77" s="26" t="n"/>
      <c r="B77" s="18" t="n"/>
      <c r="C77" s="20">
        <f>IF($B77="","",IF($R77="なし","※仕入先にないコード",INDEX('仕入先'!$C$5:$C$54,$R77)&amp;""))</f>
        <v/>
      </c>
      <c r="D77" s="26" t="n"/>
      <c r="E77" s="18" t="n"/>
      <c r="F77" s="19" t="n"/>
      <c r="G77" s="27" t="n"/>
      <c r="H77" s="29">
        <f>IF(OR($B77="",NOT(ISNUMBER($R77)),NOT(ISNUMBER($S77))),"",IF(OR(INDEX('仕入先'!$D$5:$D$54,$R77)="",INDEX('仕入先'!$E$5:$E$54,$R77)="",INDEX('仕入先'!$F$5:$F$54,$R77)=""),"",IF(INDEX('仕入先'!$F$5:$F$54,$R77)="末",DATE(YEAR($S77),(MONTH($S77)+IF(INDEX('仕入先'!$D$5:$D$54,$R77)="末",0,IF(DAY($S77)&lt;=INDEX('仕入先'!$D$5:$D$54,$R77),0,1))+N(INDEX('仕入先'!$E$5:$E$54,$R77)))+1,0),DATE(YEAR($S77),(MONTH($S77)+IF(INDEX('仕入先'!$D$5:$D$54,$R77)="末",0,IF(DAY($S77)&lt;=INDEX('仕入先'!$D$5:$D$54,$R77),0,1))+N(INDEX('仕入先'!$E$5:$E$54,$R77))),MIN(INDEX('仕入先'!$F$5:$F$54,$R77),DAY(DATE(YEAR($S77),(MONTH($S77)+IF(INDEX('仕入先'!$D$5:$D$54,$R77)="末",0,IF(DAY($S77)&lt;=INDEX('仕入先'!$D$5:$D$54,$R77),0,1))+N(INDEX('仕入先'!$E$5:$E$54,$R77)))+1,0)))))))</f>
        <v/>
      </c>
      <c r="I77" s="26" t="n"/>
      <c r="J77" s="29">
        <f>IF($B77="","",IF(ISNUMBER($I77),$I77,$H77))</f>
        <v/>
      </c>
      <c r="K77" s="26" t="n"/>
      <c r="L77" s="27" t="n"/>
      <c r="M77" s="27" t="n"/>
      <c r="N77" s="28">
        <f>IF($B77="","",N($G77)-N($L77)-N($M77))</f>
        <v/>
      </c>
      <c r="O77" s="30">
        <f>IF($B77="","",IF(AND(OR(N($L77)&lt;&gt;0,N($M77)&lt;&gt;0),NOT(ISNUMBER($K77))),"支払日なし",IF($N77=0,IF(N($G77)=0,"請求額0","支払済"),IF($N77&lt;0,"払いすぎ",IF(N($L77)+N($M77)=0,"未払","一部支払")))))</f>
        <v/>
      </c>
      <c r="P77" s="30">
        <f>IF(OR($B77="",N($N77)&lt;=0,NOT(ISNUMBER($J77))),"",IF($J77&lt;'設定'!$B$7,"期日超過 "&amp;('設定'!$B$7-$J77)&amp;"日",IF($J77='設定'!$B$7,"今日","あと "&amp;($J77-'設定'!$B$7)&amp;"日")))</f>
        <v/>
      </c>
      <c r="Q77" s="56" t="n"/>
      <c r="R77" s="32">
        <f>IF($B77="","",IFERROR(MATCH($B77,'仕入先'!$B$5:$B$54,0),"なし"))</f>
        <v/>
      </c>
      <c r="S77" s="33">
        <f>IF($B77="","",IF(ISNUMBER($D77),$D77,IF(ISNUMBER($A77),$A77,"")))</f>
        <v/>
      </c>
      <c r="T77" s="34">
        <f>IF(OR($B77="",N($N77)&lt;=0),"",IF(ISNUMBER($J77),$J77,99999)+ROW()/1000000)</f>
        <v/>
      </c>
      <c r="U77" s="35">
        <f>IF(OR($B77="",$B77&lt;&gt;'買掛帳'!$B$3,NOT(ISNUMBER($S77))),"",IF(AND($S77&gt;='買掛帳'!$Q$3,$S77&lt;='買掛帳'!$Q$4),$S77+ROW()/10000000,""))</f>
        <v/>
      </c>
      <c r="V77" s="35">
        <f>IF(OR($B77="",$B77&lt;&gt;'買掛帳'!$B$3,NOT(ISNUMBER($K77)),N($L77)+N($M77)=0),"",IF(AND($K77&gt;='買掛帳'!$Q$3,$K77&lt;='買掛帳'!$Q$4),$K77+0.5+ROW()/10000000,""))</f>
        <v/>
      </c>
    </row>
    <row r="78" ht="18" customHeight="1">
      <c r="A78" s="26" t="n"/>
      <c r="B78" s="18" t="n"/>
      <c r="C78" s="20">
        <f>IF($B78="","",IF($R78="なし","※仕入先にないコード",INDEX('仕入先'!$C$5:$C$54,$R78)&amp;""))</f>
        <v/>
      </c>
      <c r="D78" s="26" t="n"/>
      <c r="E78" s="18" t="n"/>
      <c r="F78" s="19" t="n"/>
      <c r="G78" s="27" t="n"/>
      <c r="H78" s="29">
        <f>IF(OR($B78="",NOT(ISNUMBER($R78)),NOT(ISNUMBER($S78))),"",IF(OR(INDEX('仕入先'!$D$5:$D$54,$R78)="",INDEX('仕入先'!$E$5:$E$54,$R78)="",INDEX('仕入先'!$F$5:$F$54,$R78)=""),"",IF(INDEX('仕入先'!$F$5:$F$54,$R78)="末",DATE(YEAR($S78),(MONTH($S78)+IF(INDEX('仕入先'!$D$5:$D$54,$R78)="末",0,IF(DAY($S78)&lt;=INDEX('仕入先'!$D$5:$D$54,$R78),0,1))+N(INDEX('仕入先'!$E$5:$E$54,$R78)))+1,0),DATE(YEAR($S78),(MONTH($S78)+IF(INDEX('仕入先'!$D$5:$D$54,$R78)="末",0,IF(DAY($S78)&lt;=INDEX('仕入先'!$D$5:$D$54,$R78),0,1))+N(INDEX('仕入先'!$E$5:$E$54,$R78))),MIN(INDEX('仕入先'!$F$5:$F$54,$R78),DAY(DATE(YEAR($S78),(MONTH($S78)+IF(INDEX('仕入先'!$D$5:$D$54,$R78)="末",0,IF(DAY($S78)&lt;=INDEX('仕入先'!$D$5:$D$54,$R78),0,1))+N(INDEX('仕入先'!$E$5:$E$54,$R78)))+1,0)))))))</f>
        <v/>
      </c>
      <c r="I78" s="26" t="n"/>
      <c r="J78" s="29">
        <f>IF($B78="","",IF(ISNUMBER($I78),$I78,$H78))</f>
        <v/>
      </c>
      <c r="K78" s="26" t="n"/>
      <c r="L78" s="27" t="n"/>
      <c r="M78" s="27" t="n"/>
      <c r="N78" s="28">
        <f>IF($B78="","",N($G78)-N($L78)-N($M78))</f>
        <v/>
      </c>
      <c r="O78" s="30">
        <f>IF($B78="","",IF(AND(OR(N($L78)&lt;&gt;0,N($M78)&lt;&gt;0),NOT(ISNUMBER($K78))),"支払日なし",IF($N78=0,IF(N($G78)=0,"請求額0","支払済"),IF($N78&lt;0,"払いすぎ",IF(N($L78)+N($M78)=0,"未払","一部支払")))))</f>
        <v/>
      </c>
      <c r="P78" s="30">
        <f>IF(OR($B78="",N($N78)&lt;=0,NOT(ISNUMBER($J78))),"",IF($J78&lt;'設定'!$B$7,"期日超過 "&amp;('設定'!$B$7-$J78)&amp;"日",IF($J78='設定'!$B$7,"今日","あと "&amp;($J78-'設定'!$B$7)&amp;"日")))</f>
        <v/>
      </c>
      <c r="Q78" s="56" t="n"/>
      <c r="R78" s="32">
        <f>IF($B78="","",IFERROR(MATCH($B78,'仕入先'!$B$5:$B$54,0),"なし"))</f>
        <v/>
      </c>
      <c r="S78" s="33">
        <f>IF($B78="","",IF(ISNUMBER($D78),$D78,IF(ISNUMBER($A78),$A78,"")))</f>
        <v/>
      </c>
      <c r="T78" s="34">
        <f>IF(OR($B78="",N($N78)&lt;=0),"",IF(ISNUMBER($J78),$J78,99999)+ROW()/1000000)</f>
        <v/>
      </c>
      <c r="U78" s="35">
        <f>IF(OR($B78="",$B78&lt;&gt;'買掛帳'!$B$3,NOT(ISNUMBER($S78))),"",IF(AND($S78&gt;='買掛帳'!$Q$3,$S78&lt;='買掛帳'!$Q$4),$S78+ROW()/10000000,""))</f>
        <v/>
      </c>
      <c r="V78" s="35">
        <f>IF(OR($B78="",$B78&lt;&gt;'買掛帳'!$B$3,NOT(ISNUMBER($K78)),N($L78)+N($M78)=0),"",IF(AND($K78&gt;='買掛帳'!$Q$3,$K78&lt;='買掛帳'!$Q$4),$K78+0.5+ROW()/10000000,""))</f>
        <v/>
      </c>
    </row>
    <row r="79" ht="18" customHeight="1">
      <c r="A79" s="26" t="n"/>
      <c r="B79" s="18" t="n"/>
      <c r="C79" s="20">
        <f>IF($B79="","",IF($R79="なし","※仕入先にないコード",INDEX('仕入先'!$C$5:$C$54,$R79)&amp;""))</f>
        <v/>
      </c>
      <c r="D79" s="26" t="n"/>
      <c r="E79" s="18" t="n"/>
      <c r="F79" s="19" t="n"/>
      <c r="G79" s="27" t="n"/>
      <c r="H79" s="29">
        <f>IF(OR($B79="",NOT(ISNUMBER($R79)),NOT(ISNUMBER($S79))),"",IF(OR(INDEX('仕入先'!$D$5:$D$54,$R79)="",INDEX('仕入先'!$E$5:$E$54,$R79)="",INDEX('仕入先'!$F$5:$F$54,$R79)=""),"",IF(INDEX('仕入先'!$F$5:$F$54,$R79)="末",DATE(YEAR($S79),(MONTH($S79)+IF(INDEX('仕入先'!$D$5:$D$54,$R79)="末",0,IF(DAY($S79)&lt;=INDEX('仕入先'!$D$5:$D$54,$R79),0,1))+N(INDEX('仕入先'!$E$5:$E$54,$R79)))+1,0),DATE(YEAR($S79),(MONTH($S79)+IF(INDEX('仕入先'!$D$5:$D$54,$R79)="末",0,IF(DAY($S79)&lt;=INDEX('仕入先'!$D$5:$D$54,$R79),0,1))+N(INDEX('仕入先'!$E$5:$E$54,$R79))),MIN(INDEX('仕入先'!$F$5:$F$54,$R79),DAY(DATE(YEAR($S79),(MONTH($S79)+IF(INDEX('仕入先'!$D$5:$D$54,$R79)="末",0,IF(DAY($S79)&lt;=INDEX('仕入先'!$D$5:$D$54,$R79),0,1))+N(INDEX('仕入先'!$E$5:$E$54,$R79)))+1,0)))))))</f>
        <v/>
      </c>
      <c r="I79" s="26" t="n"/>
      <c r="J79" s="29">
        <f>IF($B79="","",IF(ISNUMBER($I79),$I79,$H79))</f>
        <v/>
      </c>
      <c r="K79" s="26" t="n"/>
      <c r="L79" s="27" t="n"/>
      <c r="M79" s="27" t="n"/>
      <c r="N79" s="28">
        <f>IF($B79="","",N($G79)-N($L79)-N($M79))</f>
        <v/>
      </c>
      <c r="O79" s="30">
        <f>IF($B79="","",IF(AND(OR(N($L79)&lt;&gt;0,N($M79)&lt;&gt;0),NOT(ISNUMBER($K79))),"支払日なし",IF($N79=0,IF(N($G79)=0,"請求額0","支払済"),IF($N79&lt;0,"払いすぎ",IF(N($L79)+N($M79)=0,"未払","一部支払")))))</f>
        <v/>
      </c>
      <c r="P79" s="30">
        <f>IF(OR($B79="",N($N79)&lt;=0,NOT(ISNUMBER($J79))),"",IF($J79&lt;'設定'!$B$7,"期日超過 "&amp;('設定'!$B$7-$J79)&amp;"日",IF($J79='設定'!$B$7,"今日","あと "&amp;($J79-'設定'!$B$7)&amp;"日")))</f>
        <v/>
      </c>
      <c r="Q79" s="56" t="n"/>
      <c r="R79" s="32">
        <f>IF($B79="","",IFERROR(MATCH($B79,'仕入先'!$B$5:$B$54,0),"なし"))</f>
        <v/>
      </c>
      <c r="S79" s="33">
        <f>IF($B79="","",IF(ISNUMBER($D79),$D79,IF(ISNUMBER($A79),$A79,"")))</f>
        <v/>
      </c>
      <c r="T79" s="34">
        <f>IF(OR($B79="",N($N79)&lt;=0),"",IF(ISNUMBER($J79),$J79,99999)+ROW()/1000000)</f>
        <v/>
      </c>
      <c r="U79" s="35">
        <f>IF(OR($B79="",$B79&lt;&gt;'買掛帳'!$B$3,NOT(ISNUMBER($S79))),"",IF(AND($S79&gt;='買掛帳'!$Q$3,$S79&lt;='買掛帳'!$Q$4),$S79+ROW()/10000000,""))</f>
        <v/>
      </c>
      <c r="V79" s="35">
        <f>IF(OR($B79="",$B79&lt;&gt;'買掛帳'!$B$3,NOT(ISNUMBER($K79)),N($L79)+N($M79)=0),"",IF(AND($K79&gt;='買掛帳'!$Q$3,$K79&lt;='買掛帳'!$Q$4),$K79+0.5+ROW()/10000000,""))</f>
        <v/>
      </c>
    </row>
    <row r="80" ht="18" customHeight="1">
      <c r="A80" s="26" t="n"/>
      <c r="B80" s="18" t="n"/>
      <c r="C80" s="20">
        <f>IF($B80="","",IF($R80="なし","※仕入先にないコード",INDEX('仕入先'!$C$5:$C$54,$R80)&amp;""))</f>
        <v/>
      </c>
      <c r="D80" s="26" t="n"/>
      <c r="E80" s="18" t="n"/>
      <c r="F80" s="19" t="n"/>
      <c r="G80" s="27" t="n"/>
      <c r="H80" s="29">
        <f>IF(OR($B80="",NOT(ISNUMBER($R80)),NOT(ISNUMBER($S80))),"",IF(OR(INDEX('仕入先'!$D$5:$D$54,$R80)="",INDEX('仕入先'!$E$5:$E$54,$R80)="",INDEX('仕入先'!$F$5:$F$54,$R80)=""),"",IF(INDEX('仕入先'!$F$5:$F$54,$R80)="末",DATE(YEAR($S80),(MONTH($S80)+IF(INDEX('仕入先'!$D$5:$D$54,$R80)="末",0,IF(DAY($S80)&lt;=INDEX('仕入先'!$D$5:$D$54,$R80),0,1))+N(INDEX('仕入先'!$E$5:$E$54,$R80)))+1,0),DATE(YEAR($S80),(MONTH($S80)+IF(INDEX('仕入先'!$D$5:$D$54,$R80)="末",0,IF(DAY($S80)&lt;=INDEX('仕入先'!$D$5:$D$54,$R80),0,1))+N(INDEX('仕入先'!$E$5:$E$54,$R80))),MIN(INDEX('仕入先'!$F$5:$F$54,$R80),DAY(DATE(YEAR($S80),(MONTH($S80)+IF(INDEX('仕入先'!$D$5:$D$54,$R80)="末",0,IF(DAY($S80)&lt;=INDEX('仕入先'!$D$5:$D$54,$R80),0,1))+N(INDEX('仕入先'!$E$5:$E$54,$R80)))+1,0)))))))</f>
        <v/>
      </c>
      <c r="I80" s="26" t="n"/>
      <c r="J80" s="29">
        <f>IF($B80="","",IF(ISNUMBER($I80),$I80,$H80))</f>
        <v/>
      </c>
      <c r="K80" s="26" t="n"/>
      <c r="L80" s="27" t="n"/>
      <c r="M80" s="27" t="n"/>
      <c r="N80" s="28">
        <f>IF($B80="","",N($G80)-N($L80)-N($M80))</f>
        <v/>
      </c>
      <c r="O80" s="30">
        <f>IF($B80="","",IF(AND(OR(N($L80)&lt;&gt;0,N($M80)&lt;&gt;0),NOT(ISNUMBER($K80))),"支払日なし",IF($N80=0,IF(N($G80)=0,"請求額0","支払済"),IF($N80&lt;0,"払いすぎ",IF(N($L80)+N($M80)=0,"未払","一部支払")))))</f>
        <v/>
      </c>
      <c r="P80" s="30">
        <f>IF(OR($B80="",N($N80)&lt;=0,NOT(ISNUMBER($J80))),"",IF($J80&lt;'設定'!$B$7,"期日超過 "&amp;('設定'!$B$7-$J80)&amp;"日",IF($J80='設定'!$B$7,"今日","あと "&amp;($J80-'設定'!$B$7)&amp;"日")))</f>
        <v/>
      </c>
      <c r="Q80" s="56" t="n"/>
      <c r="R80" s="32">
        <f>IF($B80="","",IFERROR(MATCH($B80,'仕入先'!$B$5:$B$54,0),"なし"))</f>
        <v/>
      </c>
      <c r="S80" s="33">
        <f>IF($B80="","",IF(ISNUMBER($D80),$D80,IF(ISNUMBER($A80),$A80,"")))</f>
        <v/>
      </c>
      <c r="T80" s="34">
        <f>IF(OR($B80="",N($N80)&lt;=0),"",IF(ISNUMBER($J80),$J80,99999)+ROW()/1000000)</f>
        <v/>
      </c>
      <c r="U80" s="35">
        <f>IF(OR($B80="",$B80&lt;&gt;'買掛帳'!$B$3,NOT(ISNUMBER($S80))),"",IF(AND($S80&gt;='買掛帳'!$Q$3,$S80&lt;='買掛帳'!$Q$4),$S80+ROW()/10000000,""))</f>
        <v/>
      </c>
      <c r="V80" s="35">
        <f>IF(OR($B80="",$B80&lt;&gt;'買掛帳'!$B$3,NOT(ISNUMBER($K80)),N($L80)+N($M80)=0),"",IF(AND($K80&gt;='買掛帳'!$Q$3,$K80&lt;='買掛帳'!$Q$4),$K80+0.5+ROW()/10000000,""))</f>
        <v/>
      </c>
    </row>
    <row r="81" ht="18" customHeight="1">
      <c r="A81" s="26" t="n"/>
      <c r="B81" s="18" t="n"/>
      <c r="C81" s="20">
        <f>IF($B81="","",IF($R81="なし","※仕入先にないコード",INDEX('仕入先'!$C$5:$C$54,$R81)&amp;""))</f>
        <v/>
      </c>
      <c r="D81" s="26" t="n"/>
      <c r="E81" s="18" t="n"/>
      <c r="F81" s="19" t="n"/>
      <c r="G81" s="27" t="n"/>
      <c r="H81" s="29">
        <f>IF(OR($B81="",NOT(ISNUMBER($R81)),NOT(ISNUMBER($S81))),"",IF(OR(INDEX('仕入先'!$D$5:$D$54,$R81)="",INDEX('仕入先'!$E$5:$E$54,$R81)="",INDEX('仕入先'!$F$5:$F$54,$R81)=""),"",IF(INDEX('仕入先'!$F$5:$F$54,$R81)="末",DATE(YEAR($S81),(MONTH($S81)+IF(INDEX('仕入先'!$D$5:$D$54,$R81)="末",0,IF(DAY($S81)&lt;=INDEX('仕入先'!$D$5:$D$54,$R81),0,1))+N(INDEX('仕入先'!$E$5:$E$54,$R81)))+1,0),DATE(YEAR($S81),(MONTH($S81)+IF(INDEX('仕入先'!$D$5:$D$54,$R81)="末",0,IF(DAY($S81)&lt;=INDEX('仕入先'!$D$5:$D$54,$R81),0,1))+N(INDEX('仕入先'!$E$5:$E$54,$R81))),MIN(INDEX('仕入先'!$F$5:$F$54,$R81),DAY(DATE(YEAR($S81),(MONTH($S81)+IF(INDEX('仕入先'!$D$5:$D$54,$R81)="末",0,IF(DAY($S81)&lt;=INDEX('仕入先'!$D$5:$D$54,$R81),0,1))+N(INDEX('仕入先'!$E$5:$E$54,$R81)))+1,0)))))))</f>
        <v/>
      </c>
      <c r="I81" s="26" t="n"/>
      <c r="J81" s="29">
        <f>IF($B81="","",IF(ISNUMBER($I81),$I81,$H81))</f>
        <v/>
      </c>
      <c r="K81" s="26" t="n"/>
      <c r="L81" s="27" t="n"/>
      <c r="M81" s="27" t="n"/>
      <c r="N81" s="28">
        <f>IF($B81="","",N($G81)-N($L81)-N($M81))</f>
        <v/>
      </c>
      <c r="O81" s="30">
        <f>IF($B81="","",IF(AND(OR(N($L81)&lt;&gt;0,N($M81)&lt;&gt;0),NOT(ISNUMBER($K81))),"支払日なし",IF($N81=0,IF(N($G81)=0,"請求額0","支払済"),IF($N81&lt;0,"払いすぎ",IF(N($L81)+N($M81)=0,"未払","一部支払")))))</f>
        <v/>
      </c>
      <c r="P81" s="30">
        <f>IF(OR($B81="",N($N81)&lt;=0,NOT(ISNUMBER($J81))),"",IF($J81&lt;'設定'!$B$7,"期日超過 "&amp;('設定'!$B$7-$J81)&amp;"日",IF($J81='設定'!$B$7,"今日","あと "&amp;($J81-'設定'!$B$7)&amp;"日")))</f>
        <v/>
      </c>
      <c r="Q81" s="56" t="n"/>
      <c r="R81" s="32">
        <f>IF($B81="","",IFERROR(MATCH($B81,'仕入先'!$B$5:$B$54,0),"なし"))</f>
        <v/>
      </c>
      <c r="S81" s="33">
        <f>IF($B81="","",IF(ISNUMBER($D81),$D81,IF(ISNUMBER($A81),$A81,"")))</f>
        <v/>
      </c>
      <c r="T81" s="34">
        <f>IF(OR($B81="",N($N81)&lt;=0),"",IF(ISNUMBER($J81),$J81,99999)+ROW()/1000000)</f>
        <v/>
      </c>
      <c r="U81" s="35">
        <f>IF(OR($B81="",$B81&lt;&gt;'買掛帳'!$B$3,NOT(ISNUMBER($S81))),"",IF(AND($S81&gt;='買掛帳'!$Q$3,$S81&lt;='買掛帳'!$Q$4),$S81+ROW()/10000000,""))</f>
        <v/>
      </c>
      <c r="V81" s="35">
        <f>IF(OR($B81="",$B81&lt;&gt;'買掛帳'!$B$3,NOT(ISNUMBER($K81)),N($L81)+N($M81)=0),"",IF(AND($K81&gt;='買掛帳'!$Q$3,$K81&lt;='買掛帳'!$Q$4),$K81+0.5+ROW()/10000000,""))</f>
        <v/>
      </c>
    </row>
    <row r="82" ht="18" customHeight="1">
      <c r="A82" s="26" t="n"/>
      <c r="B82" s="18" t="n"/>
      <c r="C82" s="20">
        <f>IF($B82="","",IF($R82="なし","※仕入先にないコード",INDEX('仕入先'!$C$5:$C$54,$R82)&amp;""))</f>
        <v/>
      </c>
      <c r="D82" s="26" t="n"/>
      <c r="E82" s="18" t="n"/>
      <c r="F82" s="19" t="n"/>
      <c r="G82" s="27" t="n"/>
      <c r="H82" s="29">
        <f>IF(OR($B82="",NOT(ISNUMBER($R82)),NOT(ISNUMBER($S82))),"",IF(OR(INDEX('仕入先'!$D$5:$D$54,$R82)="",INDEX('仕入先'!$E$5:$E$54,$R82)="",INDEX('仕入先'!$F$5:$F$54,$R82)=""),"",IF(INDEX('仕入先'!$F$5:$F$54,$R82)="末",DATE(YEAR($S82),(MONTH($S82)+IF(INDEX('仕入先'!$D$5:$D$54,$R82)="末",0,IF(DAY($S82)&lt;=INDEX('仕入先'!$D$5:$D$54,$R82),0,1))+N(INDEX('仕入先'!$E$5:$E$54,$R82)))+1,0),DATE(YEAR($S82),(MONTH($S82)+IF(INDEX('仕入先'!$D$5:$D$54,$R82)="末",0,IF(DAY($S82)&lt;=INDEX('仕入先'!$D$5:$D$54,$R82),0,1))+N(INDEX('仕入先'!$E$5:$E$54,$R82))),MIN(INDEX('仕入先'!$F$5:$F$54,$R82),DAY(DATE(YEAR($S82),(MONTH($S82)+IF(INDEX('仕入先'!$D$5:$D$54,$R82)="末",0,IF(DAY($S82)&lt;=INDEX('仕入先'!$D$5:$D$54,$R82),0,1))+N(INDEX('仕入先'!$E$5:$E$54,$R82)))+1,0)))))))</f>
        <v/>
      </c>
      <c r="I82" s="26" t="n"/>
      <c r="J82" s="29">
        <f>IF($B82="","",IF(ISNUMBER($I82),$I82,$H82))</f>
        <v/>
      </c>
      <c r="K82" s="26" t="n"/>
      <c r="L82" s="27" t="n"/>
      <c r="M82" s="27" t="n"/>
      <c r="N82" s="28">
        <f>IF($B82="","",N($G82)-N($L82)-N($M82))</f>
        <v/>
      </c>
      <c r="O82" s="30">
        <f>IF($B82="","",IF(AND(OR(N($L82)&lt;&gt;0,N($M82)&lt;&gt;0),NOT(ISNUMBER($K82))),"支払日なし",IF($N82=0,IF(N($G82)=0,"請求額0","支払済"),IF($N82&lt;0,"払いすぎ",IF(N($L82)+N($M82)=0,"未払","一部支払")))))</f>
        <v/>
      </c>
      <c r="P82" s="30">
        <f>IF(OR($B82="",N($N82)&lt;=0,NOT(ISNUMBER($J82))),"",IF($J82&lt;'設定'!$B$7,"期日超過 "&amp;('設定'!$B$7-$J82)&amp;"日",IF($J82='設定'!$B$7,"今日","あと "&amp;($J82-'設定'!$B$7)&amp;"日")))</f>
        <v/>
      </c>
      <c r="Q82" s="56" t="n"/>
      <c r="R82" s="32">
        <f>IF($B82="","",IFERROR(MATCH($B82,'仕入先'!$B$5:$B$54,0),"なし"))</f>
        <v/>
      </c>
      <c r="S82" s="33">
        <f>IF($B82="","",IF(ISNUMBER($D82),$D82,IF(ISNUMBER($A82),$A82,"")))</f>
        <v/>
      </c>
      <c r="T82" s="34">
        <f>IF(OR($B82="",N($N82)&lt;=0),"",IF(ISNUMBER($J82),$J82,99999)+ROW()/1000000)</f>
        <v/>
      </c>
      <c r="U82" s="35">
        <f>IF(OR($B82="",$B82&lt;&gt;'買掛帳'!$B$3,NOT(ISNUMBER($S82))),"",IF(AND($S82&gt;='買掛帳'!$Q$3,$S82&lt;='買掛帳'!$Q$4),$S82+ROW()/10000000,""))</f>
        <v/>
      </c>
      <c r="V82" s="35">
        <f>IF(OR($B82="",$B82&lt;&gt;'買掛帳'!$B$3,NOT(ISNUMBER($K82)),N($L82)+N($M82)=0),"",IF(AND($K82&gt;='買掛帳'!$Q$3,$K82&lt;='買掛帳'!$Q$4),$K82+0.5+ROW()/10000000,""))</f>
        <v/>
      </c>
    </row>
    <row r="83" ht="18" customHeight="1">
      <c r="A83" s="26" t="n"/>
      <c r="B83" s="18" t="n"/>
      <c r="C83" s="20">
        <f>IF($B83="","",IF($R83="なし","※仕入先にないコード",INDEX('仕入先'!$C$5:$C$54,$R83)&amp;""))</f>
        <v/>
      </c>
      <c r="D83" s="26" t="n"/>
      <c r="E83" s="18" t="n"/>
      <c r="F83" s="19" t="n"/>
      <c r="G83" s="27" t="n"/>
      <c r="H83" s="29">
        <f>IF(OR($B83="",NOT(ISNUMBER($R83)),NOT(ISNUMBER($S83))),"",IF(OR(INDEX('仕入先'!$D$5:$D$54,$R83)="",INDEX('仕入先'!$E$5:$E$54,$R83)="",INDEX('仕入先'!$F$5:$F$54,$R83)=""),"",IF(INDEX('仕入先'!$F$5:$F$54,$R83)="末",DATE(YEAR($S83),(MONTH($S83)+IF(INDEX('仕入先'!$D$5:$D$54,$R83)="末",0,IF(DAY($S83)&lt;=INDEX('仕入先'!$D$5:$D$54,$R83),0,1))+N(INDEX('仕入先'!$E$5:$E$54,$R83)))+1,0),DATE(YEAR($S83),(MONTH($S83)+IF(INDEX('仕入先'!$D$5:$D$54,$R83)="末",0,IF(DAY($S83)&lt;=INDEX('仕入先'!$D$5:$D$54,$R83),0,1))+N(INDEX('仕入先'!$E$5:$E$54,$R83))),MIN(INDEX('仕入先'!$F$5:$F$54,$R83),DAY(DATE(YEAR($S83),(MONTH($S83)+IF(INDEX('仕入先'!$D$5:$D$54,$R83)="末",0,IF(DAY($S83)&lt;=INDEX('仕入先'!$D$5:$D$54,$R83),0,1))+N(INDEX('仕入先'!$E$5:$E$54,$R83)))+1,0)))))))</f>
        <v/>
      </c>
      <c r="I83" s="26" t="n"/>
      <c r="J83" s="29">
        <f>IF($B83="","",IF(ISNUMBER($I83),$I83,$H83))</f>
        <v/>
      </c>
      <c r="K83" s="26" t="n"/>
      <c r="L83" s="27" t="n"/>
      <c r="M83" s="27" t="n"/>
      <c r="N83" s="28">
        <f>IF($B83="","",N($G83)-N($L83)-N($M83))</f>
        <v/>
      </c>
      <c r="O83" s="30">
        <f>IF($B83="","",IF(AND(OR(N($L83)&lt;&gt;0,N($M83)&lt;&gt;0),NOT(ISNUMBER($K83))),"支払日なし",IF($N83=0,IF(N($G83)=0,"請求額0","支払済"),IF($N83&lt;0,"払いすぎ",IF(N($L83)+N($M83)=0,"未払","一部支払")))))</f>
        <v/>
      </c>
      <c r="P83" s="30">
        <f>IF(OR($B83="",N($N83)&lt;=0,NOT(ISNUMBER($J83))),"",IF($J83&lt;'設定'!$B$7,"期日超過 "&amp;('設定'!$B$7-$J83)&amp;"日",IF($J83='設定'!$B$7,"今日","あと "&amp;($J83-'設定'!$B$7)&amp;"日")))</f>
        <v/>
      </c>
      <c r="Q83" s="56" t="n"/>
      <c r="R83" s="32">
        <f>IF($B83="","",IFERROR(MATCH($B83,'仕入先'!$B$5:$B$54,0),"なし"))</f>
        <v/>
      </c>
      <c r="S83" s="33">
        <f>IF($B83="","",IF(ISNUMBER($D83),$D83,IF(ISNUMBER($A83),$A83,"")))</f>
        <v/>
      </c>
      <c r="T83" s="34">
        <f>IF(OR($B83="",N($N83)&lt;=0),"",IF(ISNUMBER($J83),$J83,99999)+ROW()/1000000)</f>
        <v/>
      </c>
      <c r="U83" s="35">
        <f>IF(OR($B83="",$B83&lt;&gt;'買掛帳'!$B$3,NOT(ISNUMBER($S83))),"",IF(AND($S83&gt;='買掛帳'!$Q$3,$S83&lt;='買掛帳'!$Q$4),$S83+ROW()/10000000,""))</f>
        <v/>
      </c>
      <c r="V83" s="35">
        <f>IF(OR($B83="",$B83&lt;&gt;'買掛帳'!$B$3,NOT(ISNUMBER($K83)),N($L83)+N($M83)=0),"",IF(AND($K83&gt;='買掛帳'!$Q$3,$K83&lt;='買掛帳'!$Q$4),$K83+0.5+ROW()/10000000,""))</f>
        <v/>
      </c>
    </row>
    <row r="84" ht="18" customHeight="1">
      <c r="A84" s="26" t="n"/>
      <c r="B84" s="18" t="n"/>
      <c r="C84" s="20">
        <f>IF($B84="","",IF($R84="なし","※仕入先にないコード",INDEX('仕入先'!$C$5:$C$54,$R84)&amp;""))</f>
        <v/>
      </c>
      <c r="D84" s="26" t="n"/>
      <c r="E84" s="18" t="n"/>
      <c r="F84" s="19" t="n"/>
      <c r="G84" s="27" t="n"/>
      <c r="H84" s="29">
        <f>IF(OR($B84="",NOT(ISNUMBER($R84)),NOT(ISNUMBER($S84))),"",IF(OR(INDEX('仕入先'!$D$5:$D$54,$R84)="",INDEX('仕入先'!$E$5:$E$54,$R84)="",INDEX('仕入先'!$F$5:$F$54,$R84)=""),"",IF(INDEX('仕入先'!$F$5:$F$54,$R84)="末",DATE(YEAR($S84),(MONTH($S84)+IF(INDEX('仕入先'!$D$5:$D$54,$R84)="末",0,IF(DAY($S84)&lt;=INDEX('仕入先'!$D$5:$D$54,$R84),0,1))+N(INDEX('仕入先'!$E$5:$E$54,$R84)))+1,0),DATE(YEAR($S84),(MONTH($S84)+IF(INDEX('仕入先'!$D$5:$D$54,$R84)="末",0,IF(DAY($S84)&lt;=INDEX('仕入先'!$D$5:$D$54,$R84),0,1))+N(INDEX('仕入先'!$E$5:$E$54,$R84))),MIN(INDEX('仕入先'!$F$5:$F$54,$R84),DAY(DATE(YEAR($S84),(MONTH($S84)+IF(INDEX('仕入先'!$D$5:$D$54,$R84)="末",0,IF(DAY($S84)&lt;=INDEX('仕入先'!$D$5:$D$54,$R84),0,1))+N(INDEX('仕入先'!$E$5:$E$54,$R84)))+1,0)))))))</f>
        <v/>
      </c>
      <c r="I84" s="26" t="n"/>
      <c r="J84" s="29">
        <f>IF($B84="","",IF(ISNUMBER($I84),$I84,$H84))</f>
        <v/>
      </c>
      <c r="K84" s="26" t="n"/>
      <c r="L84" s="27" t="n"/>
      <c r="M84" s="27" t="n"/>
      <c r="N84" s="28">
        <f>IF($B84="","",N($G84)-N($L84)-N($M84))</f>
        <v/>
      </c>
      <c r="O84" s="30">
        <f>IF($B84="","",IF(AND(OR(N($L84)&lt;&gt;0,N($M84)&lt;&gt;0),NOT(ISNUMBER($K84))),"支払日なし",IF($N84=0,IF(N($G84)=0,"請求額0","支払済"),IF($N84&lt;0,"払いすぎ",IF(N($L84)+N($M84)=0,"未払","一部支払")))))</f>
        <v/>
      </c>
      <c r="P84" s="30">
        <f>IF(OR($B84="",N($N84)&lt;=0,NOT(ISNUMBER($J84))),"",IF($J84&lt;'設定'!$B$7,"期日超過 "&amp;('設定'!$B$7-$J84)&amp;"日",IF($J84='設定'!$B$7,"今日","あと "&amp;($J84-'設定'!$B$7)&amp;"日")))</f>
        <v/>
      </c>
      <c r="Q84" s="56" t="n"/>
      <c r="R84" s="32">
        <f>IF($B84="","",IFERROR(MATCH($B84,'仕入先'!$B$5:$B$54,0),"なし"))</f>
        <v/>
      </c>
      <c r="S84" s="33">
        <f>IF($B84="","",IF(ISNUMBER($D84),$D84,IF(ISNUMBER($A84),$A84,"")))</f>
        <v/>
      </c>
      <c r="T84" s="34">
        <f>IF(OR($B84="",N($N84)&lt;=0),"",IF(ISNUMBER($J84),$J84,99999)+ROW()/1000000)</f>
        <v/>
      </c>
      <c r="U84" s="35">
        <f>IF(OR($B84="",$B84&lt;&gt;'買掛帳'!$B$3,NOT(ISNUMBER($S84))),"",IF(AND($S84&gt;='買掛帳'!$Q$3,$S84&lt;='買掛帳'!$Q$4),$S84+ROW()/10000000,""))</f>
        <v/>
      </c>
      <c r="V84" s="35">
        <f>IF(OR($B84="",$B84&lt;&gt;'買掛帳'!$B$3,NOT(ISNUMBER($K84)),N($L84)+N($M84)=0),"",IF(AND($K84&gt;='買掛帳'!$Q$3,$K84&lt;='買掛帳'!$Q$4),$K84+0.5+ROW()/10000000,""))</f>
        <v/>
      </c>
    </row>
    <row r="85" ht="18" customHeight="1">
      <c r="A85" s="26" t="n"/>
      <c r="B85" s="18" t="n"/>
      <c r="C85" s="20">
        <f>IF($B85="","",IF($R85="なし","※仕入先にないコード",INDEX('仕入先'!$C$5:$C$54,$R85)&amp;""))</f>
        <v/>
      </c>
      <c r="D85" s="26" t="n"/>
      <c r="E85" s="18" t="n"/>
      <c r="F85" s="19" t="n"/>
      <c r="G85" s="27" t="n"/>
      <c r="H85" s="29">
        <f>IF(OR($B85="",NOT(ISNUMBER($R85)),NOT(ISNUMBER($S85))),"",IF(OR(INDEX('仕入先'!$D$5:$D$54,$R85)="",INDEX('仕入先'!$E$5:$E$54,$R85)="",INDEX('仕入先'!$F$5:$F$54,$R85)=""),"",IF(INDEX('仕入先'!$F$5:$F$54,$R85)="末",DATE(YEAR($S85),(MONTH($S85)+IF(INDEX('仕入先'!$D$5:$D$54,$R85)="末",0,IF(DAY($S85)&lt;=INDEX('仕入先'!$D$5:$D$54,$R85),0,1))+N(INDEX('仕入先'!$E$5:$E$54,$R85)))+1,0),DATE(YEAR($S85),(MONTH($S85)+IF(INDEX('仕入先'!$D$5:$D$54,$R85)="末",0,IF(DAY($S85)&lt;=INDEX('仕入先'!$D$5:$D$54,$R85),0,1))+N(INDEX('仕入先'!$E$5:$E$54,$R85))),MIN(INDEX('仕入先'!$F$5:$F$54,$R85),DAY(DATE(YEAR($S85),(MONTH($S85)+IF(INDEX('仕入先'!$D$5:$D$54,$R85)="末",0,IF(DAY($S85)&lt;=INDEX('仕入先'!$D$5:$D$54,$R85),0,1))+N(INDEX('仕入先'!$E$5:$E$54,$R85)))+1,0)))))))</f>
        <v/>
      </c>
      <c r="I85" s="26" t="n"/>
      <c r="J85" s="29">
        <f>IF($B85="","",IF(ISNUMBER($I85),$I85,$H85))</f>
        <v/>
      </c>
      <c r="K85" s="26" t="n"/>
      <c r="L85" s="27" t="n"/>
      <c r="M85" s="27" t="n"/>
      <c r="N85" s="28">
        <f>IF($B85="","",N($G85)-N($L85)-N($M85))</f>
        <v/>
      </c>
      <c r="O85" s="30">
        <f>IF($B85="","",IF(AND(OR(N($L85)&lt;&gt;0,N($M85)&lt;&gt;0),NOT(ISNUMBER($K85))),"支払日なし",IF($N85=0,IF(N($G85)=0,"請求額0","支払済"),IF($N85&lt;0,"払いすぎ",IF(N($L85)+N($M85)=0,"未払","一部支払")))))</f>
        <v/>
      </c>
      <c r="P85" s="30">
        <f>IF(OR($B85="",N($N85)&lt;=0,NOT(ISNUMBER($J85))),"",IF($J85&lt;'設定'!$B$7,"期日超過 "&amp;('設定'!$B$7-$J85)&amp;"日",IF($J85='設定'!$B$7,"今日","あと "&amp;($J85-'設定'!$B$7)&amp;"日")))</f>
        <v/>
      </c>
      <c r="Q85" s="56" t="n"/>
      <c r="R85" s="32">
        <f>IF($B85="","",IFERROR(MATCH($B85,'仕入先'!$B$5:$B$54,0),"なし"))</f>
        <v/>
      </c>
      <c r="S85" s="33">
        <f>IF($B85="","",IF(ISNUMBER($D85),$D85,IF(ISNUMBER($A85),$A85,"")))</f>
        <v/>
      </c>
      <c r="T85" s="34">
        <f>IF(OR($B85="",N($N85)&lt;=0),"",IF(ISNUMBER($J85),$J85,99999)+ROW()/1000000)</f>
        <v/>
      </c>
      <c r="U85" s="35">
        <f>IF(OR($B85="",$B85&lt;&gt;'買掛帳'!$B$3,NOT(ISNUMBER($S85))),"",IF(AND($S85&gt;='買掛帳'!$Q$3,$S85&lt;='買掛帳'!$Q$4),$S85+ROW()/10000000,""))</f>
        <v/>
      </c>
      <c r="V85" s="35">
        <f>IF(OR($B85="",$B85&lt;&gt;'買掛帳'!$B$3,NOT(ISNUMBER($K85)),N($L85)+N($M85)=0),"",IF(AND($K85&gt;='買掛帳'!$Q$3,$K85&lt;='買掛帳'!$Q$4),$K85+0.5+ROW()/10000000,""))</f>
        <v/>
      </c>
    </row>
    <row r="86" ht="18" customHeight="1">
      <c r="A86" s="26" t="n"/>
      <c r="B86" s="18" t="n"/>
      <c r="C86" s="20">
        <f>IF($B86="","",IF($R86="なし","※仕入先にないコード",INDEX('仕入先'!$C$5:$C$54,$R86)&amp;""))</f>
        <v/>
      </c>
      <c r="D86" s="26" t="n"/>
      <c r="E86" s="18" t="n"/>
      <c r="F86" s="19" t="n"/>
      <c r="G86" s="27" t="n"/>
      <c r="H86" s="29">
        <f>IF(OR($B86="",NOT(ISNUMBER($R86)),NOT(ISNUMBER($S86))),"",IF(OR(INDEX('仕入先'!$D$5:$D$54,$R86)="",INDEX('仕入先'!$E$5:$E$54,$R86)="",INDEX('仕入先'!$F$5:$F$54,$R86)=""),"",IF(INDEX('仕入先'!$F$5:$F$54,$R86)="末",DATE(YEAR($S86),(MONTH($S86)+IF(INDEX('仕入先'!$D$5:$D$54,$R86)="末",0,IF(DAY($S86)&lt;=INDEX('仕入先'!$D$5:$D$54,$R86),0,1))+N(INDEX('仕入先'!$E$5:$E$54,$R86)))+1,0),DATE(YEAR($S86),(MONTH($S86)+IF(INDEX('仕入先'!$D$5:$D$54,$R86)="末",0,IF(DAY($S86)&lt;=INDEX('仕入先'!$D$5:$D$54,$R86),0,1))+N(INDEX('仕入先'!$E$5:$E$54,$R86))),MIN(INDEX('仕入先'!$F$5:$F$54,$R86),DAY(DATE(YEAR($S86),(MONTH($S86)+IF(INDEX('仕入先'!$D$5:$D$54,$R86)="末",0,IF(DAY($S86)&lt;=INDEX('仕入先'!$D$5:$D$54,$R86),0,1))+N(INDEX('仕入先'!$E$5:$E$54,$R86)))+1,0)))))))</f>
        <v/>
      </c>
      <c r="I86" s="26" t="n"/>
      <c r="J86" s="29">
        <f>IF($B86="","",IF(ISNUMBER($I86),$I86,$H86))</f>
        <v/>
      </c>
      <c r="K86" s="26" t="n"/>
      <c r="L86" s="27" t="n"/>
      <c r="M86" s="27" t="n"/>
      <c r="N86" s="28">
        <f>IF($B86="","",N($G86)-N($L86)-N($M86))</f>
        <v/>
      </c>
      <c r="O86" s="30">
        <f>IF($B86="","",IF(AND(OR(N($L86)&lt;&gt;0,N($M86)&lt;&gt;0),NOT(ISNUMBER($K86))),"支払日なし",IF($N86=0,IF(N($G86)=0,"請求額0","支払済"),IF($N86&lt;0,"払いすぎ",IF(N($L86)+N($M86)=0,"未払","一部支払")))))</f>
        <v/>
      </c>
      <c r="P86" s="30">
        <f>IF(OR($B86="",N($N86)&lt;=0,NOT(ISNUMBER($J86))),"",IF($J86&lt;'設定'!$B$7,"期日超過 "&amp;('設定'!$B$7-$J86)&amp;"日",IF($J86='設定'!$B$7,"今日","あと "&amp;($J86-'設定'!$B$7)&amp;"日")))</f>
        <v/>
      </c>
      <c r="Q86" s="56" t="n"/>
      <c r="R86" s="32">
        <f>IF($B86="","",IFERROR(MATCH($B86,'仕入先'!$B$5:$B$54,0),"なし"))</f>
        <v/>
      </c>
      <c r="S86" s="33">
        <f>IF($B86="","",IF(ISNUMBER($D86),$D86,IF(ISNUMBER($A86),$A86,"")))</f>
        <v/>
      </c>
      <c r="T86" s="34">
        <f>IF(OR($B86="",N($N86)&lt;=0),"",IF(ISNUMBER($J86),$J86,99999)+ROW()/1000000)</f>
        <v/>
      </c>
      <c r="U86" s="35">
        <f>IF(OR($B86="",$B86&lt;&gt;'買掛帳'!$B$3,NOT(ISNUMBER($S86))),"",IF(AND($S86&gt;='買掛帳'!$Q$3,$S86&lt;='買掛帳'!$Q$4),$S86+ROW()/10000000,""))</f>
        <v/>
      </c>
      <c r="V86" s="35">
        <f>IF(OR($B86="",$B86&lt;&gt;'買掛帳'!$B$3,NOT(ISNUMBER($K86)),N($L86)+N($M86)=0),"",IF(AND($K86&gt;='買掛帳'!$Q$3,$K86&lt;='買掛帳'!$Q$4),$K86+0.5+ROW()/10000000,""))</f>
        <v/>
      </c>
    </row>
    <row r="87" ht="18" customHeight="1">
      <c r="A87" s="26" t="n"/>
      <c r="B87" s="18" t="n"/>
      <c r="C87" s="20">
        <f>IF($B87="","",IF($R87="なし","※仕入先にないコード",INDEX('仕入先'!$C$5:$C$54,$R87)&amp;""))</f>
        <v/>
      </c>
      <c r="D87" s="26" t="n"/>
      <c r="E87" s="18" t="n"/>
      <c r="F87" s="19" t="n"/>
      <c r="G87" s="27" t="n"/>
      <c r="H87" s="29">
        <f>IF(OR($B87="",NOT(ISNUMBER($R87)),NOT(ISNUMBER($S87))),"",IF(OR(INDEX('仕入先'!$D$5:$D$54,$R87)="",INDEX('仕入先'!$E$5:$E$54,$R87)="",INDEX('仕入先'!$F$5:$F$54,$R87)=""),"",IF(INDEX('仕入先'!$F$5:$F$54,$R87)="末",DATE(YEAR($S87),(MONTH($S87)+IF(INDEX('仕入先'!$D$5:$D$54,$R87)="末",0,IF(DAY($S87)&lt;=INDEX('仕入先'!$D$5:$D$54,$R87),0,1))+N(INDEX('仕入先'!$E$5:$E$54,$R87)))+1,0),DATE(YEAR($S87),(MONTH($S87)+IF(INDEX('仕入先'!$D$5:$D$54,$R87)="末",0,IF(DAY($S87)&lt;=INDEX('仕入先'!$D$5:$D$54,$R87),0,1))+N(INDEX('仕入先'!$E$5:$E$54,$R87))),MIN(INDEX('仕入先'!$F$5:$F$54,$R87),DAY(DATE(YEAR($S87),(MONTH($S87)+IF(INDEX('仕入先'!$D$5:$D$54,$R87)="末",0,IF(DAY($S87)&lt;=INDEX('仕入先'!$D$5:$D$54,$R87),0,1))+N(INDEX('仕入先'!$E$5:$E$54,$R87)))+1,0)))))))</f>
        <v/>
      </c>
      <c r="I87" s="26" t="n"/>
      <c r="J87" s="29">
        <f>IF($B87="","",IF(ISNUMBER($I87),$I87,$H87))</f>
        <v/>
      </c>
      <c r="K87" s="26" t="n"/>
      <c r="L87" s="27" t="n"/>
      <c r="M87" s="27" t="n"/>
      <c r="N87" s="28">
        <f>IF($B87="","",N($G87)-N($L87)-N($M87))</f>
        <v/>
      </c>
      <c r="O87" s="30">
        <f>IF($B87="","",IF(AND(OR(N($L87)&lt;&gt;0,N($M87)&lt;&gt;0),NOT(ISNUMBER($K87))),"支払日なし",IF($N87=0,IF(N($G87)=0,"請求額0","支払済"),IF($N87&lt;0,"払いすぎ",IF(N($L87)+N($M87)=0,"未払","一部支払")))))</f>
        <v/>
      </c>
      <c r="P87" s="30">
        <f>IF(OR($B87="",N($N87)&lt;=0,NOT(ISNUMBER($J87))),"",IF($J87&lt;'設定'!$B$7,"期日超過 "&amp;('設定'!$B$7-$J87)&amp;"日",IF($J87='設定'!$B$7,"今日","あと "&amp;($J87-'設定'!$B$7)&amp;"日")))</f>
        <v/>
      </c>
      <c r="Q87" s="56" t="n"/>
      <c r="R87" s="32">
        <f>IF($B87="","",IFERROR(MATCH($B87,'仕入先'!$B$5:$B$54,0),"なし"))</f>
        <v/>
      </c>
      <c r="S87" s="33">
        <f>IF($B87="","",IF(ISNUMBER($D87),$D87,IF(ISNUMBER($A87),$A87,"")))</f>
        <v/>
      </c>
      <c r="T87" s="34">
        <f>IF(OR($B87="",N($N87)&lt;=0),"",IF(ISNUMBER($J87),$J87,99999)+ROW()/1000000)</f>
        <v/>
      </c>
      <c r="U87" s="35">
        <f>IF(OR($B87="",$B87&lt;&gt;'買掛帳'!$B$3,NOT(ISNUMBER($S87))),"",IF(AND($S87&gt;='買掛帳'!$Q$3,$S87&lt;='買掛帳'!$Q$4),$S87+ROW()/10000000,""))</f>
        <v/>
      </c>
      <c r="V87" s="35">
        <f>IF(OR($B87="",$B87&lt;&gt;'買掛帳'!$B$3,NOT(ISNUMBER($K87)),N($L87)+N($M87)=0),"",IF(AND($K87&gt;='買掛帳'!$Q$3,$K87&lt;='買掛帳'!$Q$4),$K87+0.5+ROW()/10000000,""))</f>
        <v/>
      </c>
    </row>
    <row r="88" ht="18" customHeight="1">
      <c r="A88" s="26" t="n"/>
      <c r="B88" s="18" t="n"/>
      <c r="C88" s="20">
        <f>IF($B88="","",IF($R88="なし","※仕入先にないコード",INDEX('仕入先'!$C$5:$C$54,$R88)&amp;""))</f>
        <v/>
      </c>
      <c r="D88" s="26" t="n"/>
      <c r="E88" s="18" t="n"/>
      <c r="F88" s="19" t="n"/>
      <c r="G88" s="27" t="n"/>
      <c r="H88" s="29">
        <f>IF(OR($B88="",NOT(ISNUMBER($R88)),NOT(ISNUMBER($S88))),"",IF(OR(INDEX('仕入先'!$D$5:$D$54,$R88)="",INDEX('仕入先'!$E$5:$E$54,$R88)="",INDEX('仕入先'!$F$5:$F$54,$R88)=""),"",IF(INDEX('仕入先'!$F$5:$F$54,$R88)="末",DATE(YEAR($S88),(MONTH($S88)+IF(INDEX('仕入先'!$D$5:$D$54,$R88)="末",0,IF(DAY($S88)&lt;=INDEX('仕入先'!$D$5:$D$54,$R88),0,1))+N(INDEX('仕入先'!$E$5:$E$54,$R88)))+1,0),DATE(YEAR($S88),(MONTH($S88)+IF(INDEX('仕入先'!$D$5:$D$54,$R88)="末",0,IF(DAY($S88)&lt;=INDEX('仕入先'!$D$5:$D$54,$R88),0,1))+N(INDEX('仕入先'!$E$5:$E$54,$R88))),MIN(INDEX('仕入先'!$F$5:$F$54,$R88),DAY(DATE(YEAR($S88),(MONTH($S88)+IF(INDEX('仕入先'!$D$5:$D$54,$R88)="末",0,IF(DAY($S88)&lt;=INDEX('仕入先'!$D$5:$D$54,$R88),0,1))+N(INDEX('仕入先'!$E$5:$E$54,$R88)))+1,0)))))))</f>
        <v/>
      </c>
      <c r="I88" s="26" t="n"/>
      <c r="J88" s="29">
        <f>IF($B88="","",IF(ISNUMBER($I88),$I88,$H88))</f>
        <v/>
      </c>
      <c r="K88" s="26" t="n"/>
      <c r="L88" s="27" t="n"/>
      <c r="M88" s="27" t="n"/>
      <c r="N88" s="28">
        <f>IF($B88="","",N($G88)-N($L88)-N($M88))</f>
        <v/>
      </c>
      <c r="O88" s="30">
        <f>IF($B88="","",IF(AND(OR(N($L88)&lt;&gt;0,N($M88)&lt;&gt;0),NOT(ISNUMBER($K88))),"支払日なし",IF($N88=0,IF(N($G88)=0,"請求額0","支払済"),IF($N88&lt;0,"払いすぎ",IF(N($L88)+N($M88)=0,"未払","一部支払")))))</f>
        <v/>
      </c>
      <c r="P88" s="30">
        <f>IF(OR($B88="",N($N88)&lt;=0,NOT(ISNUMBER($J88))),"",IF($J88&lt;'設定'!$B$7,"期日超過 "&amp;('設定'!$B$7-$J88)&amp;"日",IF($J88='設定'!$B$7,"今日","あと "&amp;($J88-'設定'!$B$7)&amp;"日")))</f>
        <v/>
      </c>
      <c r="Q88" s="56" t="n"/>
      <c r="R88" s="32">
        <f>IF($B88="","",IFERROR(MATCH($B88,'仕入先'!$B$5:$B$54,0),"なし"))</f>
        <v/>
      </c>
      <c r="S88" s="33">
        <f>IF($B88="","",IF(ISNUMBER($D88),$D88,IF(ISNUMBER($A88),$A88,"")))</f>
        <v/>
      </c>
      <c r="T88" s="34">
        <f>IF(OR($B88="",N($N88)&lt;=0),"",IF(ISNUMBER($J88),$J88,99999)+ROW()/1000000)</f>
        <v/>
      </c>
      <c r="U88" s="35">
        <f>IF(OR($B88="",$B88&lt;&gt;'買掛帳'!$B$3,NOT(ISNUMBER($S88))),"",IF(AND($S88&gt;='買掛帳'!$Q$3,$S88&lt;='買掛帳'!$Q$4),$S88+ROW()/10000000,""))</f>
        <v/>
      </c>
      <c r="V88" s="35">
        <f>IF(OR($B88="",$B88&lt;&gt;'買掛帳'!$B$3,NOT(ISNUMBER($K88)),N($L88)+N($M88)=0),"",IF(AND($K88&gt;='買掛帳'!$Q$3,$K88&lt;='買掛帳'!$Q$4),$K88+0.5+ROW()/10000000,""))</f>
        <v/>
      </c>
    </row>
    <row r="89" ht="18" customHeight="1">
      <c r="A89" s="26" t="n"/>
      <c r="B89" s="18" t="n"/>
      <c r="C89" s="20">
        <f>IF($B89="","",IF($R89="なし","※仕入先にないコード",INDEX('仕入先'!$C$5:$C$54,$R89)&amp;""))</f>
        <v/>
      </c>
      <c r="D89" s="26" t="n"/>
      <c r="E89" s="18" t="n"/>
      <c r="F89" s="19" t="n"/>
      <c r="G89" s="27" t="n"/>
      <c r="H89" s="29">
        <f>IF(OR($B89="",NOT(ISNUMBER($R89)),NOT(ISNUMBER($S89))),"",IF(OR(INDEX('仕入先'!$D$5:$D$54,$R89)="",INDEX('仕入先'!$E$5:$E$54,$R89)="",INDEX('仕入先'!$F$5:$F$54,$R89)=""),"",IF(INDEX('仕入先'!$F$5:$F$54,$R89)="末",DATE(YEAR($S89),(MONTH($S89)+IF(INDEX('仕入先'!$D$5:$D$54,$R89)="末",0,IF(DAY($S89)&lt;=INDEX('仕入先'!$D$5:$D$54,$R89),0,1))+N(INDEX('仕入先'!$E$5:$E$54,$R89)))+1,0),DATE(YEAR($S89),(MONTH($S89)+IF(INDEX('仕入先'!$D$5:$D$54,$R89)="末",0,IF(DAY($S89)&lt;=INDEX('仕入先'!$D$5:$D$54,$R89),0,1))+N(INDEX('仕入先'!$E$5:$E$54,$R89))),MIN(INDEX('仕入先'!$F$5:$F$54,$R89),DAY(DATE(YEAR($S89),(MONTH($S89)+IF(INDEX('仕入先'!$D$5:$D$54,$R89)="末",0,IF(DAY($S89)&lt;=INDEX('仕入先'!$D$5:$D$54,$R89),0,1))+N(INDEX('仕入先'!$E$5:$E$54,$R89)))+1,0)))))))</f>
        <v/>
      </c>
      <c r="I89" s="26" t="n"/>
      <c r="J89" s="29">
        <f>IF($B89="","",IF(ISNUMBER($I89),$I89,$H89))</f>
        <v/>
      </c>
      <c r="K89" s="26" t="n"/>
      <c r="L89" s="27" t="n"/>
      <c r="M89" s="27" t="n"/>
      <c r="N89" s="28">
        <f>IF($B89="","",N($G89)-N($L89)-N($M89))</f>
        <v/>
      </c>
      <c r="O89" s="30">
        <f>IF($B89="","",IF(AND(OR(N($L89)&lt;&gt;0,N($M89)&lt;&gt;0),NOT(ISNUMBER($K89))),"支払日なし",IF($N89=0,IF(N($G89)=0,"請求額0","支払済"),IF($N89&lt;0,"払いすぎ",IF(N($L89)+N($M89)=0,"未払","一部支払")))))</f>
        <v/>
      </c>
      <c r="P89" s="30">
        <f>IF(OR($B89="",N($N89)&lt;=0,NOT(ISNUMBER($J89))),"",IF($J89&lt;'設定'!$B$7,"期日超過 "&amp;('設定'!$B$7-$J89)&amp;"日",IF($J89='設定'!$B$7,"今日","あと "&amp;($J89-'設定'!$B$7)&amp;"日")))</f>
        <v/>
      </c>
      <c r="Q89" s="56" t="n"/>
      <c r="R89" s="32">
        <f>IF($B89="","",IFERROR(MATCH($B89,'仕入先'!$B$5:$B$54,0),"なし"))</f>
        <v/>
      </c>
      <c r="S89" s="33">
        <f>IF($B89="","",IF(ISNUMBER($D89),$D89,IF(ISNUMBER($A89),$A89,"")))</f>
        <v/>
      </c>
      <c r="T89" s="34">
        <f>IF(OR($B89="",N($N89)&lt;=0),"",IF(ISNUMBER($J89),$J89,99999)+ROW()/1000000)</f>
        <v/>
      </c>
      <c r="U89" s="35">
        <f>IF(OR($B89="",$B89&lt;&gt;'買掛帳'!$B$3,NOT(ISNUMBER($S89))),"",IF(AND($S89&gt;='買掛帳'!$Q$3,$S89&lt;='買掛帳'!$Q$4),$S89+ROW()/10000000,""))</f>
        <v/>
      </c>
      <c r="V89" s="35">
        <f>IF(OR($B89="",$B89&lt;&gt;'買掛帳'!$B$3,NOT(ISNUMBER($K89)),N($L89)+N($M89)=0),"",IF(AND($K89&gt;='買掛帳'!$Q$3,$K89&lt;='買掛帳'!$Q$4),$K89+0.5+ROW()/10000000,""))</f>
        <v/>
      </c>
    </row>
    <row r="90" ht="18" customHeight="1">
      <c r="A90" s="26" t="n"/>
      <c r="B90" s="18" t="n"/>
      <c r="C90" s="20">
        <f>IF($B90="","",IF($R90="なし","※仕入先にないコード",INDEX('仕入先'!$C$5:$C$54,$R90)&amp;""))</f>
        <v/>
      </c>
      <c r="D90" s="26" t="n"/>
      <c r="E90" s="18" t="n"/>
      <c r="F90" s="19" t="n"/>
      <c r="G90" s="27" t="n"/>
      <c r="H90" s="29">
        <f>IF(OR($B90="",NOT(ISNUMBER($R90)),NOT(ISNUMBER($S90))),"",IF(OR(INDEX('仕入先'!$D$5:$D$54,$R90)="",INDEX('仕入先'!$E$5:$E$54,$R90)="",INDEX('仕入先'!$F$5:$F$54,$R90)=""),"",IF(INDEX('仕入先'!$F$5:$F$54,$R90)="末",DATE(YEAR($S90),(MONTH($S90)+IF(INDEX('仕入先'!$D$5:$D$54,$R90)="末",0,IF(DAY($S90)&lt;=INDEX('仕入先'!$D$5:$D$54,$R90),0,1))+N(INDEX('仕入先'!$E$5:$E$54,$R90)))+1,0),DATE(YEAR($S90),(MONTH($S90)+IF(INDEX('仕入先'!$D$5:$D$54,$R90)="末",0,IF(DAY($S90)&lt;=INDEX('仕入先'!$D$5:$D$54,$R90),0,1))+N(INDEX('仕入先'!$E$5:$E$54,$R90))),MIN(INDEX('仕入先'!$F$5:$F$54,$R90),DAY(DATE(YEAR($S90),(MONTH($S90)+IF(INDEX('仕入先'!$D$5:$D$54,$R90)="末",0,IF(DAY($S90)&lt;=INDEX('仕入先'!$D$5:$D$54,$R90),0,1))+N(INDEX('仕入先'!$E$5:$E$54,$R90)))+1,0)))))))</f>
        <v/>
      </c>
      <c r="I90" s="26" t="n"/>
      <c r="J90" s="29">
        <f>IF($B90="","",IF(ISNUMBER($I90),$I90,$H90))</f>
        <v/>
      </c>
      <c r="K90" s="26" t="n"/>
      <c r="L90" s="27" t="n"/>
      <c r="M90" s="27" t="n"/>
      <c r="N90" s="28">
        <f>IF($B90="","",N($G90)-N($L90)-N($M90))</f>
        <v/>
      </c>
      <c r="O90" s="30">
        <f>IF($B90="","",IF(AND(OR(N($L90)&lt;&gt;0,N($M90)&lt;&gt;0),NOT(ISNUMBER($K90))),"支払日なし",IF($N90=0,IF(N($G90)=0,"請求額0","支払済"),IF($N90&lt;0,"払いすぎ",IF(N($L90)+N($M90)=0,"未払","一部支払")))))</f>
        <v/>
      </c>
      <c r="P90" s="30">
        <f>IF(OR($B90="",N($N90)&lt;=0,NOT(ISNUMBER($J90))),"",IF($J90&lt;'設定'!$B$7,"期日超過 "&amp;('設定'!$B$7-$J90)&amp;"日",IF($J90='設定'!$B$7,"今日","あと "&amp;($J90-'設定'!$B$7)&amp;"日")))</f>
        <v/>
      </c>
      <c r="Q90" s="56" t="n"/>
      <c r="R90" s="32">
        <f>IF($B90="","",IFERROR(MATCH($B90,'仕入先'!$B$5:$B$54,0),"なし"))</f>
        <v/>
      </c>
      <c r="S90" s="33">
        <f>IF($B90="","",IF(ISNUMBER($D90),$D90,IF(ISNUMBER($A90),$A90,"")))</f>
        <v/>
      </c>
      <c r="T90" s="34">
        <f>IF(OR($B90="",N($N90)&lt;=0),"",IF(ISNUMBER($J90),$J90,99999)+ROW()/1000000)</f>
        <v/>
      </c>
      <c r="U90" s="35">
        <f>IF(OR($B90="",$B90&lt;&gt;'買掛帳'!$B$3,NOT(ISNUMBER($S90))),"",IF(AND($S90&gt;='買掛帳'!$Q$3,$S90&lt;='買掛帳'!$Q$4),$S90+ROW()/10000000,""))</f>
        <v/>
      </c>
      <c r="V90" s="35">
        <f>IF(OR($B90="",$B90&lt;&gt;'買掛帳'!$B$3,NOT(ISNUMBER($K90)),N($L90)+N($M90)=0),"",IF(AND($K90&gt;='買掛帳'!$Q$3,$K90&lt;='買掛帳'!$Q$4),$K90+0.5+ROW()/10000000,""))</f>
        <v/>
      </c>
    </row>
    <row r="91" ht="18" customHeight="1">
      <c r="A91" s="26" t="n"/>
      <c r="B91" s="18" t="n"/>
      <c r="C91" s="20">
        <f>IF($B91="","",IF($R91="なし","※仕入先にないコード",INDEX('仕入先'!$C$5:$C$54,$R91)&amp;""))</f>
        <v/>
      </c>
      <c r="D91" s="26" t="n"/>
      <c r="E91" s="18" t="n"/>
      <c r="F91" s="19" t="n"/>
      <c r="G91" s="27" t="n"/>
      <c r="H91" s="29">
        <f>IF(OR($B91="",NOT(ISNUMBER($R91)),NOT(ISNUMBER($S91))),"",IF(OR(INDEX('仕入先'!$D$5:$D$54,$R91)="",INDEX('仕入先'!$E$5:$E$54,$R91)="",INDEX('仕入先'!$F$5:$F$54,$R91)=""),"",IF(INDEX('仕入先'!$F$5:$F$54,$R91)="末",DATE(YEAR($S91),(MONTH($S91)+IF(INDEX('仕入先'!$D$5:$D$54,$R91)="末",0,IF(DAY($S91)&lt;=INDEX('仕入先'!$D$5:$D$54,$R91),0,1))+N(INDEX('仕入先'!$E$5:$E$54,$R91)))+1,0),DATE(YEAR($S91),(MONTH($S91)+IF(INDEX('仕入先'!$D$5:$D$54,$R91)="末",0,IF(DAY($S91)&lt;=INDEX('仕入先'!$D$5:$D$54,$R91),0,1))+N(INDEX('仕入先'!$E$5:$E$54,$R91))),MIN(INDEX('仕入先'!$F$5:$F$54,$R91),DAY(DATE(YEAR($S91),(MONTH($S91)+IF(INDEX('仕入先'!$D$5:$D$54,$R91)="末",0,IF(DAY($S91)&lt;=INDEX('仕入先'!$D$5:$D$54,$R91),0,1))+N(INDEX('仕入先'!$E$5:$E$54,$R91)))+1,0)))))))</f>
        <v/>
      </c>
      <c r="I91" s="26" t="n"/>
      <c r="J91" s="29">
        <f>IF($B91="","",IF(ISNUMBER($I91),$I91,$H91))</f>
        <v/>
      </c>
      <c r="K91" s="26" t="n"/>
      <c r="L91" s="27" t="n"/>
      <c r="M91" s="27" t="n"/>
      <c r="N91" s="28">
        <f>IF($B91="","",N($G91)-N($L91)-N($M91))</f>
        <v/>
      </c>
      <c r="O91" s="30">
        <f>IF($B91="","",IF(AND(OR(N($L91)&lt;&gt;0,N($M91)&lt;&gt;0),NOT(ISNUMBER($K91))),"支払日なし",IF($N91=0,IF(N($G91)=0,"請求額0","支払済"),IF($N91&lt;0,"払いすぎ",IF(N($L91)+N($M91)=0,"未払","一部支払")))))</f>
        <v/>
      </c>
      <c r="P91" s="30">
        <f>IF(OR($B91="",N($N91)&lt;=0,NOT(ISNUMBER($J91))),"",IF($J91&lt;'設定'!$B$7,"期日超過 "&amp;('設定'!$B$7-$J91)&amp;"日",IF($J91='設定'!$B$7,"今日","あと "&amp;($J91-'設定'!$B$7)&amp;"日")))</f>
        <v/>
      </c>
      <c r="Q91" s="56" t="n"/>
      <c r="R91" s="32">
        <f>IF($B91="","",IFERROR(MATCH($B91,'仕入先'!$B$5:$B$54,0),"なし"))</f>
        <v/>
      </c>
      <c r="S91" s="33">
        <f>IF($B91="","",IF(ISNUMBER($D91),$D91,IF(ISNUMBER($A91),$A91,"")))</f>
        <v/>
      </c>
      <c r="T91" s="34">
        <f>IF(OR($B91="",N($N91)&lt;=0),"",IF(ISNUMBER($J91),$J91,99999)+ROW()/1000000)</f>
        <v/>
      </c>
      <c r="U91" s="35">
        <f>IF(OR($B91="",$B91&lt;&gt;'買掛帳'!$B$3,NOT(ISNUMBER($S91))),"",IF(AND($S91&gt;='買掛帳'!$Q$3,$S91&lt;='買掛帳'!$Q$4),$S91+ROW()/10000000,""))</f>
        <v/>
      </c>
      <c r="V91" s="35">
        <f>IF(OR($B91="",$B91&lt;&gt;'買掛帳'!$B$3,NOT(ISNUMBER($K91)),N($L91)+N($M91)=0),"",IF(AND($K91&gt;='買掛帳'!$Q$3,$K91&lt;='買掛帳'!$Q$4),$K91+0.5+ROW()/10000000,""))</f>
        <v/>
      </c>
    </row>
    <row r="92" ht="18" customHeight="1">
      <c r="A92" s="26" t="n"/>
      <c r="B92" s="18" t="n"/>
      <c r="C92" s="20">
        <f>IF($B92="","",IF($R92="なし","※仕入先にないコード",INDEX('仕入先'!$C$5:$C$54,$R92)&amp;""))</f>
        <v/>
      </c>
      <c r="D92" s="26" t="n"/>
      <c r="E92" s="18" t="n"/>
      <c r="F92" s="19" t="n"/>
      <c r="G92" s="27" t="n"/>
      <c r="H92" s="29">
        <f>IF(OR($B92="",NOT(ISNUMBER($R92)),NOT(ISNUMBER($S92))),"",IF(OR(INDEX('仕入先'!$D$5:$D$54,$R92)="",INDEX('仕入先'!$E$5:$E$54,$R92)="",INDEX('仕入先'!$F$5:$F$54,$R92)=""),"",IF(INDEX('仕入先'!$F$5:$F$54,$R92)="末",DATE(YEAR($S92),(MONTH($S92)+IF(INDEX('仕入先'!$D$5:$D$54,$R92)="末",0,IF(DAY($S92)&lt;=INDEX('仕入先'!$D$5:$D$54,$R92),0,1))+N(INDEX('仕入先'!$E$5:$E$54,$R92)))+1,0),DATE(YEAR($S92),(MONTH($S92)+IF(INDEX('仕入先'!$D$5:$D$54,$R92)="末",0,IF(DAY($S92)&lt;=INDEX('仕入先'!$D$5:$D$54,$R92),0,1))+N(INDEX('仕入先'!$E$5:$E$54,$R92))),MIN(INDEX('仕入先'!$F$5:$F$54,$R92),DAY(DATE(YEAR($S92),(MONTH($S92)+IF(INDEX('仕入先'!$D$5:$D$54,$R92)="末",0,IF(DAY($S92)&lt;=INDEX('仕入先'!$D$5:$D$54,$R92),0,1))+N(INDEX('仕入先'!$E$5:$E$54,$R92)))+1,0)))))))</f>
        <v/>
      </c>
      <c r="I92" s="26" t="n"/>
      <c r="J92" s="29">
        <f>IF($B92="","",IF(ISNUMBER($I92),$I92,$H92))</f>
        <v/>
      </c>
      <c r="K92" s="26" t="n"/>
      <c r="L92" s="27" t="n"/>
      <c r="M92" s="27" t="n"/>
      <c r="N92" s="28">
        <f>IF($B92="","",N($G92)-N($L92)-N($M92))</f>
        <v/>
      </c>
      <c r="O92" s="30">
        <f>IF($B92="","",IF(AND(OR(N($L92)&lt;&gt;0,N($M92)&lt;&gt;0),NOT(ISNUMBER($K92))),"支払日なし",IF($N92=0,IF(N($G92)=0,"請求額0","支払済"),IF($N92&lt;0,"払いすぎ",IF(N($L92)+N($M92)=0,"未払","一部支払")))))</f>
        <v/>
      </c>
      <c r="P92" s="30">
        <f>IF(OR($B92="",N($N92)&lt;=0,NOT(ISNUMBER($J92))),"",IF($J92&lt;'設定'!$B$7,"期日超過 "&amp;('設定'!$B$7-$J92)&amp;"日",IF($J92='設定'!$B$7,"今日","あと "&amp;($J92-'設定'!$B$7)&amp;"日")))</f>
        <v/>
      </c>
      <c r="Q92" s="56" t="n"/>
      <c r="R92" s="32">
        <f>IF($B92="","",IFERROR(MATCH($B92,'仕入先'!$B$5:$B$54,0),"なし"))</f>
        <v/>
      </c>
      <c r="S92" s="33">
        <f>IF($B92="","",IF(ISNUMBER($D92),$D92,IF(ISNUMBER($A92),$A92,"")))</f>
        <v/>
      </c>
      <c r="T92" s="34">
        <f>IF(OR($B92="",N($N92)&lt;=0),"",IF(ISNUMBER($J92),$J92,99999)+ROW()/1000000)</f>
        <v/>
      </c>
      <c r="U92" s="35">
        <f>IF(OR($B92="",$B92&lt;&gt;'買掛帳'!$B$3,NOT(ISNUMBER($S92))),"",IF(AND($S92&gt;='買掛帳'!$Q$3,$S92&lt;='買掛帳'!$Q$4),$S92+ROW()/10000000,""))</f>
        <v/>
      </c>
      <c r="V92" s="35">
        <f>IF(OR($B92="",$B92&lt;&gt;'買掛帳'!$B$3,NOT(ISNUMBER($K92)),N($L92)+N($M92)=0),"",IF(AND($K92&gt;='買掛帳'!$Q$3,$K92&lt;='買掛帳'!$Q$4),$K92+0.5+ROW()/10000000,""))</f>
        <v/>
      </c>
    </row>
    <row r="93" ht="18" customHeight="1">
      <c r="A93" s="26" t="n"/>
      <c r="B93" s="18" t="n"/>
      <c r="C93" s="20">
        <f>IF($B93="","",IF($R93="なし","※仕入先にないコード",INDEX('仕入先'!$C$5:$C$54,$R93)&amp;""))</f>
        <v/>
      </c>
      <c r="D93" s="26" t="n"/>
      <c r="E93" s="18" t="n"/>
      <c r="F93" s="19" t="n"/>
      <c r="G93" s="27" t="n"/>
      <c r="H93" s="29">
        <f>IF(OR($B93="",NOT(ISNUMBER($R93)),NOT(ISNUMBER($S93))),"",IF(OR(INDEX('仕入先'!$D$5:$D$54,$R93)="",INDEX('仕入先'!$E$5:$E$54,$R93)="",INDEX('仕入先'!$F$5:$F$54,$R93)=""),"",IF(INDEX('仕入先'!$F$5:$F$54,$R93)="末",DATE(YEAR($S93),(MONTH($S93)+IF(INDEX('仕入先'!$D$5:$D$54,$R93)="末",0,IF(DAY($S93)&lt;=INDEX('仕入先'!$D$5:$D$54,$R93),0,1))+N(INDEX('仕入先'!$E$5:$E$54,$R93)))+1,0),DATE(YEAR($S93),(MONTH($S93)+IF(INDEX('仕入先'!$D$5:$D$54,$R93)="末",0,IF(DAY($S93)&lt;=INDEX('仕入先'!$D$5:$D$54,$R93),0,1))+N(INDEX('仕入先'!$E$5:$E$54,$R93))),MIN(INDEX('仕入先'!$F$5:$F$54,$R93),DAY(DATE(YEAR($S93),(MONTH($S93)+IF(INDEX('仕入先'!$D$5:$D$54,$R93)="末",0,IF(DAY($S93)&lt;=INDEX('仕入先'!$D$5:$D$54,$R93),0,1))+N(INDEX('仕入先'!$E$5:$E$54,$R93)))+1,0)))))))</f>
        <v/>
      </c>
      <c r="I93" s="26" t="n"/>
      <c r="J93" s="29">
        <f>IF($B93="","",IF(ISNUMBER($I93),$I93,$H93))</f>
        <v/>
      </c>
      <c r="K93" s="26" t="n"/>
      <c r="L93" s="27" t="n"/>
      <c r="M93" s="27" t="n"/>
      <c r="N93" s="28">
        <f>IF($B93="","",N($G93)-N($L93)-N($M93))</f>
        <v/>
      </c>
      <c r="O93" s="30">
        <f>IF($B93="","",IF(AND(OR(N($L93)&lt;&gt;0,N($M93)&lt;&gt;0),NOT(ISNUMBER($K93))),"支払日なし",IF($N93=0,IF(N($G93)=0,"請求額0","支払済"),IF($N93&lt;0,"払いすぎ",IF(N($L93)+N($M93)=0,"未払","一部支払")))))</f>
        <v/>
      </c>
      <c r="P93" s="30">
        <f>IF(OR($B93="",N($N93)&lt;=0,NOT(ISNUMBER($J93))),"",IF($J93&lt;'設定'!$B$7,"期日超過 "&amp;('設定'!$B$7-$J93)&amp;"日",IF($J93='設定'!$B$7,"今日","あと "&amp;($J93-'設定'!$B$7)&amp;"日")))</f>
        <v/>
      </c>
      <c r="Q93" s="56" t="n"/>
      <c r="R93" s="32">
        <f>IF($B93="","",IFERROR(MATCH($B93,'仕入先'!$B$5:$B$54,0),"なし"))</f>
        <v/>
      </c>
      <c r="S93" s="33">
        <f>IF($B93="","",IF(ISNUMBER($D93),$D93,IF(ISNUMBER($A93),$A93,"")))</f>
        <v/>
      </c>
      <c r="T93" s="34">
        <f>IF(OR($B93="",N($N93)&lt;=0),"",IF(ISNUMBER($J93),$J93,99999)+ROW()/1000000)</f>
        <v/>
      </c>
      <c r="U93" s="35">
        <f>IF(OR($B93="",$B93&lt;&gt;'買掛帳'!$B$3,NOT(ISNUMBER($S93))),"",IF(AND($S93&gt;='買掛帳'!$Q$3,$S93&lt;='買掛帳'!$Q$4),$S93+ROW()/10000000,""))</f>
        <v/>
      </c>
      <c r="V93" s="35">
        <f>IF(OR($B93="",$B93&lt;&gt;'買掛帳'!$B$3,NOT(ISNUMBER($K93)),N($L93)+N($M93)=0),"",IF(AND($K93&gt;='買掛帳'!$Q$3,$K93&lt;='買掛帳'!$Q$4),$K93+0.5+ROW()/10000000,""))</f>
        <v/>
      </c>
    </row>
    <row r="94" ht="18" customHeight="1">
      <c r="A94" s="26" t="n"/>
      <c r="B94" s="18" t="n"/>
      <c r="C94" s="20">
        <f>IF($B94="","",IF($R94="なし","※仕入先にないコード",INDEX('仕入先'!$C$5:$C$54,$R94)&amp;""))</f>
        <v/>
      </c>
      <c r="D94" s="26" t="n"/>
      <c r="E94" s="18" t="n"/>
      <c r="F94" s="19" t="n"/>
      <c r="G94" s="27" t="n"/>
      <c r="H94" s="29">
        <f>IF(OR($B94="",NOT(ISNUMBER($R94)),NOT(ISNUMBER($S94))),"",IF(OR(INDEX('仕入先'!$D$5:$D$54,$R94)="",INDEX('仕入先'!$E$5:$E$54,$R94)="",INDEX('仕入先'!$F$5:$F$54,$R94)=""),"",IF(INDEX('仕入先'!$F$5:$F$54,$R94)="末",DATE(YEAR($S94),(MONTH($S94)+IF(INDEX('仕入先'!$D$5:$D$54,$R94)="末",0,IF(DAY($S94)&lt;=INDEX('仕入先'!$D$5:$D$54,$R94),0,1))+N(INDEX('仕入先'!$E$5:$E$54,$R94)))+1,0),DATE(YEAR($S94),(MONTH($S94)+IF(INDEX('仕入先'!$D$5:$D$54,$R94)="末",0,IF(DAY($S94)&lt;=INDEX('仕入先'!$D$5:$D$54,$R94),0,1))+N(INDEX('仕入先'!$E$5:$E$54,$R94))),MIN(INDEX('仕入先'!$F$5:$F$54,$R94),DAY(DATE(YEAR($S94),(MONTH($S94)+IF(INDEX('仕入先'!$D$5:$D$54,$R94)="末",0,IF(DAY($S94)&lt;=INDEX('仕入先'!$D$5:$D$54,$R94),0,1))+N(INDEX('仕入先'!$E$5:$E$54,$R94)))+1,0)))))))</f>
        <v/>
      </c>
      <c r="I94" s="26" t="n"/>
      <c r="J94" s="29">
        <f>IF($B94="","",IF(ISNUMBER($I94),$I94,$H94))</f>
        <v/>
      </c>
      <c r="K94" s="26" t="n"/>
      <c r="L94" s="27" t="n"/>
      <c r="M94" s="27" t="n"/>
      <c r="N94" s="28">
        <f>IF($B94="","",N($G94)-N($L94)-N($M94))</f>
        <v/>
      </c>
      <c r="O94" s="30">
        <f>IF($B94="","",IF(AND(OR(N($L94)&lt;&gt;0,N($M94)&lt;&gt;0),NOT(ISNUMBER($K94))),"支払日なし",IF($N94=0,IF(N($G94)=0,"請求額0","支払済"),IF($N94&lt;0,"払いすぎ",IF(N($L94)+N($M94)=0,"未払","一部支払")))))</f>
        <v/>
      </c>
      <c r="P94" s="30">
        <f>IF(OR($B94="",N($N94)&lt;=0,NOT(ISNUMBER($J94))),"",IF($J94&lt;'設定'!$B$7,"期日超過 "&amp;('設定'!$B$7-$J94)&amp;"日",IF($J94='設定'!$B$7,"今日","あと "&amp;($J94-'設定'!$B$7)&amp;"日")))</f>
        <v/>
      </c>
      <c r="Q94" s="56" t="n"/>
      <c r="R94" s="32">
        <f>IF($B94="","",IFERROR(MATCH($B94,'仕入先'!$B$5:$B$54,0),"なし"))</f>
        <v/>
      </c>
      <c r="S94" s="33">
        <f>IF($B94="","",IF(ISNUMBER($D94),$D94,IF(ISNUMBER($A94),$A94,"")))</f>
        <v/>
      </c>
      <c r="T94" s="34">
        <f>IF(OR($B94="",N($N94)&lt;=0),"",IF(ISNUMBER($J94),$J94,99999)+ROW()/1000000)</f>
        <v/>
      </c>
      <c r="U94" s="35">
        <f>IF(OR($B94="",$B94&lt;&gt;'買掛帳'!$B$3,NOT(ISNUMBER($S94))),"",IF(AND($S94&gt;='買掛帳'!$Q$3,$S94&lt;='買掛帳'!$Q$4),$S94+ROW()/10000000,""))</f>
        <v/>
      </c>
      <c r="V94" s="35">
        <f>IF(OR($B94="",$B94&lt;&gt;'買掛帳'!$B$3,NOT(ISNUMBER($K94)),N($L94)+N($M94)=0),"",IF(AND($K94&gt;='買掛帳'!$Q$3,$K94&lt;='買掛帳'!$Q$4),$K94+0.5+ROW()/10000000,""))</f>
        <v/>
      </c>
    </row>
    <row r="95" ht="18" customHeight="1">
      <c r="A95" s="26" t="n"/>
      <c r="B95" s="18" t="n"/>
      <c r="C95" s="20">
        <f>IF($B95="","",IF($R95="なし","※仕入先にないコード",INDEX('仕入先'!$C$5:$C$54,$R95)&amp;""))</f>
        <v/>
      </c>
      <c r="D95" s="26" t="n"/>
      <c r="E95" s="18" t="n"/>
      <c r="F95" s="19" t="n"/>
      <c r="G95" s="27" t="n"/>
      <c r="H95" s="29">
        <f>IF(OR($B95="",NOT(ISNUMBER($R95)),NOT(ISNUMBER($S95))),"",IF(OR(INDEX('仕入先'!$D$5:$D$54,$R95)="",INDEX('仕入先'!$E$5:$E$54,$R95)="",INDEX('仕入先'!$F$5:$F$54,$R95)=""),"",IF(INDEX('仕入先'!$F$5:$F$54,$R95)="末",DATE(YEAR($S95),(MONTH($S95)+IF(INDEX('仕入先'!$D$5:$D$54,$R95)="末",0,IF(DAY($S95)&lt;=INDEX('仕入先'!$D$5:$D$54,$R95),0,1))+N(INDEX('仕入先'!$E$5:$E$54,$R95)))+1,0),DATE(YEAR($S95),(MONTH($S95)+IF(INDEX('仕入先'!$D$5:$D$54,$R95)="末",0,IF(DAY($S95)&lt;=INDEX('仕入先'!$D$5:$D$54,$R95),0,1))+N(INDEX('仕入先'!$E$5:$E$54,$R95))),MIN(INDEX('仕入先'!$F$5:$F$54,$R95),DAY(DATE(YEAR($S95),(MONTH($S95)+IF(INDEX('仕入先'!$D$5:$D$54,$R95)="末",0,IF(DAY($S95)&lt;=INDEX('仕入先'!$D$5:$D$54,$R95),0,1))+N(INDEX('仕入先'!$E$5:$E$54,$R95)))+1,0)))))))</f>
        <v/>
      </c>
      <c r="I95" s="26" t="n"/>
      <c r="J95" s="29">
        <f>IF($B95="","",IF(ISNUMBER($I95),$I95,$H95))</f>
        <v/>
      </c>
      <c r="K95" s="26" t="n"/>
      <c r="L95" s="27" t="n"/>
      <c r="M95" s="27" t="n"/>
      <c r="N95" s="28">
        <f>IF($B95="","",N($G95)-N($L95)-N($M95))</f>
        <v/>
      </c>
      <c r="O95" s="30">
        <f>IF($B95="","",IF(AND(OR(N($L95)&lt;&gt;0,N($M95)&lt;&gt;0),NOT(ISNUMBER($K95))),"支払日なし",IF($N95=0,IF(N($G95)=0,"請求額0","支払済"),IF($N95&lt;0,"払いすぎ",IF(N($L95)+N($M95)=0,"未払","一部支払")))))</f>
        <v/>
      </c>
      <c r="P95" s="30">
        <f>IF(OR($B95="",N($N95)&lt;=0,NOT(ISNUMBER($J95))),"",IF($J95&lt;'設定'!$B$7,"期日超過 "&amp;('設定'!$B$7-$J95)&amp;"日",IF($J95='設定'!$B$7,"今日","あと "&amp;($J95-'設定'!$B$7)&amp;"日")))</f>
        <v/>
      </c>
      <c r="Q95" s="56" t="n"/>
      <c r="R95" s="32">
        <f>IF($B95="","",IFERROR(MATCH($B95,'仕入先'!$B$5:$B$54,0),"なし"))</f>
        <v/>
      </c>
      <c r="S95" s="33">
        <f>IF($B95="","",IF(ISNUMBER($D95),$D95,IF(ISNUMBER($A95),$A95,"")))</f>
        <v/>
      </c>
      <c r="T95" s="34">
        <f>IF(OR($B95="",N($N95)&lt;=0),"",IF(ISNUMBER($J95),$J95,99999)+ROW()/1000000)</f>
        <v/>
      </c>
      <c r="U95" s="35">
        <f>IF(OR($B95="",$B95&lt;&gt;'買掛帳'!$B$3,NOT(ISNUMBER($S95))),"",IF(AND($S95&gt;='買掛帳'!$Q$3,$S95&lt;='買掛帳'!$Q$4),$S95+ROW()/10000000,""))</f>
        <v/>
      </c>
      <c r="V95" s="35">
        <f>IF(OR($B95="",$B95&lt;&gt;'買掛帳'!$B$3,NOT(ISNUMBER($K95)),N($L95)+N($M95)=0),"",IF(AND($K95&gt;='買掛帳'!$Q$3,$K95&lt;='買掛帳'!$Q$4),$K95+0.5+ROW()/10000000,""))</f>
        <v/>
      </c>
    </row>
    <row r="96" ht="18" customHeight="1">
      <c r="A96" s="26" t="n"/>
      <c r="B96" s="18" t="n"/>
      <c r="C96" s="20">
        <f>IF($B96="","",IF($R96="なし","※仕入先にないコード",INDEX('仕入先'!$C$5:$C$54,$R96)&amp;""))</f>
        <v/>
      </c>
      <c r="D96" s="26" t="n"/>
      <c r="E96" s="18" t="n"/>
      <c r="F96" s="19" t="n"/>
      <c r="G96" s="27" t="n"/>
      <c r="H96" s="29">
        <f>IF(OR($B96="",NOT(ISNUMBER($R96)),NOT(ISNUMBER($S96))),"",IF(OR(INDEX('仕入先'!$D$5:$D$54,$R96)="",INDEX('仕入先'!$E$5:$E$54,$R96)="",INDEX('仕入先'!$F$5:$F$54,$R96)=""),"",IF(INDEX('仕入先'!$F$5:$F$54,$R96)="末",DATE(YEAR($S96),(MONTH($S96)+IF(INDEX('仕入先'!$D$5:$D$54,$R96)="末",0,IF(DAY($S96)&lt;=INDEX('仕入先'!$D$5:$D$54,$R96),0,1))+N(INDEX('仕入先'!$E$5:$E$54,$R96)))+1,0),DATE(YEAR($S96),(MONTH($S96)+IF(INDEX('仕入先'!$D$5:$D$54,$R96)="末",0,IF(DAY($S96)&lt;=INDEX('仕入先'!$D$5:$D$54,$R96),0,1))+N(INDEX('仕入先'!$E$5:$E$54,$R96))),MIN(INDEX('仕入先'!$F$5:$F$54,$R96),DAY(DATE(YEAR($S96),(MONTH($S96)+IF(INDEX('仕入先'!$D$5:$D$54,$R96)="末",0,IF(DAY($S96)&lt;=INDEX('仕入先'!$D$5:$D$54,$R96),0,1))+N(INDEX('仕入先'!$E$5:$E$54,$R96)))+1,0)))))))</f>
        <v/>
      </c>
      <c r="I96" s="26" t="n"/>
      <c r="J96" s="29">
        <f>IF($B96="","",IF(ISNUMBER($I96),$I96,$H96))</f>
        <v/>
      </c>
      <c r="K96" s="26" t="n"/>
      <c r="L96" s="27" t="n"/>
      <c r="M96" s="27" t="n"/>
      <c r="N96" s="28">
        <f>IF($B96="","",N($G96)-N($L96)-N($M96))</f>
        <v/>
      </c>
      <c r="O96" s="30">
        <f>IF($B96="","",IF(AND(OR(N($L96)&lt;&gt;0,N($M96)&lt;&gt;0),NOT(ISNUMBER($K96))),"支払日なし",IF($N96=0,IF(N($G96)=0,"請求額0","支払済"),IF($N96&lt;0,"払いすぎ",IF(N($L96)+N($M96)=0,"未払","一部支払")))))</f>
        <v/>
      </c>
      <c r="P96" s="30">
        <f>IF(OR($B96="",N($N96)&lt;=0,NOT(ISNUMBER($J96))),"",IF($J96&lt;'設定'!$B$7,"期日超過 "&amp;('設定'!$B$7-$J96)&amp;"日",IF($J96='設定'!$B$7,"今日","あと "&amp;($J96-'設定'!$B$7)&amp;"日")))</f>
        <v/>
      </c>
      <c r="Q96" s="56" t="n"/>
      <c r="R96" s="32">
        <f>IF($B96="","",IFERROR(MATCH($B96,'仕入先'!$B$5:$B$54,0),"なし"))</f>
        <v/>
      </c>
      <c r="S96" s="33">
        <f>IF($B96="","",IF(ISNUMBER($D96),$D96,IF(ISNUMBER($A96),$A96,"")))</f>
        <v/>
      </c>
      <c r="T96" s="34">
        <f>IF(OR($B96="",N($N96)&lt;=0),"",IF(ISNUMBER($J96),$J96,99999)+ROW()/1000000)</f>
        <v/>
      </c>
      <c r="U96" s="35">
        <f>IF(OR($B96="",$B96&lt;&gt;'買掛帳'!$B$3,NOT(ISNUMBER($S96))),"",IF(AND($S96&gt;='買掛帳'!$Q$3,$S96&lt;='買掛帳'!$Q$4),$S96+ROW()/10000000,""))</f>
        <v/>
      </c>
      <c r="V96" s="35">
        <f>IF(OR($B96="",$B96&lt;&gt;'買掛帳'!$B$3,NOT(ISNUMBER($K96)),N($L96)+N($M96)=0),"",IF(AND($K96&gt;='買掛帳'!$Q$3,$K96&lt;='買掛帳'!$Q$4),$K96+0.5+ROW()/10000000,""))</f>
        <v/>
      </c>
    </row>
    <row r="97" ht="18" customHeight="1">
      <c r="A97" s="26" t="n"/>
      <c r="B97" s="18" t="n"/>
      <c r="C97" s="20">
        <f>IF($B97="","",IF($R97="なし","※仕入先にないコード",INDEX('仕入先'!$C$5:$C$54,$R97)&amp;""))</f>
        <v/>
      </c>
      <c r="D97" s="26" t="n"/>
      <c r="E97" s="18" t="n"/>
      <c r="F97" s="19" t="n"/>
      <c r="G97" s="27" t="n"/>
      <c r="H97" s="29">
        <f>IF(OR($B97="",NOT(ISNUMBER($R97)),NOT(ISNUMBER($S97))),"",IF(OR(INDEX('仕入先'!$D$5:$D$54,$R97)="",INDEX('仕入先'!$E$5:$E$54,$R97)="",INDEX('仕入先'!$F$5:$F$54,$R97)=""),"",IF(INDEX('仕入先'!$F$5:$F$54,$R97)="末",DATE(YEAR($S97),(MONTH($S97)+IF(INDEX('仕入先'!$D$5:$D$54,$R97)="末",0,IF(DAY($S97)&lt;=INDEX('仕入先'!$D$5:$D$54,$R97),0,1))+N(INDEX('仕入先'!$E$5:$E$54,$R97)))+1,0),DATE(YEAR($S97),(MONTH($S97)+IF(INDEX('仕入先'!$D$5:$D$54,$R97)="末",0,IF(DAY($S97)&lt;=INDEX('仕入先'!$D$5:$D$54,$R97),0,1))+N(INDEX('仕入先'!$E$5:$E$54,$R97))),MIN(INDEX('仕入先'!$F$5:$F$54,$R97),DAY(DATE(YEAR($S97),(MONTH($S97)+IF(INDEX('仕入先'!$D$5:$D$54,$R97)="末",0,IF(DAY($S97)&lt;=INDEX('仕入先'!$D$5:$D$54,$R97),0,1))+N(INDEX('仕入先'!$E$5:$E$54,$R97)))+1,0)))))))</f>
        <v/>
      </c>
      <c r="I97" s="26" t="n"/>
      <c r="J97" s="29">
        <f>IF($B97="","",IF(ISNUMBER($I97),$I97,$H97))</f>
        <v/>
      </c>
      <c r="K97" s="26" t="n"/>
      <c r="L97" s="27" t="n"/>
      <c r="M97" s="27" t="n"/>
      <c r="N97" s="28">
        <f>IF($B97="","",N($G97)-N($L97)-N($M97))</f>
        <v/>
      </c>
      <c r="O97" s="30">
        <f>IF($B97="","",IF(AND(OR(N($L97)&lt;&gt;0,N($M97)&lt;&gt;0),NOT(ISNUMBER($K97))),"支払日なし",IF($N97=0,IF(N($G97)=0,"請求額0","支払済"),IF($N97&lt;0,"払いすぎ",IF(N($L97)+N($M97)=0,"未払","一部支払")))))</f>
        <v/>
      </c>
      <c r="P97" s="30">
        <f>IF(OR($B97="",N($N97)&lt;=0,NOT(ISNUMBER($J97))),"",IF($J97&lt;'設定'!$B$7,"期日超過 "&amp;('設定'!$B$7-$J97)&amp;"日",IF($J97='設定'!$B$7,"今日","あと "&amp;($J97-'設定'!$B$7)&amp;"日")))</f>
        <v/>
      </c>
      <c r="Q97" s="56" t="n"/>
      <c r="R97" s="32">
        <f>IF($B97="","",IFERROR(MATCH($B97,'仕入先'!$B$5:$B$54,0),"なし"))</f>
        <v/>
      </c>
      <c r="S97" s="33">
        <f>IF($B97="","",IF(ISNUMBER($D97),$D97,IF(ISNUMBER($A97),$A97,"")))</f>
        <v/>
      </c>
      <c r="T97" s="34">
        <f>IF(OR($B97="",N($N97)&lt;=0),"",IF(ISNUMBER($J97),$J97,99999)+ROW()/1000000)</f>
        <v/>
      </c>
      <c r="U97" s="35">
        <f>IF(OR($B97="",$B97&lt;&gt;'買掛帳'!$B$3,NOT(ISNUMBER($S97))),"",IF(AND($S97&gt;='買掛帳'!$Q$3,$S97&lt;='買掛帳'!$Q$4),$S97+ROW()/10000000,""))</f>
        <v/>
      </c>
      <c r="V97" s="35">
        <f>IF(OR($B97="",$B97&lt;&gt;'買掛帳'!$B$3,NOT(ISNUMBER($K97)),N($L97)+N($M97)=0),"",IF(AND($K97&gt;='買掛帳'!$Q$3,$K97&lt;='買掛帳'!$Q$4),$K97+0.5+ROW()/10000000,""))</f>
        <v/>
      </c>
    </row>
    <row r="98" ht="18" customHeight="1">
      <c r="A98" s="26" t="n"/>
      <c r="B98" s="18" t="n"/>
      <c r="C98" s="20">
        <f>IF($B98="","",IF($R98="なし","※仕入先にないコード",INDEX('仕入先'!$C$5:$C$54,$R98)&amp;""))</f>
        <v/>
      </c>
      <c r="D98" s="26" t="n"/>
      <c r="E98" s="18" t="n"/>
      <c r="F98" s="19" t="n"/>
      <c r="G98" s="27" t="n"/>
      <c r="H98" s="29">
        <f>IF(OR($B98="",NOT(ISNUMBER($R98)),NOT(ISNUMBER($S98))),"",IF(OR(INDEX('仕入先'!$D$5:$D$54,$R98)="",INDEX('仕入先'!$E$5:$E$54,$R98)="",INDEX('仕入先'!$F$5:$F$54,$R98)=""),"",IF(INDEX('仕入先'!$F$5:$F$54,$R98)="末",DATE(YEAR($S98),(MONTH($S98)+IF(INDEX('仕入先'!$D$5:$D$54,$R98)="末",0,IF(DAY($S98)&lt;=INDEX('仕入先'!$D$5:$D$54,$R98),0,1))+N(INDEX('仕入先'!$E$5:$E$54,$R98)))+1,0),DATE(YEAR($S98),(MONTH($S98)+IF(INDEX('仕入先'!$D$5:$D$54,$R98)="末",0,IF(DAY($S98)&lt;=INDEX('仕入先'!$D$5:$D$54,$R98),0,1))+N(INDEX('仕入先'!$E$5:$E$54,$R98))),MIN(INDEX('仕入先'!$F$5:$F$54,$R98),DAY(DATE(YEAR($S98),(MONTH($S98)+IF(INDEX('仕入先'!$D$5:$D$54,$R98)="末",0,IF(DAY($S98)&lt;=INDEX('仕入先'!$D$5:$D$54,$R98),0,1))+N(INDEX('仕入先'!$E$5:$E$54,$R98)))+1,0)))))))</f>
        <v/>
      </c>
      <c r="I98" s="26" t="n"/>
      <c r="J98" s="29">
        <f>IF($B98="","",IF(ISNUMBER($I98),$I98,$H98))</f>
        <v/>
      </c>
      <c r="K98" s="26" t="n"/>
      <c r="L98" s="27" t="n"/>
      <c r="M98" s="27" t="n"/>
      <c r="N98" s="28">
        <f>IF($B98="","",N($G98)-N($L98)-N($M98))</f>
        <v/>
      </c>
      <c r="O98" s="30">
        <f>IF($B98="","",IF(AND(OR(N($L98)&lt;&gt;0,N($M98)&lt;&gt;0),NOT(ISNUMBER($K98))),"支払日なし",IF($N98=0,IF(N($G98)=0,"請求額0","支払済"),IF($N98&lt;0,"払いすぎ",IF(N($L98)+N($M98)=0,"未払","一部支払")))))</f>
        <v/>
      </c>
      <c r="P98" s="30">
        <f>IF(OR($B98="",N($N98)&lt;=0,NOT(ISNUMBER($J98))),"",IF($J98&lt;'設定'!$B$7,"期日超過 "&amp;('設定'!$B$7-$J98)&amp;"日",IF($J98='設定'!$B$7,"今日","あと "&amp;($J98-'設定'!$B$7)&amp;"日")))</f>
        <v/>
      </c>
      <c r="Q98" s="56" t="n"/>
      <c r="R98" s="32">
        <f>IF($B98="","",IFERROR(MATCH($B98,'仕入先'!$B$5:$B$54,0),"なし"))</f>
        <v/>
      </c>
      <c r="S98" s="33">
        <f>IF($B98="","",IF(ISNUMBER($D98),$D98,IF(ISNUMBER($A98),$A98,"")))</f>
        <v/>
      </c>
      <c r="T98" s="34">
        <f>IF(OR($B98="",N($N98)&lt;=0),"",IF(ISNUMBER($J98),$J98,99999)+ROW()/1000000)</f>
        <v/>
      </c>
      <c r="U98" s="35">
        <f>IF(OR($B98="",$B98&lt;&gt;'買掛帳'!$B$3,NOT(ISNUMBER($S98))),"",IF(AND($S98&gt;='買掛帳'!$Q$3,$S98&lt;='買掛帳'!$Q$4),$S98+ROW()/10000000,""))</f>
        <v/>
      </c>
      <c r="V98" s="35">
        <f>IF(OR($B98="",$B98&lt;&gt;'買掛帳'!$B$3,NOT(ISNUMBER($K98)),N($L98)+N($M98)=0),"",IF(AND($K98&gt;='買掛帳'!$Q$3,$K98&lt;='買掛帳'!$Q$4),$K98+0.5+ROW()/10000000,""))</f>
        <v/>
      </c>
    </row>
    <row r="99" ht="18" customHeight="1">
      <c r="A99" s="26" t="n"/>
      <c r="B99" s="18" t="n"/>
      <c r="C99" s="20">
        <f>IF($B99="","",IF($R99="なし","※仕入先にないコード",INDEX('仕入先'!$C$5:$C$54,$R99)&amp;""))</f>
        <v/>
      </c>
      <c r="D99" s="26" t="n"/>
      <c r="E99" s="18" t="n"/>
      <c r="F99" s="19" t="n"/>
      <c r="G99" s="27" t="n"/>
      <c r="H99" s="29">
        <f>IF(OR($B99="",NOT(ISNUMBER($R99)),NOT(ISNUMBER($S99))),"",IF(OR(INDEX('仕入先'!$D$5:$D$54,$R99)="",INDEX('仕入先'!$E$5:$E$54,$R99)="",INDEX('仕入先'!$F$5:$F$54,$R99)=""),"",IF(INDEX('仕入先'!$F$5:$F$54,$R99)="末",DATE(YEAR($S99),(MONTH($S99)+IF(INDEX('仕入先'!$D$5:$D$54,$R99)="末",0,IF(DAY($S99)&lt;=INDEX('仕入先'!$D$5:$D$54,$R99),0,1))+N(INDEX('仕入先'!$E$5:$E$54,$R99)))+1,0),DATE(YEAR($S99),(MONTH($S99)+IF(INDEX('仕入先'!$D$5:$D$54,$R99)="末",0,IF(DAY($S99)&lt;=INDEX('仕入先'!$D$5:$D$54,$R99),0,1))+N(INDEX('仕入先'!$E$5:$E$54,$R99))),MIN(INDEX('仕入先'!$F$5:$F$54,$R99),DAY(DATE(YEAR($S99),(MONTH($S99)+IF(INDEX('仕入先'!$D$5:$D$54,$R99)="末",0,IF(DAY($S99)&lt;=INDEX('仕入先'!$D$5:$D$54,$R99),0,1))+N(INDEX('仕入先'!$E$5:$E$54,$R99)))+1,0)))))))</f>
        <v/>
      </c>
      <c r="I99" s="26" t="n"/>
      <c r="J99" s="29">
        <f>IF($B99="","",IF(ISNUMBER($I99),$I99,$H99))</f>
        <v/>
      </c>
      <c r="K99" s="26" t="n"/>
      <c r="L99" s="27" t="n"/>
      <c r="M99" s="27" t="n"/>
      <c r="N99" s="28">
        <f>IF($B99="","",N($G99)-N($L99)-N($M99))</f>
        <v/>
      </c>
      <c r="O99" s="30">
        <f>IF($B99="","",IF(AND(OR(N($L99)&lt;&gt;0,N($M99)&lt;&gt;0),NOT(ISNUMBER($K99))),"支払日なし",IF($N99=0,IF(N($G99)=0,"請求額0","支払済"),IF($N99&lt;0,"払いすぎ",IF(N($L99)+N($M99)=0,"未払","一部支払")))))</f>
        <v/>
      </c>
      <c r="P99" s="30">
        <f>IF(OR($B99="",N($N99)&lt;=0,NOT(ISNUMBER($J99))),"",IF($J99&lt;'設定'!$B$7,"期日超過 "&amp;('設定'!$B$7-$J99)&amp;"日",IF($J99='設定'!$B$7,"今日","あと "&amp;($J99-'設定'!$B$7)&amp;"日")))</f>
        <v/>
      </c>
      <c r="Q99" s="56" t="n"/>
      <c r="R99" s="32">
        <f>IF($B99="","",IFERROR(MATCH($B99,'仕入先'!$B$5:$B$54,0),"なし"))</f>
        <v/>
      </c>
      <c r="S99" s="33">
        <f>IF($B99="","",IF(ISNUMBER($D99),$D99,IF(ISNUMBER($A99),$A99,"")))</f>
        <v/>
      </c>
      <c r="T99" s="34">
        <f>IF(OR($B99="",N($N99)&lt;=0),"",IF(ISNUMBER($J99),$J99,99999)+ROW()/1000000)</f>
        <v/>
      </c>
      <c r="U99" s="35">
        <f>IF(OR($B99="",$B99&lt;&gt;'買掛帳'!$B$3,NOT(ISNUMBER($S99))),"",IF(AND($S99&gt;='買掛帳'!$Q$3,$S99&lt;='買掛帳'!$Q$4),$S99+ROW()/10000000,""))</f>
        <v/>
      </c>
      <c r="V99" s="35">
        <f>IF(OR($B99="",$B99&lt;&gt;'買掛帳'!$B$3,NOT(ISNUMBER($K99)),N($L99)+N($M99)=0),"",IF(AND($K99&gt;='買掛帳'!$Q$3,$K99&lt;='買掛帳'!$Q$4),$K99+0.5+ROW()/10000000,""))</f>
        <v/>
      </c>
    </row>
    <row r="100" ht="18" customHeight="1">
      <c r="A100" s="26" t="n"/>
      <c r="B100" s="18" t="n"/>
      <c r="C100" s="20">
        <f>IF($B100="","",IF($R100="なし","※仕入先にないコード",INDEX('仕入先'!$C$5:$C$54,$R100)&amp;""))</f>
        <v/>
      </c>
      <c r="D100" s="26" t="n"/>
      <c r="E100" s="18" t="n"/>
      <c r="F100" s="19" t="n"/>
      <c r="G100" s="27" t="n"/>
      <c r="H100" s="29">
        <f>IF(OR($B100="",NOT(ISNUMBER($R100)),NOT(ISNUMBER($S100))),"",IF(OR(INDEX('仕入先'!$D$5:$D$54,$R100)="",INDEX('仕入先'!$E$5:$E$54,$R100)="",INDEX('仕入先'!$F$5:$F$54,$R100)=""),"",IF(INDEX('仕入先'!$F$5:$F$54,$R100)="末",DATE(YEAR($S100),(MONTH($S100)+IF(INDEX('仕入先'!$D$5:$D$54,$R100)="末",0,IF(DAY($S100)&lt;=INDEX('仕入先'!$D$5:$D$54,$R100),0,1))+N(INDEX('仕入先'!$E$5:$E$54,$R100)))+1,0),DATE(YEAR($S100),(MONTH($S100)+IF(INDEX('仕入先'!$D$5:$D$54,$R100)="末",0,IF(DAY($S100)&lt;=INDEX('仕入先'!$D$5:$D$54,$R100),0,1))+N(INDEX('仕入先'!$E$5:$E$54,$R100))),MIN(INDEX('仕入先'!$F$5:$F$54,$R100),DAY(DATE(YEAR($S100),(MONTH($S100)+IF(INDEX('仕入先'!$D$5:$D$54,$R100)="末",0,IF(DAY($S100)&lt;=INDEX('仕入先'!$D$5:$D$54,$R100),0,1))+N(INDEX('仕入先'!$E$5:$E$54,$R100)))+1,0)))))))</f>
        <v/>
      </c>
      <c r="I100" s="26" t="n"/>
      <c r="J100" s="29">
        <f>IF($B100="","",IF(ISNUMBER($I100),$I100,$H100))</f>
        <v/>
      </c>
      <c r="K100" s="26" t="n"/>
      <c r="L100" s="27" t="n"/>
      <c r="M100" s="27" t="n"/>
      <c r="N100" s="28">
        <f>IF($B100="","",N($G100)-N($L100)-N($M100))</f>
        <v/>
      </c>
      <c r="O100" s="30">
        <f>IF($B100="","",IF(AND(OR(N($L100)&lt;&gt;0,N($M100)&lt;&gt;0),NOT(ISNUMBER($K100))),"支払日なし",IF($N100=0,IF(N($G100)=0,"請求額0","支払済"),IF($N100&lt;0,"払いすぎ",IF(N($L100)+N($M100)=0,"未払","一部支払")))))</f>
        <v/>
      </c>
      <c r="P100" s="30">
        <f>IF(OR($B100="",N($N100)&lt;=0,NOT(ISNUMBER($J100))),"",IF($J100&lt;'設定'!$B$7,"期日超過 "&amp;('設定'!$B$7-$J100)&amp;"日",IF($J100='設定'!$B$7,"今日","あと "&amp;($J100-'設定'!$B$7)&amp;"日")))</f>
        <v/>
      </c>
      <c r="Q100" s="56" t="n"/>
      <c r="R100" s="32">
        <f>IF($B100="","",IFERROR(MATCH($B100,'仕入先'!$B$5:$B$54,0),"なし"))</f>
        <v/>
      </c>
      <c r="S100" s="33">
        <f>IF($B100="","",IF(ISNUMBER($D100),$D100,IF(ISNUMBER($A100),$A100,"")))</f>
        <v/>
      </c>
      <c r="T100" s="34">
        <f>IF(OR($B100="",N($N100)&lt;=0),"",IF(ISNUMBER($J100),$J100,99999)+ROW()/1000000)</f>
        <v/>
      </c>
      <c r="U100" s="35">
        <f>IF(OR($B100="",$B100&lt;&gt;'買掛帳'!$B$3,NOT(ISNUMBER($S100))),"",IF(AND($S100&gt;='買掛帳'!$Q$3,$S100&lt;='買掛帳'!$Q$4),$S100+ROW()/10000000,""))</f>
        <v/>
      </c>
      <c r="V100" s="35">
        <f>IF(OR($B100="",$B100&lt;&gt;'買掛帳'!$B$3,NOT(ISNUMBER($K100)),N($L100)+N($M100)=0),"",IF(AND($K100&gt;='買掛帳'!$Q$3,$K100&lt;='買掛帳'!$Q$4),$K100+0.5+ROW()/10000000,""))</f>
        <v/>
      </c>
    </row>
    <row r="101" ht="18" customHeight="1">
      <c r="A101" s="26" t="n"/>
      <c r="B101" s="18" t="n"/>
      <c r="C101" s="20">
        <f>IF($B101="","",IF($R101="なし","※仕入先にないコード",INDEX('仕入先'!$C$5:$C$54,$R101)&amp;""))</f>
        <v/>
      </c>
      <c r="D101" s="26" t="n"/>
      <c r="E101" s="18" t="n"/>
      <c r="F101" s="19" t="n"/>
      <c r="G101" s="27" t="n"/>
      <c r="H101" s="29">
        <f>IF(OR($B101="",NOT(ISNUMBER($R101)),NOT(ISNUMBER($S101))),"",IF(OR(INDEX('仕入先'!$D$5:$D$54,$R101)="",INDEX('仕入先'!$E$5:$E$54,$R101)="",INDEX('仕入先'!$F$5:$F$54,$R101)=""),"",IF(INDEX('仕入先'!$F$5:$F$54,$R101)="末",DATE(YEAR($S101),(MONTH($S101)+IF(INDEX('仕入先'!$D$5:$D$54,$R101)="末",0,IF(DAY($S101)&lt;=INDEX('仕入先'!$D$5:$D$54,$R101),0,1))+N(INDEX('仕入先'!$E$5:$E$54,$R101)))+1,0),DATE(YEAR($S101),(MONTH($S101)+IF(INDEX('仕入先'!$D$5:$D$54,$R101)="末",0,IF(DAY($S101)&lt;=INDEX('仕入先'!$D$5:$D$54,$R101),0,1))+N(INDEX('仕入先'!$E$5:$E$54,$R101))),MIN(INDEX('仕入先'!$F$5:$F$54,$R101),DAY(DATE(YEAR($S101),(MONTH($S101)+IF(INDEX('仕入先'!$D$5:$D$54,$R101)="末",0,IF(DAY($S101)&lt;=INDEX('仕入先'!$D$5:$D$54,$R101),0,1))+N(INDEX('仕入先'!$E$5:$E$54,$R101)))+1,0)))))))</f>
        <v/>
      </c>
      <c r="I101" s="26" t="n"/>
      <c r="J101" s="29">
        <f>IF($B101="","",IF(ISNUMBER($I101),$I101,$H101))</f>
        <v/>
      </c>
      <c r="K101" s="26" t="n"/>
      <c r="L101" s="27" t="n"/>
      <c r="M101" s="27" t="n"/>
      <c r="N101" s="28">
        <f>IF($B101="","",N($G101)-N($L101)-N($M101))</f>
        <v/>
      </c>
      <c r="O101" s="30">
        <f>IF($B101="","",IF(AND(OR(N($L101)&lt;&gt;0,N($M101)&lt;&gt;0),NOT(ISNUMBER($K101))),"支払日なし",IF($N101=0,IF(N($G101)=0,"請求額0","支払済"),IF($N101&lt;0,"払いすぎ",IF(N($L101)+N($M101)=0,"未払","一部支払")))))</f>
        <v/>
      </c>
      <c r="P101" s="30">
        <f>IF(OR($B101="",N($N101)&lt;=0,NOT(ISNUMBER($J101))),"",IF($J101&lt;'設定'!$B$7,"期日超過 "&amp;('設定'!$B$7-$J101)&amp;"日",IF($J101='設定'!$B$7,"今日","あと "&amp;($J101-'設定'!$B$7)&amp;"日")))</f>
        <v/>
      </c>
      <c r="Q101" s="56" t="n"/>
      <c r="R101" s="32">
        <f>IF($B101="","",IFERROR(MATCH($B101,'仕入先'!$B$5:$B$54,0),"なし"))</f>
        <v/>
      </c>
      <c r="S101" s="33">
        <f>IF($B101="","",IF(ISNUMBER($D101),$D101,IF(ISNUMBER($A101),$A101,"")))</f>
        <v/>
      </c>
      <c r="T101" s="34">
        <f>IF(OR($B101="",N($N101)&lt;=0),"",IF(ISNUMBER($J101),$J101,99999)+ROW()/1000000)</f>
        <v/>
      </c>
      <c r="U101" s="35">
        <f>IF(OR($B101="",$B101&lt;&gt;'買掛帳'!$B$3,NOT(ISNUMBER($S101))),"",IF(AND($S101&gt;='買掛帳'!$Q$3,$S101&lt;='買掛帳'!$Q$4),$S101+ROW()/10000000,""))</f>
        <v/>
      </c>
      <c r="V101" s="35">
        <f>IF(OR($B101="",$B101&lt;&gt;'買掛帳'!$B$3,NOT(ISNUMBER($K101)),N($L101)+N($M101)=0),"",IF(AND($K101&gt;='買掛帳'!$Q$3,$K101&lt;='買掛帳'!$Q$4),$K101+0.5+ROW()/10000000,""))</f>
        <v/>
      </c>
    </row>
    <row r="102" ht="18" customHeight="1">
      <c r="A102" s="26" t="n"/>
      <c r="B102" s="18" t="n"/>
      <c r="C102" s="20">
        <f>IF($B102="","",IF($R102="なし","※仕入先にないコード",INDEX('仕入先'!$C$5:$C$54,$R102)&amp;""))</f>
        <v/>
      </c>
      <c r="D102" s="26" t="n"/>
      <c r="E102" s="18" t="n"/>
      <c r="F102" s="19" t="n"/>
      <c r="G102" s="27" t="n"/>
      <c r="H102" s="29">
        <f>IF(OR($B102="",NOT(ISNUMBER($R102)),NOT(ISNUMBER($S102))),"",IF(OR(INDEX('仕入先'!$D$5:$D$54,$R102)="",INDEX('仕入先'!$E$5:$E$54,$R102)="",INDEX('仕入先'!$F$5:$F$54,$R102)=""),"",IF(INDEX('仕入先'!$F$5:$F$54,$R102)="末",DATE(YEAR($S102),(MONTH($S102)+IF(INDEX('仕入先'!$D$5:$D$54,$R102)="末",0,IF(DAY($S102)&lt;=INDEX('仕入先'!$D$5:$D$54,$R102),0,1))+N(INDEX('仕入先'!$E$5:$E$54,$R102)))+1,0),DATE(YEAR($S102),(MONTH($S102)+IF(INDEX('仕入先'!$D$5:$D$54,$R102)="末",0,IF(DAY($S102)&lt;=INDEX('仕入先'!$D$5:$D$54,$R102),0,1))+N(INDEX('仕入先'!$E$5:$E$54,$R102))),MIN(INDEX('仕入先'!$F$5:$F$54,$R102),DAY(DATE(YEAR($S102),(MONTH($S102)+IF(INDEX('仕入先'!$D$5:$D$54,$R102)="末",0,IF(DAY($S102)&lt;=INDEX('仕入先'!$D$5:$D$54,$R102),0,1))+N(INDEX('仕入先'!$E$5:$E$54,$R102)))+1,0)))))))</f>
        <v/>
      </c>
      <c r="I102" s="26" t="n"/>
      <c r="J102" s="29">
        <f>IF($B102="","",IF(ISNUMBER($I102),$I102,$H102))</f>
        <v/>
      </c>
      <c r="K102" s="26" t="n"/>
      <c r="L102" s="27" t="n"/>
      <c r="M102" s="27" t="n"/>
      <c r="N102" s="28">
        <f>IF($B102="","",N($G102)-N($L102)-N($M102))</f>
        <v/>
      </c>
      <c r="O102" s="30">
        <f>IF($B102="","",IF(AND(OR(N($L102)&lt;&gt;0,N($M102)&lt;&gt;0),NOT(ISNUMBER($K102))),"支払日なし",IF($N102=0,IF(N($G102)=0,"請求額0","支払済"),IF($N102&lt;0,"払いすぎ",IF(N($L102)+N($M102)=0,"未払","一部支払")))))</f>
        <v/>
      </c>
      <c r="P102" s="30">
        <f>IF(OR($B102="",N($N102)&lt;=0,NOT(ISNUMBER($J102))),"",IF($J102&lt;'設定'!$B$7,"期日超過 "&amp;('設定'!$B$7-$J102)&amp;"日",IF($J102='設定'!$B$7,"今日","あと "&amp;($J102-'設定'!$B$7)&amp;"日")))</f>
        <v/>
      </c>
      <c r="Q102" s="56" t="n"/>
      <c r="R102" s="32">
        <f>IF($B102="","",IFERROR(MATCH($B102,'仕入先'!$B$5:$B$54,0),"なし"))</f>
        <v/>
      </c>
      <c r="S102" s="33">
        <f>IF($B102="","",IF(ISNUMBER($D102),$D102,IF(ISNUMBER($A102),$A102,"")))</f>
        <v/>
      </c>
      <c r="T102" s="34">
        <f>IF(OR($B102="",N($N102)&lt;=0),"",IF(ISNUMBER($J102),$J102,99999)+ROW()/1000000)</f>
        <v/>
      </c>
      <c r="U102" s="35">
        <f>IF(OR($B102="",$B102&lt;&gt;'買掛帳'!$B$3,NOT(ISNUMBER($S102))),"",IF(AND($S102&gt;='買掛帳'!$Q$3,$S102&lt;='買掛帳'!$Q$4),$S102+ROW()/10000000,""))</f>
        <v/>
      </c>
      <c r="V102" s="35">
        <f>IF(OR($B102="",$B102&lt;&gt;'買掛帳'!$B$3,NOT(ISNUMBER($K102)),N($L102)+N($M102)=0),"",IF(AND($K102&gt;='買掛帳'!$Q$3,$K102&lt;='買掛帳'!$Q$4),$K102+0.5+ROW()/10000000,""))</f>
        <v/>
      </c>
    </row>
    <row r="103" ht="18" customHeight="1">
      <c r="A103" s="26" t="n"/>
      <c r="B103" s="18" t="n"/>
      <c r="C103" s="20">
        <f>IF($B103="","",IF($R103="なし","※仕入先にないコード",INDEX('仕入先'!$C$5:$C$54,$R103)&amp;""))</f>
        <v/>
      </c>
      <c r="D103" s="26" t="n"/>
      <c r="E103" s="18" t="n"/>
      <c r="F103" s="19" t="n"/>
      <c r="G103" s="27" t="n"/>
      <c r="H103" s="29">
        <f>IF(OR($B103="",NOT(ISNUMBER($R103)),NOT(ISNUMBER($S103))),"",IF(OR(INDEX('仕入先'!$D$5:$D$54,$R103)="",INDEX('仕入先'!$E$5:$E$54,$R103)="",INDEX('仕入先'!$F$5:$F$54,$R103)=""),"",IF(INDEX('仕入先'!$F$5:$F$54,$R103)="末",DATE(YEAR($S103),(MONTH($S103)+IF(INDEX('仕入先'!$D$5:$D$54,$R103)="末",0,IF(DAY($S103)&lt;=INDEX('仕入先'!$D$5:$D$54,$R103),0,1))+N(INDEX('仕入先'!$E$5:$E$54,$R103)))+1,0),DATE(YEAR($S103),(MONTH($S103)+IF(INDEX('仕入先'!$D$5:$D$54,$R103)="末",0,IF(DAY($S103)&lt;=INDEX('仕入先'!$D$5:$D$54,$R103),0,1))+N(INDEX('仕入先'!$E$5:$E$54,$R103))),MIN(INDEX('仕入先'!$F$5:$F$54,$R103),DAY(DATE(YEAR($S103),(MONTH($S103)+IF(INDEX('仕入先'!$D$5:$D$54,$R103)="末",0,IF(DAY($S103)&lt;=INDEX('仕入先'!$D$5:$D$54,$R103),0,1))+N(INDEX('仕入先'!$E$5:$E$54,$R103)))+1,0)))))))</f>
        <v/>
      </c>
      <c r="I103" s="26" t="n"/>
      <c r="J103" s="29">
        <f>IF($B103="","",IF(ISNUMBER($I103),$I103,$H103))</f>
        <v/>
      </c>
      <c r="K103" s="26" t="n"/>
      <c r="L103" s="27" t="n"/>
      <c r="M103" s="27" t="n"/>
      <c r="N103" s="28">
        <f>IF($B103="","",N($G103)-N($L103)-N($M103))</f>
        <v/>
      </c>
      <c r="O103" s="30">
        <f>IF($B103="","",IF(AND(OR(N($L103)&lt;&gt;0,N($M103)&lt;&gt;0),NOT(ISNUMBER($K103))),"支払日なし",IF($N103=0,IF(N($G103)=0,"請求額0","支払済"),IF($N103&lt;0,"払いすぎ",IF(N($L103)+N($M103)=0,"未払","一部支払")))))</f>
        <v/>
      </c>
      <c r="P103" s="30">
        <f>IF(OR($B103="",N($N103)&lt;=0,NOT(ISNUMBER($J103))),"",IF($J103&lt;'設定'!$B$7,"期日超過 "&amp;('設定'!$B$7-$J103)&amp;"日",IF($J103='設定'!$B$7,"今日","あと "&amp;($J103-'設定'!$B$7)&amp;"日")))</f>
        <v/>
      </c>
      <c r="Q103" s="56" t="n"/>
      <c r="R103" s="32">
        <f>IF($B103="","",IFERROR(MATCH($B103,'仕入先'!$B$5:$B$54,0),"なし"))</f>
        <v/>
      </c>
      <c r="S103" s="33">
        <f>IF($B103="","",IF(ISNUMBER($D103),$D103,IF(ISNUMBER($A103),$A103,"")))</f>
        <v/>
      </c>
      <c r="T103" s="34">
        <f>IF(OR($B103="",N($N103)&lt;=0),"",IF(ISNUMBER($J103),$J103,99999)+ROW()/1000000)</f>
        <v/>
      </c>
      <c r="U103" s="35">
        <f>IF(OR($B103="",$B103&lt;&gt;'買掛帳'!$B$3,NOT(ISNUMBER($S103))),"",IF(AND($S103&gt;='買掛帳'!$Q$3,$S103&lt;='買掛帳'!$Q$4),$S103+ROW()/10000000,""))</f>
        <v/>
      </c>
      <c r="V103" s="35">
        <f>IF(OR($B103="",$B103&lt;&gt;'買掛帳'!$B$3,NOT(ISNUMBER($K103)),N($L103)+N($M103)=0),"",IF(AND($K103&gt;='買掛帳'!$Q$3,$K103&lt;='買掛帳'!$Q$4),$K103+0.5+ROW()/10000000,""))</f>
        <v/>
      </c>
    </row>
    <row r="104" ht="18" customHeight="1">
      <c r="A104" s="26" t="n"/>
      <c r="B104" s="18" t="n"/>
      <c r="C104" s="20">
        <f>IF($B104="","",IF($R104="なし","※仕入先にないコード",INDEX('仕入先'!$C$5:$C$54,$R104)&amp;""))</f>
        <v/>
      </c>
      <c r="D104" s="26" t="n"/>
      <c r="E104" s="18" t="n"/>
      <c r="F104" s="19" t="n"/>
      <c r="G104" s="27" t="n"/>
      <c r="H104" s="29">
        <f>IF(OR($B104="",NOT(ISNUMBER($R104)),NOT(ISNUMBER($S104))),"",IF(OR(INDEX('仕入先'!$D$5:$D$54,$R104)="",INDEX('仕入先'!$E$5:$E$54,$R104)="",INDEX('仕入先'!$F$5:$F$54,$R104)=""),"",IF(INDEX('仕入先'!$F$5:$F$54,$R104)="末",DATE(YEAR($S104),(MONTH($S104)+IF(INDEX('仕入先'!$D$5:$D$54,$R104)="末",0,IF(DAY($S104)&lt;=INDEX('仕入先'!$D$5:$D$54,$R104),0,1))+N(INDEX('仕入先'!$E$5:$E$54,$R104)))+1,0),DATE(YEAR($S104),(MONTH($S104)+IF(INDEX('仕入先'!$D$5:$D$54,$R104)="末",0,IF(DAY($S104)&lt;=INDEX('仕入先'!$D$5:$D$54,$R104),0,1))+N(INDEX('仕入先'!$E$5:$E$54,$R104))),MIN(INDEX('仕入先'!$F$5:$F$54,$R104),DAY(DATE(YEAR($S104),(MONTH($S104)+IF(INDEX('仕入先'!$D$5:$D$54,$R104)="末",0,IF(DAY($S104)&lt;=INDEX('仕入先'!$D$5:$D$54,$R104),0,1))+N(INDEX('仕入先'!$E$5:$E$54,$R104)))+1,0)))))))</f>
        <v/>
      </c>
      <c r="I104" s="26" t="n"/>
      <c r="J104" s="29">
        <f>IF($B104="","",IF(ISNUMBER($I104),$I104,$H104))</f>
        <v/>
      </c>
      <c r="K104" s="26" t="n"/>
      <c r="L104" s="27" t="n"/>
      <c r="M104" s="27" t="n"/>
      <c r="N104" s="28">
        <f>IF($B104="","",N($G104)-N($L104)-N($M104))</f>
        <v/>
      </c>
      <c r="O104" s="30">
        <f>IF($B104="","",IF(AND(OR(N($L104)&lt;&gt;0,N($M104)&lt;&gt;0),NOT(ISNUMBER($K104))),"支払日なし",IF($N104=0,IF(N($G104)=0,"請求額0","支払済"),IF($N104&lt;0,"払いすぎ",IF(N($L104)+N($M104)=0,"未払","一部支払")))))</f>
        <v/>
      </c>
      <c r="P104" s="30">
        <f>IF(OR($B104="",N($N104)&lt;=0,NOT(ISNUMBER($J104))),"",IF($J104&lt;'設定'!$B$7,"期日超過 "&amp;('設定'!$B$7-$J104)&amp;"日",IF($J104='設定'!$B$7,"今日","あと "&amp;($J104-'設定'!$B$7)&amp;"日")))</f>
        <v/>
      </c>
      <c r="Q104" s="56" t="n"/>
      <c r="R104" s="32">
        <f>IF($B104="","",IFERROR(MATCH($B104,'仕入先'!$B$5:$B$54,0),"なし"))</f>
        <v/>
      </c>
      <c r="S104" s="33">
        <f>IF($B104="","",IF(ISNUMBER($D104),$D104,IF(ISNUMBER($A104),$A104,"")))</f>
        <v/>
      </c>
      <c r="T104" s="34">
        <f>IF(OR($B104="",N($N104)&lt;=0),"",IF(ISNUMBER($J104),$J104,99999)+ROW()/1000000)</f>
        <v/>
      </c>
      <c r="U104" s="35">
        <f>IF(OR($B104="",$B104&lt;&gt;'買掛帳'!$B$3,NOT(ISNUMBER($S104))),"",IF(AND($S104&gt;='買掛帳'!$Q$3,$S104&lt;='買掛帳'!$Q$4),$S104+ROW()/10000000,""))</f>
        <v/>
      </c>
      <c r="V104" s="35">
        <f>IF(OR($B104="",$B104&lt;&gt;'買掛帳'!$B$3,NOT(ISNUMBER($K104)),N($L104)+N($M104)=0),"",IF(AND($K104&gt;='買掛帳'!$Q$3,$K104&lt;='買掛帳'!$Q$4),$K104+0.5+ROW()/10000000,""))</f>
        <v/>
      </c>
    </row>
    <row r="105" ht="18" customHeight="1">
      <c r="A105" s="26" t="n"/>
      <c r="B105" s="18" t="n"/>
      <c r="C105" s="20">
        <f>IF($B105="","",IF($R105="なし","※仕入先にないコード",INDEX('仕入先'!$C$5:$C$54,$R105)&amp;""))</f>
        <v/>
      </c>
      <c r="D105" s="26" t="n"/>
      <c r="E105" s="18" t="n"/>
      <c r="F105" s="19" t="n"/>
      <c r="G105" s="27" t="n"/>
      <c r="H105" s="29">
        <f>IF(OR($B105="",NOT(ISNUMBER($R105)),NOT(ISNUMBER($S105))),"",IF(OR(INDEX('仕入先'!$D$5:$D$54,$R105)="",INDEX('仕入先'!$E$5:$E$54,$R105)="",INDEX('仕入先'!$F$5:$F$54,$R105)=""),"",IF(INDEX('仕入先'!$F$5:$F$54,$R105)="末",DATE(YEAR($S105),(MONTH($S105)+IF(INDEX('仕入先'!$D$5:$D$54,$R105)="末",0,IF(DAY($S105)&lt;=INDEX('仕入先'!$D$5:$D$54,$R105),0,1))+N(INDEX('仕入先'!$E$5:$E$54,$R105)))+1,0),DATE(YEAR($S105),(MONTH($S105)+IF(INDEX('仕入先'!$D$5:$D$54,$R105)="末",0,IF(DAY($S105)&lt;=INDEX('仕入先'!$D$5:$D$54,$R105),0,1))+N(INDEX('仕入先'!$E$5:$E$54,$R105))),MIN(INDEX('仕入先'!$F$5:$F$54,$R105),DAY(DATE(YEAR($S105),(MONTH($S105)+IF(INDEX('仕入先'!$D$5:$D$54,$R105)="末",0,IF(DAY($S105)&lt;=INDEX('仕入先'!$D$5:$D$54,$R105),0,1))+N(INDEX('仕入先'!$E$5:$E$54,$R105)))+1,0)))))))</f>
        <v/>
      </c>
      <c r="I105" s="26" t="n"/>
      <c r="J105" s="29">
        <f>IF($B105="","",IF(ISNUMBER($I105),$I105,$H105))</f>
        <v/>
      </c>
      <c r="K105" s="26" t="n"/>
      <c r="L105" s="27" t="n"/>
      <c r="M105" s="27" t="n"/>
      <c r="N105" s="28">
        <f>IF($B105="","",N($G105)-N($L105)-N($M105))</f>
        <v/>
      </c>
      <c r="O105" s="30">
        <f>IF($B105="","",IF(AND(OR(N($L105)&lt;&gt;0,N($M105)&lt;&gt;0),NOT(ISNUMBER($K105))),"支払日なし",IF($N105=0,IF(N($G105)=0,"請求額0","支払済"),IF($N105&lt;0,"払いすぎ",IF(N($L105)+N($M105)=0,"未払","一部支払")))))</f>
        <v/>
      </c>
      <c r="P105" s="30">
        <f>IF(OR($B105="",N($N105)&lt;=0,NOT(ISNUMBER($J105))),"",IF($J105&lt;'設定'!$B$7,"期日超過 "&amp;('設定'!$B$7-$J105)&amp;"日",IF($J105='設定'!$B$7,"今日","あと "&amp;($J105-'設定'!$B$7)&amp;"日")))</f>
        <v/>
      </c>
      <c r="Q105" s="56" t="n"/>
      <c r="R105" s="32">
        <f>IF($B105="","",IFERROR(MATCH($B105,'仕入先'!$B$5:$B$54,0),"なし"))</f>
        <v/>
      </c>
      <c r="S105" s="33">
        <f>IF($B105="","",IF(ISNUMBER($D105),$D105,IF(ISNUMBER($A105),$A105,"")))</f>
        <v/>
      </c>
      <c r="T105" s="34">
        <f>IF(OR($B105="",N($N105)&lt;=0),"",IF(ISNUMBER($J105),$J105,99999)+ROW()/1000000)</f>
        <v/>
      </c>
      <c r="U105" s="35">
        <f>IF(OR($B105="",$B105&lt;&gt;'買掛帳'!$B$3,NOT(ISNUMBER($S105))),"",IF(AND($S105&gt;='買掛帳'!$Q$3,$S105&lt;='買掛帳'!$Q$4),$S105+ROW()/10000000,""))</f>
        <v/>
      </c>
      <c r="V105" s="35">
        <f>IF(OR($B105="",$B105&lt;&gt;'買掛帳'!$B$3,NOT(ISNUMBER($K105)),N($L105)+N($M105)=0),"",IF(AND($K105&gt;='買掛帳'!$Q$3,$K105&lt;='買掛帳'!$Q$4),$K105+0.5+ROW()/10000000,""))</f>
        <v/>
      </c>
    </row>
    <row r="106" ht="18" customHeight="1">
      <c r="A106" s="26" t="n"/>
      <c r="B106" s="18" t="n"/>
      <c r="C106" s="20">
        <f>IF($B106="","",IF($R106="なし","※仕入先にないコード",INDEX('仕入先'!$C$5:$C$54,$R106)&amp;""))</f>
        <v/>
      </c>
      <c r="D106" s="26" t="n"/>
      <c r="E106" s="18" t="n"/>
      <c r="F106" s="19" t="n"/>
      <c r="G106" s="27" t="n"/>
      <c r="H106" s="29">
        <f>IF(OR($B106="",NOT(ISNUMBER($R106)),NOT(ISNUMBER($S106))),"",IF(OR(INDEX('仕入先'!$D$5:$D$54,$R106)="",INDEX('仕入先'!$E$5:$E$54,$R106)="",INDEX('仕入先'!$F$5:$F$54,$R106)=""),"",IF(INDEX('仕入先'!$F$5:$F$54,$R106)="末",DATE(YEAR($S106),(MONTH($S106)+IF(INDEX('仕入先'!$D$5:$D$54,$R106)="末",0,IF(DAY($S106)&lt;=INDEX('仕入先'!$D$5:$D$54,$R106),0,1))+N(INDEX('仕入先'!$E$5:$E$54,$R106)))+1,0),DATE(YEAR($S106),(MONTH($S106)+IF(INDEX('仕入先'!$D$5:$D$54,$R106)="末",0,IF(DAY($S106)&lt;=INDEX('仕入先'!$D$5:$D$54,$R106),0,1))+N(INDEX('仕入先'!$E$5:$E$54,$R106))),MIN(INDEX('仕入先'!$F$5:$F$54,$R106),DAY(DATE(YEAR($S106),(MONTH($S106)+IF(INDEX('仕入先'!$D$5:$D$54,$R106)="末",0,IF(DAY($S106)&lt;=INDEX('仕入先'!$D$5:$D$54,$R106),0,1))+N(INDEX('仕入先'!$E$5:$E$54,$R106)))+1,0)))))))</f>
        <v/>
      </c>
      <c r="I106" s="26" t="n"/>
      <c r="J106" s="29">
        <f>IF($B106="","",IF(ISNUMBER($I106),$I106,$H106))</f>
        <v/>
      </c>
      <c r="K106" s="26" t="n"/>
      <c r="L106" s="27" t="n"/>
      <c r="M106" s="27" t="n"/>
      <c r="N106" s="28">
        <f>IF($B106="","",N($G106)-N($L106)-N($M106))</f>
        <v/>
      </c>
      <c r="O106" s="30">
        <f>IF($B106="","",IF(AND(OR(N($L106)&lt;&gt;0,N($M106)&lt;&gt;0),NOT(ISNUMBER($K106))),"支払日なし",IF($N106=0,IF(N($G106)=0,"請求額0","支払済"),IF($N106&lt;0,"払いすぎ",IF(N($L106)+N($M106)=0,"未払","一部支払")))))</f>
        <v/>
      </c>
      <c r="P106" s="30">
        <f>IF(OR($B106="",N($N106)&lt;=0,NOT(ISNUMBER($J106))),"",IF($J106&lt;'設定'!$B$7,"期日超過 "&amp;('設定'!$B$7-$J106)&amp;"日",IF($J106='設定'!$B$7,"今日","あと "&amp;($J106-'設定'!$B$7)&amp;"日")))</f>
        <v/>
      </c>
      <c r="Q106" s="56" t="n"/>
      <c r="R106" s="32">
        <f>IF($B106="","",IFERROR(MATCH($B106,'仕入先'!$B$5:$B$54,0),"なし"))</f>
        <v/>
      </c>
      <c r="S106" s="33">
        <f>IF($B106="","",IF(ISNUMBER($D106),$D106,IF(ISNUMBER($A106),$A106,"")))</f>
        <v/>
      </c>
      <c r="T106" s="34">
        <f>IF(OR($B106="",N($N106)&lt;=0),"",IF(ISNUMBER($J106),$J106,99999)+ROW()/1000000)</f>
        <v/>
      </c>
      <c r="U106" s="35">
        <f>IF(OR($B106="",$B106&lt;&gt;'買掛帳'!$B$3,NOT(ISNUMBER($S106))),"",IF(AND($S106&gt;='買掛帳'!$Q$3,$S106&lt;='買掛帳'!$Q$4),$S106+ROW()/10000000,""))</f>
        <v/>
      </c>
      <c r="V106" s="35">
        <f>IF(OR($B106="",$B106&lt;&gt;'買掛帳'!$B$3,NOT(ISNUMBER($K106)),N($L106)+N($M106)=0),"",IF(AND($K106&gt;='買掛帳'!$Q$3,$K106&lt;='買掛帳'!$Q$4),$K106+0.5+ROW()/10000000,""))</f>
        <v/>
      </c>
    </row>
    <row r="107" ht="18" customHeight="1">
      <c r="A107" s="26" t="n"/>
      <c r="B107" s="18" t="n"/>
      <c r="C107" s="20">
        <f>IF($B107="","",IF($R107="なし","※仕入先にないコード",INDEX('仕入先'!$C$5:$C$54,$R107)&amp;""))</f>
        <v/>
      </c>
      <c r="D107" s="26" t="n"/>
      <c r="E107" s="18" t="n"/>
      <c r="F107" s="19" t="n"/>
      <c r="G107" s="27" t="n"/>
      <c r="H107" s="29">
        <f>IF(OR($B107="",NOT(ISNUMBER($R107)),NOT(ISNUMBER($S107))),"",IF(OR(INDEX('仕入先'!$D$5:$D$54,$R107)="",INDEX('仕入先'!$E$5:$E$54,$R107)="",INDEX('仕入先'!$F$5:$F$54,$R107)=""),"",IF(INDEX('仕入先'!$F$5:$F$54,$R107)="末",DATE(YEAR($S107),(MONTH($S107)+IF(INDEX('仕入先'!$D$5:$D$54,$R107)="末",0,IF(DAY($S107)&lt;=INDEX('仕入先'!$D$5:$D$54,$R107),0,1))+N(INDEX('仕入先'!$E$5:$E$54,$R107)))+1,0),DATE(YEAR($S107),(MONTH($S107)+IF(INDEX('仕入先'!$D$5:$D$54,$R107)="末",0,IF(DAY($S107)&lt;=INDEX('仕入先'!$D$5:$D$54,$R107),0,1))+N(INDEX('仕入先'!$E$5:$E$54,$R107))),MIN(INDEX('仕入先'!$F$5:$F$54,$R107),DAY(DATE(YEAR($S107),(MONTH($S107)+IF(INDEX('仕入先'!$D$5:$D$54,$R107)="末",0,IF(DAY($S107)&lt;=INDEX('仕入先'!$D$5:$D$54,$R107),0,1))+N(INDEX('仕入先'!$E$5:$E$54,$R107)))+1,0)))))))</f>
        <v/>
      </c>
      <c r="I107" s="26" t="n"/>
      <c r="J107" s="29">
        <f>IF($B107="","",IF(ISNUMBER($I107),$I107,$H107))</f>
        <v/>
      </c>
      <c r="K107" s="26" t="n"/>
      <c r="L107" s="27" t="n"/>
      <c r="M107" s="27" t="n"/>
      <c r="N107" s="28">
        <f>IF($B107="","",N($G107)-N($L107)-N($M107))</f>
        <v/>
      </c>
      <c r="O107" s="30">
        <f>IF($B107="","",IF(AND(OR(N($L107)&lt;&gt;0,N($M107)&lt;&gt;0),NOT(ISNUMBER($K107))),"支払日なし",IF($N107=0,IF(N($G107)=0,"請求額0","支払済"),IF($N107&lt;0,"払いすぎ",IF(N($L107)+N($M107)=0,"未払","一部支払")))))</f>
        <v/>
      </c>
      <c r="P107" s="30">
        <f>IF(OR($B107="",N($N107)&lt;=0,NOT(ISNUMBER($J107))),"",IF($J107&lt;'設定'!$B$7,"期日超過 "&amp;('設定'!$B$7-$J107)&amp;"日",IF($J107='設定'!$B$7,"今日","あと "&amp;($J107-'設定'!$B$7)&amp;"日")))</f>
        <v/>
      </c>
      <c r="Q107" s="56" t="n"/>
      <c r="R107" s="32">
        <f>IF($B107="","",IFERROR(MATCH($B107,'仕入先'!$B$5:$B$54,0),"なし"))</f>
        <v/>
      </c>
      <c r="S107" s="33">
        <f>IF($B107="","",IF(ISNUMBER($D107),$D107,IF(ISNUMBER($A107),$A107,"")))</f>
        <v/>
      </c>
      <c r="T107" s="34">
        <f>IF(OR($B107="",N($N107)&lt;=0),"",IF(ISNUMBER($J107),$J107,99999)+ROW()/1000000)</f>
        <v/>
      </c>
      <c r="U107" s="35">
        <f>IF(OR($B107="",$B107&lt;&gt;'買掛帳'!$B$3,NOT(ISNUMBER($S107))),"",IF(AND($S107&gt;='買掛帳'!$Q$3,$S107&lt;='買掛帳'!$Q$4),$S107+ROW()/10000000,""))</f>
        <v/>
      </c>
      <c r="V107" s="35">
        <f>IF(OR($B107="",$B107&lt;&gt;'買掛帳'!$B$3,NOT(ISNUMBER($K107)),N($L107)+N($M107)=0),"",IF(AND($K107&gt;='買掛帳'!$Q$3,$K107&lt;='買掛帳'!$Q$4),$K107+0.5+ROW()/10000000,""))</f>
        <v/>
      </c>
    </row>
    <row r="108" ht="18" customHeight="1">
      <c r="A108" s="26" t="n"/>
      <c r="B108" s="18" t="n"/>
      <c r="C108" s="20">
        <f>IF($B108="","",IF($R108="なし","※仕入先にないコード",INDEX('仕入先'!$C$5:$C$54,$R108)&amp;""))</f>
        <v/>
      </c>
      <c r="D108" s="26" t="n"/>
      <c r="E108" s="18" t="n"/>
      <c r="F108" s="19" t="n"/>
      <c r="G108" s="27" t="n"/>
      <c r="H108" s="29">
        <f>IF(OR($B108="",NOT(ISNUMBER($R108)),NOT(ISNUMBER($S108))),"",IF(OR(INDEX('仕入先'!$D$5:$D$54,$R108)="",INDEX('仕入先'!$E$5:$E$54,$R108)="",INDEX('仕入先'!$F$5:$F$54,$R108)=""),"",IF(INDEX('仕入先'!$F$5:$F$54,$R108)="末",DATE(YEAR($S108),(MONTH($S108)+IF(INDEX('仕入先'!$D$5:$D$54,$R108)="末",0,IF(DAY($S108)&lt;=INDEX('仕入先'!$D$5:$D$54,$R108),0,1))+N(INDEX('仕入先'!$E$5:$E$54,$R108)))+1,0),DATE(YEAR($S108),(MONTH($S108)+IF(INDEX('仕入先'!$D$5:$D$54,$R108)="末",0,IF(DAY($S108)&lt;=INDEX('仕入先'!$D$5:$D$54,$R108),0,1))+N(INDEX('仕入先'!$E$5:$E$54,$R108))),MIN(INDEX('仕入先'!$F$5:$F$54,$R108),DAY(DATE(YEAR($S108),(MONTH($S108)+IF(INDEX('仕入先'!$D$5:$D$54,$R108)="末",0,IF(DAY($S108)&lt;=INDEX('仕入先'!$D$5:$D$54,$R108),0,1))+N(INDEX('仕入先'!$E$5:$E$54,$R108)))+1,0)))))))</f>
        <v/>
      </c>
      <c r="I108" s="26" t="n"/>
      <c r="J108" s="29">
        <f>IF($B108="","",IF(ISNUMBER($I108),$I108,$H108))</f>
        <v/>
      </c>
      <c r="K108" s="26" t="n"/>
      <c r="L108" s="27" t="n"/>
      <c r="M108" s="27" t="n"/>
      <c r="N108" s="28">
        <f>IF($B108="","",N($G108)-N($L108)-N($M108))</f>
        <v/>
      </c>
      <c r="O108" s="30">
        <f>IF($B108="","",IF(AND(OR(N($L108)&lt;&gt;0,N($M108)&lt;&gt;0),NOT(ISNUMBER($K108))),"支払日なし",IF($N108=0,IF(N($G108)=0,"請求額0","支払済"),IF($N108&lt;0,"払いすぎ",IF(N($L108)+N($M108)=0,"未払","一部支払")))))</f>
        <v/>
      </c>
      <c r="P108" s="30">
        <f>IF(OR($B108="",N($N108)&lt;=0,NOT(ISNUMBER($J108))),"",IF($J108&lt;'設定'!$B$7,"期日超過 "&amp;('設定'!$B$7-$J108)&amp;"日",IF($J108='設定'!$B$7,"今日","あと "&amp;($J108-'設定'!$B$7)&amp;"日")))</f>
        <v/>
      </c>
      <c r="Q108" s="56" t="n"/>
      <c r="R108" s="32">
        <f>IF($B108="","",IFERROR(MATCH($B108,'仕入先'!$B$5:$B$54,0),"なし"))</f>
        <v/>
      </c>
      <c r="S108" s="33">
        <f>IF($B108="","",IF(ISNUMBER($D108),$D108,IF(ISNUMBER($A108),$A108,"")))</f>
        <v/>
      </c>
      <c r="T108" s="34">
        <f>IF(OR($B108="",N($N108)&lt;=0),"",IF(ISNUMBER($J108),$J108,99999)+ROW()/1000000)</f>
        <v/>
      </c>
      <c r="U108" s="35">
        <f>IF(OR($B108="",$B108&lt;&gt;'買掛帳'!$B$3,NOT(ISNUMBER($S108))),"",IF(AND($S108&gt;='買掛帳'!$Q$3,$S108&lt;='買掛帳'!$Q$4),$S108+ROW()/10000000,""))</f>
        <v/>
      </c>
      <c r="V108" s="35">
        <f>IF(OR($B108="",$B108&lt;&gt;'買掛帳'!$B$3,NOT(ISNUMBER($K108)),N($L108)+N($M108)=0),"",IF(AND($K108&gt;='買掛帳'!$Q$3,$K108&lt;='買掛帳'!$Q$4),$K108+0.5+ROW()/10000000,""))</f>
        <v/>
      </c>
    </row>
    <row r="109" ht="18" customHeight="1">
      <c r="A109" s="26" t="n"/>
      <c r="B109" s="18" t="n"/>
      <c r="C109" s="20">
        <f>IF($B109="","",IF($R109="なし","※仕入先にないコード",INDEX('仕入先'!$C$5:$C$54,$R109)&amp;""))</f>
        <v/>
      </c>
      <c r="D109" s="26" t="n"/>
      <c r="E109" s="18" t="n"/>
      <c r="F109" s="19" t="n"/>
      <c r="G109" s="27" t="n"/>
      <c r="H109" s="29">
        <f>IF(OR($B109="",NOT(ISNUMBER($R109)),NOT(ISNUMBER($S109))),"",IF(OR(INDEX('仕入先'!$D$5:$D$54,$R109)="",INDEX('仕入先'!$E$5:$E$54,$R109)="",INDEX('仕入先'!$F$5:$F$54,$R109)=""),"",IF(INDEX('仕入先'!$F$5:$F$54,$R109)="末",DATE(YEAR($S109),(MONTH($S109)+IF(INDEX('仕入先'!$D$5:$D$54,$R109)="末",0,IF(DAY($S109)&lt;=INDEX('仕入先'!$D$5:$D$54,$R109),0,1))+N(INDEX('仕入先'!$E$5:$E$54,$R109)))+1,0),DATE(YEAR($S109),(MONTH($S109)+IF(INDEX('仕入先'!$D$5:$D$54,$R109)="末",0,IF(DAY($S109)&lt;=INDEX('仕入先'!$D$5:$D$54,$R109),0,1))+N(INDEX('仕入先'!$E$5:$E$54,$R109))),MIN(INDEX('仕入先'!$F$5:$F$54,$R109),DAY(DATE(YEAR($S109),(MONTH($S109)+IF(INDEX('仕入先'!$D$5:$D$54,$R109)="末",0,IF(DAY($S109)&lt;=INDEX('仕入先'!$D$5:$D$54,$R109),0,1))+N(INDEX('仕入先'!$E$5:$E$54,$R109)))+1,0)))))))</f>
        <v/>
      </c>
      <c r="I109" s="26" t="n"/>
      <c r="J109" s="29">
        <f>IF($B109="","",IF(ISNUMBER($I109),$I109,$H109))</f>
        <v/>
      </c>
      <c r="K109" s="26" t="n"/>
      <c r="L109" s="27" t="n"/>
      <c r="M109" s="27" t="n"/>
      <c r="N109" s="28">
        <f>IF($B109="","",N($G109)-N($L109)-N($M109))</f>
        <v/>
      </c>
      <c r="O109" s="30">
        <f>IF($B109="","",IF(AND(OR(N($L109)&lt;&gt;0,N($M109)&lt;&gt;0),NOT(ISNUMBER($K109))),"支払日なし",IF($N109=0,IF(N($G109)=0,"請求額0","支払済"),IF($N109&lt;0,"払いすぎ",IF(N($L109)+N($M109)=0,"未払","一部支払")))))</f>
        <v/>
      </c>
      <c r="P109" s="30">
        <f>IF(OR($B109="",N($N109)&lt;=0,NOT(ISNUMBER($J109))),"",IF($J109&lt;'設定'!$B$7,"期日超過 "&amp;('設定'!$B$7-$J109)&amp;"日",IF($J109='設定'!$B$7,"今日","あと "&amp;($J109-'設定'!$B$7)&amp;"日")))</f>
        <v/>
      </c>
      <c r="Q109" s="56" t="n"/>
      <c r="R109" s="32">
        <f>IF($B109="","",IFERROR(MATCH($B109,'仕入先'!$B$5:$B$54,0),"なし"))</f>
        <v/>
      </c>
      <c r="S109" s="33">
        <f>IF($B109="","",IF(ISNUMBER($D109),$D109,IF(ISNUMBER($A109),$A109,"")))</f>
        <v/>
      </c>
      <c r="T109" s="34">
        <f>IF(OR($B109="",N($N109)&lt;=0),"",IF(ISNUMBER($J109),$J109,99999)+ROW()/1000000)</f>
        <v/>
      </c>
      <c r="U109" s="35">
        <f>IF(OR($B109="",$B109&lt;&gt;'買掛帳'!$B$3,NOT(ISNUMBER($S109))),"",IF(AND($S109&gt;='買掛帳'!$Q$3,$S109&lt;='買掛帳'!$Q$4),$S109+ROW()/10000000,""))</f>
        <v/>
      </c>
      <c r="V109" s="35">
        <f>IF(OR($B109="",$B109&lt;&gt;'買掛帳'!$B$3,NOT(ISNUMBER($K109)),N($L109)+N($M109)=0),"",IF(AND($K109&gt;='買掛帳'!$Q$3,$K109&lt;='買掛帳'!$Q$4),$K109+0.5+ROW()/10000000,""))</f>
        <v/>
      </c>
    </row>
    <row r="110" ht="18" customHeight="1">
      <c r="A110" s="26" t="n"/>
      <c r="B110" s="18" t="n"/>
      <c r="C110" s="20">
        <f>IF($B110="","",IF($R110="なし","※仕入先にないコード",INDEX('仕入先'!$C$5:$C$54,$R110)&amp;""))</f>
        <v/>
      </c>
      <c r="D110" s="26" t="n"/>
      <c r="E110" s="18" t="n"/>
      <c r="F110" s="19" t="n"/>
      <c r="G110" s="27" t="n"/>
      <c r="H110" s="29">
        <f>IF(OR($B110="",NOT(ISNUMBER($R110)),NOT(ISNUMBER($S110))),"",IF(OR(INDEX('仕入先'!$D$5:$D$54,$R110)="",INDEX('仕入先'!$E$5:$E$54,$R110)="",INDEX('仕入先'!$F$5:$F$54,$R110)=""),"",IF(INDEX('仕入先'!$F$5:$F$54,$R110)="末",DATE(YEAR($S110),(MONTH($S110)+IF(INDEX('仕入先'!$D$5:$D$54,$R110)="末",0,IF(DAY($S110)&lt;=INDEX('仕入先'!$D$5:$D$54,$R110),0,1))+N(INDEX('仕入先'!$E$5:$E$54,$R110)))+1,0),DATE(YEAR($S110),(MONTH($S110)+IF(INDEX('仕入先'!$D$5:$D$54,$R110)="末",0,IF(DAY($S110)&lt;=INDEX('仕入先'!$D$5:$D$54,$R110),0,1))+N(INDEX('仕入先'!$E$5:$E$54,$R110))),MIN(INDEX('仕入先'!$F$5:$F$54,$R110),DAY(DATE(YEAR($S110),(MONTH($S110)+IF(INDEX('仕入先'!$D$5:$D$54,$R110)="末",0,IF(DAY($S110)&lt;=INDEX('仕入先'!$D$5:$D$54,$R110),0,1))+N(INDEX('仕入先'!$E$5:$E$54,$R110)))+1,0)))))))</f>
        <v/>
      </c>
      <c r="I110" s="26" t="n"/>
      <c r="J110" s="29">
        <f>IF($B110="","",IF(ISNUMBER($I110),$I110,$H110))</f>
        <v/>
      </c>
      <c r="K110" s="26" t="n"/>
      <c r="L110" s="27" t="n"/>
      <c r="M110" s="27" t="n"/>
      <c r="N110" s="28">
        <f>IF($B110="","",N($G110)-N($L110)-N($M110))</f>
        <v/>
      </c>
      <c r="O110" s="30">
        <f>IF($B110="","",IF(AND(OR(N($L110)&lt;&gt;0,N($M110)&lt;&gt;0),NOT(ISNUMBER($K110))),"支払日なし",IF($N110=0,IF(N($G110)=0,"請求額0","支払済"),IF($N110&lt;0,"払いすぎ",IF(N($L110)+N($M110)=0,"未払","一部支払")))))</f>
        <v/>
      </c>
      <c r="P110" s="30">
        <f>IF(OR($B110="",N($N110)&lt;=0,NOT(ISNUMBER($J110))),"",IF($J110&lt;'設定'!$B$7,"期日超過 "&amp;('設定'!$B$7-$J110)&amp;"日",IF($J110='設定'!$B$7,"今日","あと "&amp;($J110-'設定'!$B$7)&amp;"日")))</f>
        <v/>
      </c>
      <c r="Q110" s="56" t="n"/>
      <c r="R110" s="32">
        <f>IF($B110="","",IFERROR(MATCH($B110,'仕入先'!$B$5:$B$54,0),"なし"))</f>
        <v/>
      </c>
      <c r="S110" s="33">
        <f>IF($B110="","",IF(ISNUMBER($D110),$D110,IF(ISNUMBER($A110),$A110,"")))</f>
        <v/>
      </c>
      <c r="T110" s="34">
        <f>IF(OR($B110="",N($N110)&lt;=0),"",IF(ISNUMBER($J110),$J110,99999)+ROW()/1000000)</f>
        <v/>
      </c>
      <c r="U110" s="35">
        <f>IF(OR($B110="",$B110&lt;&gt;'買掛帳'!$B$3,NOT(ISNUMBER($S110))),"",IF(AND($S110&gt;='買掛帳'!$Q$3,$S110&lt;='買掛帳'!$Q$4),$S110+ROW()/10000000,""))</f>
        <v/>
      </c>
      <c r="V110" s="35">
        <f>IF(OR($B110="",$B110&lt;&gt;'買掛帳'!$B$3,NOT(ISNUMBER($K110)),N($L110)+N($M110)=0),"",IF(AND($K110&gt;='買掛帳'!$Q$3,$K110&lt;='買掛帳'!$Q$4),$K110+0.5+ROW()/10000000,""))</f>
        <v/>
      </c>
    </row>
    <row r="111" ht="18" customHeight="1">
      <c r="A111" s="26" t="n"/>
      <c r="B111" s="18" t="n"/>
      <c r="C111" s="20">
        <f>IF($B111="","",IF($R111="なし","※仕入先にないコード",INDEX('仕入先'!$C$5:$C$54,$R111)&amp;""))</f>
        <v/>
      </c>
      <c r="D111" s="26" t="n"/>
      <c r="E111" s="18" t="n"/>
      <c r="F111" s="19" t="n"/>
      <c r="G111" s="27" t="n"/>
      <c r="H111" s="29">
        <f>IF(OR($B111="",NOT(ISNUMBER($R111)),NOT(ISNUMBER($S111))),"",IF(OR(INDEX('仕入先'!$D$5:$D$54,$R111)="",INDEX('仕入先'!$E$5:$E$54,$R111)="",INDEX('仕入先'!$F$5:$F$54,$R111)=""),"",IF(INDEX('仕入先'!$F$5:$F$54,$R111)="末",DATE(YEAR($S111),(MONTH($S111)+IF(INDEX('仕入先'!$D$5:$D$54,$R111)="末",0,IF(DAY($S111)&lt;=INDEX('仕入先'!$D$5:$D$54,$R111),0,1))+N(INDEX('仕入先'!$E$5:$E$54,$R111)))+1,0),DATE(YEAR($S111),(MONTH($S111)+IF(INDEX('仕入先'!$D$5:$D$54,$R111)="末",0,IF(DAY($S111)&lt;=INDEX('仕入先'!$D$5:$D$54,$R111),0,1))+N(INDEX('仕入先'!$E$5:$E$54,$R111))),MIN(INDEX('仕入先'!$F$5:$F$54,$R111),DAY(DATE(YEAR($S111),(MONTH($S111)+IF(INDEX('仕入先'!$D$5:$D$54,$R111)="末",0,IF(DAY($S111)&lt;=INDEX('仕入先'!$D$5:$D$54,$R111),0,1))+N(INDEX('仕入先'!$E$5:$E$54,$R111)))+1,0)))))))</f>
        <v/>
      </c>
      <c r="I111" s="26" t="n"/>
      <c r="J111" s="29">
        <f>IF($B111="","",IF(ISNUMBER($I111),$I111,$H111))</f>
        <v/>
      </c>
      <c r="K111" s="26" t="n"/>
      <c r="L111" s="27" t="n"/>
      <c r="M111" s="27" t="n"/>
      <c r="N111" s="28">
        <f>IF($B111="","",N($G111)-N($L111)-N($M111))</f>
        <v/>
      </c>
      <c r="O111" s="30">
        <f>IF($B111="","",IF(AND(OR(N($L111)&lt;&gt;0,N($M111)&lt;&gt;0),NOT(ISNUMBER($K111))),"支払日なし",IF($N111=0,IF(N($G111)=0,"請求額0","支払済"),IF($N111&lt;0,"払いすぎ",IF(N($L111)+N($M111)=0,"未払","一部支払")))))</f>
        <v/>
      </c>
      <c r="P111" s="30">
        <f>IF(OR($B111="",N($N111)&lt;=0,NOT(ISNUMBER($J111))),"",IF($J111&lt;'設定'!$B$7,"期日超過 "&amp;('設定'!$B$7-$J111)&amp;"日",IF($J111='設定'!$B$7,"今日","あと "&amp;($J111-'設定'!$B$7)&amp;"日")))</f>
        <v/>
      </c>
      <c r="Q111" s="56" t="n"/>
      <c r="R111" s="32">
        <f>IF($B111="","",IFERROR(MATCH($B111,'仕入先'!$B$5:$B$54,0),"なし"))</f>
        <v/>
      </c>
      <c r="S111" s="33">
        <f>IF($B111="","",IF(ISNUMBER($D111),$D111,IF(ISNUMBER($A111),$A111,"")))</f>
        <v/>
      </c>
      <c r="T111" s="34">
        <f>IF(OR($B111="",N($N111)&lt;=0),"",IF(ISNUMBER($J111),$J111,99999)+ROW()/1000000)</f>
        <v/>
      </c>
      <c r="U111" s="35">
        <f>IF(OR($B111="",$B111&lt;&gt;'買掛帳'!$B$3,NOT(ISNUMBER($S111))),"",IF(AND($S111&gt;='買掛帳'!$Q$3,$S111&lt;='買掛帳'!$Q$4),$S111+ROW()/10000000,""))</f>
        <v/>
      </c>
      <c r="V111" s="35">
        <f>IF(OR($B111="",$B111&lt;&gt;'買掛帳'!$B$3,NOT(ISNUMBER($K111)),N($L111)+N($M111)=0),"",IF(AND($K111&gt;='買掛帳'!$Q$3,$K111&lt;='買掛帳'!$Q$4),$K111+0.5+ROW()/10000000,""))</f>
        <v/>
      </c>
    </row>
    <row r="112" ht="18" customHeight="1">
      <c r="A112" s="26" t="n"/>
      <c r="B112" s="18" t="n"/>
      <c r="C112" s="20">
        <f>IF($B112="","",IF($R112="なし","※仕入先にないコード",INDEX('仕入先'!$C$5:$C$54,$R112)&amp;""))</f>
        <v/>
      </c>
      <c r="D112" s="26" t="n"/>
      <c r="E112" s="18" t="n"/>
      <c r="F112" s="19" t="n"/>
      <c r="G112" s="27" t="n"/>
      <c r="H112" s="29">
        <f>IF(OR($B112="",NOT(ISNUMBER($R112)),NOT(ISNUMBER($S112))),"",IF(OR(INDEX('仕入先'!$D$5:$D$54,$R112)="",INDEX('仕入先'!$E$5:$E$54,$R112)="",INDEX('仕入先'!$F$5:$F$54,$R112)=""),"",IF(INDEX('仕入先'!$F$5:$F$54,$R112)="末",DATE(YEAR($S112),(MONTH($S112)+IF(INDEX('仕入先'!$D$5:$D$54,$R112)="末",0,IF(DAY($S112)&lt;=INDEX('仕入先'!$D$5:$D$54,$R112),0,1))+N(INDEX('仕入先'!$E$5:$E$54,$R112)))+1,0),DATE(YEAR($S112),(MONTH($S112)+IF(INDEX('仕入先'!$D$5:$D$54,$R112)="末",0,IF(DAY($S112)&lt;=INDEX('仕入先'!$D$5:$D$54,$R112),0,1))+N(INDEX('仕入先'!$E$5:$E$54,$R112))),MIN(INDEX('仕入先'!$F$5:$F$54,$R112),DAY(DATE(YEAR($S112),(MONTH($S112)+IF(INDEX('仕入先'!$D$5:$D$54,$R112)="末",0,IF(DAY($S112)&lt;=INDEX('仕入先'!$D$5:$D$54,$R112),0,1))+N(INDEX('仕入先'!$E$5:$E$54,$R112)))+1,0)))))))</f>
        <v/>
      </c>
      <c r="I112" s="26" t="n"/>
      <c r="J112" s="29">
        <f>IF($B112="","",IF(ISNUMBER($I112),$I112,$H112))</f>
        <v/>
      </c>
      <c r="K112" s="26" t="n"/>
      <c r="L112" s="27" t="n"/>
      <c r="M112" s="27" t="n"/>
      <c r="N112" s="28">
        <f>IF($B112="","",N($G112)-N($L112)-N($M112))</f>
        <v/>
      </c>
      <c r="O112" s="30">
        <f>IF($B112="","",IF(AND(OR(N($L112)&lt;&gt;0,N($M112)&lt;&gt;0),NOT(ISNUMBER($K112))),"支払日なし",IF($N112=0,IF(N($G112)=0,"請求額0","支払済"),IF($N112&lt;0,"払いすぎ",IF(N($L112)+N($M112)=0,"未払","一部支払")))))</f>
        <v/>
      </c>
      <c r="P112" s="30">
        <f>IF(OR($B112="",N($N112)&lt;=0,NOT(ISNUMBER($J112))),"",IF($J112&lt;'設定'!$B$7,"期日超過 "&amp;('設定'!$B$7-$J112)&amp;"日",IF($J112='設定'!$B$7,"今日","あと "&amp;($J112-'設定'!$B$7)&amp;"日")))</f>
        <v/>
      </c>
      <c r="Q112" s="56" t="n"/>
      <c r="R112" s="32">
        <f>IF($B112="","",IFERROR(MATCH($B112,'仕入先'!$B$5:$B$54,0),"なし"))</f>
        <v/>
      </c>
      <c r="S112" s="33">
        <f>IF($B112="","",IF(ISNUMBER($D112),$D112,IF(ISNUMBER($A112),$A112,"")))</f>
        <v/>
      </c>
      <c r="T112" s="34">
        <f>IF(OR($B112="",N($N112)&lt;=0),"",IF(ISNUMBER($J112),$J112,99999)+ROW()/1000000)</f>
        <v/>
      </c>
      <c r="U112" s="35">
        <f>IF(OR($B112="",$B112&lt;&gt;'買掛帳'!$B$3,NOT(ISNUMBER($S112))),"",IF(AND($S112&gt;='買掛帳'!$Q$3,$S112&lt;='買掛帳'!$Q$4),$S112+ROW()/10000000,""))</f>
        <v/>
      </c>
      <c r="V112" s="35">
        <f>IF(OR($B112="",$B112&lt;&gt;'買掛帳'!$B$3,NOT(ISNUMBER($K112)),N($L112)+N($M112)=0),"",IF(AND($K112&gt;='買掛帳'!$Q$3,$K112&lt;='買掛帳'!$Q$4),$K112+0.5+ROW()/10000000,""))</f>
        <v/>
      </c>
    </row>
    <row r="113" ht="18" customHeight="1">
      <c r="A113" s="26" t="n"/>
      <c r="B113" s="18" t="n"/>
      <c r="C113" s="20">
        <f>IF($B113="","",IF($R113="なし","※仕入先にないコード",INDEX('仕入先'!$C$5:$C$54,$R113)&amp;""))</f>
        <v/>
      </c>
      <c r="D113" s="26" t="n"/>
      <c r="E113" s="18" t="n"/>
      <c r="F113" s="19" t="n"/>
      <c r="G113" s="27" t="n"/>
      <c r="H113" s="29">
        <f>IF(OR($B113="",NOT(ISNUMBER($R113)),NOT(ISNUMBER($S113))),"",IF(OR(INDEX('仕入先'!$D$5:$D$54,$R113)="",INDEX('仕入先'!$E$5:$E$54,$R113)="",INDEX('仕入先'!$F$5:$F$54,$R113)=""),"",IF(INDEX('仕入先'!$F$5:$F$54,$R113)="末",DATE(YEAR($S113),(MONTH($S113)+IF(INDEX('仕入先'!$D$5:$D$54,$R113)="末",0,IF(DAY($S113)&lt;=INDEX('仕入先'!$D$5:$D$54,$R113),0,1))+N(INDEX('仕入先'!$E$5:$E$54,$R113)))+1,0),DATE(YEAR($S113),(MONTH($S113)+IF(INDEX('仕入先'!$D$5:$D$54,$R113)="末",0,IF(DAY($S113)&lt;=INDEX('仕入先'!$D$5:$D$54,$R113),0,1))+N(INDEX('仕入先'!$E$5:$E$54,$R113))),MIN(INDEX('仕入先'!$F$5:$F$54,$R113),DAY(DATE(YEAR($S113),(MONTH($S113)+IF(INDEX('仕入先'!$D$5:$D$54,$R113)="末",0,IF(DAY($S113)&lt;=INDEX('仕入先'!$D$5:$D$54,$R113),0,1))+N(INDEX('仕入先'!$E$5:$E$54,$R113)))+1,0)))))))</f>
        <v/>
      </c>
      <c r="I113" s="26" t="n"/>
      <c r="J113" s="29">
        <f>IF($B113="","",IF(ISNUMBER($I113),$I113,$H113))</f>
        <v/>
      </c>
      <c r="K113" s="26" t="n"/>
      <c r="L113" s="27" t="n"/>
      <c r="M113" s="27" t="n"/>
      <c r="N113" s="28">
        <f>IF($B113="","",N($G113)-N($L113)-N($M113))</f>
        <v/>
      </c>
      <c r="O113" s="30">
        <f>IF($B113="","",IF(AND(OR(N($L113)&lt;&gt;0,N($M113)&lt;&gt;0),NOT(ISNUMBER($K113))),"支払日なし",IF($N113=0,IF(N($G113)=0,"請求額0","支払済"),IF($N113&lt;0,"払いすぎ",IF(N($L113)+N($M113)=0,"未払","一部支払")))))</f>
        <v/>
      </c>
      <c r="P113" s="30">
        <f>IF(OR($B113="",N($N113)&lt;=0,NOT(ISNUMBER($J113))),"",IF($J113&lt;'設定'!$B$7,"期日超過 "&amp;('設定'!$B$7-$J113)&amp;"日",IF($J113='設定'!$B$7,"今日","あと "&amp;($J113-'設定'!$B$7)&amp;"日")))</f>
        <v/>
      </c>
      <c r="Q113" s="56" t="n"/>
      <c r="R113" s="32">
        <f>IF($B113="","",IFERROR(MATCH($B113,'仕入先'!$B$5:$B$54,0),"なし"))</f>
        <v/>
      </c>
      <c r="S113" s="33">
        <f>IF($B113="","",IF(ISNUMBER($D113),$D113,IF(ISNUMBER($A113),$A113,"")))</f>
        <v/>
      </c>
      <c r="T113" s="34">
        <f>IF(OR($B113="",N($N113)&lt;=0),"",IF(ISNUMBER($J113),$J113,99999)+ROW()/1000000)</f>
        <v/>
      </c>
      <c r="U113" s="35">
        <f>IF(OR($B113="",$B113&lt;&gt;'買掛帳'!$B$3,NOT(ISNUMBER($S113))),"",IF(AND($S113&gt;='買掛帳'!$Q$3,$S113&lt;='買掛帳'!$Q$4),$S113+ROW()/10000000,""))</f>
        <v/>
      </c>
      <c r="V113" s="35">
        <f>IF(OR($B113="",$B113&lt;&gt;'買掛帳'!$B$3,NOT(ISNUMBER($K113)),N($L113)+N($M113)=0),"",IF(AND($K113&gt;='買掛帳'!$Q$3,$K113&lt;='買掛帳'!$Q$4),$K113+0.5+ROW()/10000000,""))</f>
        <v/>
      </c>
    </row>
    <row r="114" ht="18" customHeight="1">
      <c r="A114" s="26" t="n"/>
      <c r="B114" s="18" t="n"/>
      <c r="C114" s="20">
        <f>IF($B114="","",IF($R114="なし","※仕入先にないコード",INDEX('仕入先'!$C$5:$C$54,$R114)&amp;""))</f>
        <v/>
      </c>
      <c r="D114" s="26" t="n"/>
      <c r="E114" s="18" t="n"/>
      <c r="F114" s="19" t="n"/>
      <c r="G114" s="27" t="n"/>
      <c r="H114" s="29">
        <f>IF(OR($B114="",NOT(ISNUMBER($R114)),NOT(ISNUMBER($S114))),"",IF(OR(INDEX('仕入先'!$D$5:$D$54,$R114)="",INDEX('仕入先'!$E$5:$E$54,$R114)="",INDEX('仕入先'!$F$5:$F$54,$R114)=""),"",IF(INDEX('仕入先'!$F$5:$F$54,$R114)="末",DATE(YEAR($S114),(MONTH($S114)+IF(INDEX('仕入先'!$D$5:$D$54,$R114)="末",0,IF(DAY($S114)&lt;=INDEX('仕入先'!$D$5:$D$54,$R114),0,1))+N(INDEX('仕入先'!$E$5:$E$54,$R114)))+1,0),DATE(YEAR($S114),(MONTH($S114)+IF(INDEX('仕入先'!$D$5:$D$54,$R114)="末",0,IF(DAY($S114)&lt;=INDEX('仕入先'!$D$5:$D$54,$R114),0,1))+N(INDEX('仕入先'!$E$5:$E$54,$R114))),MIN(INDEX('仕入先'!$F$5:$F$54,$R114),DAY(DATE(YEAR($S114),(MONTH($S114)+IF(INDEX('仕入先'!$D$5:$D$54,$R114)="末",0,IF(DAY($S114)&lt;=INDEX('仕入先'!$D$5:$D$54,$R114),0,1))+N(INDEX('仕入先'!$E$5:$E$54,$R114)))+1,0)))))))</f>
        <v/>
      </c>
      <c r="I114" s="26" t="n"/>
      <c r="J114" s="29">
        <f>IF($B114="","",IF(ISNUMBER($I114),$I114,$H114))</f>
        <v/>
      </c>
      <c r="K114" s="26" t="n"/>
      <c r="L114" s="27" t="n"/>
      <c r="M114" s="27" t="n"/>
      <c r="N114" s="28">
        <f>IF($B114="","",N($G114)-N($L114)-N($M114))</f>
        <v/>
      </c>
      <c r="O114" s="30">
        <f>IF($B114="","",IF(AND(OR(N($L114)&lt;&gt;0,N($M114)&lt;&gt;0),NOT(ISNUMBER($K114))),"支払日なし",IF($N114=0,IF(N($G114)=0,"請求額0","支払済"),IF($N114&lt;0,"払いすぎ",IF(N($L114)+N($M114)=0,"未払","一部支払")))))</f>
        <v/>
      </c>
      <c r="P114" s="30">
        <f>IF(OR($B114="",N($N114)&lt;=0,NOT(ISNUMBER($J114))),"",IF($J114&lt;'設定'!$B$7,"期日超過 "&amp;('設定'!$B$7-$J114)&amp;"日",IF($J114='設定'!$B$7,"今日","あと "&amp;($J114-'設定'!$B$7)&amp;"日")))</f>
        <v/>
      </c>
      <c r="Q114" s="56" t="n"/>
      <c r="R114" s="32">
        <f>IF($B114="","",IFERROR(MATCH($B114,'仕入先'!$B$5:$B$54,0),"なし"))</f>
        <v/>
      </c>
      <c r="S114" s="33">
        <f>IF($B114="","",IF(ISNUMBER($D114),$D114,IF(ISNUMBER($A114),$A114,"")))</f>
        <v/>
      </c>
      <c r="T114" s="34">
        <f>IF(OR($B114="",N($N114)&lt;=0),"",IF(ISNUMBER($J114),$J114,99999)+ROW()/1000000)</f>
        <v/>
      </c>
      <c r="U114" s="35">
        <f>IF(OR($B114="",$B114&lt;&gt;'買掛帳'!$B$3,NOT(ISNUMBER($S114))),"",IF(AND($S114&gt;='買掛帳'!$Q$3,$S114&lt;='買掛帳'!$Q$4),$S114+ROW()/10000000,""))</f>
        <v/>
      </c>
      <c r="V114" s="35">
        <f>IF(OR($B114="",$B114&lt;&gt;'買掛帳'!$B$3,NOT(ISNUMBER($K114)),N($L114)+N($M114)=0),"",IF(AND($K114&gt;='買掛帳'!$Q$3,$K114&lt;='買掛帳'!$Q$4),$K114+0.5+ROW()/10000000,""))</f>
        <v/>
      </c>
    </row>
    <row r="115" ht="18" customHeight="1">
      <c r="A115" s="26" t="n"/>
      <c r="B115" s="18" t="n"/>
      <c r="C115" s="20">
        <f>IF($B115="","",IF($R115="なし","※仕入先にないコード",INDEX('仕入先'!$C$5:$C$54,$R115)&amp;""))</f>
        <v/>
      </c>
      <c r="D115" s="26" t="n"/>
      <c r="E115" s="18" t="n"/>
      <c r="F115" s="19" t="n"/>
      <c r="G115" s="27" t="n"/>
      <c r="H115" s="29">
        <f>IF(OR($B115="",NOT(ISNUMBER($R115)),NOT(ISNUMBER($S115))),"",IF(OR(INDEX('仕入先'!$D$5:$D$54,$R115)="",INDEX('仕入先'!$E$5:$E$54,$R115)="",INDEX('仕入先'!$F$5:$F$54,$R115)=""),"",IF(INDEX('仕入先'!$F$5:$F$54,$R115)="末",DATE(YEAR($S115),(MONTH($S115)+IF(INDEX('仕入先'!$D$5:$D$54,$R115)="末",0,IF(DAY($S115)&lt;=INDEX('仕入先'!$D$5:$D$54,$R115),0,1))+N(INDEX('仕入先'!$E$5:$E$54,$R115)))+1,0),DATE(YEAR($S115),(MONTH($S115)+IF(INDEX('仕入先'!$D$5:$D$54,$R115)="末",0,IF(DAY($S115)&lt;=INDEX('仕入先'!$D$5:$D$54,$R115),0,1))+N(INDEX('仕入先'!$E$5:$E$54,$R115))),MIN(INDEX('仕入先'!$F$5:$F$54,$R115),DAY(DATE(YEAR($S115),(MONTH($S115)+IF(INDEX('仕入先'!$D$5:$D$54,$R115)="末",0,IF(DAY($S115)&lt;=INDEX('仕入先'!$D$5:$D$54,$R115),0,1))+N(INDEX('仕入先'!$E$5:$E$54,$R115)))+1,0)))))))</f>
        <v/>
      </c>
      <c r="I115" s="26" t="n"/>
      <c r="J115" s="29">
        <f>IF($B115="","",IF(ISNUMBER($I115),$I115,$H115))</f>
        <v/>
      </c>
      <c r="K115" s="26" t="n"/>
      <c r="L115" s="27" t="n"/>
      <c r="M115" s="27" t="n"/>
      <c r="N115" s="28">
        <f>IF($B115="","",N($G115)-N($L115)-N($M115))</f>
        <v/>
      </c>
      <c r="O115" s="30">
        <f>IF($B115="","",IF(AND(OR(N($L115)&lt;&gt;0,N($M115)&lt;&gt;0),NOT(ISNUMBER($K115))),"支払日なし",IF($N115=0,IF(N($G115)=0,"請求額0","支払済"),IF($N115&lt;0,"払いすぎ",IF(N($L115)+N($M115)=0,"未払","一部支払")))))</f>
        <v/>
      </c>
      <c r="P115" s="30">
        <f>IF(OR($B115="",N($N115)&lt;=0,NOT(ISNUMBER($J115))),"",IF($J115&lt;'設定'!$B$7,"期日超過 "&amp;('設定'!$B$7-$J115)&amp;"日",IF($J115='設定'!$B$7,"今日","あと "&amp;($J115-'設定'!$B$7)&amp;"日")))</f>
        <v/>
      </c>
      <c r="Q115" s="56" t="n"/>
      <c r="R115" s="32">
        <f>IF($B115="","",IFERROR(MATCH($B115,'仕入先'!$B$5:$B$54,0),"なし"))</f>
        <v/>
      </c>
      <c r="S115" s="33">
        <f>IF($B115="","",IF(ISNUMBER($D115),$D115,IF(ISNUMBER($A115),$A115,"")))</f>
        <v/>
      </c>
      <c r="T115" s="34">
        <f>IF(OR($B115="",N($N115)&lt;=0),"",IF(ISNUMBER($J115),$J115,99999)+ROW()/1000000)</f>
        <v/>
      </c>
      <c r="U115" s="35">
        <f>IF(OR($B115="",$B115&lt;&gt;'買掛帳'!$B$3,NOT(ISNUMBER($S115))),"",IF(AND($S115&gt;='買掛帳'!$Q$3,$S115&lt;='買掛帳'!$Q$4),$S115+ROW()/10000000,""))</f>
        <v/>
      </c>
      <c r="V115" s="35">
        <f>IF(OR($B115="",$B115&lt;&gt;'買掛帳'!$B$3,NOT(ISNUMBER($K115)),N($L115)+N($M115)=0),"",IF(AND($K115&gt;='買掛帳'!$Q$3,$K115&lt;='買掛帳'!$Q$4),$K115+0.5+ROW()/10000000,""))</f>
        <v/>
      </c>
    </row>
    <row r="116" ht="18" customHeight="1">
      <c r="A116" s="26" t="n"/>
      <c r="B116" s="18" t="n"/>
      <c r="C116" s="20">
        <f>IF($B116="","",IF($R116="なし","※仕入先にないコード",INDEX('仕入先'!$C$5:$C$54,$R116)&amp;""))</f>
        <v/>
      </c>
      <c r="D116" s="26" t="n"/>
      <c r="E116" s="18" t="n"/>
      <c r="F116" s="19" t="n"/>
      <c r="G116" s="27" t="n"/>
      <c r="H116" s="29">
        <f>IF(OR($B116="",NOT(ISNUMBER($R116)),NOT(ISNUMBER($S116))),"",IF(OR(INDEX('仕入先'!$D$5:$D$54,$R116)="",INDEX('仕入先'!$E$5:$E$54,$R116)="",INDEX('仕入先'!$F$5:$F$54,$R116)=""),"",IF(INDEX('仕入先'!$F$5:$F$54,$R116)="末",DATE(YEAR($S116),(MONTH($S116)+IF(INDEX('仕入先'!$D$5:$D$54,$R116)="末",0,IF(DAY($S116)&lt;=INDEX('仕入先'!$D$5:$D$54,$R116),0,1))+N(INDEX('仕入先'!$E$5:$E$54,$R116)))+1,0),DATE(YEAR($S116),(MONTH($S116)+IF(INDEX('仕入先'!$D$5:$D$54,$R116)="末",0,IF(DAY($S116)&lt;=INDEX('仕入先'!$D$5:$D$54,$R116),0,1))+N(INDEX('仕入先'!$E$5:$E$54,$R116))),MIN(INDEX('仕入先'!$F$5:$F$54,$R116),DAY(DATE(YEAR($S116),(MONTH($S116)+IF(INDEX('仕入先'!$D$5:$D$54,$R116)="末",0,IF(DAY($S116)&lt;=INDEX('仕入先'!$D$5:$D$54,$R116),0,1))+N(INDEX('仕入先'!$E$5:$E$54,$R116)))+1,0)))))))</f>
        <v/>
      </c>
      <c r="I116" s="26" t="n"/>
      <c r="J116" s="29">
        <f>IF($B116="","",IF(ISNUMBER($I116),$I116,$H116))</f>
        <v/>
      </c>
      <c r="K116" s="26" t="n"/>
      <c r="L116" s="27" t="n"/>
      <c r="M116" s="27" t="n"/>
      <c r="N116" s="28">
        <f>IF($B116="","",N($G116)-N($L116)-N($M116))</f>
        <v/>
      </c>
      <c r="O116" s="30">
        <f>IF($B116="","",IF(AND(OR(N($L116)&lt;&gt;0,N($M116)&lt;&gt;0),NOT(ISNUMBER($K116))),"支払日なし",IF($N116=0,IF(N($G116)=0,"請求額0","支払済"),IF($N116&lt;0,"払いすぎ",IF(N($L116)+N($M116)=0,"未払","一部支払")))))</f>
        <v/>
      </c>
      <c r="P116" s="30">
        <f>IF(OR($B116="",N($N116)&lt;=0,NOT(ISNUMBER($J116))),"",IF($J116&lt;'設定'!$B$7,"期日超過 "&amp;('設定'!$B$7-$J116)&amp;"日",IF($J116='設定'!$B$7,"今日","あと "&amp;($J116-'設定'!$B$7)&amp;"日")))</f>
        <v/>
      </c>
      <c r="Q116" s="56" t="n"/>
      <c r="R116" s="32">
        <f>IF($B116="","",IFERROR(MATCH($B116,'仕入先'!$B$5:$B$54,0),"なし"))</f>
        <v/>
      </c>
      <c r="S116" s="33">
        <f>IF($B116="","",IF(ISNUMBER($D116),$D116,IF(ISNUMBER($A116),$A116,"")))</f>
        <v/>
      </c>
      <c r="T116" s="34">
        <f>IF(OR($B116="",N($N116)&lt;=0),"",IF(ISNUMBER($J116),$J116,99999)+ROW()/1000000)</f>
        <v/>
      </c>
      <c r="U116" s="35">
        <f>IF(OR($B116="",$B116&lt;&gt;'買掛帳'!$B$3,NOT(ISNUMBER($S116))),"",IF(AND($S116&gt;='買掛帳'!$Q$3,$S116&lt;='買掛帳'!$Q$4),$S116+ROW()/10000000,""))</f>
        <v/>
      </c>
      <c r="V116" s="35">
        <f>IF(OR($B116="",$B116&lt;&gt;'買掛帳'!$B$3,NOT(ISNUMBER($K116)),N($L116)+N($M116)=0),"",IF(AND($K116&gt;='買掛帳'!$Q$3,$K116&lt;='買掛帳'!$Q$4),$K116+0.5+ROW()/10000000,""))</f>
        <v/>
      </c>
    </row>
    <row r="117" ht="18" customHeight="1">
      <c r="A117" s="26" t="n"/>
      <c r="B117" s="18" t="n"/>
      <c r="C117" s="20">
        <f>IF($B117="","",IF($R117="なし","※仕入先にないコード",INDEX('仕入先'!$C$5:$C$54,$R117)&amp;""))</f>
        <v/>
      </c>
      <c r="D117" s="26" t="n"/>
      <c r="E117" s="18" t="n"/>
      <c r="F117" s="19" t="n"/>
      <c r="G117" s="27" t="n"/>
      <c r="H117" s="29">
        <f>IF(OR($B117="",NOT(ISNUMBER($R117)),NOT(ISNUMBER($S117))),"",IF(OR(INDEX('仕入先'!$D$5:$D$54,$R117)="",INDEX('仕入先'!$E$5:$E$54,$R117)="",INDEX('仕入先'!$F$5:$F$54,$R117)=""),"",IF(INDEX('仕入先'!$F$5:$F$54,$R117)="末",DATE(YEAR($S117),(MONTH($S117)+IF(INDEX('仕入先'!$D$5:$D$54,$R117)="末",0,IF(DAY($S117)&lt;=INDEX('仕入先'!$D$5:$D$54,$R117),0,1))+N(INDEX('仕入先'!$E$5:$E$54,$R117)))+1,0),DATE(YEAR($S117),(MONTH($S117)+IF(INDEX('仕入先'!$D$5:$D$54,$R117)="末",0,IF(DAY($S117)&lt;=INDEX('仕入先'!$D$5:$D$54,$R117),0,1))+N(INDEX('仕入先'!$E$5:$E$54,$R117))),MIN(INDEX('仕入先'!$F$5:$F$54,$R117),DAY(DATE(YEAR($S117),(MONTH($S117)+IF(INDEX('仕入先'!$D$5:$D$54,$R117)="末",0,IF(DAY($S117)&lt;=INDEX('仕入先'!$D$5:$D$54,$R117),0,1))+N(INDEX('仕入先'!$E$5:$E$54,$R117)))+1,0)))))))</f>
        <v/>
      </c>
      <c r="I117" s="26" t="n"/>
      <c r="J117" s="29">
        <f>IF($B117="","",IF(ISNUMBER($I117),$I117,$H117))</f>
        <v/>
      </c>
      <c r="K117" s="26" t="n"/>
      <c r="L117" s="27" t="n"/>
      <c r="M117" s="27" t="n"/>
      <c r="N117" s="28">
        <f>IF($B117="","",N($G117)-N($L117)-N($M117))</f>
        <v/>
      </c>
      <c r="O117" s="30">
        <f>IF($B117="","",IF(AND(OR(N($L117)&lt;&gt;0,N($M117)&lt;&gt;0),NOT(ISNUMBER($K117))),"支払日なし",IF($N117=0,IF(N($G117)=0,"請求額0","支払済"),IF($N117&lt;0,"払いすぎ",IF(N($L117)+N($M117)=0,"未払","一部支払")))))</f>
        <v/>
      </c>
      <c r="P117" s="30">
        <f>IF(OR($B117="",N($N117)&lt;=0,NOT(ISNUMBER($J117))),"",IF($J117&lt;'設定'!$B$7,"期日超過 "&amp;('設定'!$B$7-$J117)&amp;"日",IF($J117='設定'!$B$7,"今日","あと "&amp;($J117-'設定'!$B$7)&amp;"日")))</f>
        <v/>
      </c>
      <c r="Q117" s="56" t="n"/>
      <c r="R117" s="32">
        <f>IF($B117="","",IFERROR(MATCH($B117,'仕入先'!$B$5:$B$54,0),"なし"))</f>
        <v/>
      </c>
      <c r="S117" s="33">
        <f>IF($B117="","",IF(ISNUMBER($D117),$D117,IF(ISNUMBER($A117),$A117,"")))</f>
        <v/>
      </c>
      <c r="T117" s="34">
        <f>IF(OR($B117="",N($N117)&lt;=0),"",IF(ISNUMBER($J117),$J117,99999)+ROW()/1000000)</f>
        <v/>
      </c>
      <c r="U117" s="35">
        <f>IF(OR($B117="",$B117&lt;&gt;'買掛帳'!$B$3,NOT(ISNUMBER($S117))),"",IF(AND($S117&gt;='買掛帳'!$Q$3,$S117&lt;='買掛帳'!$Q$4),$S117+ROW()/10000000,""))</f>
        <v/>
      </c>
      <c r="V117" s="35">
        <f>IF(OR($B117="",$B117&lt;&gt;'買掛帳'!$B$3,NOT(ISNUMBER($K117)),N($L117)+N($M117)=0),"",IF(AND($K117&gt;='買掛帳'!$Q$3,$K117&lt;='買掛帳'!$Q$4),$K117+0.5+ROW()/10000000,""))</f>
        <v/>
      </c>
    </row>
    <row r="118" ht="18" customHeight="1">
      <c r="A118" s="26" t="n"/>
      <c r="B118" s="18" t="n"/>
      <c r="C118" s="20">
        <f>IF($B118="","",IF($R118="なし","※仕入先にないコード",INDEX('仕入先'!$C$5:$C$54,$R118)&amp;""))</f>
        <v/>
      </c>
      <c r="D118" s="26" t="n"/>
      <c r="E118" s="18" t="n"/>
      <c r="F118" s="19" t="n"/>
      <c r="G118" s="27" t="n"/>
      <c r="H118" s="29">
        <f>IF(OR($B118="",NOT(ISNUMBER($R118)),NOT(ISNUMBER($S118))),"",IF(OR(INDEX('仕入先'!$D$5:$D$54,$R118)="",INDEX('仕入先'!$E$5:$E$54,$R118)="",INDEX('仕入先'!$F$5:$F$54,$R118)=""),"",IF(INDEX('仕入先'!$F$5:$F$54,$R118)="末",DATE(YEAR($S118),(MONTH($S118)+IF(INDEX('仕入先'!$D$5:$D$54,$R118)="末",0,IF(DAY($S118)&lt;=INDEX('仕入先'!$D$5:$D$54,$R118),0,1))+N(INDEX('仕入先'!$E$5:$E$54,$R118)))+1,0),DATE(YEAR($S118),(MONTH($S118)+IF(INDEX('仕入先'!$D$5:$D$54,$R118)="末",0,IF(DAY($S118)&lt;=INDEX('仕入先'!$D$5:$D$54,$R118),0,1))+N(INDEX('仕入先'!$E$5:$E$54,$R118))),MIN(INDEX('仕入先'!$F$5:$F$54,$R118),DAY(DATE(YEAR($S118),(MONTH($S118)+IF(INDEX('仕入先'!$D$5:$D$54,$R118)="末",0,IF(DAY($S118)&lt;=INDEX('仕入先'!$D$5:$D$54,$R118),0,1))+N(INDEX('仕入先'!$E$5:$E$54,$R118)))+1,0)))))))</f>
        <v/>
      </c>
      <c r="I118" s="26" t="n"/>
      <c r="J118" s="29">
        <f>IF($B118="","",IF(ISNUMBER($I118),$I118,$H118))</f>
        <v/>
      </c>
      <c r="K118" s="26" t="n"/>
      <c r="L118" s="27" t="n"/>
      <c r="M118" s="27" t="n"/>
      <c r="N118" s="28">
        <f>IF($B118="","",N($G118)-N($L118)-N($M118))</f>
        <v/>
      </c>
      <c r="O118" s="30">
        <f>IF($B118="","",IF(AND(OR(N($L118)&lt;&gt;0,N($M118)&lt;&gt;0),NOT(ISNUMBER($K118))),"支払日なし",IF($N118=0,IF(N($G118)=0,"請求額0","支払済"),IF($N118&lt;0,"払いすぎ",IF(N($L118)+N($M118)=0,"未払","一部支払")))))</f>
        <v/>
      </c>
      <c r="P118" s="30">
        <f>IF(OR($B118="",N($N118)&lt;=0,NOT(ISNUMBER($J118))),"",IF($J118&lt;'設定'!$B$7,"期日超過 "&amp;('設定'!$B$7-$J118)&amp;"日",IF($J118='設定'!$B$7,"今日","あと "&amp;($J118-'設定'!$B$7)&amp;"日")))</f>
        <v/>
      </c>
      <c r="Q118" s="56" t="n"/>
      <c r="R118" s="32">
        <f>IF($B118="","",IFERROR(MATCH($B118,'仕入先'!$B$5:$B$54,0),"なし"))</f>
        <v/>
      </c>
      <c r="S118" s="33">
        <f>IF($B118="","",IF(ISNUMBER($D118),$D118,IF(ISNUMBER($A118),$A118,"")))</f>
        <v/>
      </c>
      <c r="T118" s="34">
        <f>IF(OR($B118="",N($N118)&lt;=0),"",IF(ISNUMBER($J118),$J118,99999)+ROW()/1000000)</f>
        <v/>
      </c>
      <c r="U118" s="35">
        <f>IF(OR($B118="",$B118&lt;&gt;'買掛帳'!$B$3,NOT(ISNUMBER($S118))),"",IF(AND($S118&gt;='買掛帳'!$Q$3,$S118&lt;='買掛帳'!$Q$4),$S118+ROW()/10000000,""))</f>
        <v/>
      </c>
      <c r="V118" s="35">
        <f>IF(OR($B118="",$B118&lt;&gt;'買掛帳'!$B$3,NOT(ISNUMBER($K118)),N($L118)+N($M118)=0),"",IF(AND($K118&gt;='買掛帳'!$Q$3,$K118&lt;='買掛帳'!$Q$4),$K118+0.5+ROW()/10000000,""))</f>
        <v/>
      </c>
    </row>
    <row r="119" ht="18" customHeight="1">
      <c r="A119" s="26" t="n"/>
      <c r="B119" s="18" t="n"/>
      <c r="C119" s="20">
        <f>IF($B119="","",IF($R119="なし","※仕入先にないコード",INDEX('仕入先'!$C$5:$C$54,$R119)&amp;""))</f>
        <v/>
      </c>
      <c r="D119" s="26" t="n"/>
      <c r="E119" s="18" t="n"/>
      <c r="F119" s="19" t="n"/>
      <c r="G119" s="27" t="n"/>
      <c r="H119" s="29">
        <f>IF(OR($B119="",NOT(ISNUMBER($R119)),NOT(ISNUMBER($S119))),"",IF(OR(INDEX('仕入先'!$D$5:$D$54,$R119)="",INDEX('仕入先'!$E$5:$E$54,$R119)="",INDEX('仕入先'!$F$5:$F$54,$R119)=""),"",IF(INDEX('仕入先'!$F$5:$F$54,$R119)="末",DATE(YEAR($S119),(MONTH($S119)+IF(INDEX('仕入先'!$D$5:$D$54,$R119)="末",0,IF(DAY($S119)&lt;=INDEX('仕入先'!$D$5:$D$54,$R119),0,1))+N(INDEX('仕入先'!$E$5:$E$54,$R119)))+1,0),DATE(YEAR($S119),(MONTH($S119)+IF(INDEX('仕入先'!$D$5:$D$54,$R119)="末",0,IF(DAY($S119)&lt;=INDEX('仕入先'!$D$5:$D$54,$R119),0,1))+N(INDEX('仕入先'!$E$5:$E$54,$R119))),MIN(INDEX('仕入先'!$F$5:$F$54,$R119),DAY(DATE(YEAR($S119),(MONTH($S119)+IF(INDEX('仕入先'!$D$5:$D$54,$R119)="末",0,IF(DAY($S119)&lt;=INDEX('仕入先'!$D$5:$D$54,$R119),0,1))+N(INDEX('仕入先'!$E$5:$E$54,$R119)))+1,0)))))))</f>
        <v/>
      </c>
      <c r="I119" s="26" t="n"/>
      <c r="J119" s="29">
        <f>IF($B119="","",IF(ISNUMBER($I119),$I119,$H119))</f>
        <v/>
      </c>
      <c r="K119" s="26" t="n"/>
      <c r="L119" s="27" t="n"/>
      <c r="M119" s="27" t="n"/>
      <c r="N119" s="28">
        <f>IF($B119="","",N($G119)-N($L119)-N($M119))</f>
        <v/>
      </c>
      <c r="O119" s="30">
        <f>IF($B119="","",IF(AND(OR(N($L119)&lt;&gt;0,N($M119)&lt;&gt;0),NOT(ISNUMBER($K119))),"支払日なし",IF($N119=0,IF(N($G119)=0,"請求額0","支払済"),IF($N119&lt;0,"払いすぎ",IF(N($L119)+N($M119)=0,"未払","一部支払")))))</f>
        <v/>
      </c>
      <c r="P119" s="30">
        <f>IF(OR($B119="",N($N119)&lt;=0,NOT(ISNUMBER($J119))),"",IF($J119&lt;'設定'!$B$7,"期日超過 "&amp;('設定'!$B$7-$J119)&amp;"日",IF($J119='設定'!$B$7,"今日","あと "&amp;($J119-'設定'!$B$7)&amp;"日")))</f>
        <v/>
      </c>
      <c r="Q119" s="56" t="n"/>
      <c r="R119" s="32">
        <f>IF($B119="","",IFERROR(MATCH($B119,'仕入先'!$B$5:$B$54,0),"なし"))</f>
        <v/>
      </c>
      <c r="S119" s="33">
        <f>IF($B119="","",IF(ISNUMBER($D119),$D119,IF(ISNUMBER($A119),$A119,"")))</f>
        <v/>
      </c>
      <c r="T119" s="34">
        <f>IF(OR($B119="",N($N119)&lt;=0),"",IF(ISNUMBER($J119),$J119,99999)+ROW()/1000000)</f>
        <v/>
      </c>
      <c r="U119" s="35">
        <f>IF(OR($B119="",$B119&lt;&gt;'買掛帳'!$B$3,NOT(ISNUMBER($S119))),"",IF(AND($S119&gt;='買掛帳'!$Q$3,$S119&lt;='買掛帳'!$Q$4),$S119+ROW()/10000000,""))</f>
        <v/>
      </c>
      <c r="V119" s="35">
        <f>IF(OR($B119="",$B119&lt;&gt;'買掛帳'!$B$3,NOT(ISNUMBER($K119)),N($L119)+N($M119)=0),"",IF(AND($K119&gt;='買掛帳'!$Q$3,$K119&lt;='買掛帳'!$Q$4),$K119+0.5+ROW()/10000000,""))</f>
        <v/>
      </c>
    </row>
    <row r="120" ht="18" customHeight="1">
      <c r="A120" s="26" t="n"/>
      <c r="B120" s="18" t="n"/>
      <c r="C120" s="20">
        <f>IF($B120="","",IF($R120="なし","※仕入先にないコード",INDEX('仕入先'!$C$5:$C$54,$R120)&amp;""))</f>
        <v/>
      </c>
      <c r="D120" s="26" t="n"/>
      <c r="E120" s="18" t="n"/>
      <c r="F120" s="19" t="n"/>
      <c r="G120" s="27" t="n"/>
      <c r="H120" s="29">
        <f>IF(OR($B120="",NOT(ISNUMBER($R120)),NOT(ISNUMBER($S120))),"",IF(OR(INDEX('仕入先'!$D$5:$D$54,$R120)="",INDEX('仕入先'!$E$5:$E$54,$R120)="",INDEX('仕入先'!$F$5:$F$54,$R120)=""),"",IF(INDEX('仕入先'!$F$5:$F$54,$R120)="末",DATE(YEAR($S120),(MONTH($S120)+IF(INDEX('仕入先'!$D$5:$D$54,$R120)="末",0,IF(DAY($S120)&lt;=INDEX('仕入先'!$D$5:$D$54,$R120),0,1))+N(INDEX('仕入先'!$E$5:$E$54,$R120)))+1,0),DATE(YEAR($S120),(MONTH($S120)+IF(INDEX('仕入先'!$D$5:$D$54,$R120)="末",0,IF(DAY($S120)&lt;=INDEX('仕入先'!$D$5:$D$54,$R120),0,1))+N(INDEX('仕入先'!$E$5:$E$54,$R120))),MIN(INDEX('仕入先'!$F$5:$F$54,$R120),DAY(DATE(YEAR($S120),(MONTH($S120)+IF(INDEX('仕入先'!$D$5:$D$54,$R120)="末",0,IF(DAY($S120)&lt;=INDEX('仕入先'!$D$5:$D$54,$R120),0,1))+N(INDEX('仕入先'!$E$5:$E$54,$R120)))+1,0)))))))</f>
        <v/>
      </c>
      <c r="I120" s="26" t="n"/>
      <c r="J120" s="29">
        <f>IF($B120="","",IF(ISNUMBER($I120),$I120,$H120))</f>
        <v/>
      </c>
      <c r="K120" s="26" t="n"/>
      <c r="L120" s="27" t="n"/>
      <c r="M120" s="27" t="n"/>
      <c r="N120" s="28">
        <f>IF($B120="","",N($G120)-N($L120)-N($M120))</f>
        <v/>
      </c>
      <c r="O120" s="30">
        <f>IF($B120="","",IF(AND(OR(N($L120)&lt;&gt;0,N($M120)&lt;&gt;0),NOT(ISNUMBER($K120))),"支払日なし",IF($N120=0,IF(N($G120)=0,"請求額0","支払済"),IF($N120&lt;0,"払いすぎ",IF(N($L120)+N($M120)=0,"未払","一部支払")))))</f>
        <v/>
      </c>
      <c r="P120" s="30">
        <f>IF(OR($B120="",N($N120)&lt;=0,NOT(ISNUMBER($J120))),"",IF($J120&lt;'設定'!$B$7,"期日超過 "&amp;('設定'!$B$7-$J120)&amp;"日",IF($J120='設定'!$B$7,"今日","あと "&amp;($J120-'設定'!$B$7)&amp;"日")))</f>
        <v/>
      </c>
      <c r="Q120" s="56" t="n"/>
      <c r="R120" s="32">
        <f>IF($B120="","",IFERROR(MATCH($B120,'仕入先'!$B$5:$B$54,0),"なし"))</f>
        <v/>
      </c>
      <c r="S120" s="33">
        <f>IF($B120="","",IF(ISNUMBER($D120),$D120,IF(ISNUMBER($A120),$A120,"")))</f>
        <v/>
      </c>
      <c r="T120" s="34">
        <f>IF(OR($B120="",N($N120)&lt;=0),"",IF(ISNUMBER($J120),$J120,99999)+ROW()/1000000)</f>
        <v/>
      </c>
      <c r="U120" s="35">
        <f>IF(OR($B120="",$B120&lt;&gt;'買掛帳'!$B$3,NOT(ISNUMBER($S120))),"",IF(AND($S120&gt;='買掛帳'!$Q$3,$S120&lt;='買掛帳'!$Q$4),$S120+ROW()/10000000,""))</f>
        <v/>
      </c>
      <c r="V120" s="35">
        <f>IF(OR($B120="",$B120&lt;&gt;'買掛帳'!$B$3,NOT(ISNUMBER($K120)),N($L120)+N($M120)=0),"",IF(AND($K120&gt;='買掛帳'!$Q$3,$K120&lt;='買掛帳'!$Q$4),$K120+0.5+ROW()/10000000,""))</f>
        <v/>
      </c>
    </row>
    <row r="121" ht="18" customHeight="1">
      <c r="A121" s="26" t="n"/>
      <c r="B121" s="18" t="n"/>
      <c r="C121" s="20">
        <f>IF($B121="","",IF($R121="なし","※仕入先にないコード",INDEX('仕入先'!$C$5:$C$54,$R121)&amp;""))</f>
        <v/>
      </c>
      <c r="D121" s="26" t="n"/>
      <c r="E121" s="18" t="n"/>
      <c r="F121" s="19" t="n"/>
      <c r="G121" s="27" t="n"/>
      <c r="H121" s="29">
        <f>IF(OR($B121="",NOT(ISNUMBER($R121)),NOT(ISNUMBER($S121))),"",IF(OR(INDEX('仕入先'!$D$5:$D$54,$R121)="",INDEX('仕入先'!$E$5:$E$54,$R121)="",INDEX('仕入先'!$F$5:$F$54,$R121)=""),"",IF(INDEX('仕入先'!$F$5:$F$54,$R121)="末",DATE(YEAR($S121),(MONTH($S121)+IF(INDEX('仕入先'!$D$5:$D$54,$R121)="末",0,IF(DAY($S121)&lt;=INDEX('仕入先'!$D$5:$D$54,$R121),0,1))+N(INDEX('仕入先'!$E$5:$E$54,$R121)))+1,0),DATE(YEAR($S121),(MONTH($S121)+IF(INDEX('仕入先'!$D$5:$D$54,$R121)="末",0,IF(DAY($S121)&lt;=INDEX('仕入先'!$D$5:$D$54,$R121),0,1))+N(INDEX('仕入先'!$E$5:$E$54,$R121))),MIN(INDEX('仕入先'!$F$5:$F$54,$R121),DAY(DATE(YEAR($S121),(MONTH($S121)+IF(INDEX('仕入先'!$D$5:$D$54,$R121)="末",0,IF(DAY($S121)&lt;=INDEX('仕入先'!$D$5:$D$54,$R121),0,1))+N(INDEX('仕入先'!$E$5:$E$54,$R121)))+1,0)))))))</f>
        <v/>
      </c>
      <c r="I121" s="26" t="n"/>
      <c r="J121" s="29">
        <f>IF($B121="","",IF(ISNUMBER($I121),$I121,$H121))</f>
        <v/>
      </c>
      <c r="K121" s="26" t="n"/>
      <c r="L121" s="27" t="n"/>
      <c r="M121" s="27" t="n"/>
      <c r="N121" s="28">
        <f>IF($B121="","",N($G121)-N($L121)-N($M121))</f>
        <v/>
      </c>
      <c r="O121" s="30">
        <f>IF($B121="","",IF(AND(OR(N($L121)&lt;&gt;0,N($M121)&lt;&gt;0),NOT(ISNUMBER($K121))),"支払日なし",IF($N121=0,IF(N($G121)=0,"請求額0","支払済"),IF($N121&lt;0,"払いすぎ",IF(N($L121)+N($M121)=0,"未払","一部支払")))))</f>
        <v/>
      </c>
      <c r="P121" s="30">
        <f>IF(OR($B121="",N($N121)&lt;=0,NOT(ISNUMBER($J121))),"",IF($J121&lt;'設定'!$B$7,"期日超過 "&amp;('設定'!$B$7-$J121)&amp;"日",IF($J121='設定'!$B$7,"今日","あと "&amp;($J121-'設定'!$B$7)&amp;"日")))</f>
        <v/>
      </c>
      <c r="Q121" s="56" t="n"/>
      <c r="R121" s="32">
        <f>IF($B121="","",IFERROR(MATCH($B121,'仕入先'!$B$5:$B$54,0),"なし"))</f>
        <v/>
      </c>
      <c r="S121" s="33">
        <f>IF($B121="","",IF(ISNUMBER($D121),$D121,IF(ISNUMBER($A121),$A121,"")))</f>
        <v/>
      </c>
      <c r="T121" s="34">
        <f>IF(OR($B121="",N($N121)&lt;=0),"",IF(ISNUMBER($J121),$J121,99999)+ROW()/1000000)</f>
        <v/>
      </c>
      <c r="U121" s="35">
        <f>IF(OR($B121="",$B121&lt;&gt;'買掛帳'!$B$3,NOT(ISNUMBER($S121))),"",IF(AND($S121&gt;='買掛帳'!$Q$3,$S121&lt;='買掛帳'!$Q$4),$S121+ROW()/10000000,""))</f>
        <v/>
      </c>
      <c r="V121" s="35">
        <f>IF(OR($B121="",$B121&lt;&gt;'買掛帳'!$B$3,NOT(ISNUMBER($K121)),N($L121)+N($M121)=0),"",IF(AND($K121&gt;='買掛帳'!$Q$3,$K121&lt;='買掛帳'!$Q$4),$K121+0.5+ROW()/10000000,""))</f>
        <v/>
      </c>
    </row>
    <row r="122" ht="18" customHeight="1">
      <c r="A122" s="26" t="n"/>
      <c r="B122" s="18" t="n"/>
      <c r="C122" s="20">
        <f>IF($B122="","",IF($R122="なし","※仕入先にないコード",INDEX('仕入先'!$C$5:$C$54,$R122)&amp;""))</f>
        <v/>
      </c>
      <c r="D122" s="26" t="n"/>
      <c r="E122" s="18" t="n"/>
      <c r="F122" s="19" t="n"/>
      <c r="G122" s="27" t="n"/>
      <c r="H122" s="29">
        <f>IF(OR($B122="",NOT(ISNUMBER($R122)),NOT(ISNUMBER($S122))),"",IF(OR(INDEX('仕入先'!$D$5:$D$54,$R122)="",INDEX('仕入先'!$E$5:$E$54,$R122)="",INDEX('仕入先'!$F$5:$F$54,$R122)=""),"",IF(INDEX('仕入先'!$F$5:$F$54,$R122)="末",DATE(YEAR($S122),(MONTH($S122)+IF(INDEX('仕入先'!$D$5:$D$54,$R122)="末",0,IF(DAY($S122)&lt;=INDEX('仕入先'!$D$5:$D$54,$R122),0,1))+N(INDEX('仕入先'!$E$5:$E$54,$R122)))+1,0),DATE(YEAR($S122),(MONTH($S122)+IF(INDEX('仕入先'!$D$5:$D$54,$R122)="末",0,IF(DAY($S122)&lt;=INDEX('仕入先'!$D$5:$D$54,$R122),0,1))+N(INDEX('仕入先'!$E$5:$E$54,$R122))),MIN(INDEX('仕入先'!$F$5:$F$54,$R122),DAY(DATE(YEAR($S122),(MONTH($S122)+IF(INDEX('仕入先'!$D$5:$D$54,$R122)="末",0,IF(DAY($S122)&lt;=INDEX('仕入先'!$D$5:$D$54,$R122),0,1))+N(INDEX('仕入先'!$E$5:$E$54,$R122)))+1,0)))))))</f>
        <v/>
      </c>
      <c r="I122" s="26" t="n"/>
      <c r="J122" s="29">
        <f>IF($B122="","",IF(ISNUMBER($I122),$I122,$H122))</f>
        <v/>
      </c>
      <c r="K122" s="26" t="n"/>
      <c r="L122" s="27" t="n"/>
      <c r="M122" s="27" t="n"/>
      <c r="N122" s="28">
        <f>IF($B122="","",N($G122)-N($L122)-N($M122))</f>
        <v/>
      </c>
      <c r="O122" s="30">
        <f>IF($B122="","",IF(AND(OR(N($L122)&lt;&gt;0,N($M122)&lt;&gt;0),NOT(ISNUMBER($K122))),"支払日なし",IF($N122=0,IF(N($G122)=0,"請求額0","支払済"),IF($N122&lt;0,"払いすぎ",IF(N($L122)+N($M122)=0,"未払","一部支払")))))</f>
        <v/>
      </c>
      <c r="P122" s="30">
        <f>IF(OR($B122="",N($N122)&lt;=0,NOT(ISNUMBER($J122))),"",IF($J122&lt;'設定'!$B$7,"期日超過 "&amp;('設定'!$B$7-$J122)&amp;"日",IF($J122='設定'!$B$7,"今日","あと "&amp;($J122-'設定'!$B$7)&amp;"日")))</f>
        <v/>
      </c>
      <c r="Q122" s="56" t="n"/>
      <c r="R122" s="32">
        <f>IF($B122="","",IFERROR(MATCH($B122,'仕入先'!$B$5:$B$54,0),"なし"))</f>
        <v/>
      </c>
      <c r="S122" s="33">
        <f>IF($B122="","",IF(ISNUMBER($D122),$D122,IF(ISNUMBER($A122),$A122,"")))</f>
        <v/>
      </c>
      <c r="T122" s="34">
        <f>IF(OR($B122="",N($N122)&lt;=0),"",IF(ISNUMBER($J122),$J122,99999)+ROW()/1000000)</f>
        <v/>
      </c>
      <c r="U122" s="35">
        <f>IF(OR($B122="",$B122&lt;&gt;'買掛帳'!$B$3,NOT(ISNUMBER($S122))),"",IF(AND($S122&gt;='買掛帳'!$Q$3,$S122&lt;='買掛帳'!$Q$4),$S122+ROW()/10000000,""))</f>
        <v/>
      </c>
      <c r="V122" s="35">
        <f>IF(OR($B122="",$B122&lt;&gt;'買掛帳'!$B$3,NOT(ISNUMBER($K122)),N($L122)+N($M122)=0),"",IF(AND($K122&gt;='買掛帳'!$Q$3,$K122&lt;='買掛帳'!$Q$4),$K122+0.5+ROW()/10000000,""))</f>
        <v/>
      </c>
    </row>
    <row r="123" ht="18" customHeight="1">
      <c r="A123" s="26" t="n"/>
      <c r="B123" s="18" t="n"/>
      <c r="C123" s="20">
        <f>IF($B123="","",IF($R123="なし","※仕入先にないコード",INDEX('仕入先'!$C$5:$C$54,$R123)&amp;""))</f>
        <v/>
      </c>
      <c r="D123" s="26" t="n"/>
      <c r="E123" s="18" t="n"/>
      <c r="F123" s="19" t="n"/>
      <c r="G123" s="27" t="n"/>
      <c r="H123" s="29">
        <f>IF(OR($B123="",NOT(ISNUMBER($R123)),NOT(ISNUMBER($S123))),"",IF(OR(INDEX('仕入先'!$D$5:$D$54,$R123)="",INDEX('仕入先'!$E$5:$E$54,$R123)="",INDEX('仕入先'!$F$5:$F$54,$R123)=""),"",IF(INDEX('仕入先'!$F$5:$F$54,$R123)="末",DATE(YEAR($S123),(MONTH($S123)+IF(INDEX('仕入先'!$D$5:$D$54,$R123)="末",0,IF(DAY($S123)&lt;=INDEX('仕入先'!$D$5:$D$54,$R123),0,1))+N(INDEX('仕入先'!$E$5:$E$54,$R123)))+1,0),DATE(YEAR($S123),(MONTH($S123)+IF(INDEX('仕入先'!$D$5:$D$54,$R123)="末",0,IF(DAY($S123)&lt;=INDEX('仕入先'!$D$5:$D$54,$R123),0,1))+N(INDEX('仕入先'!$E$5:$E$54,$R123))),MIN(INDEX('仕入先'!$F$5:$F$54,$R123),DAY(DATE(YEAR($S123),(MONTH($S123)+IF(INDEX('仕入先'!$D$5:$D$54,$R123)="末",0,IF(DAY($S123)&lt;=INDEX('仕入先'!$D$5:$D$54,$R123),0,1))+N(INDEX('仕入先'!$E$5:$E$54,$R123)))+1,0)))))))</f>
        <v/>
      </c>
      <c r="I123" s="26" t="n"/>
      <c r="J123" s="29">
        <f>IF($B123="","",IF(ISNUMBER($I123),$I123,$H123))</f>
        <v/>
      </c>
      <c r="K123" s="26" t="n"/>
      <c r="L123" s="27" t="n"/>
      <c r="M123" s="27" t="n"/>
      <c r="N123" s="28">
        <f>IF($B123="","",N($G123)-N($L123)-N($M123))</f>
        <v/>
      </c>
      <c r="O123" s="30">
        <f>IF($B123="","",IF(AND(OR(N($L123)&lt;&gt;0,N($M123)&lt;&gt;0),NOT(ISNUMBER($K123))),"支払日なし",IF($N123=0,IF(N($G123)=0,"請求額0","支払済"),IF($N123&lt;0,"払いすぎ",IF(N($L123)+N($M123)=0,"未払","一部支払")))))</f>
        <v/>
      </c>
      <c r="P123" s="30">
        <f>IF(OR($B123="",N($N123)&lt;=0,NOT(ISNUMBER($J123))),"",IF($J123&lt;'設定'!$B$7,"期日超過 "&amp;('設定'!$B$7-$J123)&amp;"日",IF($J123='設定'!$B$7,"今日","あと "&amp;($J123-'設定'!$B$7)&amp;"日")))</f>
        <v/>
      </c>
      <c r="Q123" s="56" t="n"/>
      <c r="R123" s="32">
        <f>IF($B123="","",IFERROR(MATCH($B123,'仕入先'!$B$5:$B$54,0),"なし"))</f>
        <v/>
      </c>
      <c r="S123" s="33">
        <f>IF($B123="","",IF(ISNUMBER($D123),$D123,IF(ISNUMBER($A123),$A123,"")))</f>
        <v/>
      </c>
      <c r="T123" s="34">
        <f>IF(OR($B123="",N($N123)&lt;=0),"",IF(ISNUMBER($J123),$J123,99999)+ROW()/1000000)</f>
        <v/>
      </c>
      <c r="U123" s="35">
        <f>IF(OR($B123="",$B123&lt;&gt;'買掛帳'!$B$3,NOT(ISNUMBER($S123))),"",IF(AND($S123&gt;='買掛帳'!$Q$3,$S123&lt;='買掛帳'!$Q$4),$S123+ROW()/10000000,""))</f>
        <v/>
      </c>
      <c r="V123" s="35">
        <f>IF(OR($B123="",$B123&lt;&gt;'買掛帳'!$B$3,NOT(ISNUMBER($K123)),N($L123)+N($M123)=0),"",IF(AND($K123&gt;='買掛帳'!$Q$3,$K123&lt;='買掛帳'!$Q$4),$K123+0.5+ROW()/10000000,""))</f>
        <v/>
      </c>
    </row>
    <row r="124" ht="18" customHeight="1">
      <c r="A124" s="26" t="n"/>
      <c r="B124" s="18" t="n"/>
      <c r="C124" s="20">
        <f>IF($B124="","",IF($R124="なし","※仕入先にないコード",INDEX('仕入先'!$C$5:$C$54,$R124)&amp;""))</f>
        <v/>
      </c>
      <c r="D124" s="26" t="n"/>
      <c r="E124" s="18" t="n"/>
      <c r="F124" s="19" t="n"/>
      <c r="G124" s="27" t="n"/>
      <c r="H124" s="29">
        <f>IF(OR($B124="",NOT(ISNUMBER($R124)),NOT(ISNUMBER($S124))),"",IF(OR(INDEX('仕入先'!$D$5:$D$54,$R124)="",INDEX('仕入先'!$E$5:$E$54,$R124)="",INDEX('仕入先'!$F$5:$F$54,$R124)=""),"",IF(INDEX('仕入先'!$F$5:$F$54,$R124)="末",DATE(YEAR($S124),(MONTH($S124)+IF(INDEX('仕入先'!$D$5:$D$54,$R124)="末",0,IF(DAY($S124)&lt;=INDEX('仕入先'!$D$5:$D$54,$R124),0,1))+N(INDEX('仕入先'!$E$5:$E$54,$R124)))+1,0),DATE(YEAR($S124),(MONTH($S124)+IF(INDEX('仕入先'!$D$5:$D$54,$R124)="末",0,IF(DAY($S124)&lt;=INDEX('仕入先'!$D$5:$D$54,$R124),0,1))+N(INDEX('仕入先'!$E$5:$E$54,$R124))),MIN(INDEX('仕入先'!$F$5:$F$54,$R124),DAY(DATE(YEAR($S124),(MONTH($S124)+IF(INDEX('仕入先'!$D$5:$D$54,$R124)="末",0,IF(DAY($S124)&lt;=INDEX('仕入先'!$D$5:$D$54,$R124),0,1))+N(INDEX('仕入先'!$E$5:$E$54,$R124)))+1,0)))))))</f>
        <v/>
      </c>
      <c r="I124" s="26" t="n"/>
      <c r="J124" s="29">
        <f>IF($B124="","",IF(ISNUMBER($I124),$I124,$H124))</f>
        <v/>
      </c>
      <c r="K124" s="26" t="n"/>
      <c r="L124" s="27" t="n"/>
      <c r="M124" s="27" t="n"/>
      <c r="N124" s="28">
        <f>IF($B124="","",N($G124)-N($L124)-N($M124))</f>
        <v/>
      </c>
      <c r="O124" s="30">
        <f>IF($B124="","",IF(AND(OR(N($L124)&lt;&gt;0,N($M124)&lt;&gt;0),NOT(ISNUMBER($K124))),"支払日なし",IF($N124=0,IF(N($G124)=0,"請求額0","支払済"),IF($N124&lt;0,"払いすぎ",IF(N($L124)+N($M124)=0,"未払","一部支払")))))</f>
        <v/>
      </c>
      <c r="P124" s="30">
        <f>IF(OR($B124="",N($N124)&lt;=0,NOT(ISNUMBER($J124))),"",IF($J124&lt;'設定'!$B$7,"期日超過 "&amp;('設定'!$B$7-$J124)&amp;"日",IF($J124='設定'!$B$7,"今日","あと "&amp;($J124-'設定'!$B$7)&amp;"日")))</f>
        <v/>
      </c>
      <c r="Q124" s="56" t="n"/>
      <c r="R124" s="32">
        <f>IF($B124="","",IFERROR(MATCH($B124,'仕入先'!$B$5:$B$54,0),"なし"))</f>
        <v/>
      </c>
      <c r="S124" s="33">
        <f>IF($B124="","",IF(ISNUMBER($D124),$D124,IF(ISNUMBER($A124),$A124,"")))</f>
        <v/>
      </c>
      <c r="T124" s="34">
        <f>IF(OR($B124="",N($N124)&lt;=0),"",IF(ISNUMBER($J124),$J124,99999)+ROW()/1000000)</f>
        <v/>
      </c>
      <c r="U124" s="35">
        <f>IF(OR($B124="",$B124&lt;&gt;'買掛帳'!$B$3,NOT(ISNUMBER($S124))),"",IF(AND($S124&gt;='買掛帳'!$Q$3,$S124&lt;='買掛帳'!$Q$4),$S124+ROW()/10000000,""))</f>
        <v/>
      </c>
      <c r="V124" s="35">
        <f>IF(OR($B124="",$B124&lt;&gt;'買掛帳'!$B$3,NOT(ISNUMBER($K124)),N($L124)+N($M124)=0),"",IF(AND($K124&gt;='買掛帳'!$Q$3,$K124&lt;='買掛帳'!$Q$4),$K124+0.5+ROW()/10000000,""))</f>
        <v/>
      </c>
    </row>
    <row r="125" ht="18" customHeight="1">
      <c r="A125" s="26" t="n"/>
      <c r="B125" s="18" t="n"/>
      <c r="C125" s="20">
        <f>IF($B125="","",IF($R125="なし","※仕入先にないコード",INDEX('仕入先'!$C$5:$C$54,$R125)&amp;""))</f>
        <v/>
      </c>
      <c r="D125" s="26" t="n"/>
      <c r="E125" s="18" t="n"/>
      <c r="F125" s="19" t="n"/>
      <c r="G125" s="27" t="n"/>
      <c r="H125" s="29">
        <f>IF(OR($B125="",NOT(ISNUMBER($R125)),NOT(ISNUMBER($S125))),"",IF(OR(INDEX('仕入先'!$D$5:$D$54,$R125)="",INDEX('仕入先'!$E$5:$E$54,$R125)="",INDEX('仕入先'!$F$5:$F$54,$R125)=""),"",IF(INDEX('仕入先'!$F$5:$F$54,$R125)="末",DATE(YEAR($S125),(MONTH($S125)+IF(INDEX('仕入先'!$D$5:$D$54,$R125)="末",0,IF(DAY($S125)&lt;=INDEX('仕入先'!$D$5:$D$54,$R125),0,1))+N(INDEX('仕入先'!$E$5:$E$54,$R125)))+1,0),DATE(YEAR($S125),(MONTH($S125)+IF(INDEX('仕入先'!$D$5:$D$54,$R125)="末",0,IF(DAY($S125)&lt;=INDEX('仕入先'!$D$5:$D$54,$R125),0,1))+N(INDEX('仕入先'!$E$5:$E$54,$R125))),MIN(INDEX('仕入先'!$F$5:$F$54,$R125),DAY(DATE(YEAR($S125),(MONTH($S125)+IF(INDEX('仕入先'!$D$5:$D$54,$R125)="末",0,IF(DAY($S125)&lt;=INDEX('仕入先'!$D$5:$D$54,$R125),0,1))+N(INDEX('仕入先'!$E$5:$E$54,$R125)))+1,0)))))))</f>
        <v/>
      </c>
      <c r="I125" s="26" t="n"/>
      <c r="J125" s="29">
        <f>IF($B125="","",IF(ISNUMBER($I125),$I125,$H125))</f>
        <v/>
      </c>
      <c r="K125" s="26" t="n"/>
      <c r="L125" s="27" t="n"/>
      <c r="M125" s="27" t="n"/>
      <c r="N125" s="28">
        <f>IF($B125="","",N($G125)-N($L125)-N($M125))</f>
        <v/>
      </c>
      <c r="O125" s="30">
        <f>IF($B125="","",IF(AND(OR(N($L125)&lt;&gt;0,N($M125)&lt;&gt;0),NOT(ISNUMBER($K125))),"支払日なし",IF($N125=0,IF(N($G125)=0,"請求額0","支払済"),IF($N125&lt;0,"払いすぎ",IF(N($L125)+N($M125)=0,"未払","一部支払")))))</f>
        <v/>
      </c>
      <c r="P125" s="30">
        <f>IF(OR($B125="",N($N125)&lt;=0,NOT(ISNUMBER($J125))),"",IF($J125&lt;'設定'!$B$7,"期日超過 "&amp;('設定'!$B$7-$J125)&amp;"日",IF($J125='設定'!$B$7,"今日","あと "&amp;($J125-'設定'!$B$7)&amp;"日")))</f>
        <v/>
      </c>
      <c r="Q125" s="56" t="n"/>
      <c r="R125" s="32">
        <f>IF($B125="","",IFERROR(MATCH($B125,'仕入先'!$B$5:$B$54,0),"なし"))</f>
        <v/>
      </c>
      <c r="S125" s="33">
        <f>IF($B125="","",IF(ISNUMBER($D125),$D125,IF(ISNUMBER($A125),$A125,"")))</f>
        <v/>
      </c>
      <c r="T125" s="34">
        <f>IF(OR($B125="",N($N125)&lt;=0),"",IF(ISNUMBER($J125),$J125,99999)+ROW()/1000000)</f>
        <v/>
      </c>
      <c r="U125" s="35">
        <f>IF(OR($B125="",$B125&lt;&gt;'買掛帳'!$B$3,NOT(ISNUMBER($S125))),"",IF(AND($S125&gt;='買掛帳'!$Q$3,$S125&lt;='買掛帳'!$Q$4),$S125+ROW()/10000000,""))</f>
        <v/>
      </c>
      <c r="V125" s="35">
        <f>IF(OR($B125="",$B125&lt;&gt;'買掛帳'!$B$3,NOT(ISNUMBER($K125)),N($L125)+N($M125)=0),"",IF(AND($K125&gt;='買掛帳'!$Q$3,$K125&lt;='買掛帳'!$Q$4),$K125+0.5+ROW()/10000000,""))</f>
        <v/>
      </c>
    </row>
    <row r="126" ht="18" customHeight="1">
      <c r="A126" s="26" t="n"/>
      <c r="B126" s="18" t="n"/>
      <c r="C126" s="20">
        <f>IF($B126="","",IF($R126="なし","※仕入先にないコード",INDEX('仕入先'!$C$5:$C$54,$R126)&amp;""))</f>
        <v/>
      </c>
      <c r="D126" s="26" t="n"/>
      <c r="E126" s="18" t="n"/>
      <c r="F126" s="19" t="n"/>
      <c r="G126" s="27" t="n"/>
      <c r="H126" s="29">
        <f>IF(OR($B126="",NOT(ISNUMBER($R126)),NOT(ISNUMBER($S126))),"",IF(OR(INDEX('仕入先'!$D$5:$D$54,$R126)="",INDEX('仕入先'!$E$5:$E$54,$R126)="",INDEX('仕入先'!$F$5:$F$54,$R126)=""),"",IF(INDEX('仕入先'!$F$5:$F$54,$R126)="末",DATE(YEAR($S126),(MONTH($S126)+IF(INDEX('仕入先'!$D$5:$D$54,$R126)="末",0,IF(DAY($S126)&lt;=INDEX('仕入先'!$D$5:$D$54,$R126),0,1))+N(INDEX('仕入先'!$E$5:$E$54,$R126)))+1,0),DATE(YEAR($S126),(MONTH($S126)+IF(INDEX('仕入先'!$D$5:$D$54,$R126)="末",0,IF(DAY($S126)&lt;=INDEX('仕入先'!$D$5:$D$54,$R126),0,1))+N(INDEX('仕入先'!$E$5:$E$54,$R126))),MIN(INDEX('仕入先'!$F$5:$F$54,$R126),DAY(DATE(YEAR($S126),(MONTH($S126)+IF(INDEX('仕入先'!$D$5:$D$54,$R126)="末",0,IF(DAY($S126)&lt;=INDEX('仕入先'!$D$5:$D$54,$R126),0,1))+N(INDEX('仕入先'!$E$5:$E$54,$R126)))+1,0)))))))</f>
        <v/>
      </c>
      <c r="I126" s="26" t="n"/>
      <c r="J126" s="29">
        <f>IF($B126="","",IF(ISNUMBER($I126),$I126,$H126))</f>
        <v/>
      </c>
      <c r="K126" s="26" t="n"/>
      <c r="L126" s="27" t="n"/>
      <c r="M126" s="27" t="n"/>
      <c r="N126" s="28">
        <f>IF($B126="","",N($G126)-N($L126)-N($M126))</f>
        <v/>
      </c>
      <c r="O126" s="30">
        <f>IF($B126="","",IF(AND(OR(N($L126)&lt;&gt;0,N($M126)&lt;&gt;0),NOT(ISNUMBER($K126))),"支払日なし",IF($N126=0,IF(N($G126)=0,"請求額0","支払済"),IF($N126&lt;0,"払いすぎ",IF(N($L126)+N($M126)=0,"未払","一部支払")))))</f>
        <v/>
      </c>
      <c r="P126" s="30">
        <f>IF(OR($B126="",N($N126)&lt;=0,NOT(ISNUMBER($J126))),"",IF($J126&lt;'設定'!$B$7,"期日超過 "&amp;('設定'!$B$7-$J126)&amp;"日",IF($J126='設定'!$B$7,"今日","あと "&amp;($J126-'設定'!$B$7)&amp;"日")))</f>
        <v/>
      </c>
      <c r="Q126" s="56" t="n"/>
      <c r="R126" s="32">
        <f>IF($B126="","",IFERROR(MATCH($B126,'仕入先'!$B$5:$B$54,0),"なし"))</f>
        <v/>
      </c>
      <c r="S126" s="33">
        <f>IF($B126="","",IF(ISNUMBER($D126),$D126,IF(ISNUMBER($A126),$A126,"")))</f>
        <v/>
      </c>
      <c r="T126" s="34">
        <f>IF(OR($B126="",N($N126)&lt;=0),"",IF(ISNUMBER($J126),$J126,99999)+ROW()/1000000)</f>
        <v/>
      </c>
      <c r="U126" s="35">
        <f>IF(OR($B126="",$B126&lt;&gt;'買掛帳'!$B$3,NOT(ISNUMBER($S126))),"",IF(AND($S126&gt;='買掛帳'!$Q$3,$S126&lt;='買掛帳'!$Q$4),$S126+ROW()/10000000,""))</f>
        <v/>
      </c>
      <c r="V126" s="35">
        <f>IF(OR($B126="",$B126&lt;&gt;'買掛帳'!$B$3,NOT(ISNUMBER($K126)),N($L126)+N($M126)=0),"",IF(AND($K126&gt;='買掛帳'!$Q$3,$K126&lt;='買掛帳'!$Q$4),$K126+0.5+ROW()/10000000,""))</f>
        <v/>
      </c>
    </row>
    <row r="127" ht="18" customHeight="1">
      <c r="A127" s="26" t="n"/>
      <c r="B127" s="18" t="n"/>
      <c r="C127" s="20">
        <f>IF($B127="","",IF($R127="なし","※仕入先にないコード",INDEX('仕入先'!$C$5:$C$54,$R127)&amp;""))</f>
        <v/>
      </c>
      <c r="D127" s="26" t="n"/>
      <c r="E127" s="18" t="n"/>
      <c r="F127" s="19" t="n"/>
      <c r="G127" s="27" t="n"/>
      <c r="H127" s="29">
        <f>IF(OR($B127="",NOT(ISNUMBER($R127)),NOT(ISNUMBER($S127))),"",IF(OR(INDEX('仕入先'!$D$5:$D$54,$R127)="",INDEX('仕入先'!$E$5:$E$54,$R127)="",INDEX('仕入先'!$F$5:$F$54,$R127)=""),"",IF(INDEX('仕入先'!$F$5:$F$54,$R127)="末",DATE(YEAR($S127),(MONTH($S127)+IF(INDEX('仕入先'!$D$5:$D$54,$R127)="末",0,IF(DAY($S127)&lt;=INDEX('仕入先'!$D$5:$D$54,$R127),0,1))+N(INDEX('仕入先'!$E$5:$E$54,$R127)))+1,0),DATE(YEAR($S127),(MONTH($S127)+IF(INDEX('仕入先'!$D$5:$D$54,$R127)="末",0,IF(DAY($S127)&lt;=INDEX('仕入先'!$D$5:$D$54,$R127),0,1))+N(INDEX('仕入先'!$E$5:$E$54,$R127))),MIN(INDEX('仕入先'!$F$5:$F$54,$R127),DAY(DATE(YEAR($S127),(MONTH($S127)+IF(INDEX('仕入先'!$D$5:$D$54,$R127)="末",0,IF(DAY($S127)&lt;=INDEX('仕入先'!$D$5:$D$54,$R127),0,1))+N(INDEX('仕入先'!$E$5:$E$54,$R127)))+1,0)))))))</f>
        <v/>
      </c>
      <c r="I127" s="26" t="n"/>
      <c r="J127" s="29">
        <f>IF($B127="","",IF(ISNUMBER($I127),$I127,$H127))</f>
        <v/>
      </c>
      <c r="K127" s="26" t="n"/>
      <c r="L127" s="27" t="n"/>
      <c r="M127" s="27" t="n"/>
      <c r="N127" s="28">
        <f>IF($B127="","",N($G127)-N($L127)-N($M127))</f>
        <v/>
      </c>
      <c r="O127" s="30">
        <f>IF($B127="","",IF(AND(OR(N($L127)&lt;&gt;0,N($M127)&lt;&gt;0),NOT(ISNUMBER($K127))),"支払日なし",IF($N127=0,IF(N($G127)=0,"請求額0","支払済"),IF($N127&lt;0,"払いすぎ",IF(N($L127)+N($M127)=0,"未払","一部支払")))))</f>
        <v/>
      </c>
      <c r="P127" s="30">
        <f>IF(OR($B127="",N($N127)&lt;=0,NOT(ISNUMBER($J127))),"",IF($J127&lt;'設定'!$B$7,"期日超過 "&amp;('設定'!$B$7-$J127)&amp;"日",IF($J127='設定'!$B$7,"今日","あと "&amp;($J127-'設定'!$B$7)&amp;"日")))</f>
        <v/>
      </c>
      <c r="Q127" s="56" t="n"/>
      <c r="R127" s="32">
        <f>IF($B127="","",IFERROR(MATCH($B127,'仕入先'!$B$5:$B$54,0),"なし"))</f>
        <v/>
      </c>
      <c r="S127" s="33">
        <f>IF($B127="","",IF(ISNUMBER($D127),$D127,IF(ISNUMBER($A127),$A127,"")))</f>
        <v/>
      </c>
      <c r="T127" s="34">
        <f>IF(OR($B127="",N($N127)&lt;=0),"",IF(ISNUMBER($J127),$J127,99999)+ROW()/1000000)</f>
        <v/>
      </c>
      <c r="U127" s="35">
        <f>IF(OR($B127="",$B127&lt;&gt;'買掛帳'!$B$3,NOT(ISNUMBER($S127))),"",IF(AND($S127&gt;='買掛帳'!$Q$3,$S127&lt;='買掛帳'!$Q$4),$S127+ROW()/10000000,""))</f>
        <v/>
      </c>
      <c r="V127" s="35">
        <f>IF(OR($B127="",$B127&lt;&gt;'買掛帳'!$B$3,NOT(ISNUMBER($K127)),N($L127)+N($M127)=0),"",IF(AND($K127&gt;='買掛帳'!$Q$3,$K127&lt;='買掛帳'!$Q$4),$K127+0.5+ROW()/10000000,""))</f>
        <v/>
      </c>
    </row>
    <row r="128" ht="18" customHeight="1">
      <c r="A128" s="26" t="n"/>
      <c r="B128" s="18" t="n"/>
      <c r="C128" s="20">
        <f>IF($B128="","",IF($R128="なし","※仕入先にないコード",INDEX('仕入先'!$C$5:$C$54,$R128)&amp;""))</f>
        <v/>
      </c>
      <c r="D128" s="26" t="n"/>
      <c r="E128" s="18" t="n"/>
      <c r="F128" s="19" t="n"/>
      <c r="G128" s="27" t="n"/>
      <c r="H128" s="29">
        <f>IF(OR($B128="",NOT(ISNUMBER($R128)),NOT(ISNUMBER($S128))),"",IF(OR(INDEX('仕入先'!$D$5:$D$54,$R128)="",INDEX('仕入先'!$E$5:$E$54,$R128)="",INDEX('仕入先'!$F$5:$F$54,$R128)=""),"",IF(INDEX('仕入先'!$F$5:$F$54,$R128)="末",DATE(YEAR($S128),(MONTH($S128)+IF(INDEX('仕入先'!$D$5:$D$54,$R128)="末",0,IF(DAY($S128)&lt;=INDEX('仕入先'!$D$5:$D$54,$R128),0,1))+N(INDEX('仕入先'!$E$5:$E$54,$R128)))+1,0),DATE(YEAR($S128),(MONTH($S128)+IF(INDEX('仕入先'!$D$5:$D$54,$R128)="末",0,IF(DAY($S128)&lt;=INDEX('仕入先'!$D$5:$D$54,$R128),0,1))+N(INDEX('仕入先'!$E$5:$E$54,$R128))),MIN(INDEX('仕入先'!$F$5:$F$54,$R128),DAY(DATE(YEAR($S128),(MONTH($S128)+IF(INDEX('仕入先'!$D$5:$D$54,$R128)="末",0,IF(DAY($S128)&lt;=INDEX('仕入先'!$D$5:$D$54,$R128),0,1))+N(INDEX('仕入先'!$E$5:$E$54,$R128)))+1,0)))))))</f>
        <v/>
      </c>
      <c r="I128" s="26" t="n"/>
      <c r="J128" s="29">
        <f>IF($B128="","",IF(ISNUMBER($I128),$I128,$H128))</f>
        <v/>
      </c>
      <c r="K128" s="26" t="n"/>
      <c r="L128" s="27" t="n"/>
      <c r="M128" s="27" t="n"/>
      <c r="N128" s="28">
        <f>IF($B128="","",N($G128)-N($L128)-N($M128))</f>
        <v/>
      </c>
      <c r="O128" s="30">
        <f>IF($B128="","",IF(AND(OR(N($L128)&lt;&gt;0,N($M128)&lt;&gt;0),NOT(ISNUMBER($K128))),"支払日なし",IF($N128=0,IF(N($G128)=0,"請求額0","支払済"),IF($N128&lt;0,"払いすぎ",IF(N($L128)+N($M128)=0,"未払","一部支払")))))</f>
        <v/>
      </c>
      <c r="P128" s="30">
        <f>IF(OR($B128="",N($N128)&lt;=0,NOT(ISNUMBER($J128))),"",IF($J128&lt;'設定'!$B$7,"期日超過 "&amp;('設定'!$B$7-$J128)&amp;"日",IF($J128='設定'!$B$7,"今日","あと "&amp;($J128-'設定'!$B$7)&amp;"日")))</f>
        <v/>
      </c>
      <c r="Q128" s="56" t="n"/>
      <c r="R128" s="32">
        <f>IF($B128="","",IFERROR(MATCH($B128,'仕入先'!$B$5:$B$54,0),"なし"))</f>
        <v/>
      </c>
      <c r="S128" s="33">
        <f>IF($B128="","",IF(ISNUMBER($D128),$D128,IF(ISNUMBER($A128),$A128,"")))</f>
        <v/>
      </c>
      <c r="T128" s="34">
        <f>IF(OR($B128="",N($N128)&lt;=0),"",IF(ISNUMBER($J128),$J128,99999)+ROW()/1000000)</f>
        <v/>
      </c>
      <c r="U128" s="35">
        <f>IF(OR($B128="",$B128&lt;&gt;'買掛帳'!$B$3,NOT(ISNUMBER($S128))),"",IF(AND($S128&gt;='買掛帳'!$Q$3,$S128&lt;='買掛帳'!$Q$4),$S128+ROW()/10000000,""))</f>
        <v/>
      </c>
      <c r="V128" s="35">
        <f>IF(OR($B128="",$B128&lt;&gt;'買掛帳'!$B$3,NOT(ISNUMBER($K128)),N($L128)+N($M128)=0),"",IF(AND($K128&gt;='買掛帳'!$Q$3,$K128&lt;='買掛帳'!$Q$4),$K128+0.5+ROW()/10000000,""))</f>
        <v/>
      </c>
    </row>
    <row r="129" ht="18" customHeight="1">
      <c r="A129" s="26" t="n"/>
      <c r="B129" s="18" t="n"/>
      <c r="C129" s="20">
        <f>IF($B129="","",IF($R129="なし","※仕入先にないコード",INDEX('仕入先'!$C$5:$C$54,$R129)&amp;""))</f>
        <v/>
      </c>
      <c r="D129" s="26" t="n"/>
      <c r="E129" s="18" t="n"/>
      <c r="F129" s="19" t="n"/>
      <c r="G129" s="27" t="n"/>
      <c r="H129" s="29">
        <f>IF(OR($B129="",NOT(ISNUMBER($R129)),NOT(ISNUMBER($S129))),"",IF(OR(INDEX('仕入先'!$D$5:$D$54,$R129)="",INDEX('仕入先'!$E$5:$E$54,$R129)="",INDEX('仕入先'!$F$5:$F$54,$R129)=""),"",IF(INDEX('仕入先'!$F$5:$F$54,$R129)="末",DATE(YEAR($S129),(MONTH($S129)+IF(INDEX('仕入先'!$D$5:$D$54,$R129)="末",0,IF(DAY($S129)&lt;=INDEX('仕入先'!$D$5:$D$54,$R129),0,1))+N(INDEX('仕入先'!$E$5:$E$54,$R129)))+1,0),DATE(YEAR($S129),(MONTH($S129)+IF(INDEX('仕入先'!$D$5:$D$54,$R129)="末",0,IF(DAY($S129)&lt;=INDEX('仕入先'!$D$5:$D$54,$R129),0,1))+N(INDEX('仕入先'!$E$5:$E$54,$R129))),MIN(INDEX('仕入先'!$F$5:$F$54,$R129),DAY(DATE(YEAR($S129),(MONTH($S129)+IF(INDEX('仕入先'!$D$5:$D$54,$R129)="末",0,IF(DAY($S129)&lt;=INDEX('仕入先'!$D$5:$D$54,$R129),0,1))+N(INDEX('仕入先'!$E$5:$E$54,$R129)))+1,0)))))))</f>
        <v/>
      </c>
      <c r="I129" s="26" t="n"/>
      <c r="J129" s="29">
        <f>IF($B129="","",IF(ISNUMBER($I129),$I129,$H129))</f>
        <v/>
      </c>
      <c r="K129" s="26" t="n"/>
      <c r="L129" s="27" t="n"/>
      <c r="M129" s="27" t="n"/>
      <c r="N129" s="28">
        <f>IF($B129="","",N($G129)-N($L129)-N($M129))</f>
        <v/>
      </c>
      <c r="O129" s="30">
        <f>IF($B129="","",IF(AND(OR(N($L129)&lt;&gt;0,N($M129)&lt;&gt;0),NOT(ISNUMBER($K129))),"支払日なし",IF($N129=0,IF(N($G129)=0,"請求額0","支払済"),IF($N129&lt;0,"払いすぎ",IF(N($L129)+N($M129)=0,"未払","一部支払")))))</f>
        <v/>
      </c>
      <c r="P129" s="30">
        <f>IF(OR($B129="",N($N129)&lt;=0,NOT(ISNUMBER($J129))),"",IF($J129&lt;'設定'!$B$7,"期日超過 "&amp;('設定'!$B$7-$J129)&amp;"日",IF($J129='設定'!$B$7,"今日","あと "&amp;($J129-'設定'!$B$7)&amp;"日")))</f>
        <v/>
      </c>
      <c r="Q129" s="56" t="n"/>
      <c r="R129" s="32">
        <f>IF($B129="","",IFERROR(MATCH($B129,'仕入先'!$B$5:$B$54,0),"なし"))</f>
        <v/>
      </c>
      <c r="S129" s="33">
        <f>IF($B129="","",IF(ISNUMBER($D129),$D129,IF(ISNUMBER($A129),$A129,"")))</f>
        <v/>
      </c>
      <c r="T129" s="34">
        <f>IF(OR($B129="",N($N129)&lt;=0),"",IF(ISNUMBER($J129),$J129,99999)+ROW()/1000000)</f>
        <v/>
      </c>
      <c r="U129" s="35">
        <f>IF(OR($B129="",$B129&lt;&gt;'買掛帳'!$B$3,NOT(ISNUMBER($S129))),"",IF(AND($S129&gt;='買掛帳'!$Q$3,$S129&lt;='買掛帳'!$Q$4),$S129+ROW()/10000000,""))</f>
        <v/>
      </c>
      <c r="V129" s="35">
        <f>IF(OR($B129="",$B129&lt;&gt;'買掛帳'!$B$3,NOT(ISNUMBER($K129)),N($L129)+N($M129)=0),"",IF(AND($K129&gt;='買掛帳'!$Q$3,$K129&lt;='買掛帳'!$Q$4),$K129+0.5+ROW()/10000000,""))</f>
        <v/>
      </c>
    </row>
    <row r="130" ht="18" customHeight="1">
      <c r="A130" s="26" t="n"/>
      <c r="B130" s="18" t="n"/>
      <c r="C130" s="20">
        <f>IF($B130="","",IF($R130="なし","※仕入先にないコード",INDEX('仕入先'!$C$5:$C$54,$R130)&amp;""))</f>
        <v/>
      </c>
      <c r="D130" s="26" t="n"/>
      <c r="E130" s="18" t="n"/>
      <c r="F130" s="19" t="n"/>
      <c r="G130" s="27" t="n"/>
      <c r="H130" s="29">
        <f>IF(OR($B130="",NOT(ISNUMBER($R130)),NOT(ISNUMBER($S130))),"",IF(OR(INDEX('仕入先'!$D$5:$D$54,$R130)="",INDEX('仕入先'!$E$5:$E$54,$R130)="",INDEX('仕入先'!$F$5:$F$54,$R130)=""),"",IF(INDEX('仕入先'!$F$5:$F$54,$R130)="末",DATE(YEAR($S130),(MONTH($S130)+IF(INDEX('仕入先'!$D$5:$D$54,$R130)="末",0,IF(DAY($S130)&lt;=INDEX('仕入先'!$D$5:$D$54,$R130),0,1))+N(INDEX('仕入先'!$E$5:$E$54,$R130)))+1,0),DATE(YEAR($S130),(MONTH($S130)+IF(INDEX('仕入先'!$D$5:$D$54,$R130)="末",0,IF(DAY($S130)&lt;=INDEX('仕入先'!$D$5:$D$54,$R130),0,1))+N(INDEX('仕入先'!$E$5:$E$54,$R130))),MIN(INDEX('仕入先'!$F$5:$F$54,$R130),DAY(DATE(YEAR($S130),(MONTH($S130)+IF(INDEX('仕入先'!$D$5:$D$54,$R130)="末",0,IF(DAY($S130)&lt;=INDEX('仕入先'!$D$5:$D$54,$R130),0,1))+N(INDEX('仕入先'!$E$5:$E$54,$R130)))+1,0)))))))</f>
        <v/>
      </c>
      <c r="I130" s="26" t="n"/>
      <c r="J130" s="29">
        <f>IF($B130="","",IF(ISNUMBER($I130),$I130,$H130))</f>
        <v/>
      </c>
      <c r="K130" s="26" t="n"/>
      <c r="L130" s="27" t="n"/>
      <c r="M130" s="27" t="n"/>
      <c r="N130" s="28">
        <f>IF($B130="","",N($G130)-N($L130)-N($M130))</f>
        <v/>
      </c>
      <c r="O130" s="30">
        <f>IF($B130="","",IF(AND(OR(N($L130)&lt;&gt;0,N($M130)&lt;&gt;0),NOT(ISNUMBER($K130))),"支払日なし",IF($N130=0,IF(N($G130)=0,"請求額0","支払済"),IF($N130&lt;0,"払いすぎ",IF(N($L130)+N($M130)=0,"未払","一部支払")))))</f>
        <v/>
      </c>
      <c r="P130" s="30">
        <f>IF(OR($B130="",N($N130)&lt;=0,NOT(ISNUMBER($J130))),"",IF($J130&lt;'設定'!$B$7,"期日超過 "&amp;('設定'!$B$7-$J130)&amp;"日",IF($J130='設定'!$B$7,"今日","あと "&amp;($J130-'設定'!$B$7)&amp;"日")))</f>
        <v/>
      </c>
      <c r="Q130" s="56" t="n"/>
      <c r="R130" s="32">
        <f>IF($B130="","",IFERROR(MATCH($B130,'仕入先'!$B$5:$B$54,0),"なし"))</f>
        <v/>
      </c>
      <c r="S130" s="33">
        <f>IF($B130="","",IF(ISNUMBER($D130),$D130,IF(ISNUMBER($A130),$A130,"")))</f>
        <v/>
      </c>
      <c r="T130" s="34">
        <f>IF(OR($B130="",N($N130)&lt;=0),"",IF(ISNUMBER($J130),$J130,99999)+ROW()/1000000)</f>
        <v/>
      </c>
      <c r="U130" s="35">
        <f>IF(OR($B130="",$B130&lt;&gt;'買掛帳'!$B$3,NOT(ISNUMBER($S130))),"",IF(AND($S130&gt;='買掛帳'!$Q$3,$S130&lt;='買掛帳'!$Q$4),$S130+ROW()/10000000,""))</f>
        <v/>
      </c>
      <c r="V130" s="35">
        <f>IF(OR($B130="",$B130&lt;&gt;'買掛帳'!$B$3,NOT(ISNUMBER($K130)),N($L130)+N($M130)=0),"",IF(AND($K130&gt;='買掛帳'!$Q$3,$K130&lt;='買掛帳'!$Q$4),$K130+0.5+ROW()/10000000,""))</f>
        <v/>
      </c>
    </row>
    <row r="131" ht="18" customHeight="1">
      <c r="A131" s="26" t="n"/>
      <c r="B131" s="18" t="n"/>
      <c r="C131" s="20">
        <f>IF($B131="","",IF($R131="なし","※仕入先にないコード",INDEX('仕入先'!$C$5:$C$54,$R131)&amp;""))</f>
        <v/>
      </c>
      <c r="D131" s="26" t="n"/>
      <c r="E131" s="18" t="n"/>
      <c r="F131" s="19" t="n"/>
      <c r="G131" s="27" t="n"/>
      <c r="H131" s="29">
        <f>IF(OR($B131="",NOT(ISNUMBER($R131)),NOT(ISNUMBER($S131))),"",IF(OR(INDEX('仕入先'!$D$5:$D$54,$R131)="",INDEX('仕入先'!$E$5:$E$54,$R131)="",INDEX('仕入先'!$F$5:$F$54,$R131)=""),"",IF(INDEX('仕入先'!$F$5:$F$54,$R131)="末",DATE(YEAR($S131),(MONTH($S131)+IF(INDEX('仕入先'!$D$5:$D$54,$R131)="末",0,IF(DAY($S131)&lt;=INDEX('仕入先'!$D$5:$D$54,$R131),0,1))+N(INDEX('仕入先'!$E$5:$E$54,$R131)))+1,0),DATE(YEAR($S131),(MONTH($S131)+IF(INDEX('仕入先'!$D$5:$D$54,$R131)="末",0,IF(DAY($S131)&lt;=INDEX('仕入先'!$D$5:$D$54,$R131),0,1))+N(INDEX('仕入先'!$E$5:$E$54,$R131))),MIN(INDEX('仕入先'!$F$5:$F$54,$R131),DAY(DATE(YEAR($S131),(MONTH($S131)+IF(INDEX('仕入先'!$D$5:$D$54,$R131)="末",0,IF(DAY($S131)&lt;=INDEX('仕入先'!$D$5:$D$54,$R131),0,1))+N(INDEX('仕入先'!$E$5:$E$54,$R131)))+1,0)))))))</f>
        <v/>
      </c>
      <c r="I131" s="26" t="n"/>
      <c r="J131" s="29">
        <f>IF($B131="","",IF(ISNUMBER($I131),$I131,$H131))</f>
        <v/>
      </c>
      <c r="K131" s="26" t="n"/>
      <c r="L131" s="27" t="n"/>
      <c r="M131" s="27" t="n"/>
      <c r="N131" s="28">
        <f>IF($B131="","",N($G131)-N($L131)-N($M131))</f>
        <v/>
      </c>
      <c r="O131" s="30">
        <f>IF($B131="","",IF(AND(OR(N($L131)&lt;&gt;0,N($M131)&lt;&gt;0),NOT(ISNUMBER($K131))),"支払日なし",IF($N131=0,IF(N($G131)=0,"請求額0","支払済"),IF($N131&lt;0,"払いすぎ",IF(N($L131)+N($M131)=0,"未払","一部支払")))))</f>
        <v/>
      </c>
      <c r="P131" s="30">
        <f>IF(OR($B131="",N($N131)&lt;=0,NOT(ISNUMBER($J131))),"",IF($J131&lt;'設定'!$B$7,"期日超過 "&amp;('設定'!$B$7-$J131)&amp;"日",IF($J131='設定'!$B$7,"今日","あと "&amp;($J131-'設定'!$B$7)&amp;"日")))</f>
        <v/>
      </c>
      <c r="Q131" s="56" t="n"/>
      <c r="R131" s="32">
        <f>IF($B131="","",IFERROR(MATCH($B131,'仕入先'!$B$5:$B$54,0),"なし"))</f>
        <v/>
      </c>
      <c r="S131" s="33">
        <f>IF($B131="","",IF(ISNUMBER($D131),$D131,IF(ISNUMBER($A131),$A131,"")))</f>
        <v/>
      </c>
      <c r="T131" s="34">
        <f>IF(OR($B131="",N($N131)&lt;=0),"",IF(ISNUMBER($J131),$J131,99999)+ROW()/1000000)</f>
        <v/>
      </c>
      <c r="U131" s="35">
        <f>IF(OR($B131="",$B131&lt;&gt;'買掛帳'!$B$3,NOT(ISNUMBER($S131))),"",IF(AND($S131&gt;='買掛帳'!$Q$3,$S131&lt;='買掛帳'!$Q$4),$S131+ROW()/10000000,""))</f>
        <v/>
      </c>
      <c r="V131" s="35">
        <f>IF(OR($B131="",$B131&lt;&gt;'買掛帳'!$B$3,NOT(ISNUMBER($K131)),N($L131)+N($M131)=0),"",IF(AND($K131&gt;='買掛帳'!$Q$3,$K131&lt;='買掛帳'!$Q$4),$K131+0.5+ROW()/10000000,""))</f>
        <v/>
      </c>
    </row>
    <row r="132" ht="18" customHeight="1">
      <c r="A132" s="26" t="n"/>
      <c r="B132" s="18" t="n"/>
      <c r="C132" s="20">
        <f>IF($B132="","",IF($R132="なし","※仕入先にないコード",INDEX('仕入先'!$C$5:$C$54,$R132)&amp;""))</f>
        <v/>
      </c>
      <c r="D132" s="26" t="n"/>
      <c r="E132" s="18" t="n"/>
      <c r="F132" s="19" t="n"/>
      <c r="G132" s="27" t="n"/>
      <c r="H132" s="29">
        <f>IF(OR($B132="",NOT(ISNUMBER($R132)),NOT(ISNUMBER($S132))),"",IF(OR(INDEX('仕入先'!$D$5:$D$54,$R132)="",INDEX('仕入先'!$E$5:$E$54,$R132)="",INDEX('仕入先'!$F$5:$F$54,$R132)=""),"",IF(INDEX('仕入先'!$F$5:$F$54,$R132)="末",DATE(YEAR($S132),(MONTH($S132)+IF(INDEX('仕入先'!$D$5:$D$54,$R132)="末",0,IF(DAY($S132)&lt;=INDEX('仕入先'!$D$5:$D$54,$R132),0,1))+N(INDEX('仕入先'!$E$5:$E$54,$R132)))+1,0),DATE(YEAR($S132),(MONTH($S132)+IF(INDEX('仕入先'!$D$5:$D$54,$R132)="末",0,IF(DAY($S132)&lt;=INDEX('仕入先'!$D$5:$D$54,$R132),0,1))+N(INDEX('仕入先'!$E$5:$E$54,$R132))),MIN(INDEX('仕入先'!$F$5:$F$54,$R132),DAY(DATE(YEAR($S132),(MONTH($S132)+IF(INDEX('仕入先'!$D$5:$D$54,$R132)="末",0,IF(DAY($S132)&lt;=INDEX('仕入先'!$D$5:$D$54,$R132),0,1))+N(INDEX('仕入先'!$E$5:$E$54,$R132)))+1,0)))))))</f>
        <v/>
      </c>
      <c r="I132" s="26" t="n"/>
      <c r="J132" s="29">
        <f>IF($B132="","",IF(ISNUMBER($I132),$I132,$H132))</f>
        <v/>
      </c>
      <c r="K132" s="26" t="n"/>
      <c r="L132" s="27" t="n"/>
      <c r="M132" s="27" t="n"/>
      <c r="N132" s="28">
        <f>IF($B132="","",N($G132)-N($L132)-N($M132))</f>
        <v/>
      </c>
      <c r="O132" s="30">
        <f>IF($B132="","",IF(AND(OR(N($L132)&lt;&gt;0,N($M132)&lt;&gt;0),NOT(ISNUMBER($K132))),"支払日なし",IF($N132=0,IF(N($G132)=0,"請求額0","支払済"),IF($N132&lt;0,"払いすぎ",IF(N($L132)+N($M132)=0,"未払","一部支払")))))</f>
        <v/>
      </c>
      <c r="P132" s="30">
        <f>IF(OR($B132="",N($N132)&lt;=0,NOT(ISNUMBER($J132))),"",IF($J132&lt;'設定'!$B$7,"期日超過 "&amp;('設定'!$B$7-$J132)&amp;"日",IF($J132='設定'!$B$7,"今日","あと "&amp;($J132-'設定'!$B$7)&amp;"日")))</f>
        <v/>
      </c>
      <c r="Q132" s="56" t="n"/>
      <c r="R132" s="32">
        <f>IF($B132="","",IFERROR(MATCH($B132,'仕入先'!$B$5:$B$54,0),"なし"))</f>
        <v/>
      </c>
      <c r="S132" s="33">
        <f>IF($B132="","",IF(ISNUMBER($D132),$D132,IF(ISNUMBER($A132),$A132,"")))</f>
        <v/>
      </c>
      <c r="T132" s="34">
        <f>IF(OR($B132="",N($N132)&lt;=0),"",IF(ISNUMBER($J132),$J132,99999)+ROW()/1000000)</f>
        <v/>
      </c>
      <c r="U132" s="35">
        <f>IF(OR($B132="",$B132&lt;&gt;'買掛帳'!$B$3,NOT(ISNUMBER($S132))),"",IF(AND($S132&gt;='買掛帳'!$Q$3,$S132&lt;='買掛帳'!$Q$4),$S132+ROW()/10000000,""))</f>
        <v/>
      </c>
      <c r="V132" s="35">
        <f>IF(OR($B132="",$B132&lt;&gt;'買掛帳'!$B$3,NOT(ISNUMBER($K132)),N($L132)+N($M132)=0),"",IF(AND($K132&gt;='買掛帳'!$Q$3,$K132&lt;='買掛帳'!$Q$4),$K132+0.5+ROW()/10000000,""))</f>
        <v/>
      </c>
    </row>
    <row r="133" ht="18" customHeight="1">
      <c r="A133" s="26" t="n"/>
      <c r="B133" s="18" t="n"/>
      <c r="C133" s="20">
        <f>IF($B133="","",IF($R133="なし","※仕入先にないコード",INDEX('仕入先'!$C$5:$C$54,$R133)&amp;""))</f>
        <v/>
      </c>
      <c r="D133" s="26" t="n"/>
      <c r="E133" s="18" t="n"/>
      <c r="F133" s="19" t="n"/>
      <c r="G133" s="27" t="n"/>
      <c r="H133" s="29">
        <f>IF(OR($B133="",NOT(ISNUMBER($R133)),NOT(ISNUMBER($S133))),"",IF(OR(INDEX('仕入先'!$D$5:$D$54,$R133)="",INDEX('仕入先'!$E$5:$E$54,$R133)="",INDEX('仕入先'!$F$5:$F$54,$R133)=""),"",IF(INDEX('仕入先'!$F$5:$F$54,$R133)="末",DATE(YEAR($S133),(MONTH($S133)+IF(INDEX('仕入先'!$D$5:$D$54,$R133)="末",0,IF(DAY($S133)&lt;=INDEX('仕入先'!$D$5:$D$54,$R133),0,1))+N(INDEX('仕入先'!$E$5:$E$54,$R133)))+1,0),DATE(YEAR($S133),(MONTH($S133)+IF(INDEX('仕入先'!$D$5:$D$54,$R133)="末",0,IF(DAY($S133)&lt;=INDEX('仕入先'!$D$5:$D$54,$R133),0,1))+N(INDEX('仕入先'!$E$5:$E$54,$R133))),MIN(INDEX('仕入先'!$F$5:$F$54,$R133),DAY(DATE(YEAR($S133),(MONTH($S133)+IF(INDEX('仕入先'!$D$5:$D$54,$R133)="末",0,IF(DAY($S133)&lt;=INDEX('仕入先'!$D$5:$D$54,$R133),0,1))+N(INDEX('仕入先'!$E$5:$E$54,$R133)))+1,0)))))))</f>
        <v/>
      </c>
      <c r="I133" s="26" t="n"/>
      <c r="J133" s="29">
        <f>IF($B133="","",IF(ISNUMBER($I133),$I133,$H133))</f>
        <v/>
      </c>
      <c r="K133" s="26" t="n"/>
      <c r="L133" s="27" t="n"/>
      <c r="M133" s="27" t="n"/>
      <c r="N133" s="28">
        <f>IF($B133="","",N($G133)-N($L133)-N($M133))</f>
        <v/>
      </c>
      <c r="O133" s="30">
        <f>IF($B133="","",IF(AND(OR(N($L133)&lt;&gt;0,N($M133)&lt;&gt;0),NOT(ISNUMBER($K133))),"支払日なし",IF($N133=0,IF(N($G133)=0,"請求額0","支払済"),IF($N133&lt;0,"払いすぎ",IF(N($L133)+N($M133)=0,"未払","一部支払")))))</f>
        <v/>
      </c>
      <c r="P133" s="30">
        <f>IF(OR($B133="",N($N133)&lt;=0,NOT(ISNUMBER($J133))),"",IF($J133&lt;'設定'!$B$7,"期日超過 "&amp;('設定'!$B$7-$J133)&amp;"日",IF($J133='設定'!$B$7,"今日","あと "&amp;($J133-'設定'!$B$7)&amp;"日")))</f>
        <v/>
      </c>
      <c r="Q133" s="56" t="n"/>
      <c r="R133" s="32">
        <f>IF($B133="","",IFERROR(MATCH($B133,'仕入先'!$B$5:$B$54,0),"なし"))</f>
        <v/>
      </c>
      <c r="S133" s="33">
        <f>IF($B133="","",IF(ISNUMBER($D133),$D133,IF(ISNUMBER($A133),$A133,"")))</f>
        <v/>
      </c>
      <c r="T133" s="34">
        <f>IF(OR($B133="",N($N133)&lt;=0),"",IF(ISNUMBER($J133),$J133,99999)+ROW()/1000000)</f>
        <v/>
      </c>
      <c r="U133" s="35">
        <f>IF(OR($B133="",$B133&lt;&gt;'買掛帳'!$B$3,NOT(ISNUMBER($S133))),"",IF(AND($S133&gt;='買掛帳'!$Q$3,$S133&lt;='買掛帳'!$Q$4),$S133+ROW()/10000000,""))</f>
        <v/>
      </c>
      <c r="V133" s="35">
        <f>IF(OR($B133="",$B133&lt;&gt;'買掛帳'!$B$3,NOT(ISNUMBER($K133)),N($L133)+N($M133)=0),"",IF(AND($K133&gt;='買掛帳'!$Q$3,$K133&lt;='買掛帳'!$Q$4),$K133+0.5+ROW()/10000000,""))</f>
        <v/>
      </c>
    </row>
    <row r="134" ht="18" customHeight="1">
      <c r="A134" s="26" t="n"/>
      <c r="B134" s="18" t="n"/>
      <c r="C134" s="20">
        <f>IF($B134="","",IF($R134="なし","※仕入先にないコード",INDEX('仕入先'!$C$5:$C$54,$R134)&amp;""))</f>
        <v/>
      </c>
      <c r="D134" s="26" t="n"/>
      <c r="E134" s="18" t="n"/>
      <c r="F134" s="19" t="n"/>
      <c r="G134" s="27" t="n"/>
      <c r="H134" s="29">
        <f>IF(OR($B134="",NOT(ISNUMBER($R134)),NOT(ISNUMBER($S134))),"",IF(OR(INDEX('仕入先'!$D$5:$D$54,$R134)="",INDEX('仕入先'!$E$5:$E$54,$R134)="",INDEX('仕入先'!$F$5:$F$54,$R134)=""),"",IF(INDEX('仕入先'!$F$5:$F$54,$R134)="末",DATE(YEAR($S134),(MONTH($S134)+IF(INDEX('仕入先'!$D$5:$D$54,$R134)="末",0,IF(DAY($S134)&lt;=INDEX('仕入先'!$D$5:$D$54,$R134),0,1))+N(INDEX('仕入先'!$E$5:$E$54,$R134)))+1,0),DATE(YEAR($S134),(MONTH($S134)+IF(INDEX('仕入先'!$D$5:$D$54,$R134)="末",0,IF(DAY($S134)&lt;=INDEX('仕入先'!$D$5:$D$54,$R134),0,1))+N(INDEX('仕入先'!$E$5:$E$54,$R134))),MIN(INDEX('仕入先'!$F$5:$F$54,$R134),DAY(DATE(YEAR($S134),(MONTH($S134)+IF(INDEX('仕入先'!$D$5:$D$54,$R134)="末",0,IF(DAY($S134)&lt;=INDEX('仕入先'!$D$5:$D$54,$R134),0,1))+N(INDEX('仕入先'!$E$5:$E$54,$R134)))+1,0)))))))</f>
        <v/>
      </c>
      <c r="I134" s="26" t="n"/>
      <c r="J134" s="29">
        <f>IF($B134="","",IF(ISNUMBER($I134),$I134,$H134))</f>
        <v/>
      </c>
      <c r="K134" s="26" t="n"/>
      <c r="L134" s="27" t="n"/>
      <c r="M134" s="27" t="n"/>
      <c r="N134" s="28">
        <f>IF($B134="","",N($G134)-N($L134)-N($M134))</f>
        <v/>
      </c>
      <c r="O134" s="30">
        <f>IF($B134="","",IF(AND(OR(N($L134)&lt;&gt;0,N($M134)&lt;&gt;0),NOT(ISNUMBER($K134))),"支払日なし",IF($N134=0,IF(N($G134)=0,"請求額0","支払済"),IF($N134&lt;0,"払いすぎ",IF(N($L134)+N($M134)=0,"未払","一部支払")))))</f>
        <v/>
      </c>
      <c r="P134" s="30">
        <f>IF(OR($B134="",N($N134)&lt;=0,NOT(ISNUMBER($J134))),"",IF($J134&lt;'設定'!$B$7,"期日超過 "&amp;('設定'!$B$7-$J134)&amp;"日",IF($J134='設定'!$B$7,"今日","あと "&amp;($J134-'設定'!$B$7)&amp;"日")))</f>
        <v/>
      </c>
      <c r="Q134" s="56" t="n"/>
      <c r="R134" s="32">
        <f>IF($B134="","",IFERROR(MATCH($B134,'仕入先'!$B$5:$B$54,0),"なし"))</f>
        <v/>
      </c>
      <c r="S134" s="33">
        <f>IF($B134="","",IF(ISNUMBER($D134),$D134,IF(ISNUMBER($A134),$A134,"")))</f>
        <v/>
      </c>
      <c r="T134" s="34">
        <f>IF(OR($B134="",N($N134)&lt;=0),"",IF(ISNUMBER($J134),$J134,99999)+ROW()/1000000)</f>
        <v/>
      </c>
      <c r="U134" s="35">
        <f>IF(OR($B134="",$B134&lt;&gt;'買掛帳'!$B$3,NOT(ISNUMBER($S134))),"",IF(AND($S134&gt;='買掛帳'!$Q$3,$S134&lt;='買掛帳'!$Q$4),$S134+ROW()/10000000,""))</f>
        <v/>
      </c>
      <c r="V134" s="35">
        <f>IF(OR($B134="",$B134&lt;&gt;'買掛帳'!$B$3,NOT(ISNUMBER($K134)),N($L134)+N($M134)=0),"",IF(AND($K134&gt;='買掛帳'!$Q$3,$K134&lt;='買掛帳'!$Q$4),$K134+0.5+ROW()/10000000,""))</f>
        <v/>
      </c>
    </row>
    <row r="135" ht="18" customHeight="1">
      <c r="A135" s="26" t="n"/>
      <c r="B135" s="18" t="n"/>
      <c r="C135" s="20">
        <f>IF($B135="","",IF($R135="なし","※仕入先にないコード",INDEX('仕入先'!$C$5:$C$54,$R135)&amp;""))</f>
        <v/>
      </c>
      <c r="D135" s="26" t="n"/>
      <c r="E135" s="18" t="n"/>
      <c r="F135" s="19" t="n"/>
      <c r="G135" s="27" t="n"/>
      <c r="H135" s="29">
        <f>IF(OR($B135="",NOT(ISNUMBER($R135)),NOT(ISNUMBER($S135))),"",IF(OR(INDEX('仕入先'!$D$5:$D$54,$R135)="",INDEX('仕入先'!$E$5:$E$54,$R135)="",INDEX('仕入先'!$F$5:$F$54,$R135)=""),"",IF(INDEX('仕入先'!$F$5:$F$54,$R135)="末",DATE(YEAR($S135),(MONTH($S135)+IF(INDEX('仕入先'!$D$5:$D$54,$R135)="末",0,IF(DAY($S135)&lt;=INDEX('仕入先'!$D$5:$D$54,$R135),0,1))+N(INDEX('仕入先'!$E$5:$E$54,$R135)))+1,0),DATE(YEAR($S135),(MONTH($S135)+IF(INDEX('仕入先'!$D$5:$D$54,$R135)="末",0,IF(DAY($S135)&lt;=INDEX('仕入先'!$D$5:$D$54,$R135),0,1))+N(INDEX('仕入先'!$E$5:$E$54,$R135))),MIN(INDEX('仕入先'!$F$5:$F$54,$R135),DAY(DATE(YEAR($S135),(MONTH($S135)+IF(INDEX('仕入先'!$D$5:$D$54,$R135)="末",0,IF(DAY($S135)&lt;=INDEX('仕入先'!$D$5:$D$54,$R135),0,1))+N(INDEX('仕入先'!$E$5:$E$54,$R135)))+1,0)))))))</f>
        <v/>
      </c>
      <c r="I135" s="26" t="n"/>
      <c r="J135" s="29">
        <f>IF($B135="","",IF(ISNUMBER($I135),$I135,$H135))</f>
        <v/>
      </c>
      <c r="K135" s="26" t="n"/>
      <c r="L135" s="27" t="n"/>
      <c r="M135" s="27" t="n"/>
      <c r="N135" s="28">
        <f>IF($B135="","",N($G135)-N($L135)-N($M135))</f>
        <v/>
      </c>
      <c r="O135" s="30">
        <f>IF($B135="","",IF(AND(OR(N($L135)&lt;&gt;0,N($M135)&lt;&gt;0),NOT(ISNUMBER($K135))),"支払日なし",IF($N135=0,IF(N($G135)=0,"請求額0","支払済"),IF($N135&lt;0,"払いすぎ",IF(N($L135)+N($M135)=0,"未払","一部支払")))))</f>
        <v/>
      </c>
      <c r="P135" s="30">
        <f>IF(OR($B135="",N($N135)&lt;=0,NOT(ISNUMBER($J135))),"",IF($J135&lt;'設定'!$B$7,"期日超過 "&amp;('設定'!$B$7-$J135)&amp;"日",IF($J135='設定'!$B$7,"今日","あと "&amp;($J135-'設定'!$B$7)&amp;"日")))</f>
        <v/>
      </c>
      <c r="Q135" s="56" t="n"/>
      <c r="R135" s="32">
        <f>IF($B135="","",IFERROR(MATCH($B135,'仕入先'!$B$5:$B$54,0),"なし"))</f>
        <v/>
      </c>
      <c r="S135" s="33">
        <f>IF($B135="","",IF(ISNUMBER($D135),$D135,IF(ISNUMBER($A135),$A135,"")))</f>
        <v/>
      </c>
      <c r="T135" s="34">
        <f>IF(OR($B135="",N($N135)&lt;=0),"",IF(ISNUMBER($J135),$J135,99999)+ROW()/1000000)</f>
        <v/>
      </c>
      <c r="U135" s="35">
        <f>IF(OR($B135="",$B135&lt;&gt;'買掛帳'!$B$3,NOT(ISNUMBER($S135))),"",IF(AND($S135&gt;='買掛帳'!$Q$3,$S135&lt;='買掛帳'!$Q$4),$S135+ROW()/10000000,""))</f>
        <v/>
      </c>
      <c r="V135" s="35">
        <f>IF(OR($B135="",$B135&lt;&gt;'買掛帳'!$B$3,NOT(ISNUMBER($K135)),N($L135)+N($M135)=0),"",IF(AND($K135&gt;='買掛帳'!$Q$3,$K135&lt;='買掛帳'!$Q$4),$K135+0.5+ROW()/10000000,""))</f>
        <v/>
      </c>
    </row>
    <row r="136" ht="18" customHeight="1">
      <c r="A136" s="26" t="n"/>
      <c r="B136" s="18" t="n"/>
      <c r="C136" s="20">
        <f>IF($B136="","",IF($R136="なし","※仕入先にないコード",INDEX('仕入先'!$C$5:$C$54,$R136)&amp;""))</f>
        <v/>
      </c>
      <c r="D136" s="26" t="n"/>
      <c r="E136" s="18" t="n"/>
      <c r="F136" s="19" t="n"/>
      <c r="G136" s="27" t="n"/>
      <c r="H136" s="29">
        <f>IF(OR($B136="",NOT(ISNUMBER($R136)),NOT(ISNUMBER($S136))),"",IF(OR(INDEX('仕入先'!$D$5:$D$54,$R136)="",INDEX('仕入先'!$E$5:$E$54,$R136)="",INDEX('仕入先'!$F$5:$F$54,$R136)=""),"",IF(INDEX('仕入先'!$F$5:$F$54,$R136)="末",DATE(YEAR($S136),(MONTH($S136)+IF(INDEX('仕入先'!$D$5:$D$54,$R136)="末",0,IF(DAY($S136)&lt;=INDEX('仕入先'!$D$5:$D$54,$R136),0,1))+N(INDEX('仕入先'!$E$5:$E$54,$R136)))+1,0),DATE(YEAR($S136),(MONTH($S136)+IF(INDEX('仕入先'!$D$5:$D$54,$R136)="末",0,IF(DAY($S136)&lt;=INDEX('仕入先'!$D$5:$D$54,$R136),0,1))+N(INDEX('仕入先'!$E$5:$E$54,$R136))),MIN(INDEX('仕入先'!$F$5:$F$54,$R136),DAY(DATE(YEAR($S136),(MONTH($S136)+IF(INDEX('仕入先'!$D$5:$D$54,$R136)="末",0,IF(DAY($S136)&lt;=INDEX('仕入先'!$D$5:$D$54,$R136),0,1))+N(INDEX('仕入先'!$E$5:$E$54,$R136)))+1,0)))))))</f>
        <v/>
      </c>
      <c r="I136" s="26" t="n"/>
      <c r="J136" s="29">
        <f>IF($B136="","",IF(ISNUMBER($I136),$I136,$H136))</f>
        <v/>
      </c>
      <c r="K136" s="26" t="n"/>
      <c r="L136" s="27" t="n"/>
      <c r="M136" s="27" t="n"/>
      <c r="N136" s="28">
        <f>IF($B136="","",N($G136)-N($L136)-N($M136))</f>
        <v/>
      </c>
      <c r="O136" s="30">
        <f>IF($B136="","",IF(AND(OR(N($L136)&lt;&gt;0,N($M136)&lt;&gt;0),NOT(ISNUMBER($K136))),"支払日なし",IF($N136=0,IF(N($G136)=0,"請求額0","支払済"),IF($N136&lt;0,"払いすぎ",IF(N($L136)+N($M136)=0,"未払","一部支払")))))</f>
        <v/>
      </c>
      <c r="P136" s="30">
        <f>IF(OR($B136="",N($N136)&lt;=0,NOT(ISNUMBER($J136))),"",IF($J136&lt;'設定'!$B$7,"期日超過 "&amp;('設定'!$B$7-$J136)&amp;"日",IF($J136='設定'!$B$7,"今日","あと "&amp;($J136-'設定'!$B$7)&amp;"日")))</f>
        <v/>
      </c>
      <c r="Q136" s="56" t="n"/>
      <c r="R136" s="32">
        <f>IF($B136="","",IFERROR(MATCH($B136,'仕入先'!$B$5:$B$54,0),"なし"))</f>
        <v/>
      </c>
      <c r="S136" s="33">
        <f>IF($B136="","",IF(ISNUMBER($D136),$D136,IF(ISNUMBER($A136),$A136,"")))</f>
        <v/>
      </c>
      <c r="T136" s="34">
        <f>IF(OR($B136="",N($N136)&lt;=0),"",IF(ISNUMBER($J136),$J136,99999)+ROW()/1000000)</f>
        <v/>
      </c>
      <c r="U136" s="35">
        <f>IF(OR($B136="",$B136&lt;&gt;'買掛帳'!$B$3,NOT(ISNUMBER($S136))),"",IF(AND($S136&gt;='買掛帳'!$Q$3,$S136&lt;='買掛帳'!$Q$4),$S136+ROW()/10000000,""))</f>
        <v/>
      </c>
      <c r="V136" s="35">
        <f>IF(OR($B136="",$B136&lt;&gt;'買掛帳'!$B$3,NOT(ISNUMBER($K136)),N($L136)+N($M136)=0),"",IF(AND($K136&gt;='買掛帳'!$Q$3,$K136&lt;='買掛帳'!$Q$4),$K136+0.5+ROW()/10000000,""))</f>
        <v/>
      </c>
    </row>
    <row r="137" ht="18" customHeight="1">
      <c r="A137" s="26" t="n"/>
      <c r="B137" s="18" t="n"/>
      <c r="C137" s="20">
        <f>IF($B137="","",IF($R137="なし","※仕入先にないコード",INDEX('仕入先'!$C$5:$C$54,$R137)&amp;""))</f>
        <v/>
      </c>
      <c r="D137" s="26" t="n"/>
      <c r="E137" s="18" t="n"/>
      <c r="F137" s="19" t="n"/>
      <c r="G137" s="27" t="n"/>
      <c r="H137" s="29">
        <f>IF(OR($B137="",NOT(ISNUMBER($R137)),NOT(ISNUMBER($S137))),"",IF(OR(INDEX('仕入先'!$D$5:$D$54,$R137)="",INDEX('仕入先'!$E$5:$E$54,$R137)="",INDEX('仕入先'!$F$5:$F$54,$R137)=""),"",IF(INDEX('仕入先'!$F$5:$F$54,$R137)="末",DATE(YEAR($S137),(MONTH($S137)+IF(INDEX('仕入先'!$D$5:$D$54,$R137)="末",0,IF(DAY($S137)&lt;=INDEX('仕入先'!$D$5:$D$54,$R137),0,1))+N(INDEX('仕入先'!$E$5:$E$54,$R137)))+1,0),DATE(YEAR($S137),(MONTH($S137)+IF(INDEX('仕入先'!$D$5:$D$54,$R137)="末",0,IF(DAY($S137)&lt;=INDEX('仕入先'!$D$5:$D$54,$R137),0,1))+N(INDEX('仕入先'!$E$5:$E$54,$R137))),MIN(INDEX('仕入先'!$F$5:$F$54,$R137),DAY(DATE(YEAR($S137),(MONTH($S137)+IF(INDEX('仕入先'!$D$5:$D$54,$R137)="末",0,IF(DAY($S137)&lt;=INDEX('仕入先'!$D$5:$D$54,$R137),0,1))+N(INDEX('仕入先'!$E$5:$E$54,$R137)))+1,0)))))))</f>
        <v/>
      </c>
      <c r="I137" s="26" t="n"/>
      <c r="J137" s="29">
        <f>IF($B137="","",IF(ISNUMBER($I137),$I137,$H137))</f>
        <v/>
      </c>
      <c r="K137" s="26" t="n"/>
      <c r="L137" s="27" t="n"/>
      <c r="M137" s="27" t="n"/>
      <c r="N137" s="28">
        <f>IF($B137="","",N($G137)-N($L137)-N($M137))</f>
        <v/>
      </c>
      <c r="O137" s="30">
        <f>IF($B137="","",IF(AND(OR(N($L137)&lt;&gt;0,N($M137)&lt;&gt;0),NOT(ISNUMBER($K137))),"支払日なし",IF($N137=0,IF(N($G137)=0,"請求額0","支払済"),IF($N137&lt;0,"払いすぎ",IF(N($L137)+N($M137)=0,"未払","一部支払")))))</f>
        <v/>
      </c>
      <c r="P137" s="30">
        <f>IF(OR($B137="",N($N137)&lt;=0,NOT(ISNUMBER($J137))),"",IF($J137&lt;'設定'!$B$7,"期日超過 "&amp;('設定'!$B$7-$J137)&amp;"日",IF($J137='設定'!$B$7,"今日","あと "&amp;($J137-'設定'!$B$7)&amp;"日")))</f>
        <v/>
      </c>
      <c r="Q137" s="56" t="n"/>
      <c r="R137" s="32">
        <f>IF($B137="","",IFERROR(MATCH($B137,'仕入先'!$B$5:$B$54,0),"なし"))</f>
        <v/>
      </c>
      <c r="S137" s="33">
        <f>IF($B137="","",IF(ISNUMBER($D137),$D137,IF(ISNUMBER($A137),$A137,"")))</f>
        <v/>
      </c>
      <c r="T137" s="34">
        <f>IF(OR($B137="",N($N137)&lt;=0),"",IF(ISNUMBER($J137),$J137,99999)+ROW()/1000000)</f>
        <v/>
      </c>
      <c r="U137" s="35">
        <f>IF(OR($B137="",$B137&lt;&gt;'買掛帳'!$B$3,NOT(ISNUMBER($S137))),"",IF(AND($S137&gt;='買掛帳'!$Q$3,$S137&lt;='買掛帳'!$Q$4),$S137+ROW()/10000000,""))</f>
        <v/>
      </c>
      <c r="V137" s="35">
        <f>IF(OR($B137="",$B137&lt;&gt;'買掛帳'!$B$3,NOT(ISNUMBER($K137)),N($L137)+N($M137)=0),"",IF(AND($K137&gt;='買掛帳'!$Q$3,$K137&lt;='買掛帳'!$Q$4),$K137+0.5+ROW()/10000000,""))</f>
        <v/>
      </c>
    </row>
    <row r="138" ht="18" customHeight="1">
      <c r="A138" s="26" t="n"/>
      <c r="B138" s="18" t="n"/>
      <c r="C138" s="20">
        <f>IF($B138="","",IF($R138="なし","※仕入先にないコード",INDEX('仕入先'!$C$5:$C$54,$R138)&amp;""))</f>
        <v/>
      </c>
      <c r="D138" s="26" t="n"/>
      <c r="E138" s="18" t="n"/>
      <c r="F138" s="19" t="n"/>
      <c r="G138" s="27" t="n"/>
      <c r="H138" s="29">
        <f>IF(OR($B138="",NOT(ISNUMBER($R138)),NOT(ISNUMBER($S138))),"",IF(OR(INDEX('仕入先'!$D$5:$D$54,$R138)="",INDEX('仕入先'!$E$5:$E$54,$R138)="",INDEX('仕入先'!$F$5:$F$54,$R138)=""),"",IF(INDEX('仕入先'!$F$5:$F$54,$R138)="末",DATE(YEAR($S138),(MONTH($S138)+IF(INDEX('仕入先'!$D$5:$D$54,$R138)="末",0,IF(DAY($S138)&lt;=INDEX('仕入先'!$D$5:$D$54,$R138),0,1))+N(INDEX('仕入先'!$E$5:$E$54,$R138)))+1,0),DATE(YEAR($S138),(MONTH($S138)+IF(INDEX('仕入先'!$D$5:$D$54,$R138)="末",0,IF(DAY($S138)&lt;=INDEX('仕入先'!$D$5:$D$54,$R138),0,1))+N(INDEX('仕入先'!$E$5:$E$54,$R138))),MIN(INDEX('仕入先'!$F$5:$F$54,$R138),DAY(DATE(YEAR($S138),(MONTH($S138)+IF(INDEX('仕入先'!$D$5:$D$54,$R138)="末",0,IF(DAY($S138)&lt;=INDEX('仕入先'!$D$5:$D$54,$R138),0,1))+N(INDEX('仕入先'!$E$5:$E$54,$R138)))+1,0)))))))</f>
        <v/>
      </c>
      <c r="I138" s="26" t="n"/>
      <c r="J138" s="29">
        <f>IF($B138="","",IF(ISNUMBER($I138),$I138,$H138))</f>
        <v/>
      </c>
      <c r="K138" s="26" t="n"/>
      <c r="L138" s="27" t="n"/>
      <c r="M138" s="27" t="n"/>
      <c r="N138" s="28">
        <f>IF($B138="","",N($G138)-N($L138)-N($M138))</f>
        <v/>
      </c>
      <c r="O138" s="30">
        <f>IF($B138="","",IF(AND(OR(N($L138)&lt;&gt;0,N($M138)&lt;&gt;0),NOT(ISNUMBER($K138))),"支払日なし",IF($N138=0,IF(N($G138)=0,"請求額0","支払済"),IF($N138&lt;0,"払いすぎ",IF(N($L138)+N($M138)=0,"未払","一部支払")))))</f>
        <v/>
      </c>
      <c r="P138" s="30">
        <f>IF(OR($B138="",N($N138)&lt;=0,NOT(ISNUMBER($J138))),"",IF($J138&lt;'設定'!$B$7,"期日超過 "&amp;('設定'!$B$7-$J138)&amp;"日",IF($J138='設定'!$B$7,"今日","あと "&amp;($J138-'設定'!$B$7)&amp;"日")))</f>
        <v/>
      </c>
      <c r="Q138" s="56" t="n"/>
      <c r="R138" s="32">
        <f>IF($B138="","",IFERROR(MATCH($B138,'仕入先'!$B$5:$B$54,0),"なし"))</f>
        <v/>
      </c>
      <c r="S138" s="33">
        <f>IF($B138="","",IF(ISNUMBER($D138),$D138,IF(ISNUMBER($A138),$A138,"")))</f>
        <v/>
      </c>
      <c r="T138" s="34">
        <f>IF(OR($B138="",N($N138)&lt;=0),"",IF(ISNUMBER($J138),$J138,99999)+ROW()/1000000)</f>
        <v/>
      </c>
      <c r="U138" s="35">
        <f>IF(OR($B138="",$B138&lt;&gt;'買掛帳'!$B$3,NOT(ISNUMBER($S138))),"",IF(AND($S138&gt;='買掛帳'!$Q$3,$S138&lt;='買掛帳'!$Q$4),$S138+ROW()/10000000,""))</f>
        <v/>
      </c>
      <c r="V138" s="35">
        <f>IF(OR($B138="",$B138&lt;&gt;'買掛帳'!$B$3,NOT(ISNUMBER($K138)),N($L138)+N($M138)=0),"",IF(AND($K138&gt;='買掛帳'!$Q$3,$K138&lt;='買掛帳'!$Q$4),$K138+0.5+ROW()/10000000,""))</f>
        <v/>
      </c>
    </row>
    <row r="139" ht="18" customHeight="1">
      <c r="A139" s="26" t="n"/>
      <c r="B139" s="18" t="n"/>
      <c r="C139" s="20">
        <f>IF($B139="","",IF($R139="なし","※仕入先にないコード",INDEX('仕入先'!$C$5:$C$54,$R139)&amp;""))</f>
        <v/>
      </c>
      <c r="D139" s="26" t="n"/>
      <c r="E139" s="18" t="n"/>
      <c r="F139" s="19" t="n"/>
      <c r="G139" s="27" t="n"/>
      <c r="H139" s="29">
        <f>IF(OR($B139="",NOT(ISNUMBER($R139)),NOT(ISNUMBER($S139))),"",IF(OR(INDEX('仕入先'!$D$5:$D$54,$R139)="",INDEX('仕入先'!$E$5:$E$54,$R139)="",INDEX('仕入先'!$F$5:$F$54,$R139)=""),"",IF(INDEX('仕入先'!$F$5:$F$54,$R139)="末",DATE(YEAR($S139),(MONTH($S139)+IF(INDEX('仕入先'!$D$5:$D$54,$R139)="末",0,IF(DAY($S139)&lt;=INDEX('仕入先'!$D$5:$D$54,$R139),0,1))+N(INDEX('仕入先'!$E$5:$E$54,$R139)))+1,0),DATE(YEAR($S139),(MONTH($S139)+IF(INDEX('仕入先'!$D$5:$D$54,$R139)="末",0,IF(DAY($S139)&lt;=INDEX('仕入先'!$D$5:$D$54,$R139),0,1))+N(INDEX('仕入先'!$E$5:$E$54,$R139))),MIN(INDEX('仕入先'!$F$5:$F$54,$R139),DAY(DATE(YEAR($S139),(MONTH($S139)+IF(INDEX('仕入先'!$D$5:$D$54,$R139)="末",0,IF(DAY($S139)&lt;=INDEX('仕入先'!$D$5:$D$54,$R139),0,1))+N(INDEX('仕入先'!$E$5:$E$54,$R139)))+1,0)))))))</f>
        <v/>
      </c>
      <c r="I139" s="26" t="n"/>
      <c r="J139" s="29">
        <f>IF($B139="","",IF(ISNUMBER($I139),$I139,$H139))</f>
        <v/>
      </c>
      <c r="K139" s="26" t="n"/>
      <c r="L139" s="27" t="n"/>
      <c r="M139" s="27" t="n"/>
      <c r="N139" s="28">
        <f>IF($B139="","",N($G139)-N($L139)-N($M139))</f>
        <v/>
      </c>
      <c r="O139" s="30">
        <f>IF($B139="","",IF(AND(OR(N($L139)&lt;&gt;0,N($M139)&lt;&gt;0),NOT(ISNUMBER($K139))),"支払日なし",IF($N139=0,IF(N($G139)=0,"請求額0","支払済"),IF($N139&lt;0,"払いすぎ",IF(N($L139)+N($M139)=0,"未払","一部支払")))))</f>
        <v/>
      </c>
      <c r="P139" s="30">
        <f>IF(OR($B139="",N($N139)&lt;=0,NOT(ISNUMBER($J139))),"",IF($J139&lt;'設定'!$B$7,"期日超過 "&amp;('設定'!$B$7-$J139)&amp;"日",IF($J139='設定'!$B$7,"今日","あと "&amp;($J139-'設定'!$B$7)&amp;"日")))</f>
        <v/>
      </c>
      <c r="Q139" s="56" t="n"/>
      <c r="R139" s="32">
        <f>IF($B139="","",IFERROR(MATCH($B139,'仕入先'!$B$5:$B$54,0),"なし"))</f>
        <v/>
      </c>
      <c r="S139" s="33">
        <f>IF($B139="","",IF(ISNUMBER($D139),$D139,IF(ISNUMBER($A139),$A139,"")))</f>
        <v/>
      </c>
      <c r="T139" s="34">
        <f>IF(OR($B139="",N($N139)&lt;=0),"",IF(ISNUMBER($J139),$J139,99999)+ROW()/1000000)</f>
        <v/>
      </c>
      <c r="U139" s="35">
        <f>IF(OR($B139="",$B139&lt;&gt;'買掛帳'!$B$3,NOT(ISNUMBER($S139))),"",IF(AND($S139&gt;='買掛帳'!$Q$3,$S139&lt;='買掛帳'!$Q$4),$S139+ROW()/10000000,""))</f>
        <v/>
      </c>
      <c r="V139" s="35">
        <f>IF(OR($B139="",$B139&lt;&gt;'買掛帳'!$B$3,NOT(ISNUMBER($K139)),N($L139)+N($M139)=0),"",IF(AND($K139&gt;='買掛帳'!$Q$3,$K139&lt;='買掛帳'!$Q$4),$K139+0.5+ROW()/10000000,""))</f>
        <v/>
      </c>
    </row>
    <row r="140" ht="18" customHeight="1">
      <c r="A140" s="26" t="n"/>
      <c r="B140" s="18" t="n"/>
      <c r="C140" s="20">
        <f>IF($B140="","",IF($R140="なし","※仕入先にないコード",INDEX('仕入先'!$C$5:$C$54,$R140)&amp;""))</f>
        <v/>
      </c>
      <c r="D140" s="26" t="n"/>
      <c r="E140" s="18" t="n"/>
      <c r="F140" s="19" t="n"/>
      <c r="G140" s="27" t="n"/>
      <c r="H140" s="29">
        <f>IF(OR($B140="",NOT(ISNUMBER($R140)),NOT(ISNUMBER($S140))),"",IF(OR(INDEX('仕入先'!$D$5:$D$54,$R140)="",INDEX('仕入先'!$E$5:$E$54,$R140)="",INDEX('仕入先'!$F$5:$F$54,$R140)=""),"",IF(INDEX('仕入先'!$F$5:$F$54,$R140)="末",DATE(YEAR($S140),(MONTH($S140)+IF(INDEX('仕入先'!$D$5:$D$54,$R140)="末",0,IF(DAY($S140)&lt;=INDEX('仕入先'!$D$5:$D$54,$R140),0,1))+N(INDEX('仕入先'!$E$5:$E$54,$R140)))+1,0),DATE(YEAR($S140),(MONTH($S140)+IF(INDEX('仕入先'!$D$5:$D$54,$R140)="末",0,IF(DAY($S140)&lt;=INDEX('仕入先'!$D$5:$D$54,$R140),0,1))+N(INDEX('仕入先'!$E$5:$E$54,$R140))),MIN(INDEX('仕入先'!$F$5:$F$54,$R140),DAY(DATE(YEAR($S140),(MONTH($S140)+IF(INDEX('仕入先'!$D$5:$D$54,$R140)="末",0,IF(DAY($S140)&lt;=INDEX('仕入先'!$D$5:$D$54,$R140),0,1))+N(INDEX('仕入先'!$E$5:$E$54,$R140)))+1,0)))))))</f>
        <v/>
      </c>
      <c r="I140" s="26" t="n"/>
      <c r="J140" s="29">
        <f>IF($B140="","",IF(ISNUMBER($I140),$I140,$H140))</f>
        <v/>
      </c>
      <c r="K140" s="26" t="n"/>
      <c r="L140" s="27" t="n"/>
      <c r="M140" s="27" t="n"/>
      <c r="N140" s="28">
        <f>IF($B140="","",N($G140)-N($L140)-N($M140))</f>
        <v/>
      </c>
      <c r="O140" s="30">
        <f>IF($B140="","",IF(AND(OR(N($L140)&lt;&gt;0,N($M140)&lt;&gt;0),NOT(ISNUMBER($K140))),"支払日なし",IF($N140=0,IF(N($G140)=0,"請求額0","支払済"),IF($N140&lt;0,"払いすぎ",IF(N($L140)+N($M140)=0,"未払","一部支払")))))</f>
        <v/>
      </c>
      <c r="P140" s="30">
        <f>IF(OR($B140="",N($N140)&lt;=0,NOT(ISNUMBER($J140))),"",IF($J140&lt;'設定'!$B$7,"期日超過 "&amp;('設定'!$B$7-$J140)&amp;"日",IF($J140='設定'!$B$7,"今日","あと "&amp;($J140-'設定'!$B$7)&amp;"日")))</f>
        <v/>
      </c>
      <c r="Q140" s="56" t="n"/>
      <c r="R140" s="32">
        <f>IF($B140="","",IFERROR(MATCH($B140,'仕入先'!$B$5:$B$54,0),"なし"))</f>
        <v/>
      </c>
      <c r="S140" s="33">
        <f>IF($B140="","",IF(ISNUMBER($D140),$D140,IF(ISNUMBER($A140),$A140,"")))</f>
        <v/>
      </c>
      <c r="T140" s="34">
        <f>IF(OR($B140="",N($N140)&lt;=0),"",IF(ISNUMBER($J140),$J140,99999)+ROW()/1000000)</f>
        <v/>
      </c>
      <c r="U140" s="35">
        <f>IF(OR($B140="",$B140&lt;&gt;'買掛帳'!$B$3,NOT(ISNUMBER($S140))),"",IF(AND($S140&gt;='買掛帳'!$Q$3,$S140&lt;='買掛帳'!$Q$4),$S140+ROW()/10000000,""))</f>
        <v/>
      </c>
      <c r="V140" s="35">
        <f>IF(OR($B140="",$B140&lt;&gt;'買掛帳'!$B$3,NOT(ISNUMBER($K140)),N($L140)+N($M140)=0),"",IF(AND($K140&gt;='買掛帳'!$Q$3,$K140&lt;='買掛帳'!$Q$4),$K140+0.5+ROW()/10000000,""))</f>
        <v/>
      </c>
    </row>
    <row r="141" ht="18" customHeight="1">
      <c r="A141" s="26" t="n"/>
      <c r="B141" s="18" t="n"/>
      <c r="C141" s="20">
        <f>IF($B141="","",IF($R141="なし","※仕入先にないコード",INDEX('仕入先'!$C$5:$C$54,$R141)&amp;""))</f>
        <v/>
      </c>
      <c r="D141" s="26" t="n"/>
      <c r="E141" s="18" t="n"/>
      <c r="F141" s="19" t="n"/>
      <c r="G141" s="27" t="n"/>
      <c r="H141" s="29">
        <f>IF(OR($B141="",NOT(ISNUMBER($R141)),NOT(ISNUMBER($S141))),"",IF(OR(INDEX('仕入先'!$D$5:$D$54,$R141)="",INDEX('仕入先'!$E$5:$E$54,$R141)="",INDEX('仕入先'!$F$5:$F$54,$R141)=""),"",IF(INDEX('仕入先'!$F$5:$F$54,$R141)="末",DATE(YEAR($S141),(MONTH($S141)+IF(INDEX('仕入先'!$D$5:$D$54,$R141)="末",0,IF(DAY($S141)&lt;=INDEX('仕入先'!$D$5:$D$54,$R141),0,1))+N(INDEX('仕入先'!$E$5:$E$54,$R141)))+1,0),DATE(YEAR($S141),(MONTH($S141)+IF(INDEX('仕入先'!$D$5:$D$54,$R141)="末",0,IF(DAY($S141)&lt;=INDEX('仕入先'!$D$5:$D$54,$R141),0,1))+N(INDEX('仕入先'!$E$5:$E$54,$R141))),MIN(INDEX('仕入先'!$F$5:$F$54,$R141),DAY(DATE(YEAR($S141),(MONTH($S141)+IF(INDEX('仕入先'!$D$5:$D$54,$R141)="末",0,IF(DAY($S141)&lt;=INDEX('仕入先'!$D$5:$D$54,$R141),0,1))+N(INDEX('仕入先'!$E$5:$E$54,$R141)))+1,0)))))))</f>
        <v/>
      </c>
      <c r="I141" s="26" t="n"/>
      <c r="J141" s="29">
        <f>IF($B141="","",IF(ISNUMBER($I141),$I141,$H141))</f>
        <v/>
      </c>
      <c r="K141" s="26" t="n"/>
      <c r="L141" s="27" t="n"/>
      <c r="M141" s="27" t="n"/>
      <c r="N141" s="28">
        <f>IF($B141="","",N($G141)-N($L141)-N($M141))</f>
        <v/>
      </c>
      <c r="O141" s="30">
        <f>IF($B141="","",IF(AND(OR(N($L141)&lt;&gt;0,N($M141)&lt;&gt;0),NOT(ISNUMBER($K141))),"支払日なし",IF($N141=0,IF(N($G141)=0,"請求額0","支払済"),IF($N141&lt;0,"払いすぎ",IF(N($L141)+N($M141)=0,"未払","一部支払")))))</f>
        <v/>
      </c>
      <c r="P141" s="30">
        <f>IF(OR($B141="",N($N141)&lt;=0,NOT(ISNUMBER($J141))),"",IF($J141&lt;'設定'!$B$7,"期日超過 "&amp;('設定'!$B$7-$J141)&amp;"日",IF($J141='設定'!$B$7,"今日","あと "&amp;($J141-'設定'!$B$7)&amp;"日")))</f>
        <v/>
      </c>
      <c r="Q141" s="56" t="n"/>
      <c r="R141" s="32">
        <f>IF($B141="","",IFERROR(MATCH($B141,'仕入先'!$B$5:$B$54,0),"なし"))</f>
        <v/>
      </c>
      <c r="S141" s="33">
        <f>IF($B141="","",IF(ISNUMBER($D141),$D141,IF(ISNUMBER($A141),$A141,"")))</f>
        <v/>
      </c>
      <c r="T141" s="34">
        <f>IF(OR($B141="",N($N141)&lt;=0),"",IF(ISNUMBER($J141),$J141,99999)+ROW()/1000000)</f>
        <v/>
      </c>
      <c r="U141" s="35">
        <f>IF(OR($B141="",$B141&lt;&gt;'買掛帳'!$B$3,NOT(ISNUMBER($S141))),"",IF(AND($S141&gt;='買掛帳'!$Q$3,$S141&lt;='買掛帳'!$Q$4),$S141+ROW()/10000000,""))</f>
        <v/>
      </c>
      <c r="V141" s="35">
        <f>IF(OR($B141="",$B141&lt;&gt;'買掛帳'!$B$3,NOT(ISNUMBER($K141)),N($L141)+N($M141)=0),"",IF(AND($K141&gt;='買掛帳'!$Q$3,$K141&lt;='買掛帳'!$Q$4),$K141+0.5+ROW()/10000000,""))</f>
        <v/>
      </c>
    </row>
    <row r="142" ht="18" customHeight="1">
      <c r="A142" s="26" t="n"/>
      <c r="B142" s="18" t="n"/>
      <c r="C142" s="20">
        <f>IF($B142="","",IF($R142="なし","※仕入先にないコード",INDEX('仕入先'!$C$5:$C$54,$R142)&amp;""))</f>
        <v/>
      </c>
      <c r="D142" s="26" t="n"/>
      <c r="E142" s="18" t="n"/>
      <c r="F142" s="19" t="n"/>
      <c r="G142" s="27" t="n"/>
      <c r="H142" s="29">
        <f>IF(OR($B142="",NOT(ISNUMBER($R142)),NOT(ISNUMBER($S142))),"",IF(OR(INDEX('仕入先'!$D$5:$D$54,$R142)="",INDEX('仕入先'!$E$5:$E$54,$R142)="",INDEX('仕入先'!$F$5:$F$54,$R142)=""),"",IF(INDEX('仕入先'!$F$5:$F$54,$R142)="末",DATE(YEAR($S142),(MONTH($S142)+IF(INDEX('仕入先'!$D$5:$D$54,$R142)="末",0,IF(DAY($S142)&lt;=INDEX('仕入先'!$D$5:$D$54,$R142),0,1))+N(INDEX('仕入先'!$E$5:$E$54,$R142)))+1,0),DATE(YEAR($S142),(MONTH($S142)+IF(INDEX('仕入先'!$D$5:$D$54,$R142)="末",0,IF(DAY($S142)&lt;=INDEX('仕入先'!$D$5:$D$54,$R142),0,1))+N(INDEX('仕入先'!$E$5:$E$54,$R142))),MIN(INDEX('仕入先'!$F$5:$F$54,$R142),DAY(DATE(YEAR($S142),(MONTH($S142)+IF(INDEX('仕入先'!$D$5:$D$54,$R142)="末",0,IF(DAY($S142)&lt;=INDEX('仕入先'!$D$5:$D$54,$R142),0,1))+N(INDEX('仕入先'!$E$5:$E$54,$R142)))+1,0)))))))</f>
        <v/>
      </c>
      <c r="I142" s="26" t="n"/>
      <c r="J142" s="29">
        <f>IF($B142="","",IF(ISNUMBER($I142),$I142,$H142))</f>
        <v/>
      </c>
      <c r="K142" s="26" t="n"/>
      <c r="L142" s="27" t="n"/>
      <c r="M142" s="27" t="n"/>
      <c r="N142" s="28">
        <f>IF($B142="","",N($G142)-N($L142)-N($M142))</f>
        <v/>
      </c>
      <c r="O142" s="30">
        <f>IF($B142="","",IF(AND(OR(N($L142)&lt;&gt;0,N($M142)&lt;&gt;0),NOT(ISNUMBER($K142))),"支払日なし",IF($N142=0,IF(N($G142)=0,"請求額0","支払済"),IF($N142&lt;0,"払いすぎ",IF(N($L142)+N($M142)=0,"未払","一部支払")))))</f>
        <v/>
      </c>
      <c r="P142" s="30">
        <f>IF(OR($B142="",N($N142)&lt;=0,NOT(ISNUMBER($J142))),"",IF($J142&lt;'設定'!$B$7,"期日超過 "&amp;('設定'!$B$7-$J142)&amp;"日",IF($J142='設定'!$B$7,"今日","あと "&amp;($J142-'設定'!$B$7)&amp;"日")))</f>
        <v/>
      </c>
      <c r="Q142" s="56" t="n"/>
      <c r="R142" s="32">
        <f>IF($B142="","",IFERROR(MATCH($B142,'仕入先'!$B$5:$B$54,0),"なし"))</f>
        <v/>
      </c>
      <c r="S142" s="33">
        <f>IF($B142="","",IF(ISNUMBER($D142),$D142,IF(ISNUMBER($A142),$A142,"")))</f>
        <v/>
      </c>
      <c r="T142" s="34">
        <f>IF(OR($B142="",N($N142)&lt;=0),"",IF(ISNUMBER($J142),$J142,99999)+ROW()/1000000)</f>
        <v/>
      </c>
      <c r="U142" s="35">
        <f>IF(OR($B142="",$B142&lt;&gt;'買掛帳'!$B$3,NOT(ISNUMBER($S142))),"",IF(AND($S142&gt;='買掛帳'!$Q$3,$S142&lt;='買掛帳'!$Q$4),$S142+ROW()/10000000,""))</f>
        <v/>
      </c>
      <c r="V142" s="35">
        <f>IF(OR($B142="",$B142&lt;&gt;'買掛帳'!$B$3,NOT(ISNUMBER($K142)),N($L142)+N($M142)=0),"",IF(AND($K142&gt;='買掛帳'!$Q$3,$K142&lt;='買掛帳'!$Q$4),$K142+0.5+ROW()/10000000,""))</f>
        <v/>
      </c>
    </row>
    <row r="143" ht="18" customHeight="1">
      <c r="A143" s="26" t="n"/>
      <c r="B143" s="18" t="n"/>
      <c r="C143" s="20">
        <f>IF($B143="","",IF($R143="なし","※仕入先にないコード",INDEX('仕入先'!$C$5:$C$54,$R143)&amp;""))</f>
        <v/>
      </c>
      <c r="D143" s="26" t="n"/>
      <c r="E143" s="18" t="n"/>
      <c r="F143" s="19" t="n"/>
      <c r="G143" s="27" t="n"/>
      <c r="H143" s="29">
        <f>IF(OR($B143="",NOT(ISNUMBER($R143)),NOT(ISNUMBER($S143))),"",IF(OR(INDEX('仕入先'!$D$5:$D$54,$R143)="",INDEX('仕入先'!$E$5:$E$54,$R143)="",INDEX('仕入先'!$F$5:$F$54,$R143)=""),"",IF(INDEX('仕入先'!$F$5:$F$54,$R143)="末",DATE(YEAR($S143),(MONTH($S143)+IF(INDEX('仕入先'!$D$5:$D$54,$R143)="末",0,IF(DAY($S143)&lt;=INDEX('仕入先'!$D$5:$D$54,$R143),0,1))+N(INDEX('仕入先'!$E$5:$E$54,$R143)))+1,0),DATE(YEAR($S143),(MONTH($S143)+IF(INDEX('仕入先'!$D$5:$D$54,$R143)="末",0,IF(DAY($S143)&lt;=INDEX('仕入先'!$D$5:$D$54,$R143),0,1))+N(INDEX('仕入先'!$E$5:$E$54,$R143))),MIN(INDEX('仕入先'!$F$5:$F$54,$R143),DAY(DATE(YEAR($S143),(MONTH($S143)+IF(INDEX('仕入先'!$D$5:$D$54,$R143)="末",0,IF(DAY($S143)&lt;=INDEX('仕入先'!$D$5:$D$54,$R143),0,1))+N(INDEX('仕入先'!$E$5:$E$54,$R143)))+1,0)))))))</f>
        <v/>
      </c>
      <c r="I143" s="26" t="n"/>
      <c r="J143" s="29">
        <f>IF($B143="","",IF(ISNUMBER($I143),$I143,$H143))</f>
        <v/>
      </c>
      <c r="K143" s="26" t="n"/>
      <c r="L143" s="27" t="n"/>
      <c r="M143" s="27" t="n"/>
      <c r="N143" s="28">
        <f>IF($B143="","",N($G143)-N($L143)-N($M143))</f>
        <v/>
      </c>
      <c r="O143" s="30">
        <f>IF($B143="","",IF(AND(OR(N($L143)&lt;&gt;0,N($M143)&lt;&gt;0),NOT(ISNUMBER($K143))),"支払日なし",IF($N143=0,IF(N($G143)=0,"請求額0","支払済"),IF($N143&lt;0,"払いすぎ",IF(N($L143)+N($M143)=0,"未払","一部支払")))))</f>
        <v/>
      </c>
      <c r="P143" s="30">
        <f>IF(OR($B143="",N($N143)&lt;=0,NOT(ISNUMBER($J143))),"",IF($J143&lt;'設定'!$B$7,"期日超過 "&amp;('設定'!$B$7-$J143)&amp;"日",IF($J143='設定'!$B$7,"今日","あと "&amp;($J143-'設定'!$B$7)&amp;"日")))</f>
        <v/>
      </c>
      <c r="Q143" s="56" t="n"/>
      <c r="R143" s="32">
        <f>IF($B143="","",IFERROR(MATCH($B143,'仕入先'!$B$5:$B$54,0),"なし"))</f>
        <v/>
      </c>
      <c r="S143" s="33">
        <f>IF($B143="","",IF(ISNUMBER($D143),$D143,IF(ISNUMBER($A143),$A143,"")))</f>
        <v/>
      </c>
      <c r="T143" s="34">
        <f>IF(OR($B143="",N($N143)&lt;=0),"",IF(ISNUMBER($J143),$J143,99999)+ROW()/1000000)</f>
        <v/>
      </c>
      <c r="U143" s="35">
        <f>IF(OR($B143="",$B143&lt;&gt;'買掛帳'!$B$3,NOT(ISNUMBER($S143))),"",IF(AND($S143&gt;='買掛帳'!$Q$3,$S143&lt;='買掛帳'!$Q$4),$S143+ROW()/10000000,""))</f>
        <v/>
      </c>
      <c r="V143" s="35">
        <f>IF(OR($B143="",$B143&lt;&gt;'買掛帳'!$B$3,NOT(ISNUMBER($K143)),N($L143)+N($M143)=0),"",IF(AND($K143&gt;='買掛帳'!$Q$3,$K143&lt;='買掛帳'!$Q$4),$K143+0.5+ROW()/10000000,""))</f>
        <v/>
      </c>
    </row>
    <row r="144" ht="18" customHeight="1">
      <c r="A144" s="26" t="n"/>
      <c r="B144" s="18" t="n"/>
      <c r="C144" s="20">
        <f>IF($B144="","",IF($R144="なし","※仕入先にないコード",INDEX('仕入先'!$C$5:$C$54,$R144)&amp;""))</f>
        <v/>
      </c>
      <c r="D144" s="26" t="n"/>
      <c r="E144" s="18" t="n"/>
      <c r="F144" s="19" t="n"/>
      <c r="G144" s="27" t="n"/>
      <c r="H144" s="29">
        <f>IF(OR($B144="",NOT(ISNUMBER($R144)),NOT(ISNUMBER($S144))),"",IF(OR(INDEX('仕入先'!$D$5:$D$54,$R144)="",INDEX('仕入先'!$E$5:$E$54,$R144)="",INDEX('仕入先'!$F$5:$F$54,$R144)=""),"",IF(INDEX('仕入先'!$F$5:$F$54,$R144)="末",DATE(YEAR($S144),(MONTH($S144)+IF(INDEX('仕入先'!$D$5:$D$54,$R144)="末",0,IF(DAY($S144)&lt;=INDEX('仕入先'!$D$5:$D$54,$R144),0,1))+N(INDEX('仕入先'!$E$5:$E$54,$R144)))+1,0),DATE(YEAR($S144),(MONTH($S144)+IF(INDEX('仕入先'!$D$5:$D$54,$R144)="末",0,IF(DAY($S144)&lt;=INDEX('仕入先'!$D$5:$D$54,$R144),0,1))+N(INDEX('仕入先'!$E$5:$E$54,$R144))),MIN(INDEX('仕入先'!$F$5:$F$54,$R144),DAY(DATE(YEAR($S144),(MONTH($S144)+IF(INDEX('仕入先'!$D$5:$D$54,$R144)="末",0,IF(DAY($S144)&lt;=INDEX('仕入先'!$D$5:$D$54,$R144),0,1))+N(INDEX('仕入先'!$E$5:$E$54,$R144)))+1,0)))))))</f>
        <v/>
      </c>
      <c r="I144" s="26" t="n"/>
      <c r="J144" s="29">
        <f>IF($B144="","",IF(ISNUMBER($I144),$I144,$H144))</f>
        <v/>
      </c>
      <c r="K144" s="26" t="n"/>
      <c r="L144" s="27" t="n"/>
      <c r="M144" s="27" t="n"/>
      <c r="N144" s="28">
        <f>IF($B144="","",N($G144)-N($L144)-N($M144))</f>
        <v/>
      </c>
      <c r="O144" s="30">
        <f>IF($B144="","",IF(AND(OR(N($L144)&lt;&gt;0,N($M144)&lt;&gt;0),NOT(ISNUMBER($K144))),"支払日なし",IF($N144=0,IF(N($G144)=0,"請求額0","支払済"),IF($N144&lt;0,"払いすぎ",IF(N($L144)+N($M144)=0,"未払","一部支払")))))</f>
        <v/>
      </c>
      <c r="P144" s="30">
        <f>IF(OR($B144="",N($N144)&lt;=0,NOT(ISNUMBER($J144))),"",IF($J144&lt;'設定'!$B$7,"期日超過 "&amp;('設定'!$B$7-$J144)&amp;"日",IF($J144='設定'!$B$7,"今日","あと "&amp;($J144-'設定'!$B$7)&amp;"日")))</f>
        <v/>
      </c>
      <c r="Q144" s="56" t="n"/>
      <c r="R144" s="32">
        <f>IF($B144="","",IFERROR(MATCH($B144,'仕入先'!$B$5:$B$54,0),"なし"))</f>
        <v/>
      </c>
      <c r="S144" s="33">
        <f>IF($B144="","",IF(ISNUMBER($D144),$D144,IF(ISNUMBER($A144),$A144,"")))</f>
        <v/>
      </c>
      <c r="T144" s="34">
        <f>IF(OR($B144="",N($N144)&lt;=0),"",IF(ISNUMBER($J144),$J144,99999)+ROW()/1000000)</f>
        <v/>
      </c>
      <c r="U144" s="35">
        <f>IF(OR($B144="",$B144&lt;&gt;'買掛帳'!$B$3,NOT(ISNUMBER($S144))),"",IF(AND($S144&gt;='買掛帳'!$Q$3,$S144&lt;='買掛帳'!$Q$4),$S144+ROW()/10000000,""))</f>
        <v/>
      </c>
      <c r="V144" s="35">
        <f>IF(OR($B144="",$B144&lt;&gt;'買掛帳'!$B$3,NOT(ISNUMBER($K144)),N($L144)+N($M144)=0),"",IF(AND($K144&gt;='買掛帳'!$Q$3,$K144&lt;='買掛帳'!$Q$4),$K144+0.5+ROW()/10000000,""))</f>
        <v/>
      </c>
    </row>
    <row r="145" ht="18" customHeight="1">
      <c r="A145" s="26" t="n"/>
      <c r="B145" s="18" t="n"/>
      <c r="C145" s="20">
        <f>IF($B145="","",IF($R145="なし","※仕入先にないコード",INDEX('仕入先'!$C$5:$C$54,$R145)&amp;""))</f>
        <v/>
      </c>
      <c r="D145" s="26" t="n"/>
      <c r="E145" s="18" t="n"/>
      <c r="F145" s="19" t="n"/>
      <c r="G145" s="27" t="n"/>
      <c r="H145" s="29">
        <f>IF(OR($B145="",NOT(ISNUMBER($R145)),NOT(ISNUMBER($S145))),"",IF(OR(INDEX('仕入先'!$D$5:$D$54,$R145)="",INDEX('仕入先'!$E$5:$E$54,$R145)="",INDEX('仕入先'!$F$5:$F$54,$R145)=""),"",IF(INDEX('仕入先'!$F$5:$F$54,$R145)="末",DATE(YEAR($S145),(MONTH($S145)+IF(INDEX('仕入先'!$D$5:$D$54,$R145)="末",0,IF(DAY($S145)&lt;=INDEX('仕入先'!$D$5:$D$54,$R145),0,1))+N(INDEX('仕入先'!$E$5:$E$54,$R145)))+1,0),DATE(YEAR($S145),(MONTH($S145)+IF(INDEX('仕入先'!$D$5:$D$54,$R145)="末",0,IF(DAY($S145)&lt;=INDEX('仕入先'!$D$5:$D$54,$R145),0,1))+N(INDEX('仕入先'!$E$5:$E$54,$R145))),MIN(INDEX('仕入先'!$F$5:$F$54,$R145),DAY(DATE(YEAR($S145),(MONTH($S145)+IF(INDEX('仕入先'!$D$5:$D$54,$R145)="末",0,IF(DAY($S145)&lt;=INDEX('仕入先'!$D$5:$D$54,$R145),0,1))+N(INDEX('仕入先'!$E$5:$E$54,$R145)))+1,0)))))))</f>
        <v/>
      </c>
      <c r="I145" s="26" t="n"/>
      <c r="J145" s="29">
        <f>IF($B145="","",IF(ISNUMBER($I145),$I145,$H145))</f>
        <v/>
      </c>
      <c r="K145" s="26" t="n"/>
      <c r="L145" s="27" t="n"/>
      <c r="M145" s="27" t="n"/>
      <c r="N145" s="28">
        <f>IF($B145="","",N($G145)-N($L145)-N($M145))</f>
        <v/>
      </c>
      <c r="O145" s="30">
        <f>IF($B145="","",IF(AND(OR(N($L145)&lt;&gt;0,N($M145)&lt;&gt;0),NOT(ISNUMBER($K145))),"支払日なし",IF($N145=0,IF(N($G145)=0,"請求額0","支払済"),IF($N145&lt;0,"払いすぎ",IF(N($L145)+N($M145)=0,"未払","一部支払")))))</f>
        <v/>
      </c>
      <c r="P145" s="30">
        <f>IF(OR($B145="",N($N145)&lt;=0,NOT(ISNUMBER($J145))),"",IF($J145&lt;'設定'!$B$7,"期日超過 "&amp;('設定'!$B$7-$J145)&amp;"日",IF($J145='設定'!$B$7,"今日","あと "&amp;($J145-'設定'!$B$7)&amp;"日")))</f>
        <v/>
      </c>
      <c r="Q145" s="56" t="n"/>
      <c r="R145" s="32">
        <f>IF($B145="","",IFERROR(MATCH($B145,'仕入先'!$B$5:$B$54,0),"なし"))</f>
        <v/>
      </c>
      <c r="S145" s="33">
        <f>IF($B145="","",IF(ISNUMBER($D145),$D145,IF(ISNUMBER($A145),$A145,"")))</f>
        <v/>
      </c>
      <c r="T145" s="34">
        <f>IF(OR($B145="",N($N145)&lt;=0),"",IF(ISNUMBER($J145),$J145,99999)+ROW()/1000000)</f>
        <v/>
      </c>
      <c r="U145" s="35">
        <f>IF(OR($B145="",$B145&lt;&gt;'買掛帳'!$B$3,NOT(ISNUMBER($S145))),"",IF(AND($S145&gt;='買掛帳'!$Q$3,$S145&lt;='買掛帳'!$Q$4),$S145+ROW()/10000000,""))</f>
        <v/>
      </c>
      <c r="V145" s="35">
        <f>IF(OR($B145="",$B145&lt;&gt;'買掛帳'!$B$3,NOT(ISNUMBER($K145)),N($L145)+N($M145)=0),"",IF(AND($K145&gt;='買掛帳'!$Q$3,$K145&lt;='買掛帳'!$Q$4),$K145+0.5+ROW()/10000000,""))</f>
        <v/>
      </c>
    </row>
    <row r="146" ht="18" customHeight="1">
      <c r="A146" s="26" t="n"/>
      <c r="B146" s="18" t="n"/>
      <c r="C146" s="20">
        <f>IF($B146="","",IF($R146="なし","※仕入先にないコード",INDEX('仕入先'!$C$5:$C$54,$R146)&amp;""))</f>
        <v/>
      </c>
      <c r="D146" s="26" t="n"/>
      <c r="E146" s="18" t="n"/>
      <c r="F146" s="19" t="n"/>
      <c r="G146" s="27" t="n"/>
      <c r="H146" s="29">
        <f>IF(OR($B146="",NOT(ISNUMBER($R146)),NOT(ISNUMBER($S146))),"",IF(OR(INDEX('仕入先'!$D$5:$D$54,$R146)="",INDEX('仕入先'!$E$5:$E$54,$R146)="",INDEX('仕入先'!$F$5:$F$54,$R146)=""),"",IF(INDEX('仕入先'!$F$5:$F$54,$R146)="末",DATE(YEAR($S146),(MONTH($S146)+IF(INDEX('仕入先'!$D$5:$D$54,$R146)="末",0,IF(DAY($S146)&lt;=INDEX('仕入先'!$D$5:$D$54,$R146),0,1))+N(INDEX('仕入先'!$E$5:$E$54,$R146)))+1,0),DATE(YEAR($S146),(MONTH($S146)+IF(INDEX('仕入先'!$D$5:$D$54,$R146)="末",0,IF(DAY($S146)&lt;=INDEX('仕入先'!$D$5:$D$54,$R146),0,1))+N(INDEX('仕入先'!$E$5:$E$54,$R146))),MIN(INDEX('仕入先'!$F$5:$F$54,$R146),DAY(DATE(YEAR($S146),(MONTH($S146)+IF(INDEX('仕入先'!$D$5:$D$54,$R146)="末",0,IF(DAY($S146)&lt;=INDEX('仕入先'!$D$5:$D$54,$R146),0,1))+N(INDEX('仕入先'!$E$5:$E$54,$R146)))+1,0)))))))</f>
        <v/>
      </c>
      <c r="I146" s="26" t="n"/>
      <c r="J146" s="29">
        <f>IF($B146="","",IF(ISNUMBER($I146),$I146,$H146))</f>
        <v/>
      </c>
      <c r="K146" s="26" t="n"/>
      <c r="L146" s="27" t="n"/>
      <c r="M146" s="27" t="n"/>
      <c r="N146" s="28">
        <f>IF($B146="","",N($G146)-N($L146)-N($M146))</f>
        <v/>
      </c>
      <c r="O146" s="30">
        <f>IF($B146="","",IF(AND(OR(N($L146)&lt;&gt;0,N($M146)&lt;&gt;0),NOT(ISNUMBER($K146))),"支払日なし",IF($N146=0,IF(N($G146)=0,"請求額0","支払済"),IF($N146&lt;0,"払いすぎ",IF(N($L146)+N($M146)=0,"未払","一部支払")))))</f>
        <v/>
      </c>
      <c r="P146" s="30">
        <f>IF(OR($B146="",N($N146)&lt;=0,NOT(ISNUMBER($J146))),"",IF($J146&lt;'設定'!$B$7,"期日超過 "&amp;('設定'!$B$7-$J146)&amp;"日",IF($J146='設定'!$B$7,"今日","あと "&amp;($J146-'設定'!$B$7)&amp;"日")))</f>
        <v/>
      </c>
      <c r="Q146" s="56" t="n"/>
      <c r="R146" s="32">
        <f>IF($B146="","",IFERROR(MATCH($B146,'仕入先'!$B$5:$B$54,0),"なし"))</f>
        <v/>
      </c>
      <c r="S146" s="33">
        <f>IF($B146="","",IF(ISNUMBER($D146),$D146,IF(ISNUMBER($A146),$A146,"")))</f>
        <v/>
      </c>
      <c r="T146" s="34">
        <f>IF(OR($B146="",N($N146)&lt;=0),"",IF(ISNUMBER($J146),$J146,99999)+ROW()/1000000)</f>
        <v/>
      </c>
      <c r="U146" s="35">
        <f>IF(OR($B146="",$B146&lt;&gt;'買掛帳'!$B$3,NOT(ISNUMBER($S146))),"",IF(AND($S146&gt;='買掛帳'!$Q$3,$S146&lt;='買掛帳'!$Q$4),$S146+ROW()/10000000,""))</f>
        <v/>
      </c>
      <c r="V146" s="35">
        <f>IF(OR($B146="",$B146&lt;&gt;'買掛帳'!$B$3,NOT(ISNUMBER($K146)),N($L146)+N($M146)=0),"",IF(AND($K146&gt;='買掛帳'!$Q$3,$K146&lt;='買掛帳'!$Q$4),$K146+0.5+ROW()/10000000,""))</f>
        <v/>
      </c>
    </row>
    <row r="147" ht="18" customHeight="1">
      <c r="A147" s="26" t="n"/>
      <c r="B147" s="18" t="n"/>
      <c r="C147" s="20">
        <f>IF($B147="","",IF($R147="なし","※仕入先にないコード",INDEX('仕入先'!$C$5:$C$54,$R147)&amp;""))</f>
        <v/>
      </c>
      <c r="D147" s="26" t="n"/>
      <c r="E147" s="18" t="n"/>
      <c r="F147" s="19" t="n"/>
      <c r="G147" s="27" t="n"/>
      <c r="H147" s="29">
        <f>IF(OR($B147="",NOT(ISNUMBER($R147)),NOT(ISNUMBER($S147))),"",IF(OR(INDEX('仕入先'!$D$5:$D$54,$R147)="",INDEX('仕入先'!$E$5:$E$54,$R147)="",INDEX('仕入先'!$F$5:$F$54,$R147)=""),"",IF(INDEX('仕入先'!$F$5:$F$54,$R147)="末",DATE(YEAR($S147),(MONTH($S147)+IF(INDEX('仕入先'!$D$5:$D$54,$R147)="末",0,IF(DAY($S147)&lt;=INDEX('仕入先'!$D$5:$D$54,$R147),0,1))+N(INDEX('仕入先'!$E$5:$E$54,$R147)))+1,0),DATE(YEAR($S147),(MONTH($S147)+IF(INDEX('仕入先'!$D$5:$D$54,$R147)="末",0,IF(DAY($S147)&lt;=INDEX('仕入先'!$D$5:$D$54,$R147),0,1))+N(INDEX('仕入先'!$E$5:$E$54,$R147))),MIN(INDEX('仕入先'!$F$5:$F$54,$R147),DAY(DATE(YEAR($S147),(MONTH($S147)+IF(INDEX('仕入先'!$D$5:$D$54,$R147)="末",0,IF(DAY($S147)&lt;=INDEX('仕入先'!$D$5:$D$54,$R147),0,1))+N(INDEX('仕入先'!$E$5:$E$54,$R147)))+1,0)))))))</f>
        <v/>
      </c>
      <c r="I147" s="26" t="n"/>
      <c r="J147" s="29">
        <f>IF($B147="","",IF(ISNUMBER($I147),$I147,$H147))</f>
        <v/>
      </c>
      <c r="K147" s="26" t="n"/>
      <c r="L147" s="27" t="n"/>
      <c r="M147" s="27" t="n"/>
      <c r="N147" s="28">
        <f>IF($B147="","",N($G147)-N($L147)-N($M147))</f>
        <v/>
      </c>
      <c r="O147" s="30">
        <f>IF($B147="","",IF(AND(OR(N($L147)&lt;&gt;0,N($M147)&lt;&gt;0),NOT(ISNUMBER($K147))),"支払日なし",IF($N147=0,IF(N($G147)=0,"請求額0","支払済"),IF($N147&lt;0,"払いすぎ",IF(N($L147)+N($M147)=0,"未払","一部支払")))))</f>
        <v/>
      </c>
      <c r="P147" s="30">
        <f>IF(OR($B147="",N($N147)&lt;=0,NOT(ISNUMBER($J147))),"",IF($J147&lt;'設定'!$B$7,"期日超過 "&amp;('設定'!$B$7-$J147)&amp;"日",IF($J147='設定'!$B$7,"今日","あと "&amp;($J147-'設定'!$B$7)&amp;"日")))</f>
        <v/>
      </c>
      <c r="Q147" s="56" t="n"/>
      <c r="R147" s="32">
        <f>IF($B147="","",IFERROR(MATCH($B147,'仕入先'!$B$5:$B$54,0),"なし"))</f>
        <v/>
      </c>
      <c r="S147" s="33">
        <f>IF($B147="","",IF(ISNUMBER($D147),$D147,IF(ISNUMBER($A147),$A147,"")))</f>
        <v/>
      </c>
      <c r="T147" s="34">
        <f>IF(OR($B147="",N($N147)&lt;=0),"",IF(ISNUMBER($J147),$J147,99999)+ROW()/1000000)</f>
        <v/>
      </c>
      <c r="U147" s="35">
        <f>IF(OR($B147="",$B147&lt;&gt;'買掛帳'!$B$3,NOT(ISNUMBER($S147))),"",IF(AND($S147&gt;='買掛帳'!$Q$3,$S147&lt;='買掛帳'!$Q$4),$S147+ROW()/10000000,""))</f>
        <v/>
      </c>
      <c r="V147" s="35">
        <f>IF(OR($B147="",$B147&lt;&gt;'買掛帳'!$B$3,NOT(ISNUMBER($K147)),N($L147)+N($M147)=0),"",IF(AND($K147&gt;='買掛帳'!$Q$3,$K147&lt;='買掛帳'!$Q$4),$K147+0.5+ROW()/10000000,""))</f>
        <v/>
      </c>
    </row>
    <row r="148" ht="18" customHeight="1">
      <c r="A148" s="26" t="n"/>
      <c r="B148" s="18" t="n"/>
      <c r="C148" s="20">
        <f>IF($B148="","",IF($R148="なし","※仕入先にないコード",INDEX('仕入先'!$C$5:$C$54,$R148)&amp;""))</f>
        <v/>
      </c>
      <c r="D148" s="26" t="n"/>
      <c r="E148" s="18" t="n"/>
      <c r="F148" s="19" t="n"/>
      <c r="G148" s="27" t="n"/>
      <c r="H148" s="29">
        <f>IF(OR($B148="",NOT(ISNUMBER($R148)),NOT(ISNUMBER($S148))),"",IF(OR(INDEX('仕入先'!$D$5:$D$54,$R148)="",INDEX('仕入先'!$E$5:$E$54,$R148)="",INDEX('仕入先'!$F$5:$F$54,$R148)=""),"",IF(INDEX('仕入先'!$F$5:$F$54,$R148)="末",DATE(YEAR($S148),(MONTH($S148)+IF(INDEX('仕入先'!$D$5:$D$54,$R148)="末",0,IF(DAY($S148)&lt;=INDEX('仕入先'!$D$5:$D$54,$R148),0,1))+N(INDEX('仕入先'!$E$5:$E$54,$R148)))+1,0),DATE(YEAR($S148),(MONTH($S148)+IF(INDEX('仕入先'!$D$5:$D$54,$R148)="末",0,IF(DAY($S148)&lt;=INDEX('仕入先'!$D$5:$D$54,$R148),0,1))+N(INDEX('仕入先'!$E$5:$E$54,$R148))),MIN(INDEX('仕入先'!$F$5:$F$54,$R148),DAY(DATE(YEAR($S148),(MONTH($S148)+IF(INDEX('仕入先'!$D$5:$D$54,$R148)="末",0,IF(DAY($S148)&lt;=INDEX('仕入先'!$D$5:$D$54,$R148),0,1))+N(INDEX('仕入先'!$E$5:$E$54,$R148)))+1,0)))))))</f>
        <v/>
      </c>
      <c r="I148" s="26" t="n"/>
      <c r="J148" s="29">
        <f>IF($B148="","",IF(ISNUMBER($I148),$I148,$H148))</f>
        <v/>
      </c>
      <c r="K148" s="26" t="n"/>
      <c r="L148" s="27" t="n"/>
      <c r="M148" s="27" t="n"/>
      <c r="N148" s="28">
        <f>IF($B148="","",N($G148)-N($L148)-N($M148))</f>
        <v/>
      </c>
      <c r="O148" s="30">
        <f>IF($B148="","",IF(AND(OR(N($L148)&lt;&gt;0,N($M148)&lt;&gt;0),NOT(ISNUMBER($K148))),"支払日なし",IF($N148=0,IF(N($G148)=0,"請求額0","支払済"),IF($N148&lt;0,"払いすぎ",IF(N($L148)+N($M148)=0,"未払","一部支払")))))</f>
        <v/>
      </c>
      <c r="P148" s="30">
        <f>IF(OR($B148="",N($N148)&lt;=0,NOT(ISNUMBER($J148))),"",IF($J148&lt;'設定'!$B$7,"期日超過 "&amp;('設定'!$B$7-$J148)&amp;"日",IF($J148='設定'!$B$7,"今日","あと "&amp;($J148-'設定'!$B$7)&amp;"日")))</f>
        <v/>
      </c>
      <c r="Q148" s="56" t="n"/>
      <c r="R148" s="32">
        <f>IF($B148="","",IFERROR(MATCH($B148,'仕入先'!$B$5:$B$54,0),"なし"))</f>
        <v/>
      </c>
      <c r="S148" s="33">
        <f>IF($B148="","",IF(ISNUMBER($D148),$D148,IF(ISNUMBER($A148),$A148,"")))</f>
        <v/>
      </c>
      <c r="T148" s="34">
        <f>IF(OR($B148="",N($N148)&lt;=0),"",IF(ISNUMBER($J148),$J148,99999)+ROW()/1000000)</f>
        <v/>
      </c>
      <c r="U148" s="35">
        <f>IF(OR($B148="",$B148&lt;&gt;'買掛帳'!$B$3,NOT(ISNUMBER($S148))),"",IF(AND($S148&gt;='買掛帳'!$Q$3,$S148&lt;='買掛帳'!$Q$4),$S148+ROW()/10000000,""))</f>
        <v/>
      </c>
      <c r="V148" s="35">
        <f>IF(OR($B148="",$B148&lt;&gt;'買掛帳'!$B$3,NOT(ISNUMBER($K148)),N($L148)+N($M148)=0),"",IF(AND($K148&gt;='買掛帳'!$Q$3,$K148&lt;='買掛帳'!$Q$4),$K148+0.5+ROW()/10000000,""))</f>
        <v/>
      </c>
    </row>
    <row r="149" ht="18" customHeight="1">
      <c r="A149" s="26" t="n"/>
      <c r="B149" s="18" t="n"/>
      <c r="C149" s="20">
        <f>IF($B149="","",IF($R149="なし","※仕入先にないコード",INDEX('仕入先'!$C$5:$C$54,$R149)&amp;""))</f>
        <v/>
      </c>
      <c r="D149" s="26" t="n"/>
      <c r="E149" s="18" t="n"/>
      <c r="F149" s="19" t="n"/>
      <c r="G149" s="27" t="n"/>
      <c r="H149" s="29">
        <f>IF(OR($B149="",NOT(ISNUMBER($R149)),NOT(ISNUMBER($S149))),"",IF(OR(INDEX('仕入先'!$D$5:$D$54,$R149)="",INDEX('仕入先'!$E$5:$E$54,$R149)="",INDEX('仕入先'!$F$5:$F$54,$R149)=""),"",IF(INDEX('仕入先'!$F$5:$F$54,$R149)="末",DATE(YEAR($S149),(MONTH($S149)+IF(INDEX('仕入先'!$D$5:$D$54,$R149)="末",0,IF(DAY($S149)&lt;=INDEX('仕入先'!$D$5:$D$54,$R149),0,1))+N(INDEX('仕入先'!$E$5:$E$54,$R149)))+1,0),DATE(YEAR($S149),(MONTH($S149)+IF(INDEX('仕入先'!$D$5:$D$54,$R149)="末",0,IF(DAY($S149)&lt;=INDEX('仕入先'!$D$5:$D$54,$R149),0,1))+N(INDEX('仕入先'!$E$5:$E$54,$R149))),MIN(INDEX('仕入先'!$F$5:$F$54,$R149),DAY(DATE(YEAR($S149),(MONTH($S149)+IF(INDEX('仕入先'!$D$5:$D$54,$R149)="末",0,IF(DAY($S149)&lt;=INDEX('仕入先'!$D$5:$D$54,$R149),0,1))+N(INDEX('仕入先'!$E$5:$E$54,$R149)))+1,0)))))))</f>
        <v/>
      </c>
      <c r="I149" s="26" t="n"/>
      <c r="J149" s="29">
        <f>IF($B149="","",IF(ISNUMBER($I149),$I149,$H149))</f>
        <v/>
      </c>
      <c r="K149" s="26" t="n"/>
      <c r="L149" s="27" t="n"/>
      <c r="M149" s="27" t="n"/>
      <c r="N149" s="28">
        <f>IF($B149="","",N($G149)-N($L149)-N($M149))</f>
        <v/>
      </c>
      <c r="O149" s="30">
        <f>IF($B149="","",IF(AND(OR(N($L149)&lt;&gt;0,N($M149)&lt;&gt;0),NOT(ISNUMBER($K149))),"支払日なし",IF($N149=0,IF(N($G149)=0,"請求額0","支払済"),IF($N149&lt;0,"払いすぎ",IF(N($L149)+N($M149)=0,"未払","一部支払")))))</f>
        <v/>
      </c>
      <c r="P149" s="30">
        <f>IF(OR($B149="",N($N149)&lt;=0,NOT(ISNUMBER($J149))),"",IF($J149&lt;'設定'!$B$7,"期日超過 "&amp;('設定'!$B$7-$J149)&amp;"日",IF($J149='設定'!$B$7,"今日","あと "&amp;($J149-'設定'!$B$7)&amp;"日")))</f>
        <v/>
      </c>
      <c r="Q149" s="56" t="n"/>
      <c r="R149" s="32">
        <f>IF($B149="","",IFERROR(MATCH($B149,'仕入先'!$B$5:$B$54,0),"なし"))</f>
        <v/>
      </c>
      <c r="S149" s="33">
        <f>IF($B149="","",IF(ISNUMBER($D149),$D149,IF(ISNUMBER($A149),$A149,"")))</f>
        <v/>
      </c>
      <c r="T149" s="34">
        <f>IF(OR($B149="",N($N149)&lt;=0),"",IF(ISNUMBER($J149),$J149,99999)+ROW()/1000000)</f>
        <v/>
      </c>
      <c r="U149" s="35">
        <f>IF(OR($B149="",$B149&lt;&gt;'買掛帳'!$B$3,NOT(ISNUMBER($S149))),"",IF(AND($S149&gt;='買掛帳'!$Q$3,$S149&lt;='買掛帳'!$Q$4),$S149+ROW()/10000000,""))</f>
        <v/>
      </c>
      <c r="V149" s="35">
        <f>IF(OR($B149="",$B149&lt;&gt;'買掛帳'!$B$3,NOT(ISNUMBER($K149)),N($L149)+N($M149)=0),"",IF(AND($K149&gt;='買掛帳'!$Q$3,$K149&lt;='買掛帳'!$Q$4),$K149+0.5+ROW()/10000000,""))</f>
        <v/>
      </c>
    </row>
    <row r="150" ht="18" customHeight="1">
      <c r="A150" s="26" t="n"/>
      <c r="B150" s="18" t="n"/>
      <c r="C150" s="20">
        <f>IF($B150="","",IF($R150="なし","※仕入先にないコード",INDEX('仕入先'!$C$5:$C$54,$R150)&amp;""))</f>
        <v/>
      </c>
      <c r="D150" s="26" t="n"/>
      <c r="E150" s="18" t="n"/>
      <c r="F150" s="19" t="n"/>
      <c r="G150" s="27" t="n"/>
      <c r="H150" s="29">
        <f>IF(OR($B150="",NOT(ISNUMBER($R150)),NOT(ISNUMBER($S150))),"",IF(OR(INDEX('仕入先'!$D$5:$D$54,$R150)="",INDEX('仕入先'!$E$5:$E$54,$R150)="",INDEX('仕入先'!$F$5:$F$54,$R150)=""),"",IF(INDEX('仕入先'!$F$5:$F$54,$R150)="末",DATE(YEAR($S150),(MONTH($S150)+IF(INDEX('仕入先'!$D$5:$D$54,$R150)="末",0,IF(DAY($S150)&lt;=INDEX('仕入先'!$D$5:$D$54,$R150),0,1))+N(INDEX('仕入先'!$E$5:$E$54,$R150)))+1,0),DATE(YEAR($S150),(MONTH($S150)+IF(INDEX('仕入先'!$D$5:$D$54,$R150)="末",0,IF(DAY($S150)&lt;=INDEX('仕入先'!$D$5:$D$54,$R150),0,1))+N(INDEX('仕入先'!$E$5:$E$54,$R150))),MIN(INDEX('仕入先'!$F$5:$F$54,$R150),DAY(DATE(YEAR($S150),(MONTH($S150)+IF(INDEX('仕入先'!$D$5:$D$54,$R150)="末",0,IF(DAY($S150)&lt;=INDEX('仕入先'!$D$5:$D$54,$R150),0,1))+N(INDEX('仕入先'!$E$5:$E$54,$R150)))+1,0)))))))</f>
        <v/>
      </c>
      <c r="I150" s="26" t="n"/>
      <c r="J150" s="29">
        <f>IF($B150="","",IF(ISNUMBER($I150),$I150,$H150))</f>
        <v/>
      </c>
      <c r="K150" s="26" t="n"/>
      <c r="L150" s="27" t="n"/>
      <c r="M150" s="27" t="n"/>
      <c r="N150" s="28">
        <f>IF($B150="","",N($G150)-N($L150)-N($M150))</f>
        <v/>
      </c>
      <c r="O150" s="30">
        <f>IF($B150="","",IF(AND(OR(N($L150)&lt;&gt;0,N($M150)&lt;&gt;0),NOT(ISNUMBER($K150))),"支払日なし",IF($N150=0,IF(N($G150)=0,"請求額0","支払済"),IF($N150&lt;0,"払いすぎ",IF(N($L150)+N($M150)=0,"未払","一部支払")))))</f>
        <v/>
      </c>
      <c r="P150" s="30">
        <f>IF(OR($B150="",N($N150)&lt;=0,NOT(ISNUMBER($J150))),"",IF($J150&lt;'設定'!$B$7,"期日超過 "&amp;('設定'!$B$7-$J150)&amp;"日",IF($J150='設定'!$B$7,"今日","あと "&amp;($J150-'設定'!$B$7)&amp;"日")))</f>
        <v/>
      </c>
      <c r="Q150" s="56" t="n"/>
      <c r="R150" s="32">
        <f>IF($B150="","",IFERROR(MATCH($B150,'仕入先'!$B$5:$B$54,0),"なし"))</f>
        <v/>
      </c>
      <c r="S150" s="33">
        <f>IF($B150="","",IF(ISNUMBER($D150),$D150,IF(ISNUMBER($A150),$A150,"")))</f>
        <v/>
      </c>
      <c r="T150" s="34">
        <f>IF(OR($B150="",N($N150)&lt;=0),"",IF(ISNUMBER($J150),$J150,99999)+ROW()/1000000)</f>
        <v/>
      </c>
      <c r="U150" s="35">
        <f>IF(OR($B150="",$B150&lt;&gt;'買掛帳'!$B$3,NOT(ISNUMBER($S150))),"",IF(AND($S150&gt;='買掛帳'!$Q$3,$S150&lt;='買掛帳'!$Q$4),$S150+ROW()/10000000,""))</f>
        <v/>
      </c>
      <c r="V150" s="35">
        <f>IF(OR($B150="",$B150&lt;&gt;'買掛帳'!$B$3,NOT(ISNUMBER($K150)),N($L150)+N($M150)=0),"",IF(AND($K150&gt;='買掛帳'!$Q$3,$K150&lt;='買掛帳'!$Q$4),$K150+0.5+ROW()/10000000,""))</f>
        <v/>
      </c>
    </row>
    <row r="151" ht="18" customHeight="1">
      <c r="A151" s="26" t="n"/>
      <c r="B151" s="18" t="n"/>
      <c r="C151" s="20">
        <f>IF($B151="","",IF($R151="なし","※仕入先にないコード",INDEX('仕入先'!$C$5:$C$54,$R151)&amp;""))</f>
        <v/>
      </c>
      <c r="D151" s="26" t="n"/>
      <c r="E151" s="18" t="n"/>
      <c r="F151" s="19" t="n"/>
      <c r="G151" s="27" t="n"/>
      <c r="H151" s="29">
        <f>IF(OR($B151="",NOT(ISNUMBER($R151)),NOT(ISNUMBER($S151))),"",IF(OR(INDEX('仕入先'!$D$5:$D$54,$R151)="",INDEX('仕入先'!$E$5:$E$54,$R151)="",INDEX('仕入先'!$F$5:$F$54,$R151)=""),"",IF(INDEX('仕入先'!$F$5:$F$54,$R151)="末",DATE(YEAR($S151),(MONTH($S151)+IF(INDEX('仕入先'!$D$5:$D$54,$R151)="末",0,IF(DAY($S151)&lt;=INDEX('仕入先'!$D$5:$D$54,$R151),0,1))+N(INDEX('仕入先'!$E$5:$E$54,$R151)))+1,0),DATE(YEAR($S151),(MONTH($S151)+IF(INDEX('仕入先'!$D$5:$D$54,$R151)="末",0,IF(DAY($S151)&lt;=INDEX('仕入先'!$D$5:$D$54,$R151),0,1))+N(INDEX('仕入先'!$E$5:$E$54,$R151))),MIN(INDEX('仕入先'!$F$5:$F$54,$R151),DAY(DATE(YEAR($S151),(MONTH($S151)+IF(INDEX('仕入先'!$D$5:$D$54,$R151)="末",0,IF(DAY($S151)&lt;=INDEX('仕入先'!$D$5:$D$54,$R151),0,1))+N(INDEX('仕入先'!$E$5:$E$54,$R151)))+1,0)))))))</f>
        <v/>
      </c>
      <c r="I151" s="26" t="n"/>
      <c r="J151" s="29">
        <f>IF($B151="","",IF(ISNUMBER($I151),$I151,$H151))</f>
        <v/>
      </c>
      <c r="K151" s="26" t="n"/>
      <c r="L151" s="27" t="n"/>
      <c r="M151" s="27" t="n"/>
      <c r="N151" s="28">
        <f>IF($B151="","",N($G151)-N($L151)-N($M151))</f>
        <v/>
      </c>
      <c r="O151" s="30">
        <f>IF($B151="","",IF(AND(OR(N($L151)&lt;&gt;0,N($M151)&lt;&gt;0),NOT(ISNUMBER($K151))),"支払日なし",IF($N151=0,IF(N($G151)=0,"請求額0","支払済"),IF($N151&lt;0,"払いすぎ",IF(N($L151)+N($M151)=0,"未払","一部支払")))))</f>
        <v/>
      </c>
      <c r="P151" s="30">
        <f>IF(OR($B151="",N($N151)&lt;=0,NOT(ISNUMBER($J151))),"",IF($J151&lt;'設定'!$B$7,"期日超過 "&amp;('設定'!$B$7-$J151)&amp;"日",IF($J151='設定'!$B$7,"今日","あと "&amp;($J151-'設定'!$B$7)&amp;"日")))</f>
        <v/>
      </c>
      <c r="Q151" s="56" t="n"/>
      <c r="R151" s="32">
        <f>IF($B151="","",IFERROR(MATCH($B151,'仕入先'!$B$5:$B$54,0),"なし"))</f>
        <v/>
      </c>
      <c r="S151" s="33">
        <f>IF($B151="","",IF(ISNUMBER($D151),$D151,IF(ISNUMBER($A151),$A151,"")))</f>
        <v/>
      </c>
      <c r="T151" s="34">
        <f>IF(OR($B151="",N($N151)&lt;=0),"",IF(ISNUMBER($J151),$J151,99999)+ROW()/1000000)</f>
        <v/>
      </c>
      <c r="U151" s="35">
        <f>IF(OR($B151="",$B151&lt;&gt;'買掛帳'!$B$3,NOT(ISNUMBER($S151))),"",IF(AND($S151&gt;='買掛帳'!$Q$3,$S151&lt;='買掛帳'!$Q$4),$S151+ROW()/10000000,""))</f>
        <v/>
      </c>
      <c r="V151" s="35">
        <f>IF(OR($B151="",$B151&lt;&gt;'買掛帳'!$B$3,NOT(ISNUMBER($K151)),N($L151)+N($M151)=0),"",IF(AND($K151&gt;='買掛帳'!$Q$3,$K151&lt;='買掛帳'!$Q$4),$K151+0.5+ROW()/10000000,""))</f>
        <v/>
      </c>
    </row>
    <row r="152" ht="18" customHeight="1">
      <c r="A152" s="26" t="n"/>
      <c r="B152" s="18" t="n"/>
      <c r="C152" s="20">
        <f>IF($B152="","",IF($R152="なし","※仕入先にないコード",INDEX('仕入先'!$C$5:$C$54,$R152)&amp;""))</f>
        <v/>
      </c>
      <c r="D152" s="26" t="n"/>
      <c r="E152" s="18" t="n"/>
      <c r="F152" s="19" t="n"/>
      <c r="G152" s="27" t="n"/>
      <c r="H152" s="29">
        <f>IF(OR($B152="",NOT(ISNUMBER($R152)),NOT(ISNUMBER($S152))),"",IF(OR(INDEX('仕入先'!$D$5:$D$54,$R152)="",INDEX('仕入先'!$E$5:$E$54,$R152)="",INDEX('仕入先'!$F$5:$F$54,$R152)=""),"",IF(INDEX('仕入先'!$F$5:$F$54,$R152)="末",DATE(YEAR($S152),(MONTH($S152)+IF(INDEX('仕入先'!$D$5:$D$54,$R152)="末",0,IF(DAY($S152)&lt;=INDEX('仕入先'!$D$5:$D$54,$R152),0,1))+N(INDEX('仕入先'!$E$5:$E$54,$R152)))+1,0),DATE(YEAR($S152),(MONTH($S152)+IF(INDEX('仕入先'!$D$5:$D$54,$R152)="末",0,IF(DAY($S152)&lt;=INDEX('仕入先'!$D$5:$D$54,$R152),0,1))+N(INDEX('仕入先'!$E$5:$E$54,$R152))),MIN(INDEX('仕入先'!$F$5:$F$54,$R152),DAY(DATE(YEAR($S152),(MONTH($S152)+IF(INDEX('仕入先'!$D$5:$D$54,$R152)="末",0,IF(DAY($S152)&lt;=INDEX('仕入先'!$D$5:$D$54,$R152),0,1))+N(INDEX('仕入先'!$E$5:$E$54,$R152)))+1,0)))))))</f>
        <v/>
      </c>
      <c r="I152" s="26" t="n"/>
      <c r="J152" s="29">
        <f>IF($B152="","",IF(ISNUMBER($I152),$I152,$H152))</f>
        <v/>
      </c>
      <c r="K152" s="26" t="n"/>
      <c r="L152" s="27" t="n"/>
      <c r="M152" s="27" t="n"/>
      <c r="N152" s="28">
        <f>IF($B152="","",N($G152)-N($L152)-N($M152))</f>
        <v/>
      </c>
      <c r="O152" s="30">
        <f>IF($B152="","",IF(AND(OR(N($L152)&lt;&gt;0,N($M152)&lt;&gt;0),NOT(ISNUMBER($K152))),"支払日なし",IF($N152=0,IF(N($G152)=0,"請求額0","支払済"),IF($N152&lt;0,"払いすぎ",IF(N($L152)+N($M152)=0,"未払","一部支払")))))</f>
        <v/>
      </c>
      <c r="P152" s="30">
        <f>IF(OR($B152="",N($N152)&lt;=0,NOT(ISNUMBER($J152))),"",IF($J152&lt;'設定'!$B$7,"期日超過 "&amp;('設定'!$B$7-$J152)&amp;"日",IF($J152='設定'!$B$7,"今日","あと "&amp;($J152-'設定'!$B$7)&amp;"日")))</f>
        <v/>
      </c>
      <c r="Q152" s="56" t="n"/>
      <c r="R152" s="32">
        <f>IF($B152="","",IFERROR(MATCH($B152,'仕入先'!$B$5:$B$54,0),"なし"))</f>
        <v/>
      </c>
      <c r="S152" s="33">
        <f>IF($B152="","",IF(ISNUMBER($D152),$D152,IF(ISNUMBER($A152),$A152,"")))</f>
        <v/>
      </c>
      <c r="T152" s="34">
        <f>IF(OR($B152="",N($N152)&lt;=0),"",IF(ISNUMBER($J152),$J152,99999)+ROW()/1000000)</f>
        <v/>
      </c>
      <c r="U152" s="35">
        <f>IF(OR($B152="",$B152&lt;&gt;'買掛帳'!$B$3,NOT(ISNUMBER($S152))),"",IF(AND($S152&gt;='買掛帳'!$Q$3,$S152&lt;='買掛帳'!$Q$4),$S152+ROW()/10000000,""))</f>
        <v/>
      </c>
      <c r="V152" s="35">
        <f>IF(OR($B152="",$B152&lt;&gt;'買掛帳'!$B$3,NOT(ISNUMBER($K152)),N($L152)+N($M152)=0),"",IF(AND($K152&gt;='買掛帳'!$Q$3,$K152&lt;='買掛帳'!$Q$4),$K152+0.5+ROW()/10000000,""))</f>
        <v/>
      </c>
    </row>
    <row r="153" ht="18" customHeight="1">
      <c r="A153" s="26" t="n"/>
      <c r="B153" s="18" t="n"/>
      <c r="C153" s="20">
        <f>IF($B153="","",IF($R153="なし","※仕入先にないコード",INDEX('仕入先'!$C$5:$C$54,$R153)&amp;""))</f>
        <v/>
      </c>
      <c r="D153" s="26" t="n"/>
      <c r="E153" s="18" t="n"/>
      <c r="F153" s="19" t="n"/>
      <c r="G153" s="27" t="n"/>
      <c r="H153" s="29">
        <f>IF(OR($B153="",NOT(ISNUMBER($R153)),NOT(ISNUMBER($S153))),"",IF(OR(INDEX('仕入先'!$D$5:$D$54,$R153)="",INDEX('仕入先'!$E$5:$E$54,$R153)="",INDEX('仕入先'!$F$5:$F$54,$R153)=""),"",IF(INDEX('仕入先'!$F$5:$F$54,$R153)="末",DATE(YEAR($S153),(MONTH($S153)+IF(INDEX('仕入先'!$D$5:$D$54,$R153)="末",0,IF(DAY($S153)&lt;=INDEX('仕入先'!$D$5:$D$54,$R153),0,1))+N(INDEX('仕入先'!$E$5:$E$54,$R153)))+1,0),DATE(YEAR($S153),(MONTH($S153)+IF(INDEX('仕入先'!$D$5:$D$54,$R153)="末",0,IF(DAY($S153)&lt;=INDEX('仕入先'!$D$5:$D$54,$R153),0,1))+N(INDEX('仕入先'!$E$5:$E$54,$R153))),MIN(INDEX('仕入先'!$F$5:$F$54,$R153),DAY(DATE(YEAR($S153),(MONTH($S153)+IF(INDEX('仕入先'!$D$5:$D$54,$R153)="末",0,IF(DAY($S153)&lt;=INDEX('仕入先'!$D$5:$D$54,$R153),0,1))+N(INDEX('仕入先'!$E$5:$E$54,$R153)))+1,0)))))))</f>
        <v/>
      </c>
      <c r="I153" s="26" t="n"/>
      <c r="J153" s="29">
        <f>IF($B153="","",IF(ISNUMBER($I153),$I153,$H153))</f>
        <v/>
      </c>
      <c r="K153" s="26" t="n"/>
      <c r="L153" s="27" t="n"/>
      <c r="M153" s="27" t="n"/>
      <c r="N153" s="28">
        <f>IF($B153="","",N($G153)-N($L153)-N($M153))</f>
        <v/>
      </c>
      <c r="O153" s="30">
        <f>IF($B153="","",IF(AND(OR(N($L153)&lt;&gt;0,N($M153)&lt;&gt;0),NOT(ISNUMBER($K153))),"支払日なし",IF($N153=0,IF(N($G153)=0,"請求額0","支払済"),IF($N153&lt;0,"払いすぎ",IF(N($L153)+N($M153)=0,"未払","一部支払")))))</f>
        <v/>
      </c>
      <c r="P153" s="30">
        <f>IF(OR($B153="",N($N153)&lt;=0,NOT(ISNUMBER($J153))),"",IF($J153&lt;'設定'!$B$7,"期日超過 "&amp;('設定'!$B$7-$J153)&amp;"日",IF($J153='設定'!$B$7,"今日","あと "&amp;($J153-'設定'!$B$7)&amp;"日")))</f>
        <v/>
      </c>
      <c r="Q153" s="56" t="n"/>
      <c r="R153" s="32">
        <f>IF($B153="","",IFERROR(MATCH($B153,'仕入先'!$B$5:$B$54,0),"なし"))</f>
        <v/>
      </c>
      <c r="S153" s="33">
        <f>IF($B153="","",IF(ISNUMBER($D153),$D153,IF(ISNUMBER($A153),$A153,"")))</f>
        <v/>
      </c>
      <c r="T153" s="34">
        <f>IF(OR($B153="",N($N153)&lt;=0),"",IF(ISNUMBER($J153),$J153,99999)+ROW()/1000000)</f>
        <v/>
      </c>
      <c r="U153" s="35">
        <f>IF(OR($B153="",$B153&lt;&gt;'買掛帳'!$B$3,NOT(ISNUMBER($S153))),"",IF(AND($S153&gt;='買掛帳'!$Q$3,$S153&lt;='買掛帳'!$Q$4),$S153+ROW()/10000000,""))</f>
        <v/>
      </c>
      <c r="V153" s="35">
        <f>IF(OR($B153="",$B153&lt;&gt;'買掛帳'!$B$3,NOT(ISNUMBER($K153)),N($L153)+N($M153)=0),"",IF(AND($K153&gt;='買掛帳'!$Q$3,$K153&lt;='買掛帳'!$Q$4),$K153+0.5+ROW()/10000000,""))</f>
        <v/>
      </c>
    </row>
    <row r="154" ht="18" customHeight="1">
      <c r="A154" s="26" t="n"/>
      <c r="B154" s="18" t="n"/>
      <c r="C154" s="20">
        <f>IF($B154="","",IF($R154="なし","※仕入先にないコード",INDEX('仕入先'!$C$5:$C$54,$R154)&amp;""))</f>
        <v/>
      </c>
      <c r="D154" s="26" t="n"/>
      <c r="E154" s="18" t="n"/>
      <c r="F154" s="19" t="n"/>
      <c r="G154" s="27" t="n"/>
      <c r="H154" s="29">
        <f>IF(OR($B154="",NOT(ISNUMBER($R154)),NOT(ISNUMBER($S154))),"",IF(OR(INDEX('仕入先'!$D$5:$D$54,$R154)="",INDEX('仕入先'!$E$5:$E$54,$R154)="",INDEX('仕入先'!$F$5:$F$54,$R154)=""),"",IF(INDEX('仕入先'!$F$5:$F$54,$R154)="末",DATE(YEAR($S154),(MONTH($S154)+IF(INDEX('仕入先'!$D$5:$D$54,$R154)="末",0,IF(DAY($S154)&lt;=INDEX('仕入先'!$D$5:$D$54,$R154),0,1))+N(INDEX('仕入先'!$E$5:$E$54,$R154)))+1,0),DATE(YEAR($S154),(MONTH($S154)+IF(INDEX('仕入先'!$D$5:$D$54,$R154)="末",0,IF(DAY($S154)&lt;=INDEX('仕入先'!$D$5:$D$54,$R154),0,1))+N(INDEX('仕入先'!$E$5:$E$54,$R154))),MIN(INDEX('仕入先'!$F$5:$F$54,$R154),DAY(DATE(YEAR($S154),(MONTH($S154)+IF(INDEX('仕入先'!$D$5:$D$54,$R154)="末",0,IF(DAY($S154)&lt;=INDEX('仕入先'!$D$5:$D$54,$R154),0,1))+N(INDEX('仕入先'!$E$5:$E$54,$R154)))+1,0)))))))</f>
        <v/>
      </c>
      <c r="I154" s="26" t="n"/>
      <c r="J154" s="29">
        <f>IF($B154="","",IF(ISNUMBER($I154),$I154,$H154))</f>
        <v/>
      </c>
      <c r="K154" s="26" t="n"/>
      <c r="L154" s="27" t="n"/>
      <c r="M154" s="27" t="n"/>
      <c r="N154" s="28">
        <f>IF($B154="","",N($G154)-N($L154)-N($M154))</f>
        <v/>
      </c>
      <c r="O154" s="30">
        <f>IF($B154="","",IF(AND(OR(N($L154)&lt;&gt;0,N($M154)&lt;&gt;0),NOT(ISNUMBER($K154))),"支払日なし",IF($N154=0,IF(N($G154)=0,"請求額0","支払済"),IF($N154&lt;0,"払いすぎ",IF(N($L154)+N($M154)=0,"未払","一部支払")))))</f>
        <v/>
      </c>
      <c r="P154" s="30">
        <f>IF(OR($B154="",N($N154)&lt;=0,NOT(ISNUMBER($J154))),"",IF($J154&lt;'設定'!$B$7,"期日超過 "&amp;('設定'!$B$7-$J154)&amp;"日",IF($J154='設定'!$B$7,"今日","あと "&amp;($J154-'設定'!$B$7)&amp;"日")))</f>
        <v/>
      </c>
      <c r="Q154" s="56" t="n"/>
      <c r="R154" s="32">
        <f>IF($B154="","",IFERROR(MATCH($B154,'仕入先'!$B$5:$B$54,0),"なし"))</f>
        <v/>
      </c>
      <c r="S154" s="33">
        <f>IF($B154="","",IF(ISNUMBER($D154),$D154,IF(ISNUMBER($A154),$A154,"")))</f>
        <v/>
      </c>
      <c r="T154" s="34">
        <f>IF(OR($B154="",N($N154)&lt;=0),"",IF(ISNUMBER($J154),$J154,99999)+ROW()/1000000)</f>
        <v/>
      </c>
      <c r="U154" s="35">
        <f>IF(OR($B154="",$B154&lt;&gt;'買掛帳'!$B$3,NOT(ISNUMBER($S154))),"",IF(AND($S154&gt;='買掛帳'!$Q$3,$S154&lt;='買掛帳'!$Q$4),$S154+ROW()/10000000,""))</f>
        <v/>
      </c>
      <c r="V154" s="35">
        <f>IF(OR($B154="",$B154&lt;&gt;'買掛帳'!$B$3,NOT(ISNUMBER($K154)),N($L154)+N($M154)=0),"",IF(AND($K154&gt;='買掛帳'!$Q$3,$K154&lt;='買掛帳'!$Q$4),$K154+0.5+ROW()/10000000,""))</f>
        <v/>
      </c>
    </row>
    <row r="155" ht="18" customHeight="1">
      <c r="A155" s="26" t="n"/>
      <c r="B155" s="18" t="n"/>
      <c r="C155" s="20">
        <f>IF($B155="","",IF($R155="なし","※仕入先にないコード",INDEX('仕入先'!$C$5:$C$54,$R155)&amp;""))</f>
        <v/>
      </c>
      <c r="D155" s="26" t="n"/>
      <c r="E155" s="18" t="n"/>
      <c r="F155" s="19" t="n"/>
      <c r="G155" s="27" t="n"/>
      <c r="H155" s="29">
        <f>IF(OR($B155="",NOT(ISNUMBER($R155)),NOT(ISNUMBER($S155))),"",IF(OR(INDEX('仕入先'!$D$5:$D$54,$R155)="",INDEX('仕入先'!$E$5:$E$54,$R155)="",INDEX('仕入先'!$F$5:$F$54,$R155)=""),"",IF(INDEX('仕入先'!$F$5:$F$54,$R155)="末",DATE(YEAR($S155),(MONTH($S155)+IF(INDEX('仕入先'!$D$5:$D$54,$R155)="末",0,IF(DAY($S155)&lt;=INDEX('仕入先'!$D$5:$D$54,$R155),0,1))+N(INDEX('仕入先'!$E$5:$E$54,$R155)))+1,0),DATE(YEAR($S155),(MONTH($S155)+IF(INDEX('仕入先'!$D$5:$D$54,$R155)="末",0,IF(DAY($S155)&lt;=INDEX('仕入先'!$D$5:$D$54,$R155),0,1))+N(INDEX('仕入先'!$E$5:$E$54,$R155))),MIN(INDEX('仕入先'!$F$5:$F$54,$R155),DAY(DATE(YEAR($S155),(MONTH($S155)+IF(INDEX('仕入先'!$D$5:$D$54,$R155)="末",0,IF(DAY($S155)&lt;=INDEX('仕入先'!$D$5:$D$54,$R155),0,1))+N(INDEX('仕入先'!$E$5:$E$54,$R155)))+1,0)))))))</f>
        <v/>
      </c>
      <c r="I155" s="26" t="n"/>
      <c r="J155" s="29">
        <f>IF($B155="","",IF(ISNUMBER($I155),$I155,$H155))</f>
        <v/>
      </c>
      <c r="K155" s="26" t="n"/>
      <c r="L155" s="27" t="n"/>
      <c r="M155" s="27" t="n"/>
      <c r="N155" s="28">
        <f>IF($B155="","",N($G155)-N($L155)-N($M155))</f>
        <v/>
      </c>
      <c r="O155" s="30">
        <f>IF($B155="","",IF(AND(OR(N($L155)&lt;&gt;0,N($M155)&lt;&gt;0),NOT(ISNUMBER($K155))),"支払日なし",IF($N155=0,IF(N($G155)=0,"請求額0","支払済"),IF($N155&lt;0,"払いすぎ",IF(N($L155)+N($M155)=0,"未払","一部支払")))))</f>
        <v/>
      </c>
      <c r="P155" s="30">
        <f>IF(OR($B155="",N($N155)&lt;=0,NOT(ISNUMBER($J155))),"",IF($J155&lt;'設定'!$B$7,"期日超過 "&amp;('設定'!$B$7-$J155)&amp;"日",IF($J155='設定'!$B$7,"今日","あと "&amp;($J155-'設定'!$B$7)&amp;"日")))</f>
        <v/>
      </c>
      <c r="Q155" s="56" t="n"/>
      <c r="R155" s="32">
        <f>IF($B155="","",IFERROR(MATCH($B155,'仕入先'!$B$5:$B$54,0),"なし"))</f>
        <v/>
      </c>
      <c r="S155" s="33">
        <f>IF($B155="","",IF(ISNUMBER($D155),$D155,IF(ISNUMBER($A155),$A155,"")))</f>
        <v/>
      </c>
      <c r="T155" s="34">
        <f>IF(OR($B155="",N($N155)&lt;=0),"",IF(ISNUMBER($J155),$J155,99999)+ROW()/1000000)</f>
        <v/>
      </c>
      <c r="U155" s="35">
        <f>IF(OR($B155="",$B155&lt;&gt;'買掛帳'!$B$3,NOT(ISNUMBER($S155))),"",IF(AND($S155&gt;='買掛帳'!$Q$3,$S155&lt;='買掛帳'!$Q$4),$S155+ROW()/10000000,""))</f>
        <v/>
      </c>
      <c r="V155" s="35">
        <f>IF(OR($B155="",$B155&lt;&gt;'買掛帳'!$B$3,NOT(ISNUMBER($K155)),N($L155)+N($M155)=0),"",IF(AND($K155&gt;='買掛帳'!$Q$3,$K155&lt;='買掛帳'!$Q$4),$K155+0.5+ROW()/10000000,""))</f>
        <v/>
      </c>
    </row>
    <row r="156" ht="18" customHeight="1">
      <c r="A156" s="26" t="n"/>
      <c r="B156" s="18" t="n"/>
      <c r="C156" s="20">
        <f>IF($B156="","",IF($R156="なし","※仕入先にないコード",INDEX('仕入先'!$C$5:$C$54,$R156)&amp;""))</f>
        <v/>
      </c>
      <c r="D156" s="26" t="n"/>
      <c r="E156" s="18" t="n"/>
      <c r="F156" s="19" t="n"/>
      <c r="G156" s="27" t="n"/>
      <c r="H156" s="29">
        <f>IF(OR($B156="",NOT(ISNUMBER($R156)),NOT(ISNUMBER($S156))),"",IF(OR(INDEX('仕入先'!$D$5:$D$54,$R156)="",INDEX('仕入先'!$E$5:$E$54,$R156)="",INDEX('仕入先'!$F$5:$F$54,$R156)=""),"",IF(INDEX('仕入先'!$F$5:$F$54,$R156)="末",DATE(YEAR($S156),(MONTH($S156)+IF(INDEX('仕入先'!$D$5:$D$54,$R156)="末",0,IF(DAY($S156)&lt;=INDEX('仕入先'!$D$5:$D$54,$R156),0,1))+N(INDEX('仕入先'!$E$5:$E$54,$R156)))+1,0),DATE(YEAR($S156),(MONTH($S156)+IF(INDEX('仕入先'!$D$5:$D$54,$R156)="末",0,IF(DAY($S156)&lt;=INDEX('仕入先'!$D$5:$D$54,$R156),0,1))+N(INDEX('仕入先'!$E$5:$E$54,$R156))),MIN(INDEX('仕入先'!$F$5:$F$54,$R156),DAY(DATE(YEAR($S156),(MONTH($S156)+IF(INDEX('仕入先'!$D$5:$D$54,$R156)="末",0,IF(DAY($S156)&lt;=INDEX('仕入先'!$D$5:$D$54,$R156),0,1))+N(INDEX('仕入先'!$E$5:$E$54,$R156)))+1,0)))))))</f>
        <v/>
      </c>
      <c r="I156" s="26" t="n"/>
      <c r="J156" s="29">
        <f>IF($B156="","",IF(ISNUMBER($I156),$I156,$H156))</f>
        <v/>
      </c>
      <c r="K156" s="26" t="n"/>
      <c r="L156" s="27" t="n"/>
      <c r="M156" s="27" t="n"/>
      <c r="N156" s="28">
        <f>IF($B156="","",N($G156)-N($L156)-N($M156))</f>
        <v/>
      </c>
      <c r="O156" s="30">
        <f>IF($B156="","",IF(AND(OR(N($L156)&lt;&gt;0,N($M156)&lt;&gt;0),NOT(ISNUMBER($K156))),"支払日なし",IF($N156=0,IF(N($G156)=0,"請求額0","支払済"),IF($N156&lt;0,"払いすぎ",IF(N($L156)+N($M156)=0,"未払","一部支払")))))</f>
        <v/>
      </c>
      <c r="P156" s="30">
        <f>IF(OR($B156="",N($N156)&lt;=0,NOT(ISNUMBER($J156))),"",IF($J156&lt;'設定'!$B$7,"期日超過 "&amp;('設定'!$B$7-$J156)&amp;"日",IF($J156='設定'!$B$7,"今日","あと "&amp;($J156-'設定'!$B$7)&amp;"日")))</f>
        <v/>
      </c>
      <c r="Q156" s="56" t="n"/>
      <c r="R156" s="32">
        <f>IF($B156="","",IFERROR(MATCH($B156,'仕入先'!$B$5:$B$54,0),"なし"))</f>
        <v/>
      </c>
      <c r="S156" s="33">
        <f>IF($B156="","",IF(ISNUMBER($D156),$D156,IF(ISNUMBER($A156),$A156,"")))</f>
        <v/>
      </c>
      <c r="T156" s="34">
        <f>IF(OR($B156="",N($N156)&lt;=0),"",IF(ISNUMBER($J156),$J156,99999)+ROW()/1000000)</f>
        <v/>
      </c>
      <c r="U156" s="35">
        <f>IF(OR($B156="",$B156&lt;&gt;'買掛帳'!$B$3,NOT(ISNUMBER($S156))),"",IF(AND($S156&gt;='買掛帳'!$Q$3,$S156&lt;='買掛帳'!$Q$4),$S156+ROW()/10000000,""))</f>
        <v/>
      </c>
      <c r="V156" s="35">
        <f>IF(OR($B156="",$B156&lt;&gt;'買掛帳'!$B$3,NOT(ISNUMBER($K156)),N($L156)+N($M156)=0),"",IF(AND($K156&gt;='買掛帳'!$Q$3,$K156&lt;='買掛帳'!$Q$4),$K156+0.5+ROW()/10000000,""))</f>
        <v/>
      </c>
    </row>
    <row r="157" ht="18" customHeight="1">
      <c r="A157" s="26" t="n"/>
      <c r="B157" s="18" t="n"/>
      <c r="C157" s="20">
        <f>IF($B157="","",IF($R157="なし","※仕入先にないコード",INDEX('仕入先'!$C$5:$C$54,$R157)&amp;""))</f>
        <v/>
      </c>
      <c r="D157" s="26" t="n"/>
      <c r="E157" s="18" t="n"/>
      <c r="F157" s="19" t="n"/>
      <c r="G157" s="27" t="n"/>
      <c r="H157" s="29">
        <f>IF(OR($B157="",NOT(ISNUMBER($R157)),NOT(ISNUMBER($S157))),"",IF(OR(INDEX('仕入先'!$D$5:$D$54,$R157)="",INDEX('仕入先'!$E$5:$E$54,$R157)="",INDEX('仕入先'!$F$5:$F$54,$R157)=""),"",IF(INDEX('仕入先'!$F$5:$F$54,$R157)="末",DATE(YEAR($S157),(MONTH($S157)+IF(INDEX('仕入先'!$D$5:$D$54,$R157)="末",0,IF(DAY($S157)&lt;=INDEX('仕入先'!$D$5:$D$54,$R157),0,1))+N(INDEX('仕入先'!$E$5:$E$54,$R157)))+1,0),DATE(YEAR($S157),(MONTH($S157)+IF(INDEX('仕入先'!$D$5:$D$54,$R157)="末",0,IF(DAY($S157)&lt;=INDEX('仕入先'!$D$5:$D$54,$R157),0,1))+N(INDEX('仕入先'!$E$5:$E$54,$R157))),MIN(INDEX('仕入先'!$F$5:$F$54,$R157),DAY(DATE(YEAR($S157),(MONTH($S157)+IF(INDEX('仕入先'!$D$5:$D$54,$R157)="末",0,IF(DAY($S157)&lt;=INDEX('仕入先'!$D$5:$D$54,$R157),0,1))+N(INDEX('仕入先'!$E$5:$E$54,$R157)))+1,0)))))))</f>
        <v/>
      </c>
      <c r="I157" s="26" t="n"/>
      <c r="J157" s="29">
        <f>IF($B157="","",IF(ISNUMBER($I157),$I157,$H157))</f>
        <v/>
      </c>
      <c r="K157" s="26" t="n"/>
      <c r="L157" s="27" t="n"/>
      <c r="M157" s="27" t="n"/>
      <c r="N157" s="28">
        <f>IF($B157="","",N($G157)-N($L157)-N($M157))</f>
        <v/>
      </c>
      <c r="O157" s="30">
        <f>IF($B157="","",IF(AND(OR(N($L157)&lt;&gt;0,N($M157)&lt;&gt;0),NOT(ISNUMBER($K157))),"支払日なし",IF($N157=0,IF(N($G157)=0,"請求額0","支払済"),IF($N157&lt;0,"払いすぎ",IF(N($L157)+N($M157)=0,"未払","一部支払")))))</f>
        <v/>
      </c>
      <c r="P157" s="30">
        <f>IF(OR($B157="",N($N157)&lt;=0,NOT(ISNUMBER($J157))),"",IF($J157&lt;'設定'!$B$7,"期日超過 "&amp;('設定'!$B$7-$J157)&amp;"日",IF($J157='設定'!$B$7,"今日","あと "&amp;($J157-'設定'!$B$7)&amp;"日")))</f>
        <v/>
      </c>
      <c r="Q157" s="56" t="n"/>
      <c r="R157" s="32">
        <f>IF($B157="","",IFERROR(MATCH($B157,'仕入先'!$B$5:$B$54,0),"なし"))</f>
        <v/>
      </c>
      <c r="S157" s="33">
        <f>IF($B157="","",IF(ISNUMBER($D157),$D157,IF(ISNUMBER($A157),$A157,"")))</f>
        <v/>
      </c>
      <c r="T157" s="34">
        <f>IF(OR($B157="",N($N157)&lt;=0),"",IF(ISNUMBER($J157),$J157,99999)+ROW()/1000000)</f>
        <v/>
      </c>
      <c r="U157" s="35">
        <f>IF(OR($B157="",$B157&lt;&gt;'買掛帳'!$B$3,NOT(ISNUMBER($S157))),"",IF(AND($S157&gt;='買掛帳'!$Q$3,$S157&lt;='買掛帳'!$Q$4),$S157+ROW()/10000000,""))</f>
        <v/>
      </c>
      <c r="V157" s="35">
        <f>IF(OR($B157="",$B157&lt;&gt;'買掛帳'!$B$3,NOT(ISNUMBER($K157)),N($L157)+N($M157)=0),"",IF(AND($K157&gt;='買掛帳'!$Q$3,$K157&lt;='買掛帳'!$Q$4),$K157+0.5+ROW()/10000000,""))</f>
        <v/>
      </c>
    </row>
    <row r="158" ht="18" customHeight="1">
      <c r="A158" s="26" t="n"/>
      <c r="B158" s="18" t="n"/>
      <c r="C158" s="20">
        <f>IF($B158="","",IF($R158="なし","※仕入先にないコード",INDEX('仕入先'!$C$5:$C$54,$R158)&amp;""))</f>
        <v/>
      </c>
      <c r="D158" s="26" t="n"/>
      <c r="E158" s="18" t="n"/>
      <c r="F158" s="19" t="n"/>
      <c r="G158" s="27" t="n"/>
      <c r="H158" s="29">
        <f>IF(OR($B158="",NOT(ISNUMBER($R158)),NOT(ISNUMBER($S158))),"",IF(OR(INDEX('仕入先'!$D$5:$D$54,$R158)="",INDEX('仕入先'!$E$5:$E$54,$R158)="",INDEX('仕入先'!$F$5:$F$54,$R158)=""),"",IF(INDEX('仕入先'!$F$5:$F$54,$R158)="末",DATE(YEAR($S158),(MONTH($S158)+IF(INDEX('仕入先'!$D$5:$D$54,$R158)="末",0,IF(DAY($S158)&lt;=INDEX('仕入先'!$D$5:$D$54,$R158),0,1))+N(INDEX('仕入先'!$E$5:$E$54,$R158)))+1,0),DATE(YEAR($S158),(MONTH($S158)+IF(INDEX('仕入先'!$D$5:$D$54,$R158)="末",0,IF(DAY($S158)&lt;=INDEX('仕入先'!$D$5:$D$54,$R158),0,1))+N(INDEX('仕入先'!$E$5:$E$54,$R158))),MIN(INDEX('仕入先'!$F$5:$F$54,$R158),DAY(DATE(YEAR($S158),(MONTH($S158)+IF(INDEX('仕入先'!$D$5:$D$54,$R158)="末",0,IF(DAY($S158)&lt;=INDEX('仕入先'!$D$5:$D$54,$R158),0,1))+N(INDEX('仕入先'!$E$5:$E$54,$R158)))+1,0)))))))</f>
        <v/>
      </c>
      <c r="I158" s="26" t="n"/>
      <c r="J158" s="29">
        <f>IF($B158="","",IF(ISNUMBER($I158),$I158,$H158))</f>
        <v/>
      </c>
      <c r="K158" s="26" t="n"/>
      <c r="L158" s="27" t="n"/>
      <c r="M158" s="27" t="n"/>
      <c r="N158" s="28">
        <f>IF($B158="","",N($G158)-N($L158)-N($M158))</f>
        <v/>
      </c>
      <c r="O158" s="30">
        <f>IF($B158="","",IF(AND(OR(N($L158)&lt;&gt;0,N($M158)&lt;&gt;0),NOT(ISNUMBER($K158))),"支払日なし",IF($N158=0,IF(N($G158)=0,"請求額0","支払済"),IF($N158&lt;0,"払いすぎ",IF(N($L158)+N($M158)=0,"未払","一部支払")))))</f>
        <v/>
      </c>
      <c r="P158" s="30">
        <f>IF(OR($B158="",N($N158)&lt;=0,NOT(ISNUMBER($J158))),"",IF($J158&lt;'設定'!$B$7,"期日超過 "&amp;('設定'!$B$7-$J158)&amp;"日",IF($J158='設定'!$B$7,"今日","あと "&amp;($J158-'設定'!$B$7)&amp;"日")))</f>
        <v/>
      </c>
      <c r="Q158" s="56" t="n"/>
      <c r="R158" s="32">
        <f>IF($B158="","",IFERROR(MATCH($B158,'仕入先'!$B$5:$B$54,0),"なし"))</f>
        <v/>
      </c>
      <c r="S158" s="33">
        <f>IF($B158="","",IF(ISNUMBER($D158),$D158,IF(ISNUMBER($A158),$A158,"")))</f>
        <v/>
      </c>
      <c r="T158" s="34">
        <f>IF(OR($B158="",N($N158)&lt;=0),"",IF(ISNUMBER($J158),$J158,99999)+ROW()/1000000)</f>
        <v/>
      </c>
      <c r="U158" s="35">
        <f>IF(OR($B158="",$B158&lt;&gt;'買掛帳'!$B$3,NOT(ISNUMBER($S158))),"",IF(AND($S158&gt;='買掛帳'!$Q$3,$S158&lt;='買掛帳'!$Q$4),$S158+ROW()/10000000,""))</f>
        <v/>
      </c>
      <c r="V158" s="35">
        <f>IF(OR($B158="",$B158&lt;&gt;'買掛帳'!$B$3,NOT(ISNUMBER($K158)),N($L158)+N($M158)=0),"",IF(AND($K158&gt;='買掛帳'!$Q$3,$K158&lt;='買掛帳'!$Q$4),$K158+0.5+ROW()/10000000,""))</f>
        <v/>
      </c>
    </row>
    <row r="159" ht="18" customHeight="1">
      <c r="A159" s="26" t="n"/>
      <c r="B159" s="18" t="n"/>
      <c r="C159" s="20">
        <f>IF($B159="","",IF($R159="なし","※仕入先にないコード",INDEX('仕入先'!$C$5:$C$54,$R159)&amp;""))</f>
        <v/>
      </c>
      <c r="D159" s="26" t="n"/>
      <c r="E159" s="18" t="n"/>
      <c r="F159" s="19" t="n"/>
      <c r="G159" s="27" t="n"/>
      <c r="H159" s="29">
        <f>IF(OR($B159="",NOT(ISNUMBER($R159)),NOT(ISNUMBER($S159))),"",IF(OR(INDEX('仕入先'!$D$5:$D$54,$R159)="",INDEX('仕入先'!$E$5:$E$54,$R159)="",INDEX('仕入先'!$F$5:$F$54,$R159)=""),"",IF(INDEX('仕入先'!$F$5:$F$54,$R159)="末",DATE(YEAR($S159),(MONTH($S159)+IF(INDEX('仕入先'!$D$5:$D$54,$R159)="末",0,IF(DAY($S159)&lt;=INDEX('仕入先'!$D$5:$D$54,$R159),0,1))+N(INDEX('仕入先'!$E$5:$E$54,$R159)))+1,0),DATE(YEAR($S159),(MONTH($S159)+IF(INDEX('仕入先'!$D$5:$D$54,$R159)="末",0,IF(DAY($S159)&lt;=INDEX('仕入先'!$D$5:$D$54,$R159),0,1))+N(INDEX('仕入先'!$E$5:$E$54,$R159))),MIN(INDEX('仕入先'!$F$5:$F$54,$R159),DAY(DATE(YEAR($S159),(MONTH($S159)+IF(INDEX('仕入先'!$D$5:$D$54,$R159)="末",0,IF(DAY($S159)&lt;=INDEX('仕入先'!$D$5:$D$54,$R159),0,1))+N(INDEX('仕入先'!$E$5:$E$54,$R159)))+1,0)))))))</f>
        <v/>
      </c>
      <c r="I159" s="26" t="n"/>
      <c r="J159" s="29">
        <f>IF($B159="","",IF(ISNUMBER($I159),$I159,$H159))</f>
        <v/>
      </c>
      <c r="K159" s="26" t="n"/>
      <c r="L159" s="27" t="n"/>
      <c r="M159" s="27" t="n"/>
      <c r="N159" s="28">
        <f>IF($B159="","",N($G159)-N($L159)-N($M159))</f>
        <v/>
      </c>
      <c r="O159" s="30">
        <f>IF($B159="","",IF(AND(OR(N($L159)&lt;&gt;0,N($M159)&lt;&gt;0),NOT(ISNUMBER($K159))),"支払日なし",IF($N159=0,IF(N($G159)=0,"請求額0","支払済"),IF($N159&lt;0,"払いすぎ",IF(N($L159)+N($M159)=0,"未払","一部支払")))))</f>
        <v/>
      </c>
      <c r="P159" s="30">
        <f>IF(OR($B159="",N($N159)&lt;=0,NOT(ISNUMBER($J159))),"",IF($J159&lt;'設定'!$B$7,"期日超過 "&amp;('設定'!$B$7-$J159)&amp;"日",IF($J159='設定'!$B$7,"今日","あと "&amp;($J159-'設定'!$B$7)&amp;"日")))</f>
        <v/>
      </c>
      <c r="Q159" s="56" t="n"/>
      <c r="R159" s="32">
        <f>IF($B159="","",IFERROR(MATCH($B159,'仕入先'!$B$5:$B$54,0),"なし"))</f>
        <v/>
      </c>
      <c r="S159" s="33">
        <f>IF($B159="","",IF(ISNUMBER($D159),$D159,IF(ISNUMBER($A159),$A159,"")))</f>
        <v/>
      </c>
      <c r="T159" s="34">
        <f>IF(OR($B159="",N($N159)&lt;=0),"",IF(ISNUMBER($J159),$J159,99999)+ROW()/1000000)</f>
        <v/>
      </c>
      <c r="U159" s="35">
        <f>IF(OR($B159="",$B159&lt;&gt;'買掛帳'!$B$3,NOT(ISNUMBER($S159))),"",IF(AND($S159&gt;='買掛帳'!$Q$3,$S159&lt;='買掛帳'!$Q$4),$S159+ROW()/10000000,""))</f>
        <v/>
      </c>
      <c r="V159" s="35">
        <f>IF(OR($B159="",$B159&lt;&gt;'買掛帳'!$B$3,NOT(ISNUMBER($K159)),N($L159)+N($M159)=0),"",IF(AND($K159&gt;='買掛帳'!$Q$3,$K159&lt;='買掛帳'!$Q$4),$K159+0.5+ROW()/10000000,""))</f>
        <v/>
      </c>
    </row>
    <row r="160" ht="18" customHeight="1">
      <c r="A160" s="26" t="n"/>
      <c r="B160" s="18" t="n"/>
      <c r="C160" s="20">
        <f>IF($B160="","",IF($R160="なし","※仕入先にないコード",INDEX('仕入先'!$C$5:$C$54,$R160)&amp;""))</f>
        <v/>
      </c>
      <c r="D160" s="26" t="n"/>
      <c r="E160" s="18" t="n"/>
      <c r="F160" s="19" t="n"/>
      <c r="G160" s="27" t="n"/>
      <c r="H160" s="29">
        <f>IF(OR($B160="",NOT(ISNUMBER($R160)),NOT(ISNUMBER($S160))),"",IF(OR(INDEX('仕入先'!$D$5:$D$54,$R160)="",INDEX('仕入先'!$E$5:$E$54,$R160)="",INDEX('仕入先'!$F$5:$F$54,$R160)=""),"",IF(INDEX('仕入先'!$F$5:$F$54,$R160)="末",DATE(YEAR($S160),(MONTH($S160)+IF(INDEX('仕入先'!$D$5:$D$54,$R160)="末",0,IF(DAY($S160)&lt;=INDEX('仕入先'!$D$5:$D$54,$R160),0,1))+N(INDEX('仕入先'!$E$5:$E$54,$R160)))+1,0),DATE(YEAR($S160),(MONTH($S160)+IF(INDEX('仕入先'!$D$5:$D$54,$R160)="末",0,IF(DAY($S160)&lt;=INDEX('仕入先'!$D$5:$D$54,$R160),0,1))+N(INDEX('仕入先'!$E$5:$E$54,$R160))),MIN(INDEX('仕入先'!$F$5:$F$54,$R160),DAY(DATE(YEAR($S160),(MONTH($S160)+IF(INDEX('仕入先'!$D$5:$D$54,$R160)="末",0,IF(DAY($S160)&lt;=INDEX('仕入先'!$D$5:$D$54,$R160),0,1))+N(INDEX('仕入先'!$E$5:$E$54,$R160)))+1,0)))))))</f>
        <v/>
      </c>
      <c r="I160" s="26" t="n"/>
      <c r="J160" s="29">
        <f>IF($B160="","",IF(ISNUMBER($I160),$I160,$H160))</f>
        <v/>
      </c>
      <c r="K160" s="26" t="n"/>
      <c r="L160" s="27" t="n"/>
      <c r="M160" s="27" t="n"/>
      <c r="N160" s="28">
        <f>IF($B160="","",N($G160)-N($L160)-N($M160))</f>
        <v/>
      </c>
      <c r="O160" s="30">
        <f>IF($B160="","",IF(AND(OR(N($L160)&lt;&gt;0,N($M160)&lt;&gt;0),NOT(ISNUMBER($K160))),"支払日なし",IF($N160=0,IF(N($G160)=0,"請求額0","支払済"),IF($N160&lt;0,"払いすぎ",IF(N($L160)+N($M160)=0,"未払","一部支払")))))</f>
        <v/>
      </c>
      <c r="P160" s="30">
        <f>IF(OR($B160="",N($N160)&lt;=0,NOT(ISNUMBER($J160))),"",IF($J160&lt;'設定'!$B$7,"期日超過 "&amp;('設定'!$B$7-$J160)&amp;"日",IF($J160='設定'!$B$7,"今日","あと "&amp;($J160-'設定'!$B$7)&amp;"日")))</f>
        <v/>
      </c>
      <c r="Q160" s="56" t="n"/>
      <c r="R160" s="32">
        <f>IF($B160="","",IFERROR(MATCH($B160,'仕入先'!$B$5:$B$54,0),"なし"))</f>
        <v/>
      </c>
      <c r="S160" s="33">
        <f>IF($B160="","",IF(ISNUMBER($D160),$D160,IF(ISNUMBER($A160),$A160,"")))</f>
        <v/>
      </c>
      <c r="T160" s="34">
        <f>IF(OR($B160="",N($N160)&lt;=0),"",IF(ISNUMBER($J160),$J160,99999)+ROW()/1000000)</f>
        <v/>
      </c>
      <c r="U160" s="35">
        <f>IF(OR($B160="",$B160&lt;&gt;'買掛帳'!$B$3,NOT(ISNUMBER($S160))),"",IF(AND($S160&gt;='買掛帳'!$Q$3,$S160&lt;='買掛帳'!$Q$4),$S160+ROW()/10000000,""))</f>
        <v/>
      </c>
      <c r="V160" s="35">
        <f>IF(OR($B160="",$B160&lt;&gt;'買掛帳'!$B$3,NOT(ISNUMBER($K160)),N($L160)+N($M160)=0),"",IF(AND($K160&gt;='買掛帳'!$Q$3,$K160&lt;='買掛帳'!$Q$4),$K160+0.5+ROW()/10000000,""))</f>
        <v/>
      </c>
    </row>
    <row r="161" ht="18" customHeight="1">
      <c r="A161" s="26" t="n"/>
      <c r="B161" s="18" t="n"/>
      <c r="C161" s="20">
        <f>IF($B161="","",IF($R161="なし","※仕入先にないコード",INDEX('仕入先'!$C$5:$C$54,$R161)&amp;""))</f>
        <v/>
      </c>
      <c r="D161" s="26" t="n"/>
      <c r="E161" s="18" t="n"/>
      <c r="F161" s="19" t="n"/>
      <c r="G161" s="27" t="n"/>
      <c r="H161" s="29">
        <f>IF(OR($B161="",NOT(ISNUMBER($R161)),NOT(ISNUMBER($S161))),"",IF(OR(INDEX('仕入先'!$D$5:$D$54,$R161)="",INDEX('仕入先'!$E$5:$E$54,$R161)="",INDEX('仕入先'!$F$5:$F$54,$R161)=""),"",IF(INDEX('仕入先'!$F$5:$F$54,$R161)="末",DATE(YEAR($S161),(MONTH($S161)+IF(INDEX('仕入先'!$D$5:$D$54,$R161)="末",0,IF(DAY($S161)&lt;=INDEX('仕入先'!$D$5:$D$54,$R161),0,1))+N(INDEX('仕入先'!$E$5:$E$54,$R161)))+1,0),DATE(YEAR($S161),(MONTH($S161)+IF(INDEX('仕入先'!$D$5:$D$54,$R161)="末",0,IF(DAY($S161)&lt;=INDEX('仕入先'!$D$5:$D$54,$R161),0,1))+N(INDEX('仕入先'!$E$5:$E$54,$R161))),MIN(INDEX('仕入先'!$F$5:$F$54,$R161),DAY(DATE(YEAR($S161),(MONTH($S161)+IF(INDEX('仕入先'!$D$5:$D$54,$R161)="末",0,IF(DAY($S161)&lt;=INDEX('仕入先'!$D$5:$D$54,$R161),0,1))+N(INDEX('仕入先'!$E$5:$E$54,$R161)))+1,0)))))))</f>
        <v/>
      </c>
      <c r="I161" s="26" t="n"/>
      <c r="J161" s="29">
        <f>IF($B161="","",IF(ISNUMBER($I161),$I161,$H161))</f>
        <v/>
      </c>
      <c r="K161" s="26" t="n"/>
      <c r="L161" s="27" t="n"/>
      <c r="M161" s="27" t="n"/>
      <c r="N161" s="28">
        <f>IF($B161="","",N($G161)-N($L161)-N($M161))</f>
        <v/>
      </c>
      <c r="O161" s="30">
        <f>IF($B161="","",IF(AND(OR(N($L161)&lt;&gt;0,N($M161)&lt;&gt;0),NOT(ISNUMBER($K161))),"支払日なし",IF($N161=0,IF(N($G161)=0,"請求額0","支払済"),IF($N161&lt;0,"払いすぎ",IF(N($L161)+N($M161)=0,"未払","一部支払")))))</f>
        <v/>
      </c>
      <c r="P161" s="30">
        <f>IF(OR($B161="",N($N161)&lt;=0,NOT(ISNUMBER($J161))),"",IF($J161&lt;'設定'!$B$7,"期日超過 "&amp;('設定'!$B$7-$J161)&amp;"日",IF($J161='設定'!$B$7,"今日","あと "&amp;($J161-'設定'!$B$7)&amp;"日")))</f>
        <v/>
      </c>
      <c r="Q161" s="56" t="n"/>
      <c r="R161" s="32">
        <f>IF($B161="","",IFERROR(MATCH($B161,'仕入先'!$B$5:$B$54,0),"なし"))</f>
        <v/>
      </c>
      <c r="S161" s="33">
        <f>IF($B161="","",IF(ISNUMBER($D161),$D161,IF(ISNUMBER($A161),$A161,"")))</f>
        <v/>
      </c>
      <c r="T161" s="34">
        <f>IF(OR($B161="",N($N161)&lt;=0),"",IF(ISNUMBER($J161),$J161,99999)+ROW()/1000000)</f>
        <v/>
      </c>
      <c r="U161" s="35">
        <f>IF(OR($B161="",$B161&lt;&gt;'買掛帳'!$B$3,NOT(ISNUMBER($S161))),"",IF(AND($S161&gt;='買掛帳'!$Q$3,$S161&lt;='買掛帳'!$Q$4),$S161+ROW()/10000000,""))</f>
        <v/>
      </c>
      <c r="V161" s="35">
        <f>IF(OR($B161="",$B161&lt;&gt;'買掛帳'!$B$3,NOT(ISNUMBER($K161)),N($L161)+N($M161)=0),"",IF(AND($K161&gt;='買掛帳'!$Q$3,$K161&lt;='買掛帳'!$Q$4),$K161+0.5+ROW()/10000000,""))</f>
        <v/>
      </c>
    </row>
    <row r="162" ht="18" customHeight="1">
      <c r="A162" s="26" t="n"/>
      <c r="B162" s="18" t="n"/>
      <c r="C162" s="20">
        <f>IF($B162="","",IF($R162="なし","※仕入先にないコード",INDEX('仕入先'!$C$5:$C$54,$R162)&amp;""))</f>
        <v/>
      </c>
      <c r="D162" s="26" t="n"/>
      <c r="E162" s="18" t="n"/>
      <c r="F162" s="19" t="n"/>
      <c r="G162" s="27" t="n"/>
      <c r="H162" s="29">
        <f>IF(OR($B162="",NOT(ISNUMBER($R162)),NOT(ISNUMBER($S162))),"",IF(OR(INDEX('仕入先'!$D$5:$D$54,$R162)="",INDEX('仕入先'!$E$5:$E$54,$R162)="",INDEX('仕入先'!$F$5:$F$54,$R162)=""),"",IF(INDEX('仕入先'!$F$5:$F$54,$R162)="末",DATE(YEAR($S162),(MONTH($S162)+IF(INDEX('仕入先'!$D$5:$D$54,$R162)="末",0,IF(DAY($S162)&lt;=INDEX('仕入先'!$D$5:$D$54,$R162),0,1))+N(INDEX('仕入先'!$E$5:$E$54,$R162)))+1,0),DATE(YEAR($S162),(MONTH($S162)+IF(INDEX('仕入先'!$D$5:$D$54,$R162)="末",0,IF(DAY($S162)&lt;=INDEX('仕入先'!$D$5:$D$54,$R162),0,1))+N(INDEX('仕入先'!$E$5:$E$54,$R162))),MIN(INDEX('仕入先'!$F$5:$F$54,$R162),DAY(DATE(YEAR($S162),(MONTH($S162)+IF(INDEX('仕入先'!$D$5:$D$54,$R162)="末",0,IF(DAY($S162)&lt;=INDEX('仕入先'!$D$5:$D$54,$R162),0,1))+N(INDEX('仕入先'!$E$5:$E$54,$R162)))+1,0)))))))</f>
        <v/>
      </c>
      <c r="I162" s="26" t="n"/>
      <c r="J162" s="29">
        <f>IF($B162="","",IF(ISNUMBER($I162),$I162,$H162))</f>
        <v/>
      </c>
      <c r="K162" s="26" t="n"/>
      <c r="L162" s="27" t="n"/>
      <c r="M162" s="27" t="n"/>
      <c r="N162" s="28">
        <f>IF($B162="","",N($G162)-N($L162)-N($M162))</f>
        <v/>
      </c>
      <c r="O162" s="30">
        <f>IF($B162="","",IF(AND(OR(N($L162)&lt;&gt;0,N($M162)&lt;&gt;0),NOT(ISNUMBER($K162))),"支払日なし",IF($N162=0,IF(N($G162)=0,"請求額0","支払済"),IF($N162&lt;0,"払いすぎ",IF(N($L162)+N($M162)=0,"未払","一部支払")))))</f>
        <v/>
      </c>
      <c r="P162" s="30">
        <f>IF(OR($B162="",N($N162)&lt;=0,NOT(ISNUMBER($J162))),"",IF($J162&lt;'設定'!$B$7,"期日超過 "&amp;('設定'!$B$7-$J162)&amp;"日",IF($J162='設定'!$B$7,"今日","あと "&amp;($J162-'設定'!$B$7)&amp;"日")))</f>
        <v/>
      </c>
      <c r="Q162" s="56" t="n"/>
      <c r="R162" s="32">
        <f>IF($B162="","",IFERROR(MATCH($B162,'仕入先'!$B$5:$B$54,0),"なし"))</f>
        <v/>
      </c>
      <c r="S162" s="33">
        <f>IF($B162="","",IF(ISNUMBER($D162),$D162,IF(ISNUMBER($A162),$A162,"")))</f>
        <v/>
      </c>
      <c r="T162" s="34">
        <f>IF(OR($B162="",N($N162)&lt;=0),"",IF(ISNUMBER($J162),$J162,99999)+ROW()/1000000)</f>
        <v/>
      </c>
      <c r="U162" s="35">
        <f>IF(OR($B162="",$B162&lt;&gt;'買掛帳'!$B$3,NOT(ISNUMBER($S162))),"",IF(AND($S162&gt;='買掛帳'!$Q$3,$S162&lt;='買掛帳'!$Q$4),$S162+ROW()/10000000,""))</f>
        <v/>
      </c>
      <c r="V162" s="35">
        <f>IF(OR($B162="",$B162&lt;&gt;'買掛帳'!$B$3,NOT(ISNUMBER($K162)),N($L162)+N($M162)=0),"",IF(AND($K162&gt;='買掛帳'!$Q$3,$K162&lt;='買掛帳'!$Q$4),$K162+0.5+ROW()/10000000,""))</f>
        <v/>
      </c>
    </row>
    <row r="163" ht="18" customHeight="1">
      <c r="A163" s="26" t="n"/>
      <c r="B163" s="18" t="n"/>
      <c r="C163" s="20">
        <f>IF($B163="","",IF($R163="なし","※仕入先にないコード",INDEX('仕入先'!$C$5:$C$54,$R163)&amp;""))</f>
        <v/>
      </c>
      <c r="D163" s="26" t="n"/>
      <c r="E163" s="18" t="n"/>
      <c r="F163" s="19" t="n"/>
      <c r="G163" s="27" t="n"/>
      <c r="H163" s="29">
        <f>IF(OR($B163="",NOT(ISNUMBER($R163)),NOT(ISNUMBER($S163))),"",IF(OR(INDEX('仕入先'!$D$5:$D$54,$R163)="",INDEX('仕入先'!$E$5:$E$54,$R163)="",INDEX('仕入先'!$F$5:$F$54,$R163)=""),"",IF(INDEX('仕入先'!$F$5:$F$54,$R163)="末",DATE(YEAR($S163),(MONTH($S163)+IF(INDEX('仕入先'!$D$5:$D$54,$R163)="末",0,IF(DAY($S163)&lt;=INDEX('仕入先'!$D$5:$D$54,$R163),0,1))+N(INDEX('仕入先'!$E$5:$E$54,$R163)))+1,0),DATE(YEAR($S163),(MONTH($S163)+IF(INDEX('仕入先'!$D$5:$D$54,$R163)="末",0,IF(DAY($S163)&lt;=INDEX('仕入先'!$D$5:$D$54,$R163),0,1))+N(INDEX('仕入先'!$E$5:$E$54,$R163))),MIN(INDEX('仕入先'!$F$5:$F$54,$R163),DAY(DATE(YEAR($S163),(MONTH($S163)+IF(INDEX('仕入先'!$D$5:$D$54,$R163)="末",0,IF(DAY($S163)&lt;=INDEX('仕入先'!$D$5:$D$54,$R163),0,1))+N(INDEX('仕入先'!$E$5:$E$54,$R163)))+1,0)))))))</f>
        <v/>
      </c>
      <c r="I163" s="26" t="n"/>
      <c r="J163" s="29">
        <f>IF($B163="","",IF(ISNUMBER($I163),$I163,$H163))</f>
        <v/>
      </c>
      <c r="K163" s="26" t="n"/>
      <c r="L163" s="27" t="n"/>
      <c r="M163" s="27" t="n"/>
      <c r="N163" s="28">
        <f>IF($B163="","",N($G163)-N($L163)-N($M163))</f>
        <v/>
      </c>
      <c r="O163" s="30">
        <f>IF($B163="","",IF(AND(OR(N($L163)&lt;&gt;0,N($M163)&lt;&gt;0),NOT(ISNUMBER($K163))),"支払日なし",IF($N163=0,IF(N($G163)=0,"請求額0","支払済"),IF($N163&lt;0,"払いすぎ",IF(N($L163)+N($M163)=0,"未払","一部支払")))))</f>
        <v/>
      </c>
      <c r="P163" s="30">
        <f>IF(OR($B163="",N($N163)&lt;=0,NOT(ISNUMBER($J163))),"",IF($J163&lt;'設定'!$B$7,"期日超過 "&amp;('設定'!$B$7-$J163)&amp;"日",IF($J163='設定'!$B$7,"今日","あと "&amp;($J163-'設定'!$B$7)&amp;"日")))</f>
        <v/>
      </c>
      <c r="Q163" s="56" t="n"/>
      <c r="R163" s="32">
        <f>IF($B163="","",IFERROR(MATCH($B163,'仕入先'!$B$5:$B$54,0),"なし"))</f>
        <v/>
      </c>
      <c r="S163" s="33">
        <f>IF($B163="","",IF(ISNUMBER($D163),$D163,IF(ISNUMBER($A163),$A163,"")))</f>
        <v/>
      </c>
      <c r="T163" s="34">
        <f>IF(OR($B163="",N($N163)&lt;=0),"",IF(ISNUMBER($J163),$J163,99999)+ROW()/1000000)</f>
        <v/>
      </c>
      <c r="U163" s="35">
        <f>IF(OR($B163="",$B163&lt;&gt;'買掛帳'!$B$3,NOT(ISNUMBER($S163))),"",IF(AND($S163&gt;='買掛帳'!$Q$3,$S163&lt;='買掛帳'!$Q$4),$S163+ROW()/10000000,""))</f>
        <v/>
      </c>
      <c r="V163" s="35">
        <f>IF(OR($B163="",$B163&lt;&gt;'買掛帳'!$B$3,NOT(ISNUMBER($K163)),N($L163)+N($M163)=0),"",IF(AND($K163&gt;='買掛帳'!$Q$3,$K163&lt;='買掛帳'!$Q$4),$K163+0.5+ROW()/10000000,""))</f>
        <v/>
      </c>
    </row>
    <row r="164" ht="18" customHeight="1">
      <c r="A164" s="26" t="n"/>
      <c r="B164" s="18" t="n"/>
      <c r="C164" s="20">
        <f>IF($B164="","",IF($R164="なし","※仕入先にないコード",INDEX('仕入先'!$C$5:$C$54,$R164)&amp;""))</f>
        <v/>
      </c>
      <c r="D164" s="26" t="n"/>
      <c r="E164" s="18" t="n"/>
      <c r="F164" s="19" t="n"/>
      <c r="G164" s="27" t="n"/>
      <c r="H164" s="29">
        <f>IF(OR($B164="",NOT(ISNUMBER($R164)),NOT(ISNUMBER($S164))),"",IF(OR(INDEX('仕入先'!$D$5:$D$54,$R164)="",INDEX('仕入先'!$E$5:$E$54,$R164)="",INDEX('仕入先'!$F$5:$F$54,$R164)=""),"",IF(INDEX('仕入先'!$F$5:$F$54,$R164)="末",DATE(YEAR($S164),(MONTH($S164)+IF(INDEX('仕入先'!$D$5:$D$54,$R164)="末",0,IF(DAY($S164)&lt;=INDEX('仕入先'!$D$5:$D$54,$R164),0,1))+N(INDEX('仕入先'!$E$5:$E$54,$R164)))+1,0),DATE(YEAR($S164),(MONTH($S164)+IF(INDEX('仕入先'!$D$5:$D$54,$R164)="末",0,IF(DAY($S164)&lt;=INDEX('仕入先'!$D$5:$D$54,$R164),0,1))+N(INDEX('仕入先'!$E$5:$E$54,$R164))),MIN(INDEX('仕入先'!$F$5:$F$54,$R164),DAY(DATE(YEAR($S164),(MONTH($S164)+IF(INDEX('仕入先'!$D$5:$D$54,$R164)="末",0,IF(DAY($S164)&lt;=INDEX('仕入先'!$D$5:$D$54,$R164),0,1))+N(INDEX('仕入先'!$E$5:$E$54,$R164)))+1,0)))))))</f>
        <v/>
      </c>
      <c r="I164" s="26" t="n"/>
      <c r="J164" s="29">
        <f>IF($B164="","",IF(ISNUMBER($I164),$I164,$H164))</f>
        <v/>
      </c>
      <c r="K164" s="26" t="n"/>
      <c r="L164" s="27" t="n"/>
      <c r="M164" s="27" t="n"/>
      <c r="N164" s="28">
        <f>IF($B164="","",N($G164)-N($L164)-N($M164))</f>
        <v/>
      </c>
      <c r="O164" s="30">
        <f>IF($B164="","",IF(AND(OR(N($L164)&lt;&gt;0,N($M164)&lt;&gt;0),NOT(ISNUMBER($K164))),"支払日なし",IF($N164=0,IF(N($G164)=0,"請求額0","支払済"),IF($N164&lt;0,"払いすぎ",IF(N($L164)+N($M164)=0,"未払","一部支払")))))</f>
        <v/>
      </c>
      <c r="P164" s="30">
        <f>IF(OR($B164="",N($N164)&lt;=0,NOT(ISNUMBER($J164))),"",IF($J164&lt;'設定'!$B$7,"期日超過 "&amp;('設定'!$B$7-$J164)&amp;"日",IF($J164='設定'!$B$7,"今日","あと "&amp;($J164-'設定'!$B$7)&amp;"日")))</f>
        <v/>
      </c>
      <c r="Q164" s="56" t="n"/>
      <c r="R164" s="32">
        <f>IF($B164="","",IFERROR(MATCH($B164,'仕入先'!$B$5:$B$54,0),"なし"))</f>
        <v/>
      </c>
      <c r="S164" s="33">
        <f>IF($B164="","",IF(ISNUMBER($D164),$D164,IF(ISNUMBER($A164),$A164,"")))</f>
        <v/>
      </c>
      <c r="T164" s="34">
        <f>IF(OR($B164="",N($N164)&lt;=0),"",IF(ISNUMBER($J164),$J164,99999)+ROW()/1000000)</f>
        <v/>
      </c>
      <c r="U164" s="35">
        <f>IF(OR($B164="",$B164&lt;&gt;'買掛帳'!$B$3,NOT(ISNUMBER($S164))),"",IF(AND($S164&gt;='買掛帳'!$Q$3,$S164&lt;='買掛帳'!$Q$4),$S164+ROW()/10000000,""))</f>
        <v/>
      </c>
      <c r="V164" s="35">
        <f>IF(OR($B164="",$B164&lt;&gt;'買掛帳'!$B$3,NOT(ISNUMBER($K164)),N($L164)+N($M164)=0),"",IF(AND($K164&gt;='買掛帳'!$Q$3,$K164&lt;='買掛帳'!$Q$4),$K164+0.5+ROW()/10000000,""))</f>
        <v/>
      </c>
    </row>
    <row r="165" ht="18" customHeight="1">
      <c r="A165" s="26" t="n"/>
      <c r="B165" s="18" t="n"/>
      <c r="C165" s="20">
        <f>IF($B165="","",IF($R165="なし","※仕入先にないコード",INDEX('仕入先'!$C$5:$C$54,$R165)&amp;""))</f>
        <v/>
      </c>
      <c r="D165" s="26" t="n"/>
      <c r="E165" s="18" t="n"/>
      <c r="F165" s="19" t="n"/>
      <c r="G165" s="27" t="n"/>
      <c r="H165" s="29">
        <f>IF(OR($B165="",NOT(ISNUMBER($R165)),NOT(ISNUMBER($S165))),"",IF(OR(INDEX('仕入先'!$D$5:$D$54,$R165)="",INDEX('仕入先'!$E$5:$E$54,$R165)="",INDEX('仕入先'!$F$5:$F$54,$R165)=""),"",IF(INDEX('仕入先'!$F$5:$F$54,$R165)="末",DATE(YEAR($S165),(MONTH($S165)+IF(INDEX('仕入先'!$D$5:$D$54,$R165)="末",0,IF(DAY($S165)&lt;=INDEX('仕入先'!$D$5:$D$54,$R165),0,1))+N(INDEX('仕入先'!$E$5:$E$54,$R165)))+1,0),DATE(YEAR($S165),(MONTH($S165)+IF(INDEX('仕入先'!$D$5:$D$54,$R165)="末",0,IF(DAY($S165)&lt;=INDEX('仕入先'!$D$5:$D$54,$R165),0,1))+N(INDEX('仕入先'!$E$5:$E$54,$R165))),MIN(INDEX('仕入先'!$F$5:$F$54,$R165),DAY(DATE(YEAR($S165),(MONTH($S165)+IF(INDEX('仕入先'!$D$5:$D$54,$R165)="末",0,IF(DAY($S165)&lt;=INDEX('仕入先'!$D$5:$D$54,$R165),0,1))+N(INDEX('仕入先'!$E$5:$E$54,$R165)))+1,0)))))))</f>
        <v/>
      </c>
      <c r="I165" s="26" t="n"/>
      <c r="J165" s="29">
        <f>IF($B165="","",IF(ISNUMBER($I165),$I165,$H165))</f>
        <v/>
      </c>
      <c r="K165" s="26" t="n"/>
      <c r="L165" s="27" t="n"/>
      <c r="M165" s="27" t="n"/>
      <c r="N165" s="28">
        <f>IF($B165="","",N($G165)-N($L165)-N($M165))</f>
        <v/>
      </c>
      <c r="O165" s="30">
        <f>IF($B165="","",IF(AND(OR(N($L165)&lt;&gt;0,N($M165)&lt;&gt;0),NOT(ISNUMBER($K165))),"支払日なし",IF($N165=0,IF(N($G165)=0,"請求額0","支払済"),IF($N165&lt;0,"払いすぎ",IF(N($L165)+N($M165)=0,"未払","一部支払")))))</f>
        <v/>
      </c>
      <c r="P165" s="30">
        <f>IF(OR($B165="",N($N165)&lt;=0,NOT(ISNUMBER($J165))),"",IF($J165&lt;'設定'!$B$7,"期日超過 "&amp;('設定'!$B$7-$J165)&amp;"日",IF($J165='設定'!$B$7,"今日","あと "&amp;($J165-'設定'!$B$7)&amp;"日")))</f>
        <v/>
      </c>
      <c r="Q165" s="56" t="n"/>
      <c r="R165" s="32">
        <f>IF($B165="","",IFERROR(MATCH($B165,'仕入先'!$B$5:$B$54,0),"なし"))</f>
        <v/>
      </c>
      <c r="S165" s="33">
        <f>IF($B165="","",IF(ISNUMBER($D165),$D165,IF(ISNUMBER($A165),$A165,"")))</f>
        <v/>
      </c>
      <c r="T165" s="34">
        <f>IF(OR($B165="",N($N165)&lt;=0),"",IF(ISNUMBER($J165),$J165,99999)+ROW()/1000000)</f>
        <v/>
      </c>
      <c r="U165" s="35">
        <f>IF(OR($B165="",$B165&lt;&gt;'買掛帳'!$B$3,NOT(ISNUMBER($S165))),"",IF(AND($S165&gt;='買掛帳'!$Q$3,$S165&lt;='買掛帳'!$Q$4),$S165+ROW()/10000000,""))</f>
        <v/>
      </c>
      <c r="V165" s="35">
        <f>IF(OR($B165="",$B165&lt;&gt;'買掛帳'!$B$3,NOT(ISNUMBER($K165)),N($L165)+N($M165)=0),"",IF(AND($K165&gt;='買掛帳'!$Q$3,$K165&lt;='買掛帳'!$Q$4),$K165+0.5+ROW()/10000000,""))</f>
        <v/>
      </c>
    </row>
    <row r="166" ht="18" customHeight="1">
      <c r="A166" s="26" t="n"/>
      <c r="B166" s="18" t="n"/>
      <c r="C166" s="20">
        <f>IF($B166="","",IF($R166="なし","※仕入先にないコード",INDEX('仕入先'!$C$5:$C$54,$R166)&amp;""))</f>
        <v/>
      </c>
      <c r="D166" s="26" t="n"/>
      <c r="E166" s="18" t="n"/>
      <c r="F166" s="19" t="n"/>
      <c r="G166" s="27" t="n"/>
      <c r="H166" s="29">
        <f>IF(OR($B166="",NOT(ISNUMBER($R166)),NOT(ISNUMBER($S166))),"",IF(OR(INDEX('仕入先'!$D$5:$D$54,$R166)="",INDEX('仕入先'!$E$5:$E$54,$R166)="",INDEX('仕入先'!$F$5:$F$54,$R166)=""),"",IF(INDEX('仕入先'!$F$5:$F$54,$R166)="末",DATE(YEAR($S166),(MONTH($S166)+IF(INDEX('仕入先'!$D$5:$D$54,$R166)="末",0,IF(DAY($S166)&lt;=INDEX('仕入先'!$D$5:$D$54,$R166),0,1))+N(INDEX('仕入先'!$E$5:$E$54,$R166)))+1,0),DATE(YEAR($S166),(MONTH($S166)+IF(INDEX('仕入先'!$D$5:$D$54,$R166)="末",0,IF(DAY($S166)&lt;=INDEX('仕入先'!$D$5:$D$54,$R166),0,1))+N(INDEX('仕入先'!$E$5:$E$54,$R166))),MIN(INDEX('仕入先'!$F$5:$F$54,$R166),DAY(DATE(YEAR($S166),(MONTH($S166)+IF(INDEX('仕入先'!$D$5:$D$54,$R166)="末",0,IF(DAY($S166)&lt;=INDEX('仕入先'!$D$5:$D$54,$R166),0,1))+N(INDEX('仕入先'!$E$5:$E$54,$R166)))+1,0)))))))</f>
        <v/>
      </c>
      <c r="I166" s="26" t="n"/>
      <c r="J166" s="29">
        <f>IF($B166="","",IF(ISNUMBER($I166),$I166,$H166))</f>
        <v/>
      </c>
      <c r="K166" s="26" t="n"/>
      <c r="L166" s="27" t="n"/>
      <c r="M166" s="27" t="n"/>
      <c r="N166" s="28">
        <f>IF($B166="","",N($G166)-N($L166)-N($M166))</f>
        <v/>
      </c>
      <c r="O166" s="30">
        <f>IF($B166="","",IF(AND(OR(N($L166)&lt;&gt;0,N($M166)&lt;&gt;0),NOT(ISNUMBER($K166))),"支払日なし",IF($N166=0,IF(N($G166)=0,"請求額0","支払済"),IF($N166&lt;0,"払いすぎ",IF(N($L166)+N($M166)=0,"未払","一部支払")))))</f>
        <v/>
      </c>
      <c r="P166" s="30">
        <f>IF(OR($B166="",N($N166)&lt;=0,NOT(ISNUMBER($J166))),"",IF($J166&lt;'設定'!$B$7,"期日超過 "&amp;('設定'!$B$7-$J166)&amp;"日",IF($J166='設定'!$B$7,"今日","あと "&amp;($J166-'設定'!$B$7)&amp;"日")))</f>
        <v/>
      </c>
      <c r="Q166" s="56" t="n"/>
      <c r="R166" s="32">
        <f>IF($B166="","",IFERROR(MATCH($B166,'仕入先'!$B$5:$B$54,0),"なし"))</f>
        <v/>
      </c>
      <c r="S166" s="33">
        <f>IF($B166="","",IF(ISNUMBER($D166),$D166,IF(ISNUMBER($A166),$A166,"")))</f>
        <v/>
      </c>
      <c r="T166" s="34">
        <f>IF(OR($B166="",N($N166)&lt;=0),"",IF(ISNUMBER($J166),$J166,99999)+ROW()/1000000)</f>
        <v/>
      </c>
      <c r="U166" s="35">
        <f>IF(OR($B166="",$B166&lt;&gt;'買掛帳'!$B$3,NOT(ISNUMBER($S166))),"",IF(AND($S166&gt;='買掛帳'!$Q$3,$S166&lt;='買掛帳'!$Q$4),$S166+ROW()/10000000,""))</f>
        <v/>
      </c>
      <c r="V166" s="35">
        <f>IF(OR($B166="",$B166&lt;&gt;'買掛帳'!$B$3,NOT(ISNUMBER($K166)),N($L166)+N($M166)=0),"",IF(AND($K166&gt;='買掛帳'!$Q$3,$K166&lt;='買掛帳'!$Q$4),$K166+0.5+ROW()/10000000,""))</f>
        <v/>
      </c>
    </row>
    <row r="167" ht="18" customHeight="1">
      <c r="A167" s="26" t="n"/>
      <c r="B167" s="18" t="n"/>
      <c r="C167" s="20">
        <f>IF($B167="","",IF($R167="なし","※仕入先にないコード",INDEX('仕入先'!$C$5:$C$54,$R167)&amp;""))</f>
        <v/>
      </c>
      <c r="D167" s="26" t="n"/>
      <c r="E167" s="18" t="n"/>
      <c r="F167" s="19" t="n"/>
      <c r="G167" s="27" t="n"/>
      <c r="H167" s="29">
        <f>IF(OR($B167="",NOT(ISNUMBER($R167)),NOT(ISNUMBER($S167))),"",IF(OR(INDEX('仕入先'!$D$5:$D$54,$R167)="",INDEX('仕入先'!$E$5:$E$54,$R167)="",INDEX('仕入先'!$F$5:$F$54,$R167)=""),"",IF(INDEX('仕入先'!$F$5:$F$54,$R167)="末",DATE(YEAR($S167),(MONTH($S167)+IF(INDEX('仕入先'!$D$5:$D$54,$R167)="末",0,IF(DAY($S167)&lt;=INDEX('仕入先'!$D$5:$D$54,$R167),0,1))+N(INDEX('仕入先'!$E$5:$E$54,$R167)))+1,0),DATE(YEAR($S167),(MONTH($S167)+IF(INDEX('仕入先'!$D$5:$D$54,$R167)="末",0,IF(DAY($S167)&lt;=INDEX('仕入先'!$D$5:$D$54,$R167),0,1))+N(INDEX('仕入先'!$E$5:$E$54,$R167))),MIN(INDEX('仕入先'!$F$5:$F$54,$R167),DAY(DATE(YEAR($S167),(MONTH($S167)+IF(INDEX('仕入先'!$D$5:$D$54,$R167)="末",0,IF(DAY($S167)&lt;=INDEX('仕入先'!$D$5:$D$54,$R167),0,1))+N(INDEX('仕入先'!$E$5:$E$54,$R167)))+1,0)))))))</f>
        <v/>
      </c>
      <c r="I167" s="26" t="n"/>
      <c r="J167" s="29">
        <f>IF($B167="","",IF(ISNUMBER($I167),$I167,$H167))</f>
        <v/>
      </c>
      <c r="K167" s="26" t="n"/>
      <c r="L167" s="27" t="n"/>
      <c r="M167" s="27" t="n"/>
      <c r="N167" s="28">
        <f>IF($B167="","",N($G167)-N($L167)-N($M167))</f>
        <v/>
      </c>
      <c r="O167" s="30">
        <f>IF($B167="","",IF(AND(OR(N($L167)&lt;&gt;0,N($M167)&lt;&gt;0),NOT(ISNUMBER($K167))),"支払日なし",IF($N167=0,IF(N($G167)=0,"請求額0","支払済"),IF($N167&lt;0,"払いすぎ",IF(N($L167)+N($M167)=0,"未払","一部支払")))))</f>
        <v/>
      </c>
      <c r="P167" s="30">
        <f>IF(OR($B167="",N($N167)&lt;=0,NOT(ISNUMBER($J167))),"",IF($J167&lt;'設定'!$B$7,"期日超過 "&amp;('設定'!$B$7-$J167)&amp;"日",IF($J167='設定'!$B$7,"今日","あと "&amp;($J167-'設定'!$B$7)&amp;"日")))</f>
        <v/>
      </c>
      <c r="Q167" s="56" t="n"/>
      <c r="R167" s="32">
        <f>IF($B167="","",IFERROR(MATCH($B167,'仕入先'!$B$5:$B$54,0),"なし"))</f>
        <v/>
      </c>
      <c r="S167" s="33">
        <f>IF($B167="","",IF(ISNUMBER($D167),$D167,IF(ISNUMBER($A167),$A167,"")))</f>
        <v/>
      </c>
      <c r="T167" s="34">
        <f>IF(OR($B167="",N($N167)&lt;=0),"",IF(ISNUMBER($J167),$J167,99999)+ROW()/1000000)</f>
        <v/>
      </c>
      <c r="U167" s="35">
        <f>IF(OR($B167="",$B167&lt;&gt;'買掛帳'!$B$3,NOT(ISNUMBER($S167))),"",IF(AND($S167&gt;='買掛帳'!$Q$3,$S167&lt;='買掛帳'!$Q$4),$S167+ROW()/10000000,""))</f>
        <v/>
      </c>
      <c r="V167" s="35">
        <f>IF(OR($B167="",$B167&lt;&gt;'買掛帳'!$B$3,NOT(ISNUMBER($K167)),N($L167)+N($M167)=0),"",IF(AND($K167&gt;='買掛帳'!$Q$3,$K167&lt;='買掛帳'!$Q$4),$K167+0.5+ROW()/10000000,""))</f>
        <v/>
      </c>
    </row>
    <row r="168" ht="18" customHeight="1">
      <c r="A168" s="26" t="n"/>
      <c r="B168" s="18" t="n"/>
      <c r="C168" s="20">
        <f>IF($B168="","",IF($R168="なし","※仕入先にないコード",INDEX('仕入先'!$C$5:$C$54,$R168)&amp;""))</f>
        <v/>
      </c>
      <c r="D168" s="26" t="n"/>
      <c r="E168" s="18" t="n"/>
      <c r="F168" s="19" t="n"/>
      <c r="G168" s="27" t="n"/>
      <c r="H168" s="29">
        <f>IF(OR($B168="",NOT(ISNUMBER($R168)),NOT(ISNUMBER($S168))),"",IF(OR(INDEX('仕入先'!$D$5:$D$54,$R168)="",INDEX('仕入先'!$E$5:$E$54,$R168)="",INDEX('仕入先'!$F$5:$F$54,$R168)=""),"",IF(INDEX('仕入先'!$F$5:$F$54,$R168)="末",DATE(YEAR($S168),(MONTH($S168)+IF(INDEX('仕入先'!$D$5:$D$54,$R168)="末",0,IF(DAY($S168)&lt;=INDEX('仕入先'!$D$5:$D$54,$R168),0,1))+N(INDEX('仕入先'!$E$5:$E$54,$R168)))+1,0),DATE(YEAR($S168),(MONTH($S168)+IF(INDEX('仕入先'!$D$5:$D$54,$R168)="末",0,IF(DAY($S168)&lt;=INDEX('仕入先'!$D$5:$D$54,$R168),0,1))+N(INDEX('仕入先'!$E$5:$E$54,$R168))),MIN(INDEX('仕入先'!$F$5:$F$54,$R168),DAY(DATE(YEAR($S168),(MONTH($S168)+IF(INDEX('仕入先'!$D$5:$D$54,$R168)="末",0,IF(DAY($S168)&lt;=INDEX('仕入先'!$D$5:$D$54,$R168),0,1))+N(INDEX('仕入先'!$E$5:$E$54,$R168)))+1,0)))))))</f>
        <v/>
      </c>
      <c r="I168" s="26" t="n"/>
      <c r="J168" s="29">
        <f>IF($B168="","",IF(ISNUMBER($I168),$I168,$H168))</f>
        <v/>
      </c>
      <c r="K168" s="26" t="n"/>
      <c r="L168" s="27" t="n"/>
      <c r="M168" s="27" t="n"/>
      <c r="N168" s="28">
        <f>IF($B168="","",N($G168)-N($L168)-N($M168))</f>
        <v/>
      </c>
      <c r="O168" s="30">
        <f>IF($B168="","",IF(AND(OR(N($L168)&lt;&gt;0,N($M168)&lt;&gt;0),NOT(ISNUMBER($K168))),"支払日なし",IF($N168=0,IF(N($G168)=0,"請求額0","支払済"),IF($N168&lt;0,"払いすぎ",IF(N($L168)+N($M168)=0,"未払","一部支払")))))</f>
        <v/>
      </c>
      <c r="P168" s="30">
        <f>IF(OR($B168="",N($N168)&lt;=0,NOT(ISNUMBER($J168))),"",IF($J168&lt;'設定'!$B$7,"期日超過 "&amp;('設定'!$B$7-$J168)&amp;"日",IF($J168='設定'!$B$7,"今日","あと "&amp;($J168-'設定'!$B$7)&amp;"日")))</f>
        <v/>
      </c>
      <c r="Q168" s="56" t="n"/>
      <c r="R168" s="32">
        <f>IF($B168="","",IFERROR(MATCH($B168,'仕入先'!$B$5:$B$54,0),"なし"))</f>
        <v/>
      </c>
      <c r="S168" s="33">
        <f>IF($B168="","",IF(ISNUMBER($D168),$D168,IF(ISNUMBER($A168),$A168,"")))</f>
        <v/>
      </c>
      <c r="T168" s="34">
        <f>IF(OR($B168="",N($N168)&lt;=0),"",IF(ISNUMBER($J168),$J168,99999)+ROW()/1000000)</f>
        <v/>
      </c>
      <c r="U168" s="35">
        <f>IF(OR($B168="",$B168&lt;&gt;'買掛帳'!$B$3,NOT(ISNUMBER($S168))),"",IF(AND($S168&gt;='買掛帳'!$Q$3,$S168&lt;='買掛帳'!$Q$4),$S168+ROW()/10000000,""))</f>
        <v/>
      </c>
      <c r="V168" s="35">
        <f>IF(OR($B168="",$B168&lt;&gt;'買掛帳'!$B$3,NOT(ISNUMBER($K168)),N($L168)+N($M168)=0),"",IF(AND($K168&gt;='買掛帳'!$Q$3,$K168&lt;='買掛帳'!$Q$4),$K168+0.5+ROW()/10000000,""))</f>
        <v/>
      </c>
    </row>
    <row r="169" ht="18" customHeight="1">
      <c r="A169" s="26" t="n"/>
      <c r="B169" s="18" t="n"/>
      <c r="C169" s="20">
        <f>IF($B169="","",IF($R169="なし","※仕入先にないコード",INDEX('仕入先'!$C$5:$C$54,$R169)&amp;""))</f>
        <v/>
      </c>
      <c r="D169" s="26" t="n"/>
      <c r="E169" s="18" t="n"/>
      <c r="F169" s="19" t="n"/>
      <c r="G169" s="27" t="n"/>
      <c r="H169" s="29">
        <f>IF(OR($B169="",NOT(ISNUMBER($R169)),NOT(ISNUMBER($S169))),"",IF(OR(INDEX('仕入先'!$D$5:$D$54,$R169)="",INDEX('仕入先'!$E$5:$E$54,$R169)="",INDEX('仕入先'!$F$5:$F$54,$R169)=""),"",IF(INDEX('仕入先'!$F$5:$F$54,$R169)="末",DATE(YEAR($S169),(MONTH($S169)+IF(INDEX('仕入先'!$D$5:$D$54,$R169)="末",0,IF(DAY($S169)&lt;=INDEX('仕入先'!$D$5:$D$54,$R169),0,1))+N(INDEX('仕入先'!$E$5:$E$54,$R169)))+1,0),DATE(YEAR($S169),(MONTH($S169)+IF(INDEX('仕入先'!$D$5:$D$54,$R169)="末",0,IF(DAY($S169)&lt;=INDEX('仕入先'!$D$5:$D$54,$R169),0,1))+N(INDEX('仕入先'!$E$5:$E$54,$R169))),MIN(INDEX('仕入先'!$F$5:$F$54,$R169),DAY(DATE(YEAR($S169),(MONTH($S169)+IF(INDEX('仕入先'!$D$5:$D$54,$R169)="末",0,IF(DAY($S169)&lt;=INDEX('仕入先'!$D$5:$D$54,$R169),0,1))+N(INDEX('仕入先'!$E$5:$E$54,$R169)))+1,0)))))))</f>
        <v/>
      </c>
      <c r="I169" s="26" t="n"/>
      <c r="J169" s="29">
        <f>IF($B169="","",IF(ISNUMBER($I169),$I169,$H169))</f>
        <v/>
      </c>
      <c r="K169" s="26" t="n"/>
      <c r="L169" s="27" t="n"/>
      <c r="M169" s="27" t="n"/>
      <c r="N169" s="28">
        <f>IF($B169="","",N($G169)-N($L169)-N($M169))</f>
        <v/>
      </c>
      <c r="O169" s="30">
        <f>IF($B169="","",IF(AND(OR(N($L169)&lt;&gt;0,N($M169)&lt;&gt;0),NOT(ISNUMBER($K169))),"支払日なし",IF($N169=0,IF(N($G169)=0,"請求額0","支払済"),IF($N169&lt;0,"払いすぎ",IF(N($L169)+N($M169)=0,"未払","一部支払")))))</f>
        <v/>
      </c>
      <c r="P169" s="30">
        <f>IF(OR($B169="",N($N169)&lt;=0,NOT(ISNUMBER($J169))),"",IF($J169&lt;'設定'!$B$7,"期日超過 "&amp;('設定'!$B$7-$J169)&amp;"日",IF($J169='設定'!$B$7,"今日","あと "&amp;($J169-'設定'!$B$7)&amp;"日")))</f>
        <v/>
      </c>
      <c r="Q169" s="56" t="n"/>
      <c r="R169" s="32">
        <f>IF($B169="","",IFERROR(MATCH($B169,'仕入先'!$B$5:$B$54,0),"なし"))</f>
        <v/>
      </c>
      <c r="S169" s="33">
        <f>IF($B169="","",IF(ISNUMBER($D169),$D169,IF(ISNUMBER($A169),$A169,"")))</f>
        <v/>
      </c>
      <c r="T169" s="34">
        <f>IF(OR($B169="",N($N169)&lt;=0),"",IF(ISNUMBER($J169),$J169,99999)+ROW()/1000000)</f>
        <v/>
      </c>
      <c r="U169" s="35">
        <f>IF(OR($B169="",$B169&lt;&gt;'買掛帳'!$B$3,NOT(ISNUMBER($S169))),"",IF(AND($S169&gt;='買掛帳'!$Q$3,$S169&lt;='買掛帳'!$Q$4),$S169+ROW()/10000000,""))</f>
        <v/>
      </c>
      <c r="V169" s="35">
        <f>IF(OR($B169="",$B169&lt;&gt;'買掛帳'!$B$3,NOT(ISNUMBER($K169)),N($L169)+N($M169)=0),"",IF(AND($K169&gt;='買掛帳'!$Q$3,$K169&lt;='買掛帳'!$Q$4),$K169+0.5+ROW()/10000000,""))</f>
        <v/>
      </c>
    </row>
    <row r="170" ht="18" customHeight="1">
      <c r="A170" s="26" t="n"/>
      <c r="B170" s="18" t="n"/>
      <c r="C170" s="20">
        <f>IF($B170="","",IF($R170="なし","※仕入先にないコード",INDEX('仕入先'!$C$5:$C$54,$R170)&amp;""))</f>
        <v/>
      </c>
      <c r="D170" s="26" t="n"/>
      <c r="E170" s="18" t="n"/>
      <c r="F170" s="19" t="n"/>
      <c r="G170" s="27" t="n"/>
      <c r="H170" s="29">
        <f>IF(OR($B170="",NOT(ISNUMBER($R170)),NOT(ISNUMBER($S170))),"",IF(OR(INDEX('仕入先'!$D$5:$D$54,$R170)="",INDEX('仕入先'!$E$5:$E$54,$R170)="",INDEX('仕入先'!$F$5:$F$54,$R170)=""),"",IF(INDEX('仕入先'!$F$5:$F$54,$R170)="末",DATE(YEAR($S170),(MONTH($S170)+IF(INDEX('仕入先'!$D$5:$D$54,$R170)="末",0,IF(DAY($S170)&lt;=INDEX('仕入先'!$D$5:$D$54,$R170),0,1))+N(INDEX('仕入先'!$E$5:$E$54,$R170)))+1,0),DATE(YEAR($S170),(MONTH($S170)+IF(INDEX('仕入先'!$D$5:$D$54,$R170)="末",0,IF(DAY($S170)&lt;=INDEX('仕入先'!$D$5:$D$54,$R170),0,1))+N(INDEX('仕入先'!$E$5:$E$54,$R170))),MIN(INDEX('仕入先'!$F$5:$F$54,$R170),DAY(DATE(YEAR($S170),(MONTH($S170)+IF(INDEX('仕入先'!$D$5:$D$54,$R170)="末",0,IF(DAY($S170)&lt;=INDEX('仕入先'!$D$5:$D$54,$R170),0,1))+N(INDEX('仕入先'!$E$5:$E$54,$R170)))+1,0)))))))</f>
        <v/>
      </c>
      <c r="I170" s="26" t="n"/>
      <c r="J170" s="29">
        <f>IF($B170="","",IF(ISNUMBER($I170),$I170,$H170))</f>
        <v/>
      </c>
      <c r="K170" s="26" t="n"/>
      <c r="L170" s="27" t="n"/>
      <c r="M170" s="27" t="n"/>
      <c r="N170" s="28">
        <f>IF($B170="","",N($G170)-N($L170)-N($M170))</f>
        <v/>
      </c>
      <c r="O170" s="30">
        <f>IF($B170="","",IF(AND(OR(N($L170)&lt;&gt;0,N($M170)&lt;&gt;0),NOT(ISNUMBER($K170))),"支払日なし",IF($N170=0,IF(N($G170)=0,"請求額0","支払済"),IF($N170&lt;0,"払いすぎ",IF(N($L170)+N($M170)=0,"未払","一部支払")))))</f>
        <v/>
      </c>
      <c r="P170" s="30">
        <f>IF(OR($B170="",N($N170)&lt;=0,NOT(ISNUMBER($J170))),"",IF($J170&lt;'設定'!$B$7,"期日超過 "&amp;('設定'!$B$7-$J170)&amp;"日",IF($J170='設定'!$B$7,"今日","あと "&amp;($J170-'設定'!$B$7)&amp;"日")))</f>
        <v/>
      </c>
      <c r="Q170" s="56" t="n"/>
      <c r="R170" s="32">
        <f>IF($B170="","",IFERROR(MATCH($B170,'仕入先'!$B$5:$B$54,0),"なし"))</f>
        <v/>
      </c>
      <c r="S170" s="33">
        <f>IF($B170="","",IF(ISNUMBER($D170),$D170,IF(ISNUMBER($A170),$A170,"")))</f>
        <v/>
      </c>
      <c r="T170" s="34">
        <f>IF(OR($B170="",N($N170)&lt;=0),"",IF(ISNUMBER($J170),$J170,99999)+ROW()/1000000)</f>
        <v/>
      </c>
      <c r="U170" s="35">
        <f>IF(OR($B170="",$B170&lt;&gt;'買掛帳'!$B$3,NOT(ISNUMBER($S170))),"",IF(AND($S170&gt;='買掛帳'!$Q$3,$S170&lt;='買掛帳'!$Q$4),$S170+ROW()/10000000,""))</f>
        <v/>
      </c>
      <c r="V170" s="35">
        <f>IF(OR($B170="",$B170&lt;&gt;'買掛帳'!$B$3,NOT(ISNUMBER($K170)),N($L170)+N($M170)=0),"",IF(AND($K170&gt;='買掛帳'!$Q$3,$K170&lt;='買掛帳'!$Q$4),$K170+0.5+ROW()/10000000,""))</f>
        <v/>
      </c>
    </row>
    <row r="171" ht="18" customHeight="1">
      <c r="A171" s="26" t="n"/>
      <c r="B171" s="18" t="n"/>
      <c r="C171" s="20">
        <f>IF($B171="","",IF($R171="なし","※仕入先にないコード",INDEX('仕入先'!$C$5:$C$54,$R171)&amp;""))</f>
        <v/>
      </c>
      <c r="D171" s="26" t="n"/>
      <c r="E171" s="18" t="n"/>
      <c r="F171" s="19" t="n"/>
      <c r="G171" s="27" t="n"/>
      <c r="H171" s="29">
        <f>IF(OR($B171="",NOT(ISNUMBER($R171)),NOT(ISNUMBER($S171))),"",IF(OR(INDEX('仕入先'!$D$5:$D$54,$R171)="",INDEX('仕入先'!$E$5:$E$54,$R171)="",INDEX('仕入先'!$F$5:$F$54,$R171)=""),"",IF(INDEX('仕入先'!$F$5:$F$54,$R171)="末",DATE(YEAR($S171),(MONTH($S171)+IF(INDEX('仕入先'!$D$5:$D$54,$R171)="末",0,IF(DAY($S171)&lt;=INDEX('仕入先'!$D$5:$D$54,$R171),0,1))+N(INDEX('仕入先'!$E$5:$E$54,$R171)))+1,0),DATE(YEAR($S171),(MONTH($S171)+IF(INDEX('仕入先'!$D$5:$D$54,$R171)="末",0,IF(DAY($S171)&lt;=INDEX('仕入先'!$D$5:$D$54,$R171),0,1))+N(INDEX('仕入先'!$E$5:$E$54,$R171))),MIN(INDEX('仕入先'!$F$5:$F$54,$R171),DAY(DATE(YEAR($S171),(MONTH($S171)+IF(INDEX('仕入先'!$D$5:$D$54,$R171)="末",0,IF(DAY($S171)&lt;=INDEX('仕入先'!$D$5:$D$54,$R171),0,1))+N(INDEX('仕入先'!$E$5:$E$54,$R171)))+1,0)))))))</f>
        <v/>
      </c>
      <c r="I171" s="26" t="n"/>
      <c r="J171" s="29">
        <f>IF($B171="","",IF(ISNUMBER($I171),$I171,$H171))</f>
        <v/>
      </c>
      <c r="K171" s="26" t="n"/>
      <c r="L171" s="27" t="n"/>
      <c r="M171" s="27" t="n"/>
      <c r="N171" s="28">
        <f>IF($B171="","",N($G171)-N($L171)-N($M171))</f>
        <v/>
      </c>
      <c r="O171" s="30">
        <f>IF($B171="","",IF(AND(OR(N($L171)&lt;&gt;0,N($M171)&lt;&gt;0),NOT(ISNUMBER($K171))),"支払日なし",IF($N171=0,IF(N($G171)=0,"請求額0","支払済"),IF($N171&lt;0,"払いすぎ",IF(N($L171)+N($M171)=0,"未払","一部支払")))))</f>
        <v/>
      </c>
      <c r="P171" s="30">
        <f>IF(OR($B171="",N($N171)&lt;=0,NOT(ISNUMBER($J171))),"",IF($J171&lt;'設定'!$B$7,"期日超過 "&amp;('設定'!$B$7-$J171)&amp;"日",IF($J171='設定'!$B$7,"今日","あと "&amp;($J171-'設定'!$B$7)&amp;"日")))</f>
        <v/>
      </c>
      <c r="Q171" s="56" t="n"/>
      <c r="R171" s="32">
        <f>IF($B171="","",IFERROR(MATCH($B171,'仕入先'!$B$5:$B$54,0),"なし"))</f>
        <v/>
      </c>
      <c r="S171" s="33">
        <f>IF($B171="","",IF(ISNUMBER($D171),$D171,IF(ISNUMBER($A171),$A171,"")))</f>
        <v/>
      </c>
      <c r="T171" s="34">
        <f>IF(OR($B171="",N($N171)&lt;=0),"",IF(ISNUMBER($J171),$J171,99999)+ROW()/1000000)</f>
        <v/>
      </c>
      <c r="U171" s="35">
        <f>IF(OR($B171="",$B171&lt;&gt;'買掛帳'!$B$3,NOT(ISNUMBER($S171))),"",IF(AND($S171&gt;='買掛帳'!$Q$3,$S171&lt;='買掛帳'!$Q$4),$S171+ROW()/10000000,""))</f>
        <v/>
      </c>
      <c r="V171" s="35">
        <f>IF(OR($B171="",$B171&lt;&gt;'買掛帳'!$B$3,NOT(ISNUMBER($K171)),N($L171)+N($M171)=0),"",IF(AND($K171&gt;='買掛帳'!$Q$3,$K171&lt;='買掛帳'!$Q$4),$K171+0.5+ROW()/10000000,""))</f>
        <v/>
      </c>
    </row>
    <row r="172" ht="18" customHeight="1">
      <c r="A172" s="26" t="n"/>
      <c r="B172" s="18" t="n"/>
      <c r="C172" s="20">
        <f>IF($B172="","",IF($R172="なし","※仕入先にないコード",INDEX('仕入先'!$C$5:$C$54,$R172)&amp;""))</f>
        <v/>
      </c>
      <c r="D172" s="26" t="n"/>
      <c r="E172" s="18" t="n"/>
      <c r="F172" s="19" t="n"/>
      <c r="G172" s="27" t="n"/>
      <c r="H172" s="29">
        <f>IF(OR($B172="",NOT(ISNUMBER($R172)),NOT(ISNUMBER($S172))),"",IF(OR(INDEX('仕入先'!$D$5:$D$54,$R172)="",INDEX('仕入先'!$E$5:$E$54,$R172)="",INDEX('仕入先'!$F$5:$F$54,$R172)=""),"",IF(INDEX('仕入先'!$F$5:$F$54,$R172)="末",DATE(YEAR($S172),(MONTH($S172)+IF(INDEX('仕入先'!$D$5:$D$54,$R172)="末",0,IF(DAY($S172)&lt;=INDEX('仕入先'!$D$5:$D$54,$R172),0,1))+N(INDEX('仕入先'!$E$5:$E$54,$R172)))+1,0),DATE(YEAR($S172),(MONTH($S172)+IF(INDEX('仕入先'!$D$5:$D$54,$R172)="末",0,IF(DAY($S172)&lt;=INDEX('仕入先'!$D$5:$D$54,$R172),0,1))+N(INDEX('仕入先'!$E$5:$E$54,$R172))),MIN(INDEX('仕入先'!$F$5:$F$54,$R172),DAY(DATE(YEAR($S172),(MONTH($S172)+IF(INDEX('仕入先'!$D$5:$D$54,$R172)="末",0,IF(DAY($S172)&lt;=INDEX('仕入先'!$D$5:$D$54,$R172),0,1))+N(INDEX('仕入先'!$E$5:$E$54,$R172)))+1,0)))))))</f>
        <v/>
      </c>
      <c r="I172" s="26" t="n"/>
      <c r="J172" s="29">
        <f>IF($B172="","",IF(ISNUMBER($I172),$I172,$H172))</f>
        <v/>
      </c>
      <c r="K172" s="26" t="n"/>
      <c r="L172" s="27" t="n"/>
      <c r="M172" s="27" t="n"/>
      <c r="N172" s="28">
        <f>IF($B172="","",N($G172)-N($L172)-N($M172))</f>
        <v/>
      </c>
      <c r="O172" s="30">
        <f>IF($B172="","",IF(AND(OR(N($L172)&lt;&gt;0,N($M172)&lt;&gt;0),NOT(ISNUMBER($K172))),"支払日なし",IF($N172=0,IF(N($G172)=0,"請求額0","支払済"),IF($N172&lt;0,"払いすぎ",IF(N($L172)+N($M172)=0,"未払","一部支払")))))</f>
        <v/>
      </c>
      <c r="P172" s="30">
        <f>IF(OR($B172="",N($N172)&lt;=0,NOT(ISNUMBER($J172))),"",IF($J172&lt;'設定'!$B$7,"期日超過 "&amp;('設定'!$B$7-$J172)&amp;"日",IF($J172='設定'!$B$7,"今日","あと "&amp;($J172-'設定'!$B$7)&amp;"日")))</f>
        <v/>
      </c>
      <c r="Q172" s="56" t="n"/>
      <c r="R172" s="32">
        <f>IF($B172="","",IFERROR(MATCH($B172,'仕入先'!$B$5:$B$54,0),"なし"))</f>
        <v/>
      </c>
      <c r="S172" s="33">
        <f>IF($B172="","",IF(ISNUMBER($D172),$D172,IF(ISNUMBER($A172),$A172,"")))</f>
        <v/>
      </c>
      <c r="T172" s="34">
        <f>IF(OR($B172="",N($N172)&lt;=0),"",IF(ISNUMBER($J172),$J172,99999)+ROW()/1000000)</f>
        <v/>
      </c>
      <c r="U172" s="35">
        <f>IF(OR($B172="",$B172&lt;&gt;'買掛帳'!$B$3,NOT(ISNUMBER($S172))),"",IF(AND($S172&gt;='買掛帳'!$Q$3,$S172&lt;='買掛帳'!$Q$4),$S172+ROW()/10000000,""))</f>
        <v/>
      </c>
      <c r="V172" s="35">
        <f>IF(OR($B172="",$B172&lt;&gt;'買掛帳'!$B$3,NOT(ISNUMBER($K172)),N($L172)+N($M172)=0),"",IF(AND($K172&gt;='買掛帳'!$Q$3,$K172&lt;='買掛帳'!$Q$4),$K172+0.5+ROW()/10000000,""))</f>
        <v/>
      </c>
    </row>
    <row r="173" ht="18" customHeight="1">
      <c r="A173" s="26" t="n"/>
      <c r="B173" s="18" t="n"/>
      <c r="C173" s="20">
        <f>IF($B173="","",IF($R173="なし","※仕入先にないコード",INDEX('仕入先'!$C$5:$C$54,$R173)&amp;""))</f>
        <v/>
      </c>
      <c r="D173" s="26" t="n"/>
      <c r="E173" s="18" t="n"/>
      <c r="F173" s="19" t="n"/>
      <c r="G173" s="27" t="n"/>
      <c r="H173" s="29">
        <f>IF(OR($B173="",NOT(ISNUMBER($R173)),NOT(ISNUMBER($S173))),"",IF(OR(INDEX('仕入先'!$D$5:$D$54,$R173)="",INDEX('仕入先'!$E$5:$E$54,$R173)="",INDEX('仕入先'!$F$5:$F$54,$R173)=""),"",IF(INDEX('仕入先'!$F$5:$F$54,$R173)="末",DATE(YEAR($S173),(MONTH($S173)+IF(INDEX('仕入先'!$D$5:$D$54,$R173)="末",0,IF(DAY($S173)&lt;=INDEX('仕入先'!$D$5:$D$54,$R173),0,1))+N(INDEX('仕入先'!$E$5:$E$54,$R173)))+1,0),DATE(YEAR($S173),(MONTH($S173)+IF(INDEX('仕入先'!$D$5:$D$54,$R173)="末",0,IF(DAY($S173)&lt;=INDEX('仕入先'!$D$5:$D$54,$R173),0,1))+N(INDEX('仕入先'!$E$5:$E$54,$R173))),MIN(INDEX('仕入先'!$F$5:$F$54,$R173),DAY(DATE(YEAR($S173),(MONTH($S173)+IF(INDEX('仕入先'!$D$5:$D$54,$R173)="末",0,IF(DAY($S173)&lt;=INDEX('仕入先'!$D$5:$D$54,$R173),0,1))+N(INDEX('仕入先'!$E$5:$E$54,$R173)))+1,0)))))))</f>
        <v/>
      </c>
      <c r="I173" s="26" t="n"/>
      <c r="J173" s="29">
        <f>IF($B173="","",IF(ISNUMBER($I173),$I173,$H173))</f>
        <v/>
      </c>
      <c r="K173" s="26" t="n"/>
      <c r="L173" s="27" t="n"/>
      <c r="M173" s="27" t="n"/>
      <c r="N173" s="28">
        <f>IF($B173="","",N($G173)-N($L173)-N($M173))</f>
        <v/>
      </c>
      <c r="O173" s="30">
        <f>IF($B173="","",IF(AND(OR(N($L173)&lt;&gt;0,N($M173)&lt;&gt;0),NOT(ISNUMBER($K173))),"支払日なし",IF($N173=0,IF(N($G173)=0,"請求額0","支払済"),IF($N173&lt;0,"払いすぎ",IF(N($L173)+N($M173)=0,"未払","一部支払")))))</f>
        <v/>
      </c>
      <c r="P173" s="30">
        <f>IF(OR($B173="",N($N173)&lt;=0,NOT(ISNUMBER($J173))),"",IF($J173&lt;'設定'!$B$7,"期日超過 "&amp;('設定'!$B$7-$J173)&amp;"日",IF($J173='設定'!$B$7,"今日","あと "&amp;($J173-'設定'!$B$7)&amp;"日")))</f>
        <v/>
      </c>
      <c r="Q173" s="56" t="n"/>
      <c r="R173" s="32">
        <f>IF($B173="","",IFERROR(MATCH($B173,'仕入先'!$B$5:$B$54,0),"なし"))</f>
        <v/>
      </c>
      <c r="S173" s="33">
        <f>IF($B173="","",IF(ISNUMBER($D173),$D173,IF(ISNUMBER($A173),$A173,"")))</f>
        <v/>
      </c>
      <c r="T173" s="34">
        <f>IF(OR($B173="",N($N173)&lt;=0),"",IF(ISNUMBER($J173),$J173,99999)+ROW()/1000000)</f>
        <v/>
      </c>
      <c r="U173" s="35">
        <f>IF(OR($B173="",$B173&lt;&gt;'買掛帳'!$B$3,NOT(ISNUMBER($S173))),"",IF(AND($S173&gt;='買掛帳'!$Q$3,$S173&lt;='買掛帳'!$Q$4),$S173+ROW()/10000000,""))</f>
        <v/>
      </c>
      <c r="V173" s="35">
        <f>IF(OR($B173="",$B173&lt;&gt;'買掛帳'!$B$3,NOT(ISNUMBER($K173)),N($L173)+N($M173)=0),"",IF(AND($K173&gt;='買掛帳'!$Q$3,$K173&lt;='買掛帳'!$Q$4),$K173+0.5+ROW()/10000000,""))</f>
        <v/>
      </c>
    </row>
    <row r="174" ht="18" customHeight="1">
      <c r="A174" s="26" t="n"/>
      <c r="B174" s="18" t="n"/>
      <c r="C174" s="20">
        <f>IF($B174="","",IF($R174="なし","※仕入先にないコード",INDEX('仕入先'!$C$5:$C$54,$R174)&amp;""))</f>
        <v/>
      </c>
      <c r="D174" s="26" t="n"/>
      <c r="E174" s="18" t="n"/>
      <c r="F174" s="19" t="n"/>
      <c r="G174" s="27" t="n"/>
      <c r="H174" s="29">
        <f>IF(OR($B174="",NOT(ISNUMBER($R174)),NOT(ISNUMBER($S174))),"",IF(OR(INDEX('仕入先'!$D$5:$D$54,$R174)="",INDEX('仕入先'!$E$5:$E$54,$R174)="",INDEX('仕入先'!$F$5:$F$54,$R174)=""),"",IF(INDEX('仕入先'!$F$5:$F$54,$R174)="末",DATE(YEAR($S174),(MONTH($S174)+IF(INDEX('仕入先'!$D$5:$D$54,$R174)="末",0,IF(DAY($S174)&lt;=INDEX('仕入先'!$D$5:$D$54,$R174),0,1))+N(INDEX('仕入先'!$E$5:$E$54,$R174)))+1,0),DATE(YEAR($S174),(MONTH($S174)+IF(INDEX('仕入先'!$D$5:$D$54,$R174)="末",0,IF(DAY($S174)&lt;=INDEX('仕入先'!$D$5:$D$54,$R174),0,1))+N(INDEX('仕入先'!$E$5:$E$54,$R174))),MIN(INDEX('仕入先'!$F$5:$F$54,$R174),DAY(DATE(YEAR($S174),(MONTH($S174)+IF(INDEX('仕入先'!$D$5:$D$54,$R174)="末",0,IF(DAY($S174)&lt;=INDEX('仕入先'!$D$5:$D$54,$R174),0,1))+N(INDEX('仕入先'!$E$5:$E$54,$R174)))+1,0)))))))</f>
        <v/>
      </c>
      <c r="I174" s="26" t="n"/>
      <c r="J174" s="29">
        <f>IF($B174="","",IF(ISNUMBER($I174),$I174,$H174))</f>
        <v/>
      </c>
      <c r="K174" s="26" t="n"/>
      <c r="L174" s="27" t="n"/>
      <c r="M174" s="27" t="n"/>
      <c r="N174" s="28">
        <f>IF($B174="","",N($G174)-N($L174)-N($M174))</f>
        <v/>
      </c>
      <c r="O174" s="30">
        <f>IF($B174="","",IF(AND(OR(N($L174)&lt;&gt;0,N($M174)&lt;&gt;0),NOT(ISNUMBER($K174))),"支払日なし",IF($N174=0,IF(N($G174)=0,"請求額0","支払済"),IF($N174&lt;0,"払いすぎ",IF(N($L174)+N($M174)=0,"未払","一部支払")))))</f>
        <v/>
      </c>
      <c r="P174" s="30">
        <f>IF(OR($B174="",N($N174)&lt;=0,NOT(ISNUMBER($J174))),"",IF($J174&lt;'設定'!$B$7,"期日超過 "&amp;('設定'!$B$7-$J174)&amp;"日",IF($J174='設定'!$B$7,"今日","あと "&amp;($J174-'設定'!$B$7)&amp;"日")))</f>
        <v/>
      </c>
      <c r="Q174" s="56" t="n"/>
      <c r="R174" s="32">
        <f>IF($B174="","",IFERROR(MATCH($B174,'仕入先'!$B$5:$B$54,0),"なし"))</f>
        <v/>
      </c>
      <c r="S174" s="33">
        <f>IF($B174="","",IF(ISNUMBER($D174),$D174,IF(ISNUMBER($A174),$A174,"")))</f>
        <v/>
      </c>
      <c r="T174" s="34">
        <f>IF(OR($B174="",N($N174)&lt;=0),"",IF(ISNUMBER($J174),$J174,99999)+ROW()/1000000)</f>
        <v/>
      </c>
      <c r="U174" s="35">
        <f>IF(OR($B174="",$B174&lt;&gt;'買掛帳'!$B$3,NOT(ISNUMBER($S174))),"",IF(AND($S174&gt;='買掛帳'!$Q$3,$S174&lt;='買掛帳'!$Q$4),$S174+ROW()/10000000,""))</f>
        <v/>
      </c>
      <c r="V174" s="35">
        <f>IF(OR($B174="",$B174&lt;&gt;'買掛帳'!$B$3,NOT(ISNUMBER($K174)),N($L174)+N($M174)=0),"",IF(AND($K174&gt;='買掛帳'!$Q$3,$K174&lt;='買掛帳'!$Q$4),$K174+0.5+ROW()/10000000,""))</f>
        <v/>
      </c>
    </row>
    <row r="175" ht="18" customHeight="1">
      <c r="A175" s="26" t="n"/>
      <c r="B175" s="18" t="n"/>
      <c r="C175" s="20">
        <f>IF($B175="","",IF($R175="なし","※仕入先にないコード",INDEX('仕入先'!$C$5:$C$54,$R175)&amp;""))</f>
        <v/>
      </c>
      <c r="D175" s="26" t="n"/>
      <c r="E175" s="18" t="n"/>
      <c r="F175" s="19" t="n"/>
      <c r="G175" s="27" t="n"/>
      <c r="H175" s="29">
        <f>IF(OR($B175="",NOT(ISNUMBER($R175)),NOT(ISNUMBER($S175))),"",IF(OR(INDEX('仕入先'!$D$5:$D$54,$R175)="",INDEX('仕入先'!$E$5:$E$54,$R175)="",INDEX('仕入先'!$F$5:$F$54,$R175)=""),"",IF(INDEX('仕入先'!$F$5:$F$54,$R175)="末",DATE(YEAR($S175),(MONTH($S175)+IF(INDEX('仕入先'!$D$5:$D$54,$R175)="末",0,IF(DAY($S175)&lt;=INDEX('仕入先'!$D$5:$D$54,$R175),0,1))+N(INDEX('仕入先'!$E$5:$E$54,$R175)))+1,0),DATE(YEAR($S175),(MONTH($S175)+IF(INDEX('仕入先'!$D$5:$D$54,$R175)="末",0,IF(DAY($S175)&lt;=INDEX('仕入先'!$D$5:$D$54,$R175),0,1))+N(INDEX('仕入先'!$E$5:$E$54,$R175))),MIN(INDEX('仕入先'!$F$5:$F$54,$R175),DAY(DATE(YEAR($S175),(MONTH($S175)+IF(INDEX('仕入先'!$D$5:$D$54,$R175)="末",0,IF(DAY($S175)&lt;=INDEX('仕入先'!$D$5:$D$54,$R175),0,1))+N(INDEX('仕入先'!$E$5:$E$54,$R175)))+1,0)))))))</f>
        <v/>
      </c>
      <c r="I175" s="26" t="n"/>
      <c r="J175" s="29">
        <f>IF($B175="","",IF(ISNUMBER($I175),$I175,$H175))</f>
        <v/>
      </c>
      <c r="K175" s="26" t="n"/>
      <c r="L175" s="27" t="n"/>
      <c r="M175" s="27" t="n"/>
      <c r="N175" s="28">
        <f>IF($B175="","",N($G175)-N($L175)-N($M175))</f>
        <v/>
      </c>
      <c r="O175" s="30">
        <f>IF($B175="","",IF(AND(OR(N($L175)&lt;&gt;0,N($M175)&lt;&gt;0),NOT(ISNUMBER($K175))),"支払日なし",IF($N175=0,IF(N($G175)=0,"請求額0","支払済"),IF($N175&lt;0,"払いすぎ",IF(N($L175)+N($M175)=0,"未払","一部支払")))))</f>
        <v/>
      </c>
      <c r="P175" s="30">
        <f>IF(OR($B175="",N($N175)&lt;=0,NOT(ISNUMBER($J175))),"",IF($J175&lt;'設定'!$B$7,"期日超過 "&amp;('設定'!$B$7-$J175)&amp;"日",IF($J175='設定'!$B$7,"今日","あと "&amp;($J175-'設定'!$B$7)&amp;"日")))</f>
        <v/>
      </c>
      <c r="Q175" s="56" t="n"/>
      <c r="R175" s="32">
        <f>IF($B175="","",IFERROR(MATCH($B175,'仕入先'!$B$5:$B$54,0),"なし"))</f>
        <v/>
      </c>
      <c r="S175" s="33">
        <f>IF($B175="","",IF(ISNUMBER($D175),$D175,IF(ISNUMBER($A175),$A175,"")))</f>
        <v/>
      </c>
      <c r="T175" s="34">
        <f>IF(OR($B175="",N($N175)&lt;=0),"",IF(ISNUMBER($J175),$J175,99999)+ROW()/1000000)</f>
        <v/>
      </c>
      <c r="U175" s="35">
        <f>IF(OR($B175="",$B175&lt;&gt;'買掛帳'!$B$3,NOT(ISNUMBER($S175))),"",IF(AND($S175&gt;='買掛帳'!$Q$3,$S175&lt;='買掛帳'!$Q$4),$S175+ROW()/10000000,""))</f>
        <v/>
      </c>
      <c r="V175" s="35">
        <f>IF(OR($B175="",$B175&lt;&gt;'買掛帳'!$B$3,NOT(ISNUMBER($K175)),N($L175)+N($M175)=0),"",IF(AND($K175&gt;='買掛帳'!$Q$3,$K175&lt;='買掛帳'!$Q$4),$K175+0.5+ROW()/10000000,""))</f>
        <v/>
      </c>
    </row>
    <row r="176" ht="18" customHeight="1">
      <c r="A176" s="26" t="n"/>
      <c r="B176" s="18" t="n"/>
      <c r="C176" s="20">
        <f>IF($B176="","",IF($R176="なし","※仕入先にないコード",INDEX('仕入先'!$C$5:$C$54,$R176)&amp;""))</f>
        <v/>
      </c>
      <c r="D176" s="26" t="n"/>
      <c r="E176" s="18" t="n"/>
      <c r="F176" s="19" t="n"/>
      <c r="G176" s="27" t="n"/>
      <c r="H176" s="29">
        <f>IF(OR($B176="",NOT(ISNUMBER($R176)),NOT(ISNUMBER($S176))),"",IF(OR(INDEX('仕入先'!$D$5:$D$54,$R176)="",INDEX('仕入先'!$E$5:$E$54,$R176)="",INDEX('仕入先'!$F$5:$F$54,$R176)=""),"",IF(INDEX('仕入先'!$F$5:$F$54,$R176)="末",DATE(YEAR($S176),(MONTH($S176)+IF(INDEX('仕入先'!$D$5:$D$54,$R176)="末",0,IF(DAY($S176)&lt;=INDEX('仕入先'!$D$5:$D$54,$R176),0,1))+N(INDEX('仕入先'!$E$5:$E$54,$R176)))+1,0),DATE(YEAR($S176),(MONTH($S176)+IF(INDEX('仕入先'!$D$5:$D$54,$R176)="末",0,IF(DAY($S176)&lt;=INDEX('仕入先'!$D$5:$D$54,$R176),0,1))+N(INDEX('仕入先'!$E$5:$E$54,$R176))),MIN(INDEX('仕入先'!$F$5:$F$54,$R176),DAY(DATE(YEAR($S176),(MONTH($S176)+IF(INDEX('仕入先'!$D$5:$D$54,$R176)="末",0,IF(DAY($S176)&lt;=INDEX('仕入先'!$D$5:$D$54,$R176),0,1))+N(INDEX('仕入先'!$E$5:$E$54,$R176)))+1,0)))))))</f>
        <v/>
      </c>
      <c r="I176" s="26" t="n"/>
      <c r="J176" s="29">
        <f>IF($B176="","",IF(ISNUMBER($I176),$I176,$H176))</f>
        <v/>
      </c>
      <c r="K176" s="26" t="n"/>
      <c r="L176" s="27" t="n"/>
      <c r="M176" s="27" t="n"/>
      <c r="N176" s="28">
        <f>IF($B176="","",N($G176)-N($L176)-N($M176))</f>
        <v/>
      </c>
      <c r="O176" s="30">
        <f>IF($B176="","",IF(AND(OR(N($L176)&lt;&gt;0,N($M176)&lt;&gt;0),NOT(ISNUMBER($K176))),"支払日なし",IF($N176=0,IF(N($G176)=0,"請求額0","支払済"),IF($N176&lt;0,"払いすぎ",IF(N($L176)+N($M176)=0,"未払","一部支払")))))</f>
        <v/>
      </c>
      <c r="P176" s="30">
        <f>IF(OR($B176="",N($N176)&lt;=0,NOT(ISNUMBER($J176))),"",IF($J176&lt;'設定'!$B$7,"期日超過 "&amp;('設定'!$B$7-$J176)&amp;"日",IF($J176='設定'!$B$7,"今日","あと "&amp;($J176-'設定'!$B$7)&amp;"日")))</f>
        <v/>
      </c>
      <c r="Q176" s="56" t="n"/>
      <c r="R176" s="32">
        <f>IF($B176="","",IFERROR(MATCH($B176,'仕入先'!$B$5:$B$54,0),"なし"))</f>
        <v/>
      </c>
      <c r="S176" s="33">
        <f>IF($B176="","",IF(ISNUMBER($D176),$D176,IF(ISNUMBER($A176),$A176,"")))</f>
        <v/>
      </c>
      <c r="T176" s="34">
        <f>IF(OR($B176="",N($N176)&lt;=0),"",IF(ISNUMBER($J176),$J176,99999)+ROW()/1000000)</f>
        <v/>
      </c>
      <c r="U176" s="35">
        <f>IF(OR($B176="",$B176&lt;&gt;'買掛帳'!$B$3,NOT(ISNUMBER($S176))),"",IF(AND($S176&gt;='買掛帳'!$Q$3,$S176&lt;='買掛帳'!$Q$4),$S176+ROW()/10000000,""))</f>
        <v/>
      </c>
      <c r="V176" s="35">
        <f>IF(OR($B176="",$B176&lt;&gt;'買掛帳'!$B$3,NOT(ISNUMBER($K176)),N($L176)+N($M176)=0),"",IF(AND($K176&gt;='買掛帳'!$Q$3,$K176&lt;='買掛帳'!$Q$4),$K176+0.5+ROW()/10000000,""))</f>
        <v/>
      </c>
    </row>
    <row r="177" ht="18" customHeight="1">
      <c r="A177" s="26" t="n"/>
      <c r="B177" s="18" t="n"/>
      <c r="C177" s="20">
        <f>IF($B177="","",IF($R177="なし","※仕入先にないコード",INDEX('仕入先'!$C$5:$C$54,$R177)&amp;""))</f>
        <v/>
      </c>
      <c r="D177" s="26" t="n"/>
      <c r="E177" s="18" t="n"/>
      <c r="F177" s="19" t="n"/>
      <c r="G177" s="27" t="n"/>
      <c r="H177" s="29">
        <f>IF(OR($B177="",NOT(ISNUMBER($R177)),NOT(ISNUMBER($S177))),"",IF(OR(INDEX('仕入先'!$D$5:$D$54,$R177)="",INDEX('仕入先'!$E$5:$E$54,$R177)="",INDEX('仕入先'!$F$5:$F$54,$R177)=""),"",IF(INDEX('仕入先'!$F$5:$F$54,$R177)="末",DATE(YEAR($S177),(MONTH($S177)+IF(INDEX('仕入先'!$D$5:$D$54,$R177)="末",0,IF(DAY($S177)&lt;=INDEX('仕入先'!$D$5:$D$54,$R177),0,1))+N(INDEX('仕入先'!$E$5:$E$54,$R177)))+1,0),DATE(YEAR($S177),(MONTH($S177)+IF(INDEX('仕入先'!$D$5:$D$54,$R177)="末",0,IF(DAY($S177)&lt;=INDEX('仕入先'!$D$5:$D$54,$R177),0,1))+N(INDEX('仕入先'!$E$5:$E$54,$R177))),MIN(INDEX('仕入先'!$F$5:$F$54,$R177),DAY(DATE(YEAR($S177),(MONTH($S177)+IF(INDEX('仕入先'!$D$5:$D$54,$R177)="末",0,IF(DAY($S177)&lt;=INDEX('仕入先'!$D$5:$D$54,$R177),0,1))+N(INDEX('仕入先'!$E$5:$E$54,$R177)))+1,0)))))))</f>
        <v/>
      </c>
      <c r="I177" s="26" t="n"/>
      <c r="J177" s="29">
        <f>IF($B177="","",IF(ISNUMBER($I177),$I177,$H177))</f>
        <v/>
      </c>
      <c r="K177" s="26" t="n"/>
      <c r="L177" s="27" t="n"/>
      <c r="M177" s="27" t="n"/>
      <c r="N177" s="28">
        <f>IF($B177="","",N($G177)-N($L177)-N($M177))</f>
        <v/>
      </c>
      <c r="O177" s="30">
        <f>IF($B177="","",IF(AND(OR(N($L177)&lt;&gt;0,N($M177)&lt;&gt;0),NOT(ISNUMBER($K177))),"支払日なし",IF($N177=0,IF(N($G177)=0,"請求額0","支払済"),IF($N177&lt;0,"払いすぎ",IF(N($L177)+N($M177)=0,"未払","一部支払")))))</f>
        <v/>
      </c>
      <c r="P177" s="30">
        <f>IF(OR($B177="",N($N177)&lt;=0,NOT(ISNUMBER($J177))),"",IF($J177&lt;'設定'!$B$7,"期日超過 "&amp;('設定'!$B$7-$J177)&amp;"日",IF($J177='設定'!$B$7,"今日","あと "&amp;($J177-'設定'!$B$7)&amp;"日")))</f>
        <v/>
      </c>
      <c r="Q177" s="56" t="n"/>
      <c r="R177" s="32">
        <f>IF($B177="","",IFERROR(MATCH($B177,'仕入先'!$B$5:$B$54,0),"なし"))</f>
        <v/>
      </c>
      <c r="S177" s="33">
        <f>IF($B177="","",IF(ISNUMBER($D177),$D177,IF(ISNUMBER($A177),$A177,"")))</f>
        <v/>
      </c>
      <c r="T177" s="34">
        <f>IF(OR($B177="",N($N177)&lt;=0),"",IF(ISNUMBER($J177),$J177,99999)+ROW()/1000000)</f>
        <v/>
      </c>
      <c r="U177" s="35">
        <f>IF(OR($B177="",$B177&lt;&gt;'買掛帳'!$B$3,NOT(ISNUMBER($S177))),"",IF(AND($S177&gt;='買掛帳'!$Q$3,$S177&lt;='買掛帳'!$Q$4),$S177+ROW()/10000000,""))</f>
        <v/>
      </c>
      <c r="V177" s="35">
        <f>IF(OR($B177="",$B177&lt;&gt;'買掛帳'!$B$3,NOT(ISNUMBER($K177)),N($L177)+N($M177)=0),"",IF(AND($K177&gt;='買掛帳'!$Q$3,$K177&lt;='買掛帳'!$Q$4),$K177+0.5+ROW()/10000000,""))</f>
        <v/>
      </c>
    </row>
    <row r="178" ht="18" customHeight="1">
      <c r="A178" s="26" t="n"/>
      <c r="B178" s="18" t="n"/>
      <c r="C178" s="20">
        <f>IF($B178="","",IF($R178="なし","※仕入先にないコード",INDEX('仕入先'!$C$5:$C$54,$R178)&amp;""))</f>
        <v/>
      </c>
      <c r="D178" s="26" t="n"/>
      <c r="E178" s="18" t="n"/>
      <c r="F178" s="19" t="n"/>
      <c r="G178" s="27" t="n"/>
      <c r="H178" s="29">
        <f>IF(OR($B178="",NOT(ISNUMBER($R178)),NOT(ISNUMBER($S178))),"",IF(OR(INDEX('仕入先'!$D$5:$D$54,$R178)="",INDEX('仕入先'!$E$5:$E$54,$R178)="",INDEX('仕入先'!$F$5:$F$54,$R178)=""),"",IF(INDEX('仕入先'!$F$5:$F$54,$R178)="末",DATE(YEAR($S178),(MONTH($S178)+IF(INDEX('仕入先'!$D$5:$D$54,$R178)="末",0,IF(DAY($S178)&lt;=INDEX('仕入先'!$D$5:$D$54,$R178),0,1))+N(INDEX('仕入先'!$E$5:$E$54,$R178)))+1,0),DATE(YEAR($S178),(MONTH($S178)+IF(INDEX('仕入先'!$D$5:$D$54,$R178)="末",0,IF(DAY($S178)&lt;=INDEX('仕入先'!$D$5:$D$54,$R178),0,1))+N(INDEX('仕入先'!$E$5:$E$54,$R178))),MIN(INDEX('仕入先'!$F$5:$F$54,$R178),DAY(DATE(YEAR($S178),(MONTH($S178)+IF(INDEX('仕入先'!$D$5:$D$54,$R178)="末",0,IF(DAY($S178)&lt;=INDEX('仕入先'!$D$5:$D$54,$R178),0,1))+N(INDEX('仕入先'!$E$5:$E$54,$R178)))+1,0)))))))</f>
        <v/>
      </c>
      <c r="I178" s="26" t="n"/>
      <c r="J178" s="29">
        <f>IF($B178="","",IF(ISNUMBER($I178),$I178,$H178))</f>
        <v/>
      </c>
      <c r="K178" s="26" t="n"/>
      <c r="L178" s="27" t="n"/>
      <c r="M178" s="27" t="n"/>
      <c r="N178" s="28">
        <f>IF($B178="","",N($G178)-N($L178)-N($M178))</f>
        <v/>
      </c>
      <c r="O178" s="30">
        <f>IF($B178="","",IF(AND(OR(N($L178)&lt;&gt;0,N($M178)&lt;&gt;0),NOT(ISNUMBER($K178))),"支払日なし",IF($N178=0,IF(N($G178)=0,"請求額0","支払済"),IF($N178&lt;0,"払いすぎ",IF(N($L178)+N($M178)=0,"未払","一部支払")))))</f>
        <v/>
      </c>
      <c r="P178" s="30">
        <f>IF(OR($B178="",N($N178)&lt;=0,NOT(ISNUMBER($J178))),"",IF($J178&lt;'設定'!$B$7,"期日超過 "&amp;('設定'!$B$7-$J178)&amp;"日",IF($J178='設定'!$B$7,"今日","あと "&amp;($J178-'設定'!$B$7)&amp;"日")))</f>
        <v/>
      </c>
      <c r="Q178" s="56" t="n"/>
      <c r="R178" s="32">
        <f>IF($B178="","",IFERROR(MATCH($B178,'仕入先'!$B$5:$B$54,0),"なし"))</f>
        <v/>
      </c>
      <c r="S178" s="33">
        <f>IF($B178="","",IF(ISNUMBER($D178),$D178,IF(ISNUMBER($A178),$A178,"")))</f>
        <v/>
      </c>
      <c r="T178" s="34">
        <f>IF(OR($B178="",N($N178)&lt;=0),"",IF(ISNUMBER($J178),$J178,99999)+ROW()/1000000)</f>
        <v/>
      </c>
      <c r="U178" s="35">
        <f>IF(OR($B178="",$B178&lt;&gt;'買掛帳'!$B$3,NOT(ISNUMBER($S178))),"",IF(AND($S178&gt;='買掛帳'!$Q$3,$S178&lt;='買掛帳'!$Q$4),$S178+ROW()/10000000,""))</f>
        <v/>
      </c>
      <c r="V178" s="35">
        <f>IF(OR($B178="",$B178&lt;&gt;'買掛帳'!$B$3,NOT(ISNUMBER($K178)),N($L178)+N($M178)=0),"",IF(AND($K178&gt;='買掛帳'!$Q$3,$K178&lt;='買掛帳'!$Q$4),$K178+0.5+ROW()/10000000,""))</f>
        <v/>
      </c>
    </row>
    <row r="179" ht="18" customHeight="1">
      <c r="A179" s="26" t="n"/>
      <c r="B179" s="18" t="n"/>
      <c r="C179" s="20">
        <f>IF($B179="","",IF($R179="なし","※仕入先にないコード",INDEX('仕入先'!$C$5:$C$54,$R179)&amp;""))</f>
        <v/>
      </c>
      <c r="D179" s="26" t="n"/>
      <c r="E179" s="18" t="n"/>
      <c r="F179" s="19" t="n"/>
      <c r="G179" s="27" t="n"/>
      <c r="H179" s="29">
        <f>IF(OR($B179="",NOT(ISNUMBER($R179)),NOT(ISNUMBER($S179))),"",IF(OR(INDEX('仕入先'!$D$5:$D$54,$R179)="",INDEX('仕入先'!$E$5:$E$54,$R179)="",INDEX('仕入先'!$F$5:$F$54,$R179)=""),"",IF(INDEX('仕入先'!$F$5:$F$54,$R179)="末",DATE(YEAR($S179),(MONTH($S179)+IF(INDEX('仕入先'!$D$5:$D$54,$R179)="末",0,IF(DAY($S179)&lt;=INDEX('仕入先'!$D$5:$D$54,$R179),0,1))+N(INDEX('仕入先'!$E$5:$E$54,$R179)))+1,0),DATE(YEAR($S179),(MONTH($S179)+IF(INDEX('仕入先'!$D$5:$D$54,$R179)="末",0,IF(DAY($S179)&lt;=INDEX('仕入先'!$D$5:$D$54,$R179),0,1))+N(INDEX('仕入先'!$E$5:$E$54,$R179))),MIN(INDEX('仕入先'!$F$5:$F$54,$R179),DAY(DATE(YEAR($S179),(MONTH($S179)+IF(INDEX('仕入先'!$D$5:$D$54,$R179)="末",0,IF(DAY($S179)&lt;=INDEX('仕入先'!$D$5:$D$54,$R179),0,1))+N(INDEX('仕入先'!$E$5:$E$54,$R179)))+1,0)))))))</f>
        <v/>
      </c>
      <c r="I179" s="26" t="n"/>
      <c r="J179" s="29">
        <f>IF($B179="","",IF(ISNUMBER($I179),$I179,$H179))</f>
        <v/>
      </c>
      <c r="K179" s="26" t="n"/>
      <c r="L179" s="27" t="n"/>
      <c r="M179" s="27" t="n"/>
      <c r="N179" s="28">
        <f>IF($B179="","",N($G179)-N($L179)-N($M179))</f>
        <v/>
      </c>
      <c r="O179" s="30">
        <f>IF($B179="","",IF(AND(OR(N($L179)&lt;&gt;0,N($M179)&lt;&gt;0),NOT(ISNUMBER($K179))),"支払日なし",IF($N179=0,IF(N($G179)=0,"請求額0","支払済"),IF($N179&lt;0,"払いすぎ",IF(N($L179)+N($M179)=0,"未払","一部支払")))))</f>
        <v/>
      </c>
      <c r="P179" s="30">
        <f>IF(OR($B179="",N($N179)&lt;=0,NOT(ISNUMBER($J179))),"",IF($J179&lt;'設定'!$B$7,"期日超過 "&amp;('設定'!$B$7-$J179)&amp;"日",IF($J179='設定'!$B$7,"今日","あと "&amp;($J179-'設定'!$B$7)&amp;"日")))</f>
        <v/>
      </c>
      <c r="Q179" s="56" t="n"/>
      <c r="R179" s="32">
        <f>IF($B179="","",IFERROR(MATCH($B179,'仕入先'!$B$5:$B$54,0),"なし"))</f>
        <v/>
      </c>
      <c r="S179" s="33">
        <f>IF($B179="","",IF(ISNUMBER($D179),$D179,IF(ISNUMBER($A179),$A179,"")))</f>
        <v/>
      </c>
      <c r="T179" s="34">
        <f>IF(OR($B179="",N($N179)&lt;=0),"",IF(ISNUMBER($J179),$J179,99999)+ROW()/1000000)</f>
        <v/>
      </c>
      <c r="U179" s="35">
        <f>IF(OR($B179="",$B179&lt;&gt;'買掛帳'!$B$3,NOT(ISNUMBER($S179))),"",IF(AND($S179&gt;='買掛帳'!$Q$3,$S179&lt;='買掛帳'!$Q$4),$S179+ROW()/10000000,""))</f>
        <v/>
      </c>
      <c r="V179" s="35">
        <f>IF(OR($B179="",$B179&lt;&gt;'買掛帳'!$B$3,NOT(ISNUMBER($K179)),N($L179)+N($M179)=0),"",IF(AND($K179&gt;='買掛帳'!$Q$3,$K179&lt;='買掛帳'!$Q$4),$K179+0.5+ROW()/10000000,""))</f>
        <v/>
      </c>
    </row>
    <row r="180" ht="18" customHeight="1">
      <c r="A180" s="26" t="n"/>
      <c r="B180" s="18" t="n"/>
      <c r="C180" s="20">
        <f>IF($B180="","",IF($R180="なし","※仕入先にないコード",INDEX('仕入先'!$C$5:$C$54,$R180)&amp;""))</f>
        <v/>
      </c>
      <c r="D180" s="26" t="n"/>
      <c r="E180" s="18" t="n"/>
      <c r="F180" s="19" t="n"/>
      <c r="G180" s="27" t="n"/>
      <c r="H180" s="29">
        <f>IF(OR($B180="",NOT(ISNUMBER($R180)),NOT(ISNUMBER($S180))),"",IF(OR(INDEX('仕入先'!$D$5:$D$54,$R180)="",INDEX('仕入先'!$E$5:$E$54,$R180)="",INDEX('仕入先'!$F$5:$F$54,$R180)=""),"",IF(INDEX('仕入先'!$F$5:$F$54,$R180)="末",DATE(YEAR($S180),(MONTH($S180)+IF(INDEX('仕入先'!$D$5:$D$54,$R180)="末",0,IF(DAY($S180)&lt;=INDEX('仕入先'!$D$5:$D$54,$R180),0,1))+N(INDEX('仕入先'!$E$5:$E$54,$R180)))+1,0),DATE(YEAR($S180),(MONTH($S180)+IF(INDEX('仕入先'!$D$5:$D$54,$R180)="末",0,IF(DAY($S180)&lt;=INDEX('仕入先'!$D$5:$D$54,$R180),0,1))+N(INDEX('仕入先'!$E$5:$E$54,$R180))),MIN(INDEX('仕入先'!$F$5:$F$54,$R180),DAY(DATE(YEAR($S180),(MONTH($S180)+IF(INDEX('仕入先'!$D$5:$D$54,$R180)="末",0,IF(DAY($S180)&lt;=INDEX('仕入先'!$D$5:$D$54,$R180),0,1))+N(INDEX('仕入先'!$E$5:$E$54,$R180)))+1,0)))))))</f>
        <v/>
      </c>
      <c r="I180" s="26" t="n"/>
      <c r="J180" s="29">
        <f>IF($B180="","",IF(ISNUMBER($I180),$I180,$H180))</f>
        <v/>
      </c>
      <c r="K180" s="26" t="n"/>
      <c r="L180" s="27" t="n"/>
      <c r="M180" s="27" t="n"/>
      <c r="N180" s="28">
        <f>IF($B180="","",N($G180)-N($L180)-N($M180))</f>
        <v/>
      </c>
      <c r="O180" s="30">
        <f>IF($B180="","",IF(AND(OR(N($L180)&lt;&gt;0,N($M180)&lt;&gt;0),NOT(ISNUMBER($K180))),"支払日なし",IF($N180=0,IF(N($G180)=0,"請求額0","支払済"),IF($N180&lt;0,"払いすぎ",IF(N($L180)+N($M180)=0,"未払","一部支払")))))</f>
        <v/>
      </c>
      <c r="P180" s="30">
        <f>IF(OR($B180="",N($N180)&lt;=0,NOT(ISNUMBER($J180))),"",IF($J180&lt;'設定'!$B$7,"期日超過 "&amp;('設定'!$B$7-$J180)&amp;"日",IF($J180='設定'!$B$7,"今日","あと "&amp;($J180-'設定'!$B$7)&amp;"日")))</f>
        <v/>
      </c>
      <c r="Q180" s="56" t="n"/>
      <c r="R180" s="32">
        <f>IF($B180="","",IFERROR(MATCH($B180,'仕入先'!$B$5:$B$54,0),"なし"))</f>
        <v/>
      </c>
      <c r="S180" s="33">
        <f>IF($B180="","",IF(ISNUMBER($D180),$D180,IF(ISNUMBER($A180),$A180,"")))</f>
        <v/>
      </c>
      <c r="T180" s="34">
        <f>IF(OR($B180="",N($N180)&lt;=0),"",IF(ISNUMBER($J180),$J180,99999)+ROW()/1000000)</f>
        <v/>
      </c>
      <c r="U180" s="35">
        <f>IF(OR($B180="",$B180&lt;&gt;'買掛帳'!$B$3,NOT(ISNUMBER($S180))),"",IF(AND($S180&gt;='買掛帳'!$Q$3,$S180&lt;='買掛帳'!$Q$4),$S180+ROW()/10000000,""))</f>
        <v/>
      </c>
      <c r="V180" s="35">
        <f>IF(OR($B180="",$B180&lt;&gt;'買掛帳'!$B$3,NOT(ISNUMBER($K180)),N($L180)+N($M180)=0),"",IF(AND($K180&gt;='買掛帳'!$Q$3,$K180&lt;='買掛帳'!$Q$4),$K180+0.5+ROW()/10000000,""))</f>
        <v/>
      </c>
    </row>
    <row r="181" ht="18" customHeight="1">
      <c r="A181" s="26" t="n"/>
      <c r="B181" s="18" t="n"/>
      <c r="C181" s="20">
        <f>IF($B181="","",IF($R181="なし","※仕入先にないコード",INDEX('仕入先'!$C$5:$C$54,$R181)&amp;""))</f>
        <v/>
      </c>
      <c r="D181" s="26" t="n"/>
      <c r="E181" s="18" t="n"/>
      <c r="F181" s="19" t="n"/>
      <c r="G181" s="27" t="n"/>
      <c r="H181" s="29">
        <f>IF(OR($B181="",NOT(ISNUMBER($R181)),NOT(ISNUMBER($S181))),"",IF(OR(INDEX('仕入先'!$D$5:$D$54,$R181)="",INDEX('仕入先'!$E$5:$E$54,$R181)="",INDEX('仕入先'!$F$5:$F$54,$R181)=""),"",IF(INDEX('仕入先'!$F$5:$F$54,$R181)="末",DATE(YEAR($S181),(MONTH($S181)+IF(INDEX('仕入先'!$D$5:$D$54,$R181)="末",0,IF(DAY($S181)&lt;=INDEX('仕入先'!$D$5:$D$54,$R181),0,1))+N(INDEX('仕入先'!$E$5:$E$54,$R181)))+1,0),DATE(YEAR($S181),(MONTH($S181)+IF(INDEX('仕入先'!$D$5:$D$54,$R181)="末",0,IF(DAY($S181)&lt;=INDEX('仕入先'!$D$5:$D$54,$R181),0,1))+N(INDEX('仕入先'!$E$5:$E$54,$R181))),MIN(INDEX('仕入先'!$F$5:$F$54,$R181),DAY(DATE(YEAR($S181),(MONTH($S181)+IF(INDEX('仕入先'!$D$5:$D$54,$R181)="末",0,IF(DAY($S181)&lt;=INDEX('仕入先'!$D$5:$D$54,$R181),0,1))+N(INDEX('仕入先'!$E$5:$E$54,$R181)))+1,0)))))))</f>
        <v/>
      </c>
      <c r="I181" s="26" t="n"/>
      <c r="J181" s="29">
        <f>IF($B181="","",IF(ISNUMBER($I181),$I181,$H181))</f>
        <v/>
      </c>
      <c r="K181" s="26" t="n"/>
      <c r="L181" s="27" t="n"/>
      <c r="M181" s="27" t="n"/>
      <c r="N181" s="28">
        <f>IF($B181="","",N($G181)-N($L181)-N($M181))</f>
        <v/>
      </c>
      <c r="O181" s="30">
        <f>IF($B181="","",IF(AND(OR(N($L181)&lt;&gt;0,N($M181)&lt;&gt;0),NOT(ISNUMBER($K181))),"支払日なし",IF($N181=0,IF(N($G181)=0,"請求額0","支払済"),IF($N181&lt;0,"払いすぎ",IF(N($L181)+N($M181)=0,"未払","一部支払")))))</f>
        <v/>
      </c>
      <c r="P181" s="30">
        <f>IF(OR($B181="",N($N181)&lt;=0,NOT(ISNUMBER($J181))),"",IF($J181&lt;'設定'!$B$7,"期日超過 "&amp;('設定'!$B$7-$J181)&amp;"日",IF($J181='設定'!$B$7,"今日","あと "&amp;($J181-'設定'!$B$7)&amp;"日")))</f>
        <v/>
      </c>
      <c r="Q181" s="56" t="n"/>
      <c r="R181" s="32">
        <f>IF($B181="","",IFERROR(MATCH($B181,'仕入先'!$B$5:$B$54,0),"なし"))</f>
        <v/>
      </c>
      <c r="S181" s="33">
        <f>IF($B181="","",IF(ISNUMBER($D181),$D181,IF(ISNUMBER($A181),$A181,"")))</f>
        <v/>
      </c>
      <c r="T181" s="34">
        <f>IF(OR($B181="",N($N181)&lt;=0),"",IF(ISNUMBER($J181),$J181,99999)+ROW()/1000000)</f>
        <v/>
      </c>
      <c r="U181" s="35">
        <f>IF(OR($B181="",$B181&lt;&gt;'買掛帳'!$B$3,NOT(ISNUMBER($S181))),"",IF(AND($S181&gt;='買掛帳'!$Q$3,$S181&lt;='買掛帳'!$Q$4),$S181+ROW()/10000000,""))</f>
        <v/>
      </c>
      <c r="V181" s="35">
        <f>IF(OR($B181="",$B181&lt;&gt;'買掛帳'!$B$3,NOT(ISNUMBER($K181)),N($L181)+N($M181)=0),"",IF(AND($K181&gt;='買掛帳'!$Q$3,$K181&lt;='買掛帳'!$Q$4),$K181+0.5+ROW()/10000000,""))</f>
        <v/>
      </c>
    </row>
    <row r="182" ht="18" customHeight="1">
      <c r="A182" s="26" t="n"/>
      <c r="B182" s="18" t="n"/>
      <c r="C182" s="20">
        <f>IF($B182="","",IF($R182="なし","※仕入先にないコード",INDEX('仕入先'!$C$5:$C$54,$R182)&amp;""))</f>
        <v/>
      </c>
      <c r="D182" s="26" t="n"/>
      <c r="E182" s="18" t="n"/>
      <c r="F182" s="19" t="n"/>
      <c r="G182" s="27" t="n"/>
      <c r="H182" s="29">
        <f>IF(OR($B182="",NOT(ISNUMBER($R182)),NOT(ISNUMBER($S182))),"",IF(OR(INDEX('仕入先'!$D$5:$D$54,$R182)="",INDEX('仕入先'!$E$5:$E$54,$R182)="",INDEX('仕入先'!$F$5:$F$54,$R182)=""),"",IF(INDEX('仕入先'!$F$5:$F$54,$R182)="末",DATE(YEAR($S182),(MONTH($S182)+IF(INDEX('仕入先'!$D$5:$D$54,$R182)="末",0,IF(DAY($S182)&lt;=INDEX('仕入先'!$D$5:$D$54,$R182),0,1))+N(INDEX('仕入先'!$E$5:$E$54,$R182)))+1,0),DATE(YEAR($S182),(MONTH($S182)+IF(INDEX('仕入先'!$D$5:$D$54,$R182)="末",0,IF(DAY($S182)&lt;=INDEX('仕入先'!$D$5:$D$54,$R182),0,1))+N(INDEX('仕入先'!$E$5:$E$54,$R182))),MIN(INDEX('仕入先'!$F$5:$F$54,$R182),DAY(DATE(YEAR($S182),(MONTH($S182)+IF(INDEX('仕入先'!$D$5:$D$54,$R182)="末",0,IF(DAY($S182)&lt;=INDEX('仕入先'!$D$5:$D$54,$R182),0,1))+N(INDEX('仕入先'!$E$5:$E$54,$R182)))+1,0)))))))</f>
        <v/>
      </c>
      <c r="I182" s="26" t="n"/>
      <c r="J182" s="29">
        <f>IF($B182="","",IF(ISNUMBER($I182),$I182,$H182))</f>
        <v/>
      </c>
      <c r="K182" s="26" t="n"/>
      <c r="L182" s="27" t="n"/>
      <c r="M182" s="27" t="n"/>
      <c r="N182" s="28">
        <f>IF($B182="","",N($G182)-N($L182)-N($M182))</f>
        <v/>
      </c>
      <c r="O182" s="30">
        <f>IF($B182="","",IF(AND(OR(N($L182)&lt;&gt;0,N($M182)&lt;&gt;0),NOT(ISNUMBER($K182))),"支払日なし",IF($N182=0,IF(N($G182)=0,"請求額0","支払済"),IF($N182&lt;0,"払いすぎ",IF(N($L182)+N($M182)=0,"未払","一部支払")))))</f>
        <v/>
      </c>
      <c r="P182" s="30">
        <f>IF(OR($B182="",N($N182)&lt;=0,NOT(ISNUMBER($J182))),"",IF($J182&lt;'設定'!$B$7,"期日超過 "&amp;('設定'!$B$7-$J182)&amp;"日",IF($J182='設定'!$B$7,"今日","あと "&amp;($J182-'設定'!$B$7)&amp;"日")))</f>
        <v/>
      </c>
      <c r="Q182" s="56" t="n"/>
      <c r="R182" s="32">
        <f>IF($B182="","",IFERROR(MATCH($B182,'仕入先'!$B$5:$B$54,0),"なし"))</f>
        <v/>
      </c>
      <c r="S182" s="33">
        <f>IF($B182="","",IF(ISNUMBER($D182),$D182,IF(ISNUMBER($A182),$A182,"")))</f>
        <v/>
      </c>
      <c r="T182" s="34">
        <f>IF(OR($B182="",N($N182)&lt;=0),"",IF(ISNUMBER($J182),$J182,99999)+ROW()/1000000)</f>
        <v/>
      </c>
      <c r="U182" s="35">
        <f>IF(OR($B182="",$B182&lt;&gt;'買掛帳'!$B$3,NOT(ISNUMBER($S182))),"",IF(AND($S182&gt;='買掛帳'!$Q$3,$S182&lt;='買掛帳'!$Q$4),$S182+ROW()/10000000,""))</f>
        <v/>
      </c>
      <c r="V182" s="35">
        <f>IF(OR($B182="",$B182&lt;&gt;'買掛帳'!$B$3,NOT(ISNUMBER($K182)),N($L182)+N($M182)=0),"",IF(AND($K182&gt;='買掛帳'!$Q$3,$K182&lt;='買掛帳'!$Q$4),$K182+0.5+ROW()/10000000,""))</f>
        <v/>
      </c>
    </row>
    <row r="183" ht="18" customHeight="1">
      <c r="A183" s="26" t="n"/>
      <c r="B183" s="18" t="n"/>
      <c r="C183" s="20">
        <f>IF($B183="","",IF($R183="なし","※仕入先にないコード",INDEX('仕入先'!$C$5:$C$54,$R183)&amp;""))</f>
        <v/>
      </c>
      <c r="D183" s="26" t="n"/>
      <c r="E183" s="18" t="n"/>
      <c r="F183" s="19" t="n"/>
      <c r="G183" s="27" t="n"/>
      <c r="H183" s="29">
        <f>IF(OR($B183="",NOT(ISNUMBER($R183)),NOT(ISNUMBER($S183))),"",IF(OR(INDEX('仕入先'!$D$5:$D$54,$R183)="",INDEX('仕入先'!$E$5:$E$54,$R183)="",INDEX('仕入先'!$F$5:$F$54,$R183)=""),"",IF(INDEX('仕入先'!$F$5:$F$54,$R183)="末",DATE(YEAR($S183),(MONTH($S183)+IF(INDEX('仕入先'!$D$5:$D$54,$R183)="末",0,IF(DAY($S183)&lt;=INDEX('仕入先'!$D$5:$D$54,$R183),0,1))+N(INDEX('仕入先'!$E$5:$E$54,$R183)))+1,0),DATE(YEAR($S183),(MONTH($S183)+IF(INDEX('仕入先'!$D$5:$D$54,$R183)="末",0,IF(DAY($S183)&lt;=INDEX('仕入先'!$D$5:$D$54,$R183),0,1))+N(INDEX('仕入先'!$E$5:$E$54,$R183))),MIN(INDEX('仕入先'!$F$5:$F$54,$R183),DAY(DATE(YEAR($S183),(MONTH($S183)+IF(INDEX('仕入先'!$D$5:$D$54,$R183)="末",0,IF(DAY($S183)&lt;=INDEX('仕入先'!$D$5:$D$54,$R183),0,1))+N(INDEX('仕入先'!$E$5:$E$54,$R183)))+1,0)))))))</f>
        <v/>
      </c>
      <c r="I183" s="26" t="n"/>
      <c r="J183" s="29">
        <f>IF($B183="","",IF(ISNUMBER($I183),$I183,$H183))</f>
        <v/>
      </c>
      <c r="K183" s="26" t="n"/>
      <c r="L183" s="27" t="n"/>
      <c r="M183" s="27" t="n"/>
      <c r="N183" s="28">
        <f>IF($B183="","",N($G183)-N($L183)-N($M183))</f>
        <v/>
      </c>
      <c r="O183" s="30">
        <f>IF($B183="","",IF(AND(OR(N($L183)&lt;&gt;0,N($M183)&lt;&gt;0),NOT(ISNUMBER($K183))),"支払日なし",IF($N183=0,IF(N($G183)=0,"請求額0","支払済"),IF($N183&lt;0,"払いすぎ",IF(N($L183)+N($M183)=0,"未払","一部支払")))))</f>
        <v/>
      </c>
      <c r="P183" s="30">
        <f>IF(OR($B183="",N($N183)&lt;=0,NOT(ISNUMBER($J183))),"",IF($J183&lt;'設定'!$B$7,"期日超過 "&amp;('設定'!$B$7-$J183)&amp;"日",IF($J183='設定'!$B$7,"今日","あと "&amp;($J183-'設定'!$B$7)&amp;"日")))</f>
        <v/>
      </c>
      <c r="Q183" s="56" t="n"/>
      <c r="R183" s="32">
        <f>IF($B183="","",IFERROR(MATCH($B183,'仕入先'!$B$5:$B$54,0),"なし"))</f>
        <v/>
      </c>
      <c r="S183" s="33">
        <f>IF($B183="","",IF(ISNUMBER($D183),$D183,IF(ISNUMBER($A183),$A183,"")))</f>
        <v/>
      </c>
      <c r="T183" s="34">
        <f>IF(OR($B183="",N($N183)&lt;=0),"",IF(ISNUMBER($J183),$J183,99999)+ROW()/1000000)</f>
        <v/>
      </c>
      <c r="U183" s="35">
        <f>IF(OR($B183="",$B183&lt;&gt;'買掛帳'!$B$3,NOT(ISNUMBER($S183))),"",IF(AND($S183&gt;='買掛帳'!$Q$3,$S183&lt;='買掛帳'!$Q$4),$S183+ROW()/10000000,""))</f>
        <v/>
      </c>
      <c r="V183" s="35">
        <f>IF(OR($B183="",$B183&lt;&gt;'買掛帳'!$B$3,NOT(ISNUMBER($K183)),N($L183)+N($M183)=0),"",IF(AND($K183&gt;='買掛帳'!$Q$3,$K183&lt;='買掛帳'!$Q$4),$K183+0.5+ROW()/10000000,""))</f>
        <v/>
      </c>
    </row>
    <row r="184" ht="18" customHeight="1">
      <c r="A184" s="26" t="n"/>
      <c r="B184" s="18" t="n"/>
      <c r="C184" s="20">
        <f>IF($B184="","",IF($R184="なし","※仕入先にないコード",INDEX('仕入先'!$C$5:$C$54,$R184)&amp;""))</f>
        <v/>
      </c>
      <c r="D184" s="26" t="n"/>
      <c r="E184" s="18" t="n"/>
      <c r="F184" s="19" t="n"/>
      <c r="G184" s="27" t="n"/>
      <c r="H184" s="29">
        <f>IF(OR($B184="",NOT(ISNUMBER($R184)),NOT(ISNUMBER($S184))),"",IF(OR(INDEX('仕入先'!$D$5:$D$54,$R184)="",INDEX('仕入先'!$E$5:$E$54,$R184)="",INDEX('仕入先'!$F$5:$F$54,$R184)=""),"",IF(INDEX('仕入先'!$F$5:$F$54,$R184)="末",DATE(YEAR($S184),(MONTH($S184)+IF(INDEX('仕入先'!$D$5:$D$54,$R184)="末",0,IF(DAY($S184)&lt;=INDEX('仕入先'!$D$5:$D$54,$R184),0,1))+N(INDEX('仕入先'!$E$5:$E$54,$R184)))+1,0),DATE(YEAR($S184),(MONTH($S184)+IF(INDEX('仕入先'!$D$5:$D$54,$R184)="末",0,IF(DAY($S184)&lt;=INDEX('仕入先'!$D$5:$D$54,$R184),0,1))+N(INDEX('仕入先'!$E$5:$E$54,$R184))),MIN(INDEX('仕入先'!$F$5:$F$54,$R184),DAY(DATE(YEAR($S184),(MONTH($S184)+IF(INDEX('仕入先'!$D$5:$D$54,$R184)="末",0,IF(DAY($S184)&lt;=INDEX('仕入先'!$D$5:$D$54,$R184),0,1))+N(INDEX('仕入先'!$E$5:$E$54,$R184)))+1,0)))))))</f>
        <v/>
      </c>
      <c r="I184" s="26" t="n"/>
      <c r="J184" s="29">
        <f>IF($B184="","",IF(ISNUMBER($I184),$I184,$H184))</f>
        <v/>
      </c>
      <c r="K184" s="26" t="n"/>
      <c r="L184" s="27" t="n"/>
      <c r="M184" s="27" t="n"/>
      <c r="N184" s="28">
        <f>IF($B184="","",N($G184)-N($L184)-N($M184))</f>
        <v/>
      </c>
      <c r="O184" s="30">
        <f>IF($B184="","",IF(AND(OR(N($L184)&lt;&gt;0,N($M184)&lt;&gt;0),NOT(ISNUMBER($K184))),"支払日なし",IF($N184=0,IF(N($G184)=0,"請求額0","支払済"),IF($N184&lt;0,"払いすぎ",IF(N($L184)+N($M184)=0,"未払","一部支払")))))</f>
        <v/>
      </c>
      <c r="P184" s="30">
        <f>IF(OR($B184="",N($N184)&lt;=0,NOT(ISNUMBER($J184))),"",IF($J184&lt;'設定'!$B$7,"期日超過 "&amp;('設定'!$B$7-$J184)&amp;"日",IF($J184='設定'!$B$7,"今日","あと "&amp;($J184-'設定'!$B$7)&amp;"日")))</f>
        <v/>
      </c>
      <c r="Q184" s="56" t="n"/>
      <c r="R184" s="32">
        <f>IF($B184="","",IFERROR(MATCH($B184,'仕入先'!$B$5:$B$54,0),"なし"))</f>
        <v/>
      </c>
      <c r="S184" s="33">
        <f>IF($B184="","",IF(ISNUMBER($D184),$D184,IF(ISNUMBER($A184),$A184,"")))</f>
        <v/>
      </c>
      <c r="T184" s="34">
        <f>IF(OR($B184="",N($N184)&lt;=0),"",IF(ISNUMBER($J184),$J184,99999)+ROW()/1000000)</f>
        <v/>
      </c>
      <c r="U184" s="35">
        <f>IF(OR($B184="",$B184&lt;&gt;'買掛帳'!$B$3,NOT(ISNUMBER($S184))),"",IF(AND($S184&gt;='買掛帳'!$Q$3,$S184&lt;='買掛帳'!$Q$4),$S184+ROW()/10000000,""))</f>
        <v/>
      </c>
      <c r="V184" s="35">
        <f>IF(OR($B184="",$B184&lt;&gt;'買掛帳'!$B$3,NOT(ISNUMBER($K184)),N($L184)+N($M184)=0),"",IF(AND($K184&gt;='買掛帳'!$Q$3,$K184&lt;='買掛帳'!$Q$4),$K184+0.5+ROW()/10000000,""))</f>
        <v/>
      </c>
    </row>
    <row r="185" ht="18" customHeight="1">
      <c r="A185" s="26" t="n"/>
      <c r="B185" s="18" t="n"/>
      <c r="C185" s="20">
        <f>IF($B185="","",IF($R185="なし","※仕入先にないコード",INDEX('仕入先'!$C$5:$C$54,$R185)&amp;""))</f>
        <v/>
      </c>
      <c r="D185" s="26" t="n"/>
      <c r="E185" s="18" t="n"/>
      <c r="F185" s="19" t="n"/>
      <c r="G185" s="27" t="n"/>
      <c r="H185" s="29">
        <f>IF(OR($B185="",NOT(ISNUMBER($R185)),NOT(ISNUMBER($S185))),"",IF(OR(INDEX('仕入先'!$D$5:$D$54,$R185)="",INDEX('仕入先'!$E$5:$E$54,$R185)="",INDEX('仕入先'!$F$5:$F$54,$R185)=""),"",IF(INDEX('仕入先'!$F$5:$F$54,$R185)="末",DATE(YEAR($S185),(MONTH($S185)+IF(INDEX('仕入先'!$D$5:$D$54,$R185)="末",0,IF(DAY($S185)&lt;=INDEX('仕入先'!$D$5:$D$54,$R185),0,1))+N(INDEX('仕入先'!$E$5:$E$54,$R185)))+1,0),DATE(YEAR($S185),(MONTH($S185)+IF(INDEX('仕入先'!$D$5:$D$54,$R185)="末",0,IF(DAY($S185)&lt;=INDEX('仕入先'!$D$5:$D$54,$R185),0,1))+N(INDEX('仕入先'!$E$5:$E$54,$R185))),MIN(INDEX('仕入先'!$F$5:$F$54,$R185),DAY(DATE(YEAR($S185),(MONTH($S185)+IF(INDEX('仕入先'!$D$5:$D$54,$R185)="末",0,IF(DAY($S185)&lt;=INDEX('仕入先'!$D$5:$D$54,$R185),0,1))+N(INDEX('仕入先'!$E$5:$E$54,$R185)))+1,0)))))))</f>
        <v/>
      </c>
      <c r="I185" s="26" t="n"/>
      <c r="J185" s="29">
        <f>IF($B185="","",IF(ISNUMBER($I185),$I185,$H185))</f>
        <v/>
      </c>
      <c r="K185" s="26" t="n"/>
      <c r="L185" s="27" t="n"/>
      <c r="M185" s="27" t="n"/>
      <c r="N185" s="28">
        <f>IF($B185="","",N($G185)-N($L185)-N($M185))</f>
        <v/>
      </c>
      <c r="O185" s="30">
        <f>IF($B185="","",IF(AND(OR(N($L185)&lt;&gt;0,N($M185)&lt;&gt;0),NOT(ISNUMBER($K185))),"支払日なし",IF($N185=0,IF(N($G185)=0,"請求額0","支払済"),IF($N185&lt;0,"払いすぎ",IF(N($L185)+N($M185)=0,"未払","一部支払")))))</f>
        <v/>
      </c>
      <c r="P185" s="30">
        <f>IF(OR($B185="",N($N185)&lt;=0,NOT(ISNUMBER($J185))),"",IF($J185&lt;'設定'!$B$7,"期日超過 "&amp;('設定'!$B$7-$J185)&amp;"日",IF($J185='設定'!$B$7,"今日","あと "&amp;($J185-'設定'!$B$7)&amp;"日")))</f>
        <v/>
      </c>
      <c r="Q185" s="56" t="n"/>
      <c r="R185" s="32">
        <f>IF($B185="","",IFERROR(MATCH($B185,'仕入先'!$B$5:$B$54,0),"なし"))</f>
        <v/>
      </c>
      <c r="S185" s="33">
        <f>IF($B185="","",IF(ISNUMBER($D185),$D185,IF(ISNUMBER($A185),$A185,"")))</f>
        <v/>
      </c>
      <c r="T185" s="34">
        <f>IF(OR($B185="",N($N185)&lt;=0),"",IF(ISNUMBER($J185),$J185,99999)+ROW()/1000000)</f>
        <v/>
      </c>
      <c r="U185" s="35">
        <f>IF(OR($B185="",$B185&lt;&gt;'買掛帳'!$B$3,NOT(ISNUMBER($S185))),"",IF(AND($S185&gt;='買掛帳'!$Q$3,$S185&lt;='買掛帳'!$Q$4),$S185+ROW()/10000000,""))</f>
        <v/>
      </c>
      <c r="V185" s="35">
        <f>IF(OR($B185="",$B185&lt;&gt;'買掛帳'!$B$3,NOT(ISNUMBER($K185)),N($L185)+N($M185)=0),"",IF(AND($K185&gt;='買掛帳'!$Q$3,$K185&lt;='買掛帳'!$Q$4),$K185+0.5+ROW()/10000000,""))</f>
        <v/>
      </c>
    </row>
    <row r="186" ht="18" customHeight="1">
      <c r="A186" s="26" t="n"/>
      <c r="B186" s="18" t="n"/>
      <c r="C186" s="20">
        <f>IF($B186="","",IF($R186="なし","※仕入先にないコード",INDEX('仕入先'!$C$5:$C$54,$R186)&amp;""))</f>
        <v/>
      </c>
      <c r="D186" s="26" t="n"/>
      <c r="E186" s="18" t="n"/>
      <c r="F186" s="19" t="n"/>
      <c r="G186" s="27" t="n"/>
      <c r="H186" s="29">
        <f>IF(OR($B186="",NOT(ISNUMBER($R186)),NOT(ISNUMBER($S186))),"",IF(OR(INDEX('仕入先'!$D$5:$D$54,$R186)="",INDEX('仕入先'!$E$5:$E$54,$R186)="",INDEX('仕入先'!$F$5:$F$54,$R186)=""),"",IF(INDEX('仕入先'!$F$5:$F$54,$R186)="末",DATE(YEAR($S186),(MONTH($S186)+IF(INDEX('仕入先'!$D$5:$D$54,$R186)="末",0,IF(DAY($S186)&lt;=INDEX('仕入先'!$D$5:$D$54,$R186),0,1))+N(INDEX('仕入先'!$E$5:$E$54,$R186)))+1,0),DATE(YEAR($S186),(MONTH($S186)+IF(INDEX('仕入先'!$D$5:$D$54,$R186)="末",0,IF(DAY($S186)&lt;=INDEX('仕入先'!$D$5:$D$54,$R186),0,1))+N(INDEX('仕入先'!$E$5:$E$54,$R186))),MIN(INDEX('仕入先'!$F$5:$F$54,$R186),DAY(DATE(YEAR($S186),(MONTH($S186)+IF(INDEX('仕入先'!$D$5:$D$54,$R186)="末",0,IF(DAY($S186)&lt;=INDEX('仕入先'!$D$5:$D$54,$R186),0,1))+N(INDEX('仕入先'!$E$5:$E$54,$R186)))+1,0)))))))</f>
        <v/>
      </c>
      <c r="I186" s="26" t="n"/>
      <c r="J186" s="29">
        <f>IF($B186="","",IF(ISNUMBER($I186),$I186,$H186))</f>
        <v/>
      </c>
      <c r="K186" s="26" t="n"/>
      <c r="L186" s="27" t="n"/>
      <c r="M186" s="27" t="n"/>
      <c r="N186" s="28">
        <f>IF($B186="","",N($G186)-N($L186)-N($M186))</f>
        <v/>
      </c>
      <c r="O186" s="30">
        <f>IF($B186="","",IF(AND(OR(N($L186)&lt;&gt;0,N($M186)&lt;&gt;0),NOT(ISNUMBER($K186))),"支払日なし",IF($N186=0,IF(N($G186)=0,"請求額0","支払済"),IF($N186&lt;0,"払いすぎ",IF(N($L186)+N($M186)=0,"未払","一部支払")))))</f>
        <v/>
      </c>
      <c r="P186" s="30">
        <f>IF(OR($B186="",N($N186)&lt;=0,NOT(ISNUMBER($J186))),"",IF($J186&lt;'設定'!$B$7,"期日超過 "&amp;('設定'!$B$7-$J186)&amp;"日",IF($J186='設定'!$B$7,"今日","あと "&amp;($J186-'設定'!$B$7)&amp;"日")))</f>
        <v/>
      </c>
      <c r="Q186" s="56" t="n"/>
      <c r="R186" s="32">
        <f>IF($B186="","",IFERROR(MATCH($B186,'仕入先'!$B$5:$B$54,0),"なし"))</f>
        <v/>
      </c>
      <c r="S186" s="33">
        <f>IF($B186="","",IF(ISNUMBER($D186),$D186,IF(ISNUMBER($A186),$A186,"")))</f>
        <v/>
      </c>
      <c r="T186" s="34">
        <f>IF(OR($B186="",N($N186)&lt;=0),"",IF(ISNUMBER($J186),$J186,99999)+ROW()/1000000)</f>
        <v/>
      </c>
      <c r="U186" s="35">
        <f>IF(OR($B186="",$B186&lt;&gt;'買掛帳'!$B$3,NOT(ISNUMBER($S186))),"",IF(AND($S186&gt;='買掛帳'!$Q$3,$S186&lt;='買掛帳'!$Q$4),$S186+ROW()/10000000,""))</f>
        <v/>
      </c>
      <c r="V186" s="35">
        <f>IF(OR($B186="",$B186&lt;&gt;'買掛帳'!$B$3,NOT(ISNUMBER($K186)),N($L186)+N($M186)=0),"",IF(AND($K186&gt;='買掛帳'!$Q$3,$K186&lt;='買掛帳'!$Q$4),$K186+0.5+ROW()/10000000,""))</f>
        <v/>
      </c>
    </row>
    <row r="187" ht="18" customHeight="1">
      <c r="A187" s="26" t="n"/>
      <c r="B187" s="18" t="n"/>
      <c r="C187" s="20">
        <f>IF($B187="","",IF($R187="なし","※仕入先にないコード",INDEX('仕入先'!$C$5:$C$54,$R187)&amp;""))</f>
        <v/>
      </c>
      <c r="D187" s="26" t="n"/>
      <c r="E187" s="18" t="n"/>
      <c r="F187" s="19" t="n"/>
      <c r="G187" s="27" t="n"/>
      <c r="H187" s="29">
        <f>IF(OR($B187="",NOT(ISNUMBER($R187)),NOT(ISNUMBER($S187))),"",IF(OR(INDEX('仕入先'!$D$5:$D$54,$R187)="",INDEX('仕入先'!$E$5:$E$54,$R187)="",INDEX('仕入先'!$F$5:$F$54,$R187)=""),"",IF(INDEX('仕入先'!$F$5:$F$54,$R187)="末",DATE(YEAR($S187),(MONTH($S187)+IF(INDEX('仕入先'!$D$5:$D$54,$R187)="末",0,IF(DAY($S187)&lt;=INDEX('仕入先'!$D$5:$D$54,$R187),0,1))+N(INDEX('仕入先'!$E$5:$E$54,$R187)))+1,0),DATE(YEAR($S187),(MONTH($S187)+IF(INDEX('仕入先'!$D$5:$D$54,$R187)="末",0,IF(DAY($S187)&lt;=INDEX('仕入先'!$D$5:$D$54,$R187),0,1))+N(INDEX('仕入先'!$E$5:$E$54,$R187))),MIN(INDEX('仕入先'!$F$5:$F$54,$R187),DAY(DATE(YEAR($S187),(MONTH($S187)+IF(INDEX('仕入先'!$D$5:$D$54,$R187)="末",0,IF(DAY($S187)&lt;=INDEX('仕入先'!$D$5:$D$54,$R187),0,1))+N(INDEX('仕入先'!$E$5:$E$54,$R187)))+1,0)))))))</f>
        <v/>
      </c>
      <c r="I187" s="26" t="n"/>
      <c r="J187" s="29">
        <f>IF($B187="","",IF(ISNUMBER($I187),$I187,$H187))</f>
        <v/>
      </c>
      <c r="K187" s="26" t="n"/>
      <c r="L187" s="27" t="n"/>
      <c r="M187" s="27" t="n"/>
      <c r="N187" s="28">
        <f>IF($B187="","",N($G187)-N($L187)-N($M187))</f>
        <v/>
      </c>
      <c r="O187" s="30">
        <f>IF($B187="","",IF(AND(OR(N($L187)&lt;&gt;0,N($M187)&lt;&gt;0),NOT(ISNUMBER($K187))),"支払日なし",IF($N187=0,IF(N($G187)=0,"請求額0","支払済"),IF($N187&lt;0,"払いすぎ",IF(N($L187)+N($M187)=0,"未払","一部支払")))))</f>
        <v/>
      </c>
      <c r="P187" s="30">
        <f>IF(OR($B187="",N($N187)&lt;=0,NOT(ISNUMBER($J187))),"",IF($J187&lt;'設定'!$B$7,"期日超過 "&amp;('設定'!$B$7-$J187)&amp;"日",IF($J187='設定'!$B$7,"今日","あと "&amp;($J187-'設定'!$B$7)&amp;"日")))</f>
        <v/>
      </c>
      <c r="Q187" s="56" t="n"/>
      <c r="R187" s="32">
        <f>IF($B187="","",IFERROR(MATCH($B187,'仕入先'!$B$5:$B$54,0),"なし"))</f>
        <v/>
      </c>
      <c r="S187" s="33">
        <f>IF($B187="","",IF(ISNUMBER($D187),$D187,IF(ISNUMBER($A187),$A187,"")))</f>
        <v/>
      </c>
      <c r="T187" s="34">
        <f>IF(OR($B187="",N($N187)&lt;=0),"",IF(ISNUMBER($J187),$J187,99999)+ROW()/1000000)</f>
        <v/>
      </c>
      <c r="U187" s="35">
        <f>IF(OR($B187="",$B187&lt;&gt;'買掛帳'!$B$3,NOT(ISNUMBER($S187))),"",IF(AND($S187&gt;='買掛帳'!$Q$3,$S187&lt;='買掛帳'!$Q$4),$S187+ROW()/10000000,""))</f>
        <v/>
      </c>
      <c r="V187" s="35">
        <f>IF(OR($B187="",$B187&lt;&gt;'買掛帳'!$B$3,NOT(ISNUMBER($K187)),N($L187)+N($M187)=0),"",IF(AND($K187&gt;='買掛帳'!$Q$3,$K187&lt;='買掛帳'!$Q$4),$K187+0.5+ROW()/10000000,""))</f>
        <v/>
      </c>
    </row>
    <row r="188" ht="18" customHeight="1">
      <c r="A188" s="26" t="n"/>
      <c r="B188" s="18" t="n"/>
      <c r="C188" s="20">
        <f>IF($B188="","",IF($R188="なし","※仕入先にないコード",INDEX('仕入先'!$C$5:$C$54,$R188)&amp;""))</f>
        <v/>
      </c>
      <c r="D188" s="26" t="n"/>
      <c r="E188" s="18" t="n"/>
      <c r="F188" s="19" t="n"/>
      <c r="G188" s="27" t="n"/>
      <c r="H188" s="29">
        <f>IF(OR($B188="",NOT(ISNUMBER($R188)),NOT(ISNUMBER($S188))),"",IF(OR(INDEX('仕入先'!$D$5:$D$54,$R188)="",INDEX('仕入先'!$E$5:$E$54,$R188)="",INDEX('仕入先'!$F$5:$F$54,$R188)=""),"",IF(INDEX('仕入先'!$F$5:$F$54,$R188)="末",DATE(YEAR($S188),(MONTH($S188)+IF(INDEX('仕入先'!$D$5:$D$54,$R188)="末",0,IF(DAY($S188)&lt;=INDEX('仕入先'!$D$5:$D$54,$R188),0,1))+N(INDEX('仕入先'!$E$5:$E$54,$R188)))+1,0),DATE(YEAR($S188),(MONTH($S188)+IF(INDEX('仕入先'!$D$5:$D$54,$R188)="末",0,IF(DAY($S188)&lt;=INDEX('仕入先'!$D$5:$D$54,$R188),0,1))+N(INDEX('仕入先'!$E$5:$E$54,$R188))),MIN(INDEX('仕入先'!$F$5:$F$54,$R188),DAY(DATE(YEAR($S188),(MONTH($S188)+IF(INDEX('仕入先'!$D$5:$D$54,$R188)="末",0,IF(DAY($S188)&lt;=INDEX('仕入先'!$D$5:$D$54,$R188),0,1))+N(INDEX('仕入先'!$E$5:$E$54,$R188)))+1,0)))))))</f>
        <v/>
      </c>
      <c r="I188" s="26" t="n"/>
      <c r="J188" s="29">
        <f>IF($B188="","",IF(ISNUMBER($I188),$I188,$H188))</f>
        <v/>
      </c>
      <c r="K188" s="26" t="n"/>
      <c r="L188" s="27" t="n"/>
      <c r="M188" s="27" t="n"/>
      <c r="N188" s="28">
        <f>IF($B188="","",N($G188)-N($L188)-N($M188))</f>
        <v/>
      </c>
      <c r="O188" s="30">
        <f>IF($B188="","",IF(AND(OR(N($L188)&lt;&gt;0,N($M188)&lt;&gt;0),NOT(ISNUMBER($K188))),"支払日なし",IF($N188=0,IF(N($G188)=0,"請求額0","支払済"),IF($N188&lt;0,"払いすぎ",IF(N($L188)+N($M188)=0,"未払","一部支払")))))</f>
        <v/>
      </c>
      <c r="P188" s="30">
        <f>IF(OR($B188="",N($N188)&lt;=0,NOT(ISNUMBER($J188))),"",IF($J188&lt;'設定'!$B$7,"期日超過 "&amp;('設定'!$B$7-$J188)&amp;"日",IF($J188='設定'!$B$7,"今日","あと "&amp;($J188-'設定'!$B$7)&amp;"日")))</f>
        <v/>
      </c>
      <c r="Q188" s="56" t="n"/>
      <c r="R188" s="32">
        <f>IF($B188="","",IFERROR(MATCH($B188,'仕入先'!$B$5:$B$54,0),"なし"))</f>
        <v/>
      </c>
      <c r="S188" s="33">
        <f>IF($B188="","",IF(ISNUMBER($D188),$D188,IF(ISNUMBER($A188),$A188,"")))</f>
        <v/>
      </c>
      <c r="T188" s="34">
        <f>IF(OR($B188="",N($N188)&lt;=0),"",IF(ISNUMBER($J188),$J188,99999)+ROW()/1000000)</f>
        <v/>
      </c>
      <c r="U188" s="35">
        <f>IF(OR($B188="",$B188&lt;&gt;'買掛帳'!$B$3,NOT(ISNUMBER($S188))),"",IF(AND($S188&gt;='買掛帳'!$Q$3,$S188&lt;='買掛帳'!$Q$4),$S188+ROW()/10000000,""))</f>
        <v/>
      </c>
      <c r="V188" s="35">
        <f>IF(OR($B188="",$B188&lt;&gt;'買掛帳'!$B$3,NOT(ISNUMBER($K188)),N($L188)+N($M188)=0),"",IF(AND($K188&gt;='買掛帳'!$Q$3,$K188&lt;='買掛帳'!$Q$4),$K188+0.5+ROW()/10000000,""))</f>
        <v/>
      </c>
    </row>
    <row r="189" ht="18" customHeight="1">
      <c r="A189" s="26" t="n"/>
      <c r="B189" s="18" t="n"/>
      <c r="C189" s="20">
        <f>IF($B189="","",IF($R189="なし","※仕入先にないコード",INDEX('仕入先'!$C$5:$C$54,$R189)&amp;""))</f>
        <v/>
      </c>
      <c r="D189" s="26" t="n"/>
      <c r="E189" s="18" t="n"/>
      <c r="F189" s="19" t="n"/>
      <c r="G189" s="27" t="n"/>
      <c r="H189" s="29">
        <f>IF(OR($B189="",NOT(ISNUMBER($R189)),NOT(ISNUMBER($S189))),"",IF(OR(INDEX('仕入先'!$D$5:$D$54,$R189)="",INDEX('仕入先'!$E$5:$E$54,$R189)="",INDEX('仕入先'!$F$5:$F$54,$R189)=""),"",IF(INDEX('仕入先'!$F$5:$F$54,$R189)="末",DATE(YEAR($S189),(MONTH($S189)+IF(INDEX('仕入先'!$D$5:$D$54,$R189)="末",0,IF(DAY($S189)&lt;=INDEX('仕入先'!$D$5:$D$54,$R189),0,1))+N(INDEX('仕入先'!$E$5:$E$54,$R189)))+1,0),DATE(YEAR($S189),(MONTH($S189)+IF(INDEX('仕入先'!$D$5:$D$54,$R189)="末",0,IF(DAY($S189)&lt;=INDEX('仕入先'!$D$5:$D$54,$R189),0,1))+N(INDEX('仕入先'!$E$5:$E$54,$R189))),MIN(INDEX('仕入先'!$F$5:$F$54,$R189),DAY(DATE(YEAR($S189),(MONTH($S189)+IF(INDEX('仕入先'!$D$5:$D$54,$R189)="末",0,IF(DAY($S189)&lt;=INDEX('仕入先'!$D$5:$D$54,$R189),0,1))+N(INDEX('仕入先'!$E$5:$E$54,$R189)))+1,0)))))))</f>
        <v/>
      </c>
      <c r="I189" s="26" t="n"/>
      <c r="J189" s="29">
        <f>IF($B189="","",IF(ISNUMBER($I189),$I189,$H189))</f>
        <v/>
      </c>
      <c r="K189" s="26" t="n"/>
      <c r="L189" s="27" t="n"/>
      <c r="M189" s="27" t="n"/>
      <c r="N189" s="28">
        <f>IF($B189="","",N($G189)-N($L189)-N($M189))</f>
        <v/>
      </c>
      <c r="O189" s="30">
        <f>IF($B189="","",IF(AND(OR(N($L189)&lt;&gt;0,N($M189)&lt;&gt;0),NOT(ISNUMBER($K189))),"支払日なし",IF($N189=0,IF(N($G189)=0,"請求額0","支払済"),IF($N189&lt;0,"払いすぎ",IF(N($L189)+N($M189)=0,"未払","一部支払")))))</f>
        <v/>
      </c>
      <c r="P189" s="30">
        <f>IF(OR($B189="",N($N189)&lt;=0,NOT(ISNUMBER($J189))),"",IF($J189&lt;'設定'!$B$7,"期日超過 "&amp;('設定'!$B$7-$J189)&amp;"日",IF($J189='設定'!$B$7,"今日","あと "&amp;($J189-'設定'!$B$7)&amp;"日")))</f>
        <v/>
      </c>
      <c r="Q189" s="56" t="n"/>
      <c r="R189" s="32">
        <f>IF($B189="","",IFERROR(MATCH($B189,'仕入先'!$B$5:$B$54,0),"なし"))</f>
        <v/>
      </c>
      <c r="S189" s="33">
        <f>IF($B189="","",IF(ISNUMBER($D189),$D189,IF(ISNUMBER($A189),$A189,"")))</f>
        <v/>
      </c>
      <c r="T189" s="34">
        <f>IF(OR($B189="",N($N189)&lt;=0),"",IF(ISNUMBER($J189),$J189,99999)+ROW()/1000000)</f>
        <v/>
      </c>
      <c r="U189" s="35">
        <f>IF(OR($B189="",$B189&lt;&gt;'買掛帳'!$B$3,NOT(ISNUMBER($S189))),"",IF(AND($S189&gt;='買掛帳'!$Q$3,$S189&lt;='買掛帳'!$Q$4),$S189+ROW()/10000000,""))</f>
        <v/>
      </c>
      <c r="V189" s="35">
        <f>IF(OR($B189="",$B189&lt;&gt;'買掛帳'!$B$3,NOT(ISNUMBER($K189)),N($L189)+N($M189)=0),"",IF(AND($K189&gt;='買掛帳'!$Q$3,$K189&lt;='買掛帳'!$Q$4),$K189+0.5+ROW()/10000000,""))</f>
        <v/>
      </c>
    </row>
    <row r="190" ht="18" customHeight="1">
      <c r="A190" s="26" t="n"/>
      <c r="B190" s="18" t="n"/>
      <c r="C190" s="20">
        <f>IF($B190="","",IF($R190="なし","※仕入先にないコード",INDEX('仕入先'!$C$5:$C$54,$R190)&amp;""))</f>
        <v/>
      </c>
      <c r="D190" s="26" t="n"/>
      <c r="E190" s="18" t="n"/>
      <c r="F190" s="19" t="n"/>
      <c r="G190" s="27" t="n"/>
      <c r="H190" s="29">
        <f>IF(OR($B190="",NOT(ISNUMBER($R190)),NOT(ISNUMBER($S190))),"",IF(OR(INDEX('仕入先'!$D$5:$D$54,$R190)="",INDEX('仕入先'!$E$5:$E$54,$R190)="",INDEX('仕入先'!$F$5:$F$54,$R190)=""),"",IF(INDEX('仕入先'!$F$5:$F$54,$R190)="末",DATE(YEAR($S190),(MONTH($S190)+IF(INDEX('仕入先'!$D$5:$D$54,$R190)="末",0,IF(DAY($S190)&lt;=INDEX('仕入先'!$D$5:$D$54,$R190),0,1))+N(INDEX('仕入先'!$E$5:$E$54,$R190)))+1,0),DATE(YEAR($S190),(MONTH($S190)+IF(INDEX('仕入先'!$D$5:$D$54,$R190)="末",0,IF(DAY($S190)&lt;=INDEX('仕入先'!$D$5:$D$54,$R190),0,1))+N(INDEX('仕入先'!$E$5:$E$54,$R190))),MIN(INDEX('仕入先'!$F$5:$F$54,$R190),DAY(DATE(YEAR($S190),(MONTH($S190)+IF(INDEX('仕入先'!$D$5:$D$54,$R190)="末",0,IF(DAY($S190)&lt;=INDEX('仕入先'!$D$5:$D$54,$R190),0,1))+N(INDEX('仕入先'!$E$5:$E$54,$R190)))+1,0)))))))</f>
        <v/>
      </c>
      <c r="I190" s="26" t="n"/>
      <c r="J190" s="29">
        <f>IF($B190="","",IF(ISNUMBER($I190),$I190,$H190))</f>
        <v/>
      </c>
      <c r="K190" s="26" t="n"/>
      <c r="L190" s="27" t="n"/>
      <c r="M190" s="27" t="n"/>
      <c r="N190" s="28">
        <f>IF($B190="","",N($G190)-N($L190)-N($M190))</f>
        <v/>
      </c>
      <c r="O190" s="30">
        <f>IF($B190="","",IF(AND(OR(N($L190)&lt;&gt;0,N($M190)&lt;&gt;0),NOT(ISNUMBER($K190))),"支払日なし",IF($N190=0,IF(N($G190)=0,"請求額0","支払済"),IF($N190&lt;0,"払いすぎ",IF(N($L190)+N($M190)=0,"未払","一部支払")))))</f>
        <v/>
      </c>
      <c r="P190" s="30">
        <f>IF(OR($B190="",N($N190)&lt;=0,NOT(ISNUMBER($J190))),"",IF($J190&lt;'設定'!$B$7,"期日超過 "&amp;('設定'!$B$7-$J190)&amp;"日",IF($J190='設定'!$B$7,"今日","あと "&amp;($J190-'設定'!$B$7)&amp;"日")))</f>
        <v/>
      </c>
      <c r="Q190" s="56" t="n"/>
      <c r="R190" s="32">
        <f>IF($B190="","",IFERROR(MATCH($B190,'仕入先'!$B$5:$B$54,0),"なし"))</f>
        <v/>
      </c>
      <c r="S190" s="33">
        <f>IF($B190="","",IF(ISNUMBER($D190),$D190,IF(ISNUMBER($A190),$A190,"")))</f>
        <v/>
      </c>
      <c r="T190" s="34">
        <f>IF(OR($B190="",N($N190)&lt;=0),"",IF(ISNUMBER($J190),$J190,99999)+ROW()/1000000)</f>
        <v/>
      </c>
      <c r="U190" s="35">
        <f>IF(OR($B190="",$B190&lt;&gt;'買掛帳'!$B$3,NOT(ISNUMBER($S190))),"",IF(AND($S190&gt;='買掛帳'!$Q$3,$S190&lt;='買掛帳'!$Q$4),$S190+ROW()/10000000,""))</f>
        <v/>
      </c>
      <c r="V190" s="35">
        <f>IF(OR($B190="",$B190&lt;&gt;'買掛帳'!$B$3,NOT(ISNUMBER($K190)),N($L190)+N($M190)=0),"",IF(AND($K190&gt;='買掛帳'!$Q$3,$K190&lt;='買掛帳'!$Q$4),$K190+0.5+ROW()/10000000,""))</f>
        <v/>
      </c>
    </row>
    <row r="191" ht="18" customHeight="1">
      <c r="A191" s="26" t="n"/>
      <c r="B191" s="18" t="n"/>
      <c r="C191" s="20">
        <f>IF($B191="","",IF($R191="なし","※仕入先にないコード",INDEX('仕入先'!$C$5:$C$54,$R191)&amp;""))</f>
        <v/>
      </c>
      <c r="D191" s="26" t="n"/>
      <c r="E191" s="18" t="n"/>
      <c r="F191" s="19" t="n"/>
      <c r="G191" s="27" t="n"/>
      <c r="H191" s="29">
        <f>IF(OR($B191="",NOT(ISNUMBER($R191)),NOT(ISNUMBER($S191))),"",IF(OR(INDEX('仕入先'!$D$5:$D$54,$R191)="",INDEX('仕入先'!$E$5:$E$54,$R191)="",INDEX('仕入先'!$F$5:$F$54,$R191)=""),"",IF(INDEX('仕入先'!$F$5:$F$54,$R191)="末",DATE(YEAR($S191),(MONTH($S191)+IF(INDEX('仕入先'!$D$5:$D$54,$R191)="末",0,IF(DAY($S191)&lt;=INDEX('仕入先'!$D$5:$D$54,$R191),0,1))+N(INDEX('仕入先'!$E$5:$E$54,$R191)))+1,0),DATE(YEAR($S191),(MONTH($S191)+IF(INDEX('仕入先'!$D$5:$D$54,$R191)="末",0,IF(DAY($S191)&lt;=INDEX('仕入先'!$D$5:$D$54,$R191),0,1))+N(INDEX('仕入先'!$E$5:$E$54,$R191))),MIN(INDEX('仕入先'!$F$5:$F$54,$R191),DAY(DATE(YEAR($S191),(MONTH($S191)+IF(INDEX('仕入先'!$D$5:$D$54,$R191)="末",0,IF(DAY($S191)&lt;=INDEX('仕入先'!$D$5:$D$54,$R191),0,1))+N(INDEX('仕入先'!$E$5:$E$54,$R191)))+1,0)))))))</f>
        <v/>
      </c>
      <c r="I191" s="26" t="n"/>
      <c r="J191" s="29">
        <f>IF($B191="","",IF(ISNUMBER($I191),$I191,$H191))</f>
        <v/>
      </c>
      <c r="K191" s="26" t="n"/>
      <c r="L191" s="27" t="n"/>
      <c r="M191" s="27" t="n"/>
      <c r="N191" s="28">
        <f>IF($B191="","",N($G191)-N($L191)-N($M191))</f>
        <v/>
      </c>
      <c r="O191" s="30">
        <f>IF($B191="","",IF(AND(OR(N($L191)&lt;&gt;0,N($M191)&lt;&gt;0),NOT(ISNUMBER($K191))),"支払日なし",IF($N191=0,IF(N($G191)=0,"請求額0","支払済"),IF($N191&lt;0,"払いすぎ",IF(N($L191)+N($M191)=0,"未払","一部支払")))))</f>
        <v/>
      </c>
      <c r="P191" s="30">
        <f>IF(OR($B191="",N($N191)&lt;=0,NOT(ISNUMBER($J191))),"",IF($J191&lt;'設定'!$B$7,"期日超過 "&amp;('設定'!$B$7-$J191)&amp;"日",IF($J191='設定'!$B$7,"今日","あと "&amp;($J191-'設定'!$B$7)&amp;"日")))</f>
        <v/>
      </c>
      <c r="Q191" s="56" t="n"/>
      <c r="R191" s="32">
        <f>IF($B191="","",IFERROR(MATCH($B191,'仕入先'!$B$5:$B$54,0),"なし"))</f>
        <v/>
      </c>
      <c r="S191" s="33">
        <f>IF($B191="","",IF(ISNUMBER($D191),$D191,IF(ISNUMBER($A191),$A191,"")))</f>
        <v/>
      </c>
      <c r="T191" s="34">
        <f>IF(OR($B191="",N($N191)&lt;=0),"",IF(ISNUMBER($J191),$J191,99999)+ROW()/1000000)</f>
        <v/>
      </c>
      <c r="U191" s="35">
        <f>IF(OR($B191="",$B191&lt;&gt;'買掛帳'!$B$3,NOT(ISNUMBER($S191))),"",IF(AND($S191&gt;='買掛帳'!$Q$3,$S191&lt;='買掛帳'!$Q$4),$S191+ROW()/10000000,""))</f>
        <v/>
      </c>
      <c r="V191" s="35">
        <f>IF(OR($B191="",$B191&lt;&gt;'買掛帳'!$B$3,NOT(ISNUMBER($K191)),N($L191)+N($M191)=0),"",IF(AND($K191&gt;='買掛帳'!$Q$3,$K191&lt;='買掛帳'!$Q$4),$K191+0.5+ROW()/10000000,""))</f>
        <v/>
      </c>
    </row>
    <row r="192" ht="18" customHeight="1">
      <c r="A192" s="26" t="n"/>
      <c r="B192" s="18" t="n"/>
      <c r="C192" s="20">
        <f>IF($B192="","",IF($R192="なし","※仕入先にないコード",INDEX('仕入先'!$C$5:$C$54,$R192)&amp;""))</f>
        <v/>
      </c>
      <c r="D192" s="26" t="n"/>
      <c r="E192" s="18" t="n"/>
      <c r="F192" s="19" t="n"/>
      <c r="G192" s="27" t="n"/>
      <c r="H192" s="29">
        <f>IF(OR($B192="",NOT(ISNUMBER($R192)),NOT(ISNUMBER($S192))),"",IF(OR(INDEX('仕入先'!$D$5:$D$54,$R192)="",INDEX('仕入先'!$E$5:$E$54,$R192)="",INDEX('仕入先'!$F$5:$F$54,$R192)=""),"",IF(INDEX('仕入先'!$F$5:$F$54,$R192)="末",DATE(YEAR($S192),(MONTH($S192)+IF(INDEX('仕入先'!$D$5:$D$54,$R192)="末",0,IF(DAY($S192)&lt;=INDEX('仕入先'!$D$5:$D$54,$R192),0,1))+N(INDEX('仕入先'!$E$5:$E$54,$R192)))+1,0),DATE(YEAR($S192),(MONTH($S192)+IF(INDEX('仕入先'!$D$5:$D$54,$R192)="末",0,IF(DAY($S192)&lt;=INDEX('仕入先'!$D$5:$D$54,$R192),0,1))+N(INDEX('仕入先'!$E$5:$E$54,$R192))),MIN(INDEX('仕入先'!$F$5:$F$54,$R192),DAY(DATE(YEAR($S192),(MONTH($S192)+IF(INDEX('仕入先'!$D$5:$D$54,$R192)="末",0,IF(DAY($S192)&lt;=INDEX('仕入先'!$D$5:$D$54,$R192),0,1))+N(INDEX('仕入先'!$E$5:$E$54,$R192)))+1,0)))))))</f>
        <v/>
      </c>
      <c r="I192" s="26" t="n"/>
      <c r="J192" s="29">
        <f>IF($B192="","",IF(ISNUMBER($I192),$I192,$H192))</f>
        <v/>
      </c>
      <c r="K192" s="26" t="n"/>
      <c r="L192" s="27" t="n"/>
      <c r="M192" s="27" t="n"/>
      <c r="N192" s="28">
        <f>IF($B192="","",N($G192)-N($L192)-N($M192))</f>
        <v/>
      </c>
      <c r="O192" s="30">
        <f>IF($B192="","",IF(AND(OR(N($L192)&lt;&gt;0,N($M192)&lt;&gt;0),NOT(ISNUMBER($K192))),"支払日なし",IF($N192=0,IF(N($G192)=0,"請求額0","支払済"),IF($N192&lt;0,"払いすぎ",IF(N($L192)+N($M192)=0,"未払","一部支払")))))</f>
        <v/>
      </c>
      <c r="P192" s="30">
        <f>IF(OR($B192="",N($N192)&lt;=0,NOT(ISNUMBER($J192))),"",IF($J192&lt;'設定'!$B$7,"期日超過 "&amp;('設定'!$B$7-$J192)&amp;"日",IF($J192='設定'!$B$7,"今日","あと "&amp;($J192-'設定'!$B$7)&amp;"日")))</f>
        <v/>
      </c>
      <c r="Q192" s="56" t="n"/>
      <c r="R192" s="32">
        <f>IF($B192="","",IFERROR(MATCH($B192,'仕入先'!$B$5:$B$54,0),"なし"))</f>
        <v/>
      </c>
      <c r="S192" s="33">
        <f>IF($B192="","",IF(ISNUMBER($D192),$D192,IF(ISNUMBER($A192),$A192,"")))</f>
        <v/>
      </c>
      <c r="T192" s="34">
        <f>IF(OR($B192="",N($N192)&lt;=0),"",IF(ISNUMBER($J192),$J192,99999)+ROW()/1000000)</f>
        <v/>
      </c>
      <c r="U192" s="35">
        <f>IF(OR($B192="",$B192&lt;&gt;'買掛帳'!$B$3,NOT(ISNUMBER($S192))),"",IF(AND($S192&gt;='買掛帳'!$Q$3,$S192&lt;='買掛帳'!$Q$4),$S192+ROW()/10000000,""))</f>
        <v/>
      </c>
      <c r="V192" s="35">
        <f>IF(OR($B192="",$B192&lt;&gt;'買掛帳'!$B$3,NOT(ISNUMBER($K192)),N($L192)+N($M192)=0),"",IF(AND($K192&gt;='買掛帳'!$Q$3,$K192&lt;='買掛帳'!$Q$4),$K192+0.5+ROW()/10000000,""))</f>
        <v/>
      </c>
    </row>
    <row r="193" ht="18" customHeight="1">
      <c r="A193" s="26" t="n"/>
      <c r="B193" s="18" t="n"/>
      <c r="C193" s="20">
        <f>IF($B193="","",IF($R193="なし","※仕入先にないコード",INDEX('仕入先'!$C$5:$C$54,$R193)&amp;""))</f>
        <v/>
      </c>
      <c r="D193" s="26" t="n"/>
      <c r="E193" s="18" t="n"/>
      <c r="F193" s="19" t="n"/>
      <c r="G193" s="27" t="n"/>
      <c r="H193" s="29">
        <f>IF(OR($B193="",NOT(ISNUMBER($R193)),NOT(ISNUMBER($S193))),"",IF(OR(INDEX('仕入先'!$D$5:$D$54,$R193)="",INDEX('仕入先'!$E$5:$E$54,$R193)="",INDEX('仕入先'!$F$5:$F$54,$R193)=""),"",IF(INDEX('仕入先'!$F$5:$F$54,$R193)="末",DATE(YEAR($S193),(MONTH($S193)+IF(INDEX('仕入先'!$D$5:$D$54,$R193)="末",0,IF(DAY($S193)&lt;=INDEX('仕入先'!$D$5:$D$54,$R193),0,1))+N(INDEX('仕入先'!$E$5:$E$54,$R193)))+1,0),DATE(YEAR($S193),(MONTH($S193)+IF(INDEX('仕入先'!$D$5:$D$54,$R193)="末",0,IF(DAY($S193)&lt;=INDEX('仕入先'!$D$5:$D$54,$R193),0,1))+N(INDEX('仕入先'!$E$5:$E$54,$R193))),MIN(INDEX('仕入先'!$F$5:$F$54,$R193),DAY(DATE(YEAR($S193),(MONTH($S193)+IF(INDEX('仕入先'!$D$5:$D$54,$R193)="末",0,IF(DAY($S193)&lt;=INDEX('仕入先'!$D$5:$D$54,$R193),0,1))+N(INDEX('仕入先'!$E$5:$E$54,$R193)))+1,0)))))))</f>
        <v/>
      </c>
      <c r="I193" s="26" t="n"/>
      <c r="J193" s="29">
        <f>IF($B193="","",IF(ISNUMBER($I193),$I193,$H193))</f>
        <v/>
      </c>
      <c r="K193" s="26" t="n"/>
      <c r="L193" s="27" t="n"/>
      <c r="M193" s="27" t="n"/>
      <c r="N193" s="28">
        <f>IF($B193="","",N($G193)-N($L193)-N($M193))</f>
        <v/>
      </c>
      <c r="O193" s="30">
        <f>IF($B193="","",IF(AND(OR(N($L193)&lt;&gt;0,N($M193)&lt;&gt;0),NOT(ISNUMBER($K193))),"支払日なし",IF($N193=0,IF(N($G193)=0,"請求額0","支払済"),IF($N193&lt;0,"払いすぎ",IF(N($L193)+N($M193)=0,"未払","一部支払")))))</f>
        <v/>
      </c>
      <c r="P193" s="30">
        <f>IF(OR($B193="",N($N193)&lt;=0,NOT(ISNUMBER($J193))),"",IF($J193&lt;'設定'!$B$7,"期日超過 "&amp;('設定'!$B$7-$J193)&amp;"日",IF($J193='設定'!$B$7,"今日","あと "&amp;($J193-'設定'!$B$7)&amp;"日")))</f>
        <v/>
      </c>
      <c r="Q193" s="56" t="n"/>
      <c r="R193" s="32">
        <f>IF($B193="","",IFERROR(MATCH($B193,'仕入先'!$B$5:$B$54,0),"なし"))</f>
        <v/>
      </c>
      <c r="S193" s="33">
        <f>IF($B193="","",IF(ISNUMBER($D193),$D193,IF(ISNUMBER($A193),$A193,"")))</f>
        <v/>
      </c>
      <c r="T193" s="34">
        <f>IF(OR($B193="",N($N193)&lt;=0),"",IF(ISNUMBER($J193),$J193,99999)+ROW()/1000000)</f>
        <v/>
      </c>
      <c r="U193" s="35">
        <f>IF(OR($B193="",$B193&lt;&gt;'買掛帳'!$B$3,NOT(ISNUMBER($S193))),"",IF(AND($S193&gt;='買掛帳'!$Q$3,$S193&lt;='買掛帳'!$Q$4),$S193+ROW()/10000000,""))</f>
        <v/>
      </c>
      <c r="V193" s="35">
        <f>IF(OR($B193="",$B193&lt;&gt;'買掛帳'!$B$3,NOT(ISNUMBER($K193)),N($L193)+N($M193)=0),"",IF(AND($K193&gt;='買掛帳'!$Q$3,$K193&lt;='買掛帳'!$Q$4),$K193+0.5+ROW()/10000000,""))</f>
        <v/>
      </c>
    </row>
    <row r="194" ht="18" customHeight="1">
      <c r="A194" s="26" t="n"/>
      <c r="B194" s="18" t="n"/>
      <c r="C194" s="20">
        <f>IF($B194="","",IF($R194="なし","※仕入先にないコード",INDEX('仕入先'!$C$5:$C$54,$R194)&amp;""))</f>
        <v/>
      </c>
      <c r="D194" s="26" t="n"/>
      <c r="E194" s="18" t="n"/>
      <c r="F194" s="19" t="n"/>
      <c r="G194" s="27" t="n"/>
      <c r="H194" s="29">
        <f>IF(OR($B194="",NOT(ISNUMBER($R194)),NOT(ISNUMBER($S194))),"",IF(OR(INDEX('仕入先'!$D$5:$D$54,$R194)="",INDEX('仕入先'!$E$5:$E$54,$R194)="",INDEX('仕入先'!$F$5:$F$54,$R194)=""),"",IF(INDEX('仕入先'!$F$5:$F$54,$R194)="末",DATE(YEAR($S194),(MONTH($S194)+IF(INDEX('仕入先'!$D$5:$D$54,$R194)="末",0,IF(DAY($S194)&lt;=INDEX('仕入先'!$D$5:$D$54,$R194),0,1))+N(INDEX('仕入先'!$E$5:$E$54,$R194)))+1,0),DATE(YEAR($S194),(MONTH($S194)+IF(INDEX('仕入先'!$D$5:$D$54,$R194)="末",0,IF(DAY($S194)&lt;=INDEX('仕入先'!$D$5:$D$54,$R194),0,1))+N(INDEX('仕入先'!$E$5:$E$54,$R194))),MIN(INDEX('仕入先'!$F$5:$F$54,$R194),DAY(DATE(YEAR($S194),(MONTH($S194)+IF(INDEX('仕入先'!$D$5:$D$54,$R194)="末",0,IF(DAY($S194)&lt;=INDEX('仕入先'!$D$5:$D$54,$R194),0,1))+N(INDEX('仕入先'!$E$5:$E$54,$R194)))+1,0)))))))</f>
        <v/>
      </c>
      <c r="I194" s="26" t="n"/>
      <c r="J194" s="29">
        <f>IF($B194="","",IF(ISNUMBER($I194),$I194,$H194))</f>
        <v/>
      </c>
      <c r="K194" s="26" t="n"/>
      <c r="L194" s="27" t="n"/>
      <c r="M194" s="27" t="n"/>
      <c r="N194" s="28">
        <f>IF($B194="","",N($G194)-N($L194)-N($M194))</f>
        <v/>
      </c>
      <c r="O194" s="30">
        <f>IF($B194="","",IF(AND(OR(N($L194)&lt;&gt;0,N($M194)&lt;&gt;0),NOT(ISNUMBER($K194))),"支払日なし",IF($N194=0,IF(N($G194)=0,"請求額0","支払済"),IF($N194&lt;0,"払いすぎ",IF(N($L194)+N($M194)=0,"未払","一部支払")))))</f>
        <v/>
      </c>
      <c r="P194" s="30">
        <f>IF(OR($B194="",N($N194)&lt;=0,NOT(ISNUMBER($J194))),"",IF($J194&lt;'設定'!$B$7,"期日超過 "&amp;('設定'!$B$7-$J194)&amp;"日",IF($J194='設定'!$B$7,"今日","あと "&amp;($J194-'設定'!$B$7)&amp;"日")))</f>
        <v/>
      </c>
      <c r="Q194" s="56" t="n"/>
      <c r="R194" s="32">
        <f>IF($B194="","",IFERROR(MATCH($B194,'仕入先'!$B$5:$B$54,0),"なし"))</f>
        <v/>
      </c>
      <c r="S194" s="33">
        <f>IF($B194="","",IF(ISNUMBER($D194),$D194,IF(ISNUMBER($A194),$A194,"")))</f>
        <v/>
      </c>
      <c r="T194" s="34">
        <f>IF(OR($B194="",N($N194)&lt;=0),"",IF(ISNUMBER($J194),$J194,99999)+ROW()/1000000)</f>
        <v/>
      </c>
      <c r="U194" s="35">
        <f>IF(OR($B194="",$B194&lt;&gt;'買掛帳'!$B$3,NOT(ISNUMBER($S194))),"",IF(AND($S194&gt;='買掛帳'!$Q$3,$S194&lt;='買掛帳'!$Q$4),$S194+ROW()/10000000,""))</f>
        <v/>
      </c>
      <c r="V194" s="35">
        <f>IF(OR($B194="",$B194&lt;&gt;'買掛帳'!$B$3,NOT(ISNUMBER($K194)),N($L194)+N($M194)=0),"",IF(AND($K194&gt;='買掛帳'!$Q$3,$K194&lt;='買掛帳'!$Q$4),$K194+0.5+ROW()/10000000,""))</f>
        <v/>
      </c>
    </row>
    <row r="195" ht="18" customHeight="1">
      <c r="A195" s="26" t="n"/>
      <c r="B195" s="18" t="n"/>
      <c r="C195" s="20">
        <f>IF($B195="","",IF($R195="なし","※仕入先にないコード",INDEX('仕入先'!$C$5:$C$54,$R195)&amp;""))</f>
        <v/>
      </c>
      <c r="D195" s="26" t="n"/>
      <c r="E195" s="18" t="n"/>
      <c r="F195" s="19" t="n"/>
      <c r="G195" s="27" t="n"/>
      <c r="H195" s="29">
        <f>IF(OR($B195="",NOT(ISNUMBER($R195)),NOT(ISNUMBER($S195))),"",IF(OR(INDEX('仕入先'!$D$5:$D$54,$R195)="",INDEX('仕入先'!$E$5:$E$54,$R195)="",INDEX('仕入先'!$F$5:$F$54,$R195)=""),"",IF(INDEX('仕入先'!$F$5:$F$54,$R195)="末",DATE(YEAR($S195),(MONTH($S195)+IF(INDEX('仕入先'!$D$5:$D$54,$R195)="末",0,IF(DAY($S195)&lt;=INDEX('仕入先'!$D$5:$D$54,$R195),0,1))+N(INDEX('仕入先'!$E$5:$E$54,$R195)))+1,0),DATE(YEAR($S195),(MONTH($S195)+IF(INDEX('仕入先'!$D$5:$D$54,$R195)="末",0,IF(DAY($S195)&lt;=INDEX('仕入先'!$D$5:$D$54,$R195),0,1))+N(INDEX('仕入先'!$E$5:$E$54,$R195))),MIN(INDEX('仕入先'!$F$5:$F$54,$R195),DAY(DATE(YEAR($S195),(MONTH($S195)+IF(INDEX('仕入先'!$D$5:$D$54,$R195)="末",0,IF(DAY($S195)&lt;=INDEX('仕入先'!$D$5:$D$54,$R195),0,1))+N(INDEX('仕入先'!$E$5:$E$54,$R195)))+1,0)))))))</f>
        <v/>
      </c>
      <c r="I195" s="26" t="n"/>
      <c r="J195" s="29">
        <f>IF($B195="","",IF(ISNUMBER($I195),$I195,$H195))</f>
        <v/>
      </c>
      <c r="K195" s="26" t="n"/>
      <c r="L195" s="27" t="n"/>
      <c r="M195" s="27" t="n"/>
      <c r="N195" s="28">
        <f>IF($B195="","",N($G195)-N($L195)-N($M195))</f>
        <v/>
      </c>
      <c r="O195" s="30">
        <f>IF($B195="","",IF(AND(OR(N($L195)&lt;&gt;0,N($M195)&lt;&gt;0),NOT(ISNUMBER($K195))),"支払日なし",IF($N195=0,IF(N($G195)=0,"請求額0","支払済"),IF($N195&lt;0,"払いすぎ",IF(N($L195)+N($M195)=0,"未払","一部支払")))))</f>
        <v/>
      </c>
      <c r="P195" s="30">
        <f>IF(OR($B195="",N($N195)&lt;=0,NOT(ISNUMBER($J195))),"",IF($J195&lt;'設定'!$B$7,"期日超過 "&amp;('設定'!$B$7-$J195)&amp;"日",IF($J195='設定'!$B$7,"今日","あと "&amp;($J195-'設定'!$B$7)&amp;"日")))</f>
        <v/>
      </c>
      <c r="Q195" s="56" t="n"/>
      <c r="R195" s="32">
        <f>IF($B195="","",IFERROR(MATCH($B195,'仕入先'!$B$5:$B$54,0),"なし"))</f>
        <v/>
      </c>
      <c r="S195" s="33">
        <f>IF($B195="","",IF(ISNUMBER($D195),$D195,IF(ISNUMBER($A195),$A195,"")))</f>
        <v/>
      </c>
      <c r="T195" s="34">
        <f>IF(OR($B195="",N($N195)&lt;=0),"",IF(ISNUMBER($J195),$J195,99999)+ROW()/1000000)</f>
        <v/>
      </c>
      <c r="U195" s="35">
        <f>IF(OR($B195="",$B195&lt;&gt;'買掛帳'!$B$3,NOT(ISNUMBER($S195))),"",IF(AND($S195&gt;='買掛帳'!$Q$3,$S195&lt;='買掛帳'!$Q$4),$S195+ROW()/10000000,""))</f>
        <v/>
      </c>
      <c r="V195" s="35">
        <f>IF(OR($B195="",$B195&lt;&gt;'買掛帳'!$B$3,NOT(ISNUMBER($K195)),N($L195)+N($M195)=0),"",IF(AND($K195&gt;='買掛帳'!$Q$3,$K195&lt;='買掛帳'!$Q$4),$K195+0.5+ROW()/10000000,""))</f>
        <v/>
      </c>
    </row>
    <row r="196" ht="18" customHeight="1">
      <c r="A196" s="26" t="n"/>
      <c r="B196" s="18" t="n"/>
      <c r="C196" s="20">
        <f>IF($B196="","",IF($R196="なし","※仕入先にないコード",INDEX('仕入先'!$C$5:$C$54,$R196)&amp;""))</f>
        <v/>
      </c>
      <c r="D196" s="26" t="n"/>
      <c r="E196" s="18" t="n"/>
      <c r="F196" s="19" t="n"/>
      <c r="G196" s="27" t="n"/>
      <c r="H196" s="29">
        <f>IF(OR($B196="",NOT(ISNUMBER($R196)),NOT(ISNUMBER($S196))),"",IF(OR(INDEX('仕入先'!$D$5:$D$54,$R196)="",INDEX('仕入先'!$E$5:$E$54,$R196)="",INDEX('仕入先'!$F$5:$F$54,$R196)=""),"",IF(INDEX('仕入先'!$F$5:$F$54,$R196)="末",DATE(YEAR($S196),(MONTH($S196)+IF(INDEX('仕入先'!$D$5:$D$54,$R196)="末",0,IF(DAY($S196)&lt;=INDEX('仕入先'!$D$5:$D$54,$R196),0,1))+N(INDEX('仕入先'!$E$5:$E$54,$R196)))+1,0),DATE(YEAR($S196),(MONTH($S196)+IF(INDEX('仕入先'!$D$5:$D$54,$R196)="末",0,IF(DAY($S196)&lt;=INDEX('仕入先'!$D$5:$D$54,$R196),0,1))+N(INDEX('仕入先'!$E$5:$E$54,$R196))),MIN(INDEX('仕入先'!$F$5:$F$54,$R196),DAY(DATE(YEAR($S196),(MONTH($S196)+IF(INDEX('仕入先'!$D$5:$D$54,$R196)="末",0,IF(DAY($S196)&lt;=INDEX('仕入先'!$D$5:$D$54,$R196),0,1))+N(INDEX('仕入先'!$E$5:$E$54,$R196)))+1,0)))))))</f>
        <v/>
      </c>
      <c r="I196" s="26" t="n"/>
      <c r="J196" s="29">
        <f>IF($B196="","",IF(ISNUMBER($I196),$I196,$H196))</f>
        <v/>
      </c>
      <c r="K196" s="26" t="n"/>
      <c r="L196" s="27" t="n"/>
      <c r="M196" s="27" t="n"/>
      <c r="N196" s="28">
        <f>IF($B196="","",N($G196)-N($L196)-N($M196))</f>
        <v/>
      </c>
      <c r="O196" s="30">
        <f>IF($B196="","",IF(AND(OR(N($L196)&lt;&gt;0,N($M196)&lt;&gt;0),NOT(ISNUMBER($K196))),"支払日なし",IF($N196=0,IF(N($G196)=0,"請求額0","支払済"),IF($N196&lt;0,"払いすぎ",IF(N($L196)+N($M196)=0,"未払","一部支払")))))</f>
        <v/>
      </c>
      <c r="P196" s="30">
        <f>IF(OR($B196="",N($N196)&lt;=0,NOT(ISNUMBER($J196))),"",IF($J196&lt;'設定'!$B$7,"期日超過 "&amp;('設定'!$B$7-$J196)&amp;"日",IF($J196='設定'!$B$7,"今日","あと "&amp;($J196-'設定'!$B$7)&amp;"日")))</f>
        <v/>
      </c>
      <c r="Q196" s="56" t="n"/>
      <c r="R196" s="32">
        <f>IF($B196="","",IFERROR(MATCH($B196,'仕入先'!$B$5:$B$54,0),"なし"))</f>
        <v/>
      </c>
      <c r="S196" s="33">
        <f>IF($B196="","",IF(ISNUMBER($D196),$D196,IF(ISNUMBER($A196),$A196,"")))</f>
        <v/>
      </c>
      <c r="T196" s="34">
        <f>IF(OR($B196="",N($N196)&lt;=0),"",IF(ISNUMBER($J196),$J196,99999)+ROW()/1000000)</f>
        <v/>
      </c>
      <c r="U196" s="35">
        <f>IF(OR($B196="",$B196&lt;&gt;'買掛帳'!$B$3,NOT(ISNUMBER($S196))),"",IF(AND($S196&gt;='買掛帳'!$Q$3,$S196&lt;='買掛帳'!$Q$4),$S196+ROW()/10000000,""))</f>
        <v/>
      </c>
      <c r="V196" s="35">
        <f>IF(OR($B196="",$B196&lt;&gt;'買掛帳'!$B$3,NOT(ISNUMBER($K196)),N($L196)+N($M196)=0),"",IF(AND($K196&gt;='買掛帳'!$Q$3,$K196&lt;='買掛帳'!$Q$4),$K196+0.5+ROW()/10000000,""))</f>
        <v/>
      </c>
    </row>
    <row r="197" ht="18" customHeight="1">
      <c r="A197" s="26" t="n"/>
      <c r="B197" s="18" t="n"/>
      <c r="C197" s="20">
        <f>IF($B197="","",IF($R197="なし","※仕入先にないコード",INDEX('仕入先'!$C$5:$C$54,$R197)&amp;""))</f>
        <v/>
      </c>
      <c r="D197" s="26" t="n"/>
      <c r="E197" s="18" t="n"/>
      <c r="F197" s="19" t="n"/>
      <c r="G197" s="27" t="n"/>
      <c r="H197" s="29">
        <f>IF(OR($B197="",NOT(ISNUMBER($R197)),NOT(ISNUMBER($S197))),"",IF(OR(INDEX('仕入先'!$D$5:$D$54,$R197)="",INDEX('仕入先'!$E$5:$E$54,$R197)="",INDEX('仕入先'!$F$5:$F$54,$R197)=""),"",IF(INDEX('仕入先'!$F$5:$F$54,$R197)="末",DATE(YEAR($S197),(MONTH($S197)+IF(INDEX('仕入先'!$D$5:$D$54,$R197)="末",0,IF(DAY($S197)&lt;=INDEX('仕入先'!$D$5:$D$54,$R197),0,1))+N(INDEX('仕入先'!$E$5:$E$54,$R197)))+1,0),DATE(YEAR($S197),(MONTH($S197)+IF(INDEX('仕入先'!$D$5:$D$54,$R197)="末",0,IF(DAY($S197)&lt;=INDEX('仕入先'!$D$5:$D$54,$R197),0,1))+N(INDEX('仕入先'!$E$5:$E$54,$R197))),MIN(INDEX('仕入先'!$F$5:$F$54,$R197),DAY(DATE(YEAR($S197),(MONTH($S197)+IF(INDEX('仕入先'!$D$5:$D$54,$R197)="末",0,IF(DAY($S197)&lt;=INDEX('仕入先'!$D$5:$D$54,$R197),0,1))+N(INDEX('仕入先'!$E$5:$E$54,$R197)))+1,0)))))))</f>
        <v/>
      </c>
      <c r="I197" s="26" t="n"/>
      <c r="J197" s="29">
        <f>IF($B197="","",IF(ISNUMBER($I197),$I197,$H197))</f>
        <v/>
      </c>
      <c r="K197" s="26" t="n"/>
      <c r="L197" s="27" t="n"/>
      <c r="M197" s="27" t="n"/>
      <c r="N197" s="28">
        <f>IF($B197="","",N($G197)-N($L197)-N($M197))</f>
        <v/>
      </c>
      <c r="O197" s="30">
        <f>IF($B197="","",IF(AND(OR(N($L197)&lt;&gt;0,N($M197)&lt;&gt;0),NOT(ISNUMBER($K197))),"支払日なし",IF($N197=0,IF(N($G197)=0,"請求額0","支払済"),IF($N197&lt;0,"払いすぎ",IF(N($L197)+N($M197)=0,"未払","一部支払")))))</f>
        <v/>
      </c>
      <c r="P197" s="30">
        <f>IF(OR($B197="",N($N197)&lt;=0,NOT(ISNUMBER($J197))),"",IF($J197&lt;'設定'!$B$7,"期日超過 "&amp;('設定'!$B$7-$J197)&amp;"日",IF($J197='設定'!$B$7,"今日","あと "&amp;($J197-'設定'!$B$7)&amp;"日")))</f>
        <v/>
      </c>
      <c r="Q197" s="56" t="n"/>
      <c r="R197" s="32">
        <f>IF($B197="","",IFERROR(MATCH($B197,'仕入先'!$B$5:$B$54,0),"なし"))</f>
        <v/>
      </c>
      <c r="S197" s="33">
        <f>IF($B197="","",IF(ISNUMBER($D197),$D197,IF(ISNUMBER($A197),$A197,"")))</f>
        <v/>
      </c>
      <c r="T197" s="34">
        <f>IF(OR($B197="",N($N197)&lt;=0),"",IF(ISNUMBER($J197),$J197,99999)+ROW()/1000000)</f>
        <v/>
      </c>
      <c r="U197" s="35">
        <f>IF(OR($B197="",$B197&lt;&gt;'買掛帳'!$B$3,NOT(ISNUMBER($S197))),"",IF(AND($S197&gt;='買掛帳'!$Q$3,$S197&lt;='買掛帳'!$Q$4),$S197+ROW()/10000000,""))</f>
        <v/>
      </c>
      <c r="V197" s="35">
        <f>IF(OR($B197="",$B197&lt;&gt;'買掛帳'!$B$3,NOT(ISNUMBER($K197)),N($L197)+N($M197)=0),"",IF(AND($K197&gt;='買掛帳'!$Q$3,$K197&lt;='買掛帳'!$Q$4),$K197+0.5+ROW()/10000000,""))</f>
        <v/>
      </c>
    </row>
    <row r="198" ht="18" customHeight="1">
      <c r="A198" s="26" t="n"/>
      <c r="B198" s="18" t="n"/>
      <c r="C198" s="20">
        <f>IF($B198="","",IF($R198="なし","※仕入先にないコード",INDEX('仕入先'!$C$5:$C$54,$R198)&amp;""))</f>
        <v/>
      </c>
      <c r="D198" s="26" t="n"/>
      <c r="E198" s="18" t="n"/>
      <c r="F198" s="19" t="n"/>
      <c r="G198" s="27" t="n"/>
      <c r="H198" s="29">
        <f>IF(OR($B198="",NOT(ISNUMBER($R198)),NOT(ISNUMBER($S198))),"",IF(OR(INDEX('仕入先'!$D$5:$D$54,$R198)="",INDEX('仕入先'!$E$5:$E$54,$R198)="",INDEX('仕入先'!$F$5:$F$54,$R198)=""),"",IF(INDEX('仕入先'!$F$5:$F$54,$R198)="末",DATE(YEAR($S198),(MONTH($S198)+IF(INDEX('仕入先'!$D$5:$D$54,$R198)="末",0,IF(DAY($S198)&lt;=INDEX('仕入先'!$D$5:$D$54,$R198),0,1))+N(INDEX('仕入先'!$E$5:$E$54,$R198)))+1,0),DATE(YEAR($S198),(MONTH($S198)+IF(INDEX('仕入先'!$D$5:$D$54,$R198)="末",0,IF(DAY($S198)&lt;=INDEX('仕入先'!$D$5:$D$54,$R198),0,1))+N(INDEX('仕入先'!$E$5:$E$54,$R198))),MIN(INDEX('仕入先'!$F$5:$F$54,$R198),DAY(DATE(YEAR($S198),(MONTH($S198)+IF(INDEX('仕入先'!$D$5:$D$54,$R198)="末",0,IF(DAY($S198)&lt;=INDEX('仕入先'!$D$5:$D$54,$R198),0,1))+N(INDEX('仕入先'!$E$5:$E$54,$R198)))+1,0)))))))</f>
        <v/>
      </c>
      <c r="I198" s="26" t="n"/>
      <c r="J198" s="29">
        <f>IF($B198="","",IF(ISNUMBER($I198),$I198,$H198))</f>
        <v/>
      </c>
      <c r="K198" s="26" t="n"/>
      <c r="L198" s="27" t="n"/>
      <c r="M198" s="27" t="n"/>
      <c r="N198" s="28">
        <f>IF($B198="","",N($G198)-N($L198)-N($M198))</f>
        <v/>
      </c>
      <c r="O198" s="30">
        <f>IF($B198="","",IF(AND(OR(N($L198)&lt;&gt;0,N($M198)&lt;&gt;0),NOT(ISNUMBER($K198))),"支払日なし",IF($N198=0,IF(N($G198)=0,"請求額0","支払済"),IF($N198&lt;0,"払いすぎ",IF(N($L198)+N($M198)=0,"未払","一部支払")))))</f>
        <v/>
      </c>
      <c r="P198" s="30">
        <f>IF(OR($B198="",N($N198)&lt;=0,NOT(ISNUMBER($J198))),"",IF($J198&lt;'設定'!$B$7,"期日超過 "&amp;('設定'!$B$7-$J198)&amp;"日",IF($J198='設定'!$B$7,"今日","あと "&amp;($J198-'設定'!$B$7)&amp;"日")))</f>
        <v/>
      </c>
      <c r="Q198" s="56" t="n"/>
      <c r="R198" s="32">
        <f>IF($B198="","",IFERROR(MATCH($B198,'仕入先'!$B$5:$B$54,0),"なし"))</f>
        <v/>
      </c>
      <c r="S198" s="33">
        <f>IF($B198="","",IF(ISNUMBER($D198),$D198,IF(ISNUMBER($A198),$A198,"")))</f>
        <v/>
      </c>
      <c r="T198" s="34">
        <f>IF(OR($B198="",N($N198)&lt;=0),"",IF(ISNUMBER($J198),$J198,99999)+ROW()/1000000)</f>
        <v/>
      </c>
      <c r="U198" s="35">
        <f>IF(OR($B198="",$B198&lt;&gt;'買掛帳'!$B$3,NOT(ISNUMBER($S198))),"",IF(AND($S198&gt;='買掛帳'!$Q$3,$S198&lt;='買掛帳'!$Q$4),$S198+ROW()/10000000,""))</f>
        <v/>
      </c>
      <c r="V198" s="35">
        <f>IF(OR($B198="",$B198&lt;&gt;'買掛帳'!$B$3,NOT(ISNUMBER($K198)),N($L198)+N($M198)=0),"",IF(AND($K198&gt;='買掛帳'!$Q$3,$K198&lt;='買掛帳'!$Q$4),$K198+0.5+ROW()/10000000,""))</f>
        <v/>
      </c>
    </row>
    <row r="199" ht="18" customHeight="1">
      <c r="A199" s="26" t="n"/>
      <c r="B199" s="18" t="n"/>
      <c r="C199" s="20">
        <f>IF($B199="","",IF($R199="なし","※仕入先にないコード",INDEX('仕入先'!$C$5:$C$54,$R199)&amp;""))</f>
        <v/>
      </c>
      <c r="D199" s="26" t="n"/>
      <c r="E199" s="18" t="n"/>
      <c r="F199" s="19" t="n"/>
      <c r="G199" s="27" t="n"/>
      <c r="H199" s="29">
        <f>IF(OR($B199="",NOT(ISNUMBER($R199)),NOT(ISNUMBER($S199))),"",IF(OR(INDEX('仕入先'!$D$5:$D$54,$R199)="",INDEX('仕入先'!$E$5:$E$54,$R199)="",INDEX('仕入先'!$F$5:$F$54,$R199)=""),"",IF(INDEX('仕入先'!$F$5:$F$54,$R199)="末",DATE(YEAR($S199),(MONTH($S199)+IF(INDEX('仕入先'!$D$5:$D$54,$R199)="末",0,IF(DAY($S199)&lt;=INDEX('仕入先'!$D$5:$D$54,$R199),0,1))+N(INDEX('仕入先'!$E$5:$E$54,$R199)))+1,0),DATE(YEAR($S199),(MONTH($S199)+IF(INDEX('仕入先'!$D$5:$D$54,$R199)="末",0,IF(DAY($S199)&lt;=INDEX('仕入先'!$D$5:$D$54,$R199),0,1))+N(INDEX('仕入先'!$E$5:$E$54,$R199))),MIN(INDEX('仕入先'!$F$5:$F$54,$R199),DAY(DATE(YEAR($S199),(MONTH($S199)+IF(INDEX('仕入先'!$D$5:$D$54,$R199)="末",0,IF(DAY($S199)&lt;=INDEX('仕入先'!$D$5:$D$54,$R199),0,1))+N(INDEX('仕入先'!$E$5:$E$54,$R199)))+1,0)))))))</f>
        <v/>
      </c>
      <c r="I199" s="26" t="n"/>
      <c r="J199" s="29">
        <f>IF($B199="","",IF(ISNUMBER($I199),$I199,$H199))</f>
        <v/>
      </c>
      <c r="K199" s="26" t="n"/>
      <c r="L199" s="27" t="n"/>
      <c r="M199" s="27" t="n"/>
      <c r="N199" s="28">
        <f>IF($B199="","",N($G199)-N($L199)-N($M199))</f>
        <v/>
      </c>
      <c r="O199" s="30">
        <f>IF($B199="","",IF(AND(OR(N($L199)&lt;&gt;0,N($M199)&lt;&gt;0),NOT(ISNUMBER($K199))),"支払日なし",IF($N199=0,IF(N($G199)=0,"請求額0","支払済"),IF($N199&lt;0,"払いすぎ",IF(N($L199)+N($M199)=0,"未払","一部支払")))))</f>
        <v/>
      </c>
      <c r="P199" s="30">
        <f>IF(OR($B199="",N($N199)&lt;=0,NOT(ISNUMBER($J199))),"",IF($J199&lt;'設定'!$B$7,"期日超過 "&amp;('設定'!$B$7-$J199)&amp;"日",IF($J199='設定'!$B$7,"今日","あと "&amp;($J199-'設定'!$B$7)&amp;"日")))</f>
        <v/>
      </c>
      <c r="Q199" s="56" t="n"/>
      <c r="R199" s="32">
        <f>IF($B199="","",IFERROR(MATCH($B199,'仕入先'!$B$5:$B$54,0),"なし"))</f>
        <v/>
      </c>
      <c r="S199" s="33">
        <f>IF($B199="","",IF(ISNUMBER($D199),$D199,IF(ISNUMBER($A199),$A199,"")))</f>
        <v/>
      </c>
      <c r="T199" s="34">
        <f>IF(OR($B199="",N($N199)&lt;=0),"",IF(ISNUMBER($J199),$J199,99999)+ROW()/1000000)</f>
        <v/>
      </c>
      <c r="U199" s="35">
        <f>IF(OR($B199="",$B199&lt;&gt;'買掛帳'!$B$3,NOT(ISNUMBER($S199))),"",IF(AND($S199&gt;='買掛帳'!$Q$3,$S199&lt;='買掛帳'!$Q$4),$S199+ROW()/10000000,""))</f>
        <v/>
      </c>
      <c r="V199" s="35">
        <f>IF(OR($B199="",$B199&lt;&gt;'買掛帳'!$B$3,NOT(ISNUMBER($K199)),N($L199)+N($M199)=0),"",IF(AND($K199&gt;='買掛帳'!$Q$3,$K199&lt;='買掛帳'!$Q$4),$K199+0.5+ROW()/10000000,""))</f>
        <v/>
      </c>
    </row>
    <row r="200" ht="18" customHeight="1">
      <c r="A200" s="26" t="n"/>
      <c r="B200" s="18" t="n"/>
      <c r="C200" s="20">
        <f>IF($B200="","",IF($R200="なし","※仕入先にないコード",INDEX('仕入先'!$C$5:$C$54,$R200)&amp;""))</f>
        <v/>
      </c>
      <c r="D200" s="26" t="n"/>
      <c r="E200" s="18" t="n"/>
      <c r="F200" s="19" t="n"/>
      <c r="G200" s="27" t="n"/>
      <c r="H200" s="29">
        <f>IF(OR($B200="",NOT(ISNUMBER($R200)),NOT(ISNUMBER($S200))),"",IF(OR(INDEX('仕入先'!$D$5:$D$54,$R200)="",INDEX('仕入先'!$E$5:$E$54,$R200)="",INDEX('仕入先'!$F$5:$F$54,$R200)=""),"",IF(INDEX('仕入先'!$F$5:$F$54,$R200)="末",DATE(YEAR($S200),(MONTH($S200)+IF(INDEX('仕入先'!$D$5:$D$54,$R200)="末",0,IF(DAY($S200)&lt;=INDEX('仕入先'!$D$5:$D$54,$R200),0,1))+N(INDEX('仕入先'!$E$5:$E$54,$R200)))+1,0),DATE(YEAR($S200),(MONTH($S200)+IF(INDEX('仕入先'!$D$5:$D$54,$R200)="末",0,IF(DAY($S200)&lt;=INDEX('仕入先'!$D$5:$D$54,$R200),0,1))+N(INDEX('仕入先'!$E$5:$E$54,$R200))),MIN(INDEX('仕入先'!$F$5:$F$54,$R200),DAY(DATE(YEAR($S200),(MONTH($S200)+IF(INDEX('仕入先'!$D$5:$D$54,$R200)="末",0,IF(DAY($S200)&lt;=INDEX('仕入先'!$D$5:$D$54,$R200),0,1))+N(INDEX('仕入先'!$E$5:$E$54,$R200)))+1,0)))))))</f>
        <v/>
      </c>
      <c r="I200" s="26" t="n"/>
      <c r="J200" s="29">
        <f>IF($B200="","",IF(ISNUMBER($I200),$I200,$H200))</f>
        <v/>
      </c>
      <c r="K200" s="26" t="n"/>
      <c r="L200" s="27" t="n"/>
      <c r="M200" s="27" t="n"/>
      <c r="N200" s="28">
        <f>IF($B200="","",N($G200)-N($L200)-N($M200))</f>
        <v/>
      </c>
      <c r="O200" s="30">
        <f>IF($B200="","",IF(AND(OR(N($L200)&lt;&gt;0,N($M200)&lt;&gt;0),NOT(ISNUMBER($K200))),"支払日なし",IF($N200=0,IF(N($G200)=0,"請求額0","支払済"),IF($N200&lt;0,"払いすぎ",IF(N($L200)+N($M200)=0,"未払","一部支払")))))</f>
        <v/>
      </c>
      <c r="P200" s="30">
        <f>IF(OR($B200="",N($N200)&lt;=0,NOT(ISNUMBER($J200))),"",IF($J200&lt;'設定'!$B$7,"期日超過 "&amp;('設定'!$B$7-$J200)&amp;"日",IF($J200='設定'!$B$7,"今日","あと "&amp;($J200-'設定'!$B$7)&amp;"日")))</f>
        <v/>
      </c>
      <c r="Q200" s="56" t="n"/>
      <c r="R200" s="32">
        <f>IF($B200="","",IFERROR(MATCH($B200,'仕入先'!$B$5:$B$54,0),"なし"))</f>
        <v/>
      </c>
      <c r="S200" s="33">
        <f>IF($B200="","",IF(ISNUMBER($D200),$D200,IF(ISNUMBER($A200),$A200,"")))</f>
        <v/>
      </c>
      <c r="T200" s="34">
        <f>IF(OR($B200="",N($N200)&lt;=0),"",IF(ISNUMBER($J200),$J200,99999)+ROW()/1000000)</f>
        <v/>
      </c>
      <c r="U200" s="35">
        <f>IF(OR($B200="",$B200&lt;&gt;'買掛帳'!$B$3,NOT(ISNUMBER($S200))),"",IF(AND($S200&gt;='買掛帳'!$Q$3,$S200&lt;='買掛帳'!$Q$4),$S200+ROW()/10000000,""))</f>
        <v/>
      </c>
      <c r="V200" s="35">
        <f>IF(OR($B200="",$B200&lt;&gt;'買掛帳'!$B$3,NOT(ISNUMBER($K200)),N($L200)+N($M200)=0),"",IF(AND($K200&gt;='買掛帳'!$Q$3,$K200&lt;='買掛帳'!$Q$4),$K200+0.5+ROW()/10000000,""))</f>
        <v/>
      </c>
    </row>
    <row r="201" ht="18" customHeight="1">
      <c r="A201" s="26" t="n"/>
      <c r="B201" s="18" t="n"/>
      <c r="C201" s="20">
        <f>IF($B201="","",IF($R201="なし","※仕入先にないコード",INDEX('仕入先'!$C$5:$C$54,$R201)&amp;""))</f>
        <v/>
      </c>
      <c r="D201" s="26" t="n"/>
      <c r="E201" s="18" t="n"/>
      <c r="F201" s="19" t="n"/>
      <c r="G201" s="27" t="n"/>
      <c r="H201" s="29">
        <f>IF(OR($B201="",NOT(ISNUMBER($R201)),NOT(ISNUMBER($S201))),"",IF(OR(INDEX('仕入先'!$D$5:$D$54,$R201)="",INDEX('仕入先'!$E$5:$E$54,$R201)="",INDEX('仕入先'!$F$5:$F$54,$R201)=""),"",IF(INDEX('仕入先'!$F$5:$F$54,$R201)="末",DATE(YEAR($S201),(MONTH($S201)+IF(INDEX('仕入先'!$D$5:$D$54,$R201)="末",0,IF(DAY($S201)&lt;=INDEX('仕入先'!$D$5:$D$54,$R201),0,1))+N(INDEX('仕入先'!$E$5:$E$54,$R201)))+1,0),DATE(YEAR($S201),(MONTH($S201)+IF(INDEX('仕入先'!$D$5:$D$54,$R201)="末",0,IF(DAY($S201)&lt;=INDEX('仕入先'!$D$5:$D$54,$R201),0,1))+N(INDEX('仕入先'!$E$5:$E$54,$R201))),MIN(INDEX('仕入先'!$F$5:$F$54,$R201),DAY(DATE(YEAR($S201),(MONTH($S201)+IF(INDEX('仕入先'!$D$5:$D$54,$R201)="末",0,IF(DAY($S201)&lt;=INDEX('仕入先'!$D$5:$D$54,$R201),0,1))+N(INDEX('仕入先'!$E$5:$E$54,$R201)))+1,0)))))))</f>
        <v/>
      </c>
      <c r="I201" s="26" t="n"/>
      <c r="J201" s="29">
        <f>IF($B201="","",IF(ISNUMBER($I201),$I201,$H201))</f>
        <v/>
      </c>
      <c r="K201" s="26" t="n"/>
      <c r="L201" s="27" t="n"/>
      <c r="M201" s="27" t="n"/>
      <c r="N201" s="28">
        <f>IF($B201="","",N($G201)-N($L201)-N($M201))</f>
        <v/>
      </c>
      <c r="O201" s="30">
        <f>IF($B201="","",IF(AND(OR(N($L201)&lt;&gt;0,N($M201)&lt;&gt;0),NOT(ISNUMBER($K201))),"支払日なし",IF($N201=0,IF(N($G201)=0,"請求額0","支払済"),IF($N201&lt;0,"払いすぎ",IF(N($L201)+N($M201)=0,"未払","一部支払")))))</f>
        <v/>
      </c>
      <c r="P201" s="30">
        <f>IF(OR($B201="",N($N201)&lt;=0,NOT(ISNUMBER($J201))),"",IF($J201&lt;'設定'!$B$7,"期日超過 "&amp;('設定'!$B$7-$J201)&amp;"日",IF($J201='設定'!$B$7,"今日","あと "&amp;($J201-'設定'!$B$7)&amp;"日")))</f>
        <v/>
      </c>
      <c r="Q201" s="56" t="n"/>
      <c r="R201" s="32">
        <f>IF($B201="","",IFERROR(MATCH($B201,'仕入先'!$B$5:$B$54,0),"なし"))</f>
        <v/>
      </c>
      <c r="S201" s="33">
        <f>IF($B201="","",IF(ISNUMBER($D201),$D201,IF(ISNUMBER($A201),$A201,"")))</f>
        <v/>
      </c>
      <c r="T201" s="34">
        <f>IF(OR($B201="",N($N201)&lt;=0),"",IF(ISNUMBER($J201),$J201,99999)+ROW()/1000000)</f>
        <v/>
      </c>
      <c r="U201" s="35">
        <f>IF(OR($B201="",$B201&lt;&gt;'買掛帳'!$B$3,NOT(ISNUMBER($S201))),"",IF(AND($S201&gt;='買掛帳'!$Q$3,$S201&lt;='買掛帳'!$Q$4),$S201+ROW()/10000000,""))</f>
        <v/>
      </c>
      <c r="V201" s="35">
        <f>IF(OR($B201="",$B201&lt;&gt;'買掛帳'!$B$3,NOT(ISNUMBER($K201)),N($L201)+N($M201)=0),"",IF(AND($K201&gt;='買掛帳'!$Q$3,$K201&lt;='買掛帳'!$Q$4),$K201+0.5+ROW()/10000000,""))</f>
        <v/>
      </c>
    </row>
    <row r="202" ht="18" customHeight="1">
      <c r="A202" s="26" t="n"/>
      <c r="B202" s="18" t="n"/>
      <c r="C202" s="20">
        <f>IF($B202="","",IF($R202="なし","※仕入先にないコード",INDEX('仕入先'!$C$5:$C$54,$R202)&amp;""))</f>
        <v/>
      </c>
      <c r="D202" s="26" t="n"/>
      <c r="E202" s="18" t="n"/>
      <c r="F202" s="19" t="n"/>
      <c r="G202" s="27" t="n"/>
      <c r="H202" s="29">
        <f>IF(OR($B202="",NOT(ISNUMBER($R202)),NOT(ISNUMBER($S202))),"",IF(OR(INDEX('仕入先'!$D$5:$D$54,$R202)="",INDEX('仕入先'!$E$5:$E$54,$R202)="",INDEX('仕入先'!$F$5:$F$54,$R202)=""),"",IF(INDEX('仕入先'!$F$5:$F$54,$R202)="末",DATE(YEAR($S202),(MONTH($S202)+IF(INDEX('仕入先'!$D$5:$D$54,$R202)="末",0,IF(DAY($S202)&lt;=INDEX('仕入先'!$D$5:$D$54,$R202),0,1))+N(INDEX('仕入先'!$E$5:$E$54,$R202)))+1,0),DATE(YEAR($S202),(MONTH($S202)+IF(INDEX('仕入先'!$D$5:$D$54,$R202)="末",0,IF(DAY($S202)&lt;=INDEX('仕入先'!$D$5:$D$54,$R202),0,1))+N(INDEX('仕入先'!$E$5:$E$54,$R202))),MIN(INDEX('仕入先'!$F$5:$F$54,$R202),DAY(DATE(YEAR($S202),(MONTH($S202)+IF(INDEX('仕入先'!$D$5:$D$54,$R202)="末",0,IF(DAY($S202)&lt;=INDEX('仕入先'!$D$5:$D$54,$R202),0,1))+N(INDEX('仕入先'!$E$5:$E$54,$R202)))+1,0)))))))</f>
        <v/>
      </c>
      <c r="I202" s="26" t="n"/>
      <c r="J202" s="29">
        <f>IF($B202="","",IF(ISNUMBER($I202),$I202,$H202))</f>
        <v/>
      </c>
      <c r="K202" s="26" t="n"/>
      <c r="L202" s="27" t="n"/>
      <c r="M202" s="27" t="n"/>
      <c r="N202" s="28">
        <f>IF($B202="","",N($G202)-N($L202)-N($M202))</f>
        <v/>
      </c>
      <c r="O202" s="30">
        <f>IF($B202="","",IF(AND(OR(N($L202)&lt;&gt;0,N($M202)&lt;&gt;0),NOT(ISNUMBER($K202))),"支払日なし",IF($N202=0,IF(N($G202)=0,"請求額0","支払済"),IF($N202&lt;0,"払いすぎ",IF(N($L202)+N($M202)=0,"未払","一部支払")))))</f>
        <v/>
      </c>
      <c r="P202" s="30">
        <f>IF(OR($B202="",N($N202)&lt;=0,NOT(ISNUMBER($J202))),"",IF($J202&lt;'設定'!$B$7,"期日超過 "&amp;('設定'!$B$7-$J202)&amp;"日",IF($J202='設定'!$B$7,"今日","あと "&amp;($J202-'設定'!$B$7)&amp;"日")))</f>
        <v/>
      </c>
      <c r="Q202" s="56" t="n"/>
      <c r="R202" s="32">
        <f>IF($B202="","",IFERROR(MATCH($B202,'仕入先'!$B$5:$B$54,0),"なし"))</f>
        <v/>
      </c>
      <c r="S202" s="33">
        <f>IF($B202="","",IF(ISNUMBER($D202),$D202,IF(ISNUMBER($A202),$A202,"")))</f>
        <v/>
      </c>
      <c r="T202" s="34">
        <f>IF(OR($B202="",N($N202)&lt;=0),"",IF(ISNUMBER($J202),$J202,99999)+ROW()/1000000)</f>
        <v/>
      </c>
      <c r="U202" s="35">
        <f>IF(OR($B202="",$B202&lt;&gt;'買掛帳'!$B$3,NOT(ISNUMBER($S202))),"",IF(AND($S202&gt;='買掛帳'!$Q$3,$S202&lt;='買掛帳'!$Q$4),$S202+ROW()/10000000,""))</f>
        <v/>
      </c>
      <c r="V202" s="35">
        <f>IF(OR($B202="",$B202&lt;&gt;'買掛帳'!$B$3,NOT(ISNUMBER($K202)),N($L202)+N($M202)=0),"",IF(AND($K202&gt;='買掛帳'!$Q$3,$K202&lt;='買掛帳'!$Q$4),$K202+0.5+ROW()/10000000,""))</f>
        <v/>
      </c>
    </row>
    <row r="203" ht="18" customHeight="1">
      <c r="A203" s="26" t="n"/>
      <c r="B203" s="18" t="n"/>
      <c r="C203" s="20">
        <f>IF($B203="","",IF($R203="なし","※仕入先にないコード",INDEX('仕入先'!$C$5:$C$54,$R203)&amp;""))</f>
        <v/>
      </c>
      <c r="D203" s="26" t="n"/>
      <c r="E203" s="18" t="n"/>
      <c r="F203" s="19" t="n"/>
      <c r="G203" s="27" t="n"/>
      <c r="H203" s="29">
        <f>IF(OR($B203="",NOT(ISNUMBER($R203)),NOT(ISNUMBER($S203))),"",IF(OR(INDEX('仕入先'!$D$5:$D$54,$R203)="",INDEX('仕入先'!$E$5:$E$54,$R203)="",INDEX('仕入先'!$F$5:$F$54,$R203)=""),"",IF(INDEX('仕入先'!$F$5:$F$54,$R203)="末",DATE(YEAR($S203),(MONTH($S203)+IF(INDEX('仕入先'!$D$5:$D$54,$R203)="末",0,IF(DAY($S203)&lt;=INDEX('仕入先'!$D$5:$D$54,$R203),0,1))+N(INDEX('仕入先'!$E$5:$E$54,$R203)))+1,0),DATE(YEAR($S203),(MONTH($S203)+IF(INDEX('仕入先'!$D$5:$D$54,$R203)="末",0,IF(DAY($S203)&lt;=INDEX('仕入先'!$D$5:$D$54,$R203),0,1))+N(INDEX('仕入先'!$E$5:$E$54,$R203))),MIN(INDEX('仕入先'!$F$5:$F$54,$R203),DAY(DATE(YEAR($S203),(MONTH($S203)+IF(INDEX('仕入先'!$D$5:$D$54,$R203)="末",0,IF(DAY($S203)&lt;=INDEX('仕入先'!$D$5:$D$54,$R203),0,1))+N(INDEX('仕入先'!$E$5:$E$54,$R203)))+1,0)))))))</f>
        <v/>
      </c>
      <c r="I203" s="26" t="n"/>
      <c r="J203" s="29">
        <f>IF($B203="","",IF(ISNUMBER($I203),$I203,$H203))</f>
        <v/>
      </c>
      <c r="K203" s="26" t="n"/>
      <c r="L203" s="27" t="n"/>
      <c r="M203" s="27" t="n"/>
      <c r="N203" s="28">
        <f>IF($B203="","",N($G203)-N($L203)-N($M203))</f>
        <v/>
      </c>
      <c r="O203" s="30">
        <f>IF($B203="","",IF(AND(OR(N($L203)&lt;&gt;0,N($M203)&lt;&gt;0),NOT(ISNUMBER($K203))),"支払日なし",IF($N203=0,IF(N($G203)=0,"請求額0","支払済"),IF($N203&lt;0,"払いすぎ",IF(N($L203)+N($M203)=0,"未払","一部支払")))))</f>
        <v/>
      </c>
      <c r="P203" s="30">
        <f>IF(OR($B203="",N($N203)&lt;=0,NOT(ISNUMBER($J203))),"",IF($J203&lt;'設定'!$B$7,"期日超過 "&amp;('設定'!$B$7-$J203)&amp;"日",IF($J203='設定'!$B$7,"今日","あと "&amp;($J203-'設定'!$B$7)&amp;"日")))</f>
        <v/>
      </c>
      <c r="Q203" s="56" t="n"/>
      <c r="R203" s="32">
        <f>IF($B203="","",IFERROR(MATCH($B203,'仕入先'!$B$5:$B$54,0),"なし"))</f>
        <v/>
      </c>
      <c r="S203" s="33">
        <f>IF($B203="","",IF(ISNUMBER($D203),$D203,IF(ISNUMBER($A203),$A203,"")))</f>
        <v/>
      </c>
      <c r="T203" s="34">
        <f>IF(OR($B203="",N($N203)&lt;=0),"",IF(ISNUMBER($J203),$J203,99999)+ROW()/1000000)</f>
        <v/>
      </c>
      <c r="U203" s="35">
        <f>IF(OR($B203="",$B203&lt;&gt;'買掛帳'!$B$3,NOT(ISNUMBER($S203))),"",IF(AND($S203&gt;='買掛帳'!$Q$3,$S203&lt;='買掛帳'!$Q$4),$S203+ROW()/10000000,""))</f>
        <v/>
      </c>
      <c r="V203" s="35">
        <f>IF(OR($B203="",$B203&lt;&gt;'買掛帳'!$B$3,NOT(ISNUMBER($K203)),N($L203)+N($M203)=0),"",IF(AND($K203&gt;='買掛帳'!$Q$3,$K203&lt;='買掛帳'!$Q$4),$K203+0.5+ROW()/10000000,""))</f>
        <v/>
      </c>
    </row>
    <row r="204" ht="18" customHeight="1">
      <c r="A204" s="26" t="n"/>
      <c r="B204" s="18" t="n"/>
      <c r="C204" s="20">
        <f>IF($B204="","",IF($R204="なし","※仕入先にないコード",INDEX('仕入先'!$C$5:$C$54,$R204)&amp;""))</f>
        <v/>
      </c>
      <c r="D204" s="26" t="n"/>
      <c r="E204" s="18" t="n"/>
      <c r="F204" s="19" t="n"/>
      <c r="G204" s="27" t="n"/>
      <c r="H204" s="29">
        <f>IF(OR($B204="",NOT(ISNUMBER($R204)),NOT(ISNUMBER($S204))),"",IF(OR(INDEX('仕入先'!$D$5:$D$54,$R204)="",INDEX('仕入先'!$E$5:$E$54,$R204)="",INDEX('仕入先'!$F$5:$F$54,$R204)=""),"",IF(INDEX('仕入先'!$F$5:$F$54,$R204)="末",DATE(YEAR($S204),(MONTH($S204)+IF(INDEX('仕入先'!$D$5:$D$54,$R204)="末",0,IF(DAY($S204)&lt;=INDEX('仕入先'!$D$5:$D$54,$R204),0,1))+N(INDEX('仕入先'!$E$5:$E$54,$R204)))+1,0),DATE(YEAR($S204),(MONTH($S204)+IF(INDEX('仕入先'!$D$5:$D$54,$R204)="末",0,IF(DAY($S204)&lt;=INDEX('仕入先'!$D$5:$D$54,$R204),0,1))+N(INDEX('仕入先'!$E$5:$E$54,$R204))),MIN(INDEX('仕入先'!$F$5:$F$54,$R204),DAY(DATE(YEAR($S204),(MONTH($S204)+IF(INDEX('仕入先'!$D$5:$D$54,$R204)="末",0,IF(DAY($S204)&lt;=INDEX('仕入先'!$D$5:$D$54,$R204),0,1))+N(INDEX('仕入先'!$E$5:$E$54,$R204)))+1,0)))))))</f>
        <v/>
      </c>
      <c r="I204" s="26" t="n"/>
      <c r="J204" s="29">
        <f>IF($B204="","",IF(ISNUMBER($I204),$I204,$H204))</f>
        <v/>
      </c>
      <c r="K204" s="26" t="n"/>
      <c r="L204" s="27" t="n"/>
      <c r="M204" s="27" t="n"/>
      <c r="N204" s="28">
        <f>IF($B204="","",N($G204)-N($L204)-N($M204))</f>
        <v/>
      </c>
      <c r="O204" s="30">
        <f>IF($B204="","",IF(AND(OR(N($L204)&lt;&gt;0,N($M204)&lt;&gt;0),NOT(ISNUMBER($K204))),"支払日なし",IF($N204=0,IF(N($G204)=0,"請求額0","支払済"),IF($N204&lt;0,"払いすぎ",IF(N($L204)+N($M204)=0,"未払","一部支払")))))</f>
        <v/>
      </c>
      <c r="P204" s="30">
        <f>IF(OR($B204="",N($N204)&lt;=0,NOT(ISNUMBER($J204))),"",IF($J204&lt;'設定'!$B$7,"期日超過 "&amp;('設定'!$B$7-$J204)&amp;"日",IF($J204='設定'!$B$7,"今日","あと "&amp;($J204-'設定'!$B$7)&amp;"日")))</f>
        <v/>
      </c>
      <c r="Q204" s="56" t="n"/>
      <c r="R204" s="32">
        <f>IF($B204="","",IFERROR(MATCH($B204,'仕入先'!$B$5:$B$54,0),"なし"))</f>
        <v/>
      </c>
      <c r="S204" s="33">
        <f>IF($B204="","",IF(ISNUMBER($D204),$D204,IF(ISNUMBER($A204),$A204,"")))</f>
        <v/>
      </c>
      <c r="T204" s="34">
        <f>IF(OR($B204="",N($N204)&lt;=0),"",IF(ISNUMBER($J204),$J204,99999)+ROW()/1000000)</f>
        <v/>
      </c>
      <c r="U204" s="35">
        <f>IF(OR($B204="",$B204&lt;&gt;'買掛帳'!$B$3,NOT(ISNUMBER($S204))),"",IF(AND($S204&gt;='買掛帳'!$Q$3,$S204&lt;='買掛帳'!$Q$4),$S204+ROW()/10000000,""))</f>
        <v/>
      </c>
      <c r="V204" s="35">
        <f>IF(OR($B204="",$B204&lt;&gt;'買掛帳'!$B$3,NOT(ISNUMBER($K204)),N($L204)+N($M204)=0),"",IF(AND($K204&gt;='買掛帳'!$Q$3,$K204&lt;='買掛帳'!$Q$4),$K204+0.5+ROW()/10000000,""))</f>
        <v/>
      </c>
    </row>
    <row r="205" ht="18" customHeight="1">
      <c r="A205" s="26" t="n"/>
      <c r="B205" s="18" t="n"/>
      <c r="C205" s="20">
        <f>IF($B205="","",IF($R205="なし","※仕入先にないコード",INDEX('仕入先'!$C$5:$C$54,$R205)&amp;""))</f>
        <v/>
      </c>
      <c r="D205" s="26" t="n"/>
      <c r="E205" s="18" t="n"/>
      <c r="F205" s="19" t="n"/>
      <c r="G205" s="27" t="n"/>
      <c r="H205" s="29">
        <f>IF(OR($B205="",NOT(ISNUMBER($R205)),NOT(ISNUMBER($S205))),"",IF(OR(INDEX('仕入先'!$D$5:$D$54,$R205)="",INDEX('仕入先'!$E$5:$E$54,$R205)="",INDEX('仕入先'!$F$5:$F$54,$R205)=""),"",IF(INDEX('仕入先'!$F$5:$F$54,$R205)="末",DATE(YEAR($S205),(MONTH($S205)+IF(INDEX('仕入先'!$D$5:$D$54,$R205)="末",0,IF(DAY($S205)&lt;=INDEX('仕入先'!$D$5:$D$54,$R205),0,1))+N(INDEX('仕入先'!$E$5:$E$54,$R205)))+1,0),DATE(YEAR($S205),(MONTH($S205)+IF(INDEX('仕入先'!$D$5:$D$54,$R205)="末",0,IF(DAY($S205)&lt;=INDEX('仕入先'!$D$5:$D$54,$R205),0,1))+N(INDEX('仕入先'!$E$5:$E$54,$R205))),MIN(INDEX('仕入先'!$F$5:$F$54,$R205),DAY(DATE(YEAR($S205),(MONTH($S205)+IF(INDEX('仕入先'!$D$5:$D$54,$R205)="末",0,IF(DAY($S205)&lt;=INDEX('仕入先'!$D$5:$D$54,$R205),0,1))+N(INDEX('仕入先'!$E$5:$E$54,$R205)))+1,0)))))))</f>
        <v/>
      </c>
      <c r="I205" s="26" t="n"/>
      <c r="J205" s="29">
        <f>IF($B205="","",IF(ISNUMBER($I205),$I205,$H205))</f>
        <v/>
      </c>
      <c r="K205" s="26" t="n"/>
      <c r="L205" s="27" t="n"/>
      <c r="M205" s="27" t="n"/>
      <c r="N205" s="28">
        <f>IF($B205="","",N($G205)-N($L205)-N($M205))</f>
        <v/>
      </c>
      <c r="O205" s="30">
        <f>IF($B205="","",IF(AND(OR(N($L205)&lt;&gt;0,N($M205)&lt;&gt;0),NOT(ISNUMBER($K205))),"支払日なし",IF($N205=0,IF(N($G205)=0,"請求額0","支払済"),IF($N205&lt;0,"払いすぎ",IF(N($L205)+N($M205)=0,"未払","一部支払")))))</f>
        <v/>
      </c>
      <c r="P205" s="30">
        <f>IF(OR($B205="",N($N205)&lt;=0,NOT(ISNUMBER($J205))),"",IF($J205&lt;'設定'!$B$7,"期日超過 "&amp;('設定'!$B$7-$J205)&amp;"日",IF($J205='設定'!$B$7,"今日","あと "&amp;($J205-'設定'!$B$7)&amp;"日")))</f>
        <v/>
      </c>
      <c r="Q205" s="56" t="n"/>
      <c r="R205" s="32">
        <f>IF($B205="","",IFERROR(MATCH($B205,'仕入先'!$B$5:$B$54,0),"なし"))</f>
        <v/>
      </c>
      <c r="S205" s="33">
        <f>IF($B205="","",IF(ISNUMBER($D205),$D205,IF(ISNUMBER($A205),$A205,"")))</f>
        <v/>
      </c>
      <c r="T205" s="34">
        <f>IF(OR($B205="",N($N205)&lt;=0),"",IF(ISNUMBER($J205),$J205,99999)+ROW()/1000000)</f>
        <v/>
      </c>
      <c r="U205" s="35">
        <f>IF(OR($B205="",$B205&lt;&gt;'買掛帳'!$B$3,NOT(ISNUMBER($S205))),"",IF(AND($S205&gt;='買掛帳'!$Q$3,$S205&lt;='買掛帳'!$Q$4),$S205+ROW()/10000000,""))</f>
        <v/>
      </c>
      <c r="V205" s="35">
        <f>IF(OR($B205="",$B205&lt;&gt;'買掛帳'!$B$3,NOT(ISNUMBER($K205)),N($L205)+N($M205)=0),"",IF(AND($K205&gt;='買掛帳'!$Q$3,$K205&lt;='買掛帳'!$Q$4),$K205+0.5+ROW()/10000000,""))</f>
        <v/>
      </c>
    </row>
    <row r="206" ht="18" customHeight="1">
      <c r="A206" s="26" t="n"/>
      <c r="B206" s="18" t="n"/>
      <c r="C206" s="20">
        <f>IF($B206="","",IF($R206="なし","※仕入先にないコード",INDEX('仕入先'!$C$5:$C$54,$R206)&amp;""))</f>
        <v/>
      </c>
      <c r="D206" s="26" t="n"/>
      <c r="E206" s="18" t="n"/>
      <c r="F206" s="19" t="n"/>
      <c r="G206" s="27" t="n"/>
      <c r="H206" s="29">
        <f>IF(OR($B206="",NOT(ISNUMBER($R206)),NOT(ISNUMBER($S206))),"",IF(OR(INDEX('仕入先'!$D$5:$D$54,$R206)="",INDEX('仕入先'!$E$5:$E$54,$R206)="",INDEX('仕入先'!$F$5:$F$54,$R206)=""),"",IF(INDEX('仕入先'!$F$5:$F$54,$R206)="末",DATE(YEAR($S206),(MONTH($S206)+IF(INDEX('仕入先'!$D$5:$D$54,$R206)="末",0,IF(DAY($S206)&lt;=INDEX('仕入先'!$D$5:$D$54,$R206),0,1))+N(INDEX('仕入先'!$E$5:$E$54,$R206)))+1,0),DATE(YEAR($S206),(MONTH($S206)+IF(INDEX('仕入先'!$D$5:$D$54,$R206)="末",0,IF(DAY($S206)&lt;=INDEX('仕入先'!$D$5:$D$54,$R206),0,1))+N(INDEX('仕入先'!$E$5:$E$54,$R206))),MIN(INDEX('仕入先'!$F$5:$F$54,$R206),DAY(DATE(YEAR($S206),(MONTH($S206)+IF(INDEX('仕入先'!$D$5:$D$54,$R206)="末",0,IF(DAY($S206)&lt;=INDEX('仕入先'!$D$5:$D$54,$R206),0,1))+N(INDEX('仕入先'!$E$5:$E$54,$R206)))+1,0)))))))</f>
        <v/>
      </c>
      <c r="I206" s="26" t="n"/>
      <c r="J206" s="29">
        <f>IF($B206="","",IF(ISNUMBER($I206),$I206,$H206))</f>
        <v/>
      </c>
      <c r="K206" s="26" t="n"/>
      <c r="L206" s="27" t="n"/>
      <c r="M206" s="27" t="n"/>
      <c r="N206" s="28">
        <f>IF($B206="","",N($G206)-N($L206)-N($M206))</f>
        <v/>
      </c>
      <c r="O206" s="30">
        <f>IF($B206="","",IF(AND(OR(N($L206)&lt;&gt;0,N($M206)&lt;&gt;0),NOT(ISNUMBER($K206))),"支払日なし",IF($N206=0,IF(N($G206)=0,"請求額0","支払済"),IF($N206&lt;0,"払いすぎ",IF(N($L206)+N($M206)=0,"未払","一部支払")))))</f>
        <v/>
      </c>
      <c r="P206" s="30">
        <f>IF(OR($B206="",N($N206)&lt;=0,NOT(ISNUMBER($J206))),"",IF($J206&lt;'設定'!$B$7,"期日超過 "&amp;('設定'!$B$7-$J206)&amp;"日",IF($J206='設定'!$B$7,"今日","あと "&amp;($J206-'設定'!$B$7)&amp;"日")))</f>
        <v/>
      </c>
      <c r="Q206" s="56" t="n"/>
      <c r="R206" s="32">
        <f>IF($B206="","",IFERROR(MATCH($B206,'仕入先'!$B$5:$B$54,0),"なし"))</f>
        <v/>
      </c>
      <c r="S206" s="33">
        <f>IF($B206="","",IF(ISNUMBER($D206),$D206,IF(ISNUMBER($A206),$A206,"")))</f>
        <v/>
      </c>
      <c r="T206" s="34">
        <f>IF(OR($B206="",N($N206)&lt;=0),"",IF(ISNUMBER($J206),$J206,99999)+ROW()/1000000)</f>
        <v/>
      </c>
      <c r="U206" s="35">
        <f>IF(OR($B206="",$B206&lt;&gt;'買掛帳'!$B$3,NOT(ISNUMBER($S206))),"",IF(AND($S206&gt;='買掛帳'!$Q$3,$S206&lt;='買掛帳'!$Q$4),$S206+ROW()/10000000,""))</f>
        <v/>
      </c>
      <c r="V206" s="35">
        <f>IF(OR($B206="",$B206&lt;&gt;'買掛帳'!$B$3,NOT(ISNUMBER($K206)),N($L206)+N($M206)=0),"",IF(AND($K206&gt;='買掛帳'!$Q$3,$K206&lt;='買掛帳'!$Q$4),$K206+0.5+ROW()/10000000,""))</f>
        <v/>
      </c>
    </row>
    <row r="207" ht="18" customHeight="1">
      <c r="A207" s="26" t="n"/>
      <c r="B207" s="18" t="n"/>
      <c r="C207" s="20">
        <f>IF($B207="","",IF($R207="なし","※仕入先にないコード",INDEX('仕入先'!$C$5:$C$54,$R207)&amp;""))</f>
        <v/>
      </c>
      <c r="D207" s="26" t="n"/>
      <c r="E207" s="18" t="n"/>
      <c r="F207" s="19" t="n"/>
      <c r="G207" s="27" t="n"/>
      <c r="H207" s="29">
        <f>IF(OR($B207="",NOT(ISNUMBER($R207)),NOT(ISNUMBER($S207))),"",IF(OR(INDEX('仕入先'!$D$5:$D$54,$R207)="",INDEX('仕入先'!$E$5:$E$54,$R207)="",INDEX('仕入先'!$F$5:$F$54,$R207)=""),"",IF(INDEX('仕入先'!$F$5:$F$54,$R207)="末",DATE(YEAR($S207),(MONTH($S207)+IF(INDEX('仕入先'!$D$5:$D$54,$R207)="末",0,IF(DAY($S207)&lt;=INDEX('仕入先'!$D$5:$D$54,$R207),0,1))+N(INDEX('仕入先'!$E$5:$E$54,$R207)))+1,0),DATE(YEAR($S207),(MONTH($S207)+IF(INDEX('仕入先'!$D$5:$D$54,$R207)="末",0,IF(DAY($S207)&lt;=INDEX('仕入先'!$D$5:$D$54,$R207),0,1))+N(INDEX('仕入先'!$E$5:$E$54,$R207))),MIN(INDEX('仕入先'!$F$5:$F$54,$R207),DAY(DATE(YEAR($S207),(MONTH($S207)+IF(INDEX('仕入先'!$D$5:$D$54,$R207)="末",0,IF(DAY($S207)&lt;=INDEX('仕入先'!$D$5:$D$54,$R207),0,1))+N(INDEX('仕入先'!$E$5:$E$54,$R207)))+1,0)))))))</f>
        <v/>
      </c>
      <c r="I207" s="26" t="n"/>
      <c r="J207" s="29">
        <f>IF($B207="","",IF(ISNUMBER($I207),$I207,$H207))</f>
        <v/>
      </c>
      <c r="K207" s="26" t="n"/>
      <c r="L207" s="27" t="n"/>
      <c r="M207" s="27" t="n"/>
      <c r="N207" s="28">
        <f>IF($B207="","",N($G207)-N($L207)-N($M207))</f>
        <v/>
      </c>
      <c r="O207" s="30">
        <f>IF($B207="","",IF(AND(OR(N($L207)&lt;&gt;0,N($M207)&lt;&gt;0),NOT(ISNUMBER($K207))),"支払日なし",IF($N207=0,IF(N($G207)=0,"請求額0","支払済"),IF($N207&lt;0,"払いすぎ",IF(N($L207)+N($M207)=0,"未払","一部支払")))))</f>
        <v/>
      </c>
      <c r="P207" s="30">
        <f>IF(OR($B207="",N($N207)&lt;=0,NOT(ISNUMBER($J207))),"",IF($J207&lt;'設定'!$B$7,"期日超過 "&amp;('設定'!$B$7-$J207)&amp;"日",IF($J207='設定'!$B$7,"今日","あと "&amp;($J207-'設定'!$B$7)&amp;"日")))</f>
        <v/>
      </c>
      <c r="Q207" s="56" t="n"/>
      <c r="R207" s="32">
        <f>IF($B207="","",IFERROR(MATCH($B207,'仕入先'!$B$5:$B$54,0),"なし"))</f>
        <v/>
      </c>
      <c r="S207" s="33">
        <f>IF($B207="","",IF(ISNUMBER($D207),$D207,IF(ISNUMBER($A207),$A207,"")))</f>
        <v/>
      </c>
      <c r="T207" s="34">
        <f>IF(OR($B207="",N($N207)&lt;=0),"",IF(ISNUMBER($J207),$J207,99999)+ROW()/1000000)</f>
        <v/>
      </c>
      <c r="U207" s="35">
        <f>IF(OR($B207="",$B207&lt;&gt;'買掛帳'!$B$3,NOT(ISNUMBER($S207))),"",IF(AND($S207&gt;='買掛帳'!$Q$3,$S207&lt;='買掛帳'!$Q$4),$S207+ROW()/10000000,""))</f>
        <v/>
      </c>
      <c r="V207" s="35">
        <f>IF(OR($B207="",$B207&lt;&gt;'買掛帳'!$B$3,NOT(ISNUMBER($K207)),N($L207)+N($M207)=0),"",IF(AND($K207&gt;='買掛帳'!$Q$3,$K207&lt;='買掛帳'!$Q$4),$K207+0.5+ROW()/10000000,""))</f>
        <v/>
      </c>
    </row>
    <row r="208" ht="18" customHeight="1">
      <c r="A208" s="26" t="n"/>
      <c r="B208" s="18" t="n"/>
      <c r="C208" s="20">
        <f>IF($B208="","",IF($R208="なし","※仕入先にないコード",INDEX('仕入先'!$C$5:$C$54,$R208)&amp;""))</f>
        <v/>
      </c>
      <c r="D208" s="26" t="n"/>
      <c r="E208" s="18" t="n"/>
      <c r="F208" s="19" t="n"/>
      <c r="G208" s="27" t="n"/>
      <c r="H208" s="29">
        <f>IF(OR($B208="",NOT(ISNUMBER($R208)),NOT(ISNUMBER($S208))),"",IF(OR(INDEX('仕入先'!$D$5:$D$54,$R208)="",INDEX('仕入先'!$E$5:$E$54,$R208)="",INDEX('仕入先'!$F$5:$F$54,$R208)=""),"",IF(INDEX('仕入先'!$F$5:$F$54,$R208)="末",DATE(YEAR($S208),(MONTH($S208)+IF(INDEX('仕入先'!$D$5:$D$54,$R208)="末",0,IF(DAY($S208)&lt;=INDEX('仕入先'!$D$5:$D$54,$R208),0,1))+N(INDEX('仕入先'!$E$5:$E$54,$R208)))+1,0),DATE(YEAR($S208),(MONTH($S208)+IF(INDEX('仕入先'!$D$5:$D$54,$R208)="末",0,IF(DAY($S208)&lt;=INDEX('仕入先'!$D$5:$D$54,$R208),0,1))+N(INDEX('仕入先'!$E$5:$E$54,$R208))),MIN(INDEX('仕入先'!$F$5:$F$54,$R208),DAY(DATE(YEAR($S208),(MONTH($S208)+IF(INDEX('仕入先'!$D$5:$D$54,$R208)="末",0,IF(DAY($S208)&lt;=INDEX('仕入先'!$D$5:$D$54,$R208),0,1))+N(INDEX('仕入先'!$E$5:$E$54,$R208)))+1,0)))))))</f>
        <v/>
      </c>
      <c r="I208" s="26" t="n"/>
      <c r="J208" s="29">
        <f>IF($B208="","",IF(ISNUMBER($I208),$I208,$H208))</f>
        <v/>
      </c>
      <c r="K208" s="26" t="n"/>
      <c r="L208" s="27" t="n"/>
      <c r="M208" s="27" t="n"/>
      <c r="N208" s="28">
        <f>IF($B208="","",N($G208)-N($L208)-N($M208))</f>
        <v/>
      </c>
      <c r="O208" s="30">
        <f>IF($B208="","",IF(AND(OR(N($L208)&lt;&gt;0,N($M208)&lt;&gt;0),NOT(ISNUMBER($K208))),"支払日なし",IF($N208=0,IF(N($G208)=0,"請求額0","支払済"),IF($N208&lt;0,"払いすぎ",IF(N($L208)+N($M208)=0,"未払","一部支払")))))</f>
        <v/>
      </c>
      <c r="P208" s="30">
        <f>IF(OR($B208="",N($N208)&lt;=0,NOT(ISNUMBER($J208))),"",IF($J208&lt;'設定'!$B$7,"期日超過 "&amp;('設定'!$B$7-$J208)&amp;"日",IF($J208='設定'!$B$7,"今日","あと "&amp;($J208-'設定'!$B$7)&amp;"日")))</f>
        <v/>
      </c>
      <c r="Q208" s="56" t="n"/>
      <c r="R208" s="32">
        <f>IF($B208="","",IFERROR(MATCH($B208,'仕入先'!$B$5:$B$54,0),"なし"))</f>
        <v/>
      </c>
      <c r="S208" s="33">
        <f>IF($B208="","",IF(ISNUMBER($D208),$D208,IF(ISNUMBER($A208),$A208,"")))</f>
        <v/>
      </c>
      <c r="T208" s="34">
        <f>IF(OR($B208="",N($N208)&lt;=0),"",IF(ISNUMBER($J208),$J208,99999)+ROW()/1000000)</f>
        <v/>
      </c>
      <c r="U208" s="35">
        <f>IF(OR($B208="",$B208&lt;&gt;'買掛帳'!$B$3,NOT(ISNUMBER($S208))),"",IF(AND($S208&gt;='買掛帳'!$Q$3,$S208&lt;='買掛帳'!$Q$4),$S208+ROW()/10000000,""))</f>
        <v/>
      </c>
      <c r="V208" s="35">
        <f>IF(OR($B208="",$B208&lt;&gt;'買掛帳'!$B$3,NOT(ISNUMBER($K208)),N($L208)+N($M208)=0),"",IF(AND($K208&gt;='買掛帳'!$Q$3,$K208&lt;='買掛帳'!$Q$4),$K208+0.5+ROW()/10000000,""))</f>
        <v/>
      </c>
    </row>
    <row r="209" ht="18" customHeight="1">
      <c r="A209" s="26" t="n"/>
      <c r="B209" s="18" t="n"/>
      <c r="C209" s="20">
        <f>IF($B209="","",IF($R209="なし","※仕入先にないコード",INDEX('仕入先'!$C$5:$C$54,$R209)&amp;""))</f>
        <v/>
      </c>
      <c r="D209" s="26" t="n"/>
      <c r="E209" s="18" t="n"/>
      <c r="F209" s="19" t="n"/>
      <c r="G209" s="27" t="n"/>
      <c r="H209" s="29">
        <f>IF(OR($B209="",NOT(ISNUMBER($R209)),NOT(ISNUMBER($S209))),"",IF(OR(INDEX('仕入先'!$D$5:$D$54,$R209)="",INDEX('仕入先'!$E$5:$E$54,$R209)="",INDEX('仕入先'!$F$5:$F$54,$R209)=""),"",IF(INDEX('仕入先'!$F$5:$F$54,$R209)="末",DATE(YEAR($S209),(MONTH($S209)+IF(INDEX('仕入先'!$D$5:$D$54,$R209)="末",0,IF(DAY($S209)&lt;=INDEX('仕入先'!$D$5:$D$54,$R209),0,1))+N(INDEX('仕入先'!$E$5:$E$54,$R209)))+1,0),DATE(YEAR($S209),(MONTH($S209)+IF(INDEX('仕入先'!$D$5:$D$54,$R209)="末",0,IF(DAY($S209)&lt;=INDEX('仕入先'!$D$5:$D$54,$R209),0,1))+N(INDEX('仕入先'!$E$5:$E$54,$R209))),MIN(INDEX('仕入先'!$F$5:$F$54,$R209),DAY(DATE(YEAR($S209),(MONTH($S209)+IF(INDEX('仕入先'!$D$5:$D$54,$R209)="末",0,IF(DAY($S209)&lt;=INDEX('仕入先'!$D$5:$D$54,$R209),0,1))+N(INDEX('仕入先'!$E$5:$E$54,$R209)))+1,0)))))))</f>
        <v/>
      </c>
      <c r="I209" s="26" t="n"/>
      <c r="J209" s="29">
        <f>IF($B209="","",IF(ISNUMBER($I209),$I209,$H209))</f>
        <v/>
      </c>
      <c r="K209" s="26" t="n"/>
      <c r="L209" s="27" t="n"/>
      <c r="M209" s="27" t="n"/>
      <c r="N209" s="28">
        <f>IF($B209="","",N($G209)-N($L209)-N($M209))</f>
        <v/>
      </c>
      <c r="O209" s="30">
        <f>IF($B209="","",IF(AND(OR(N($L209)&lt;&gt;0,N($M209)&lt;&gt;0),NOT(ISNUMBER($K209))),"支払日なし",IF($N209=0,IF(N($G209)=0,"請求額0","支払済"),IF($N209&lt;0,"払いすぎ",IF(N($L209)+N($M209)=0,"未払","一部支払")))))</f>
        <v/>
      </c>
      <c r="P209" s="30">
        <f>IF(OR($B209="",N($N209)&lt;=0,NOT(ISNUMBER($J209))),"",IF($J209&lt;'設定'!$B$7,"期日超過 "&amp;('設定'!$B$7-$J209)&amp;"日",IF($J209='設定'!$B$7,"今日","あと "&amp;($J209-'設定'!$B$7)&amp;"日")))</f>
        <v/>
      </c>
      <c r="Q209" s="56" t="n"/>
      <c r="R209" s="32">
        <f>IF($B209="","",IFERROR(MATCH($B209,'仕入先'!$B$5:$B$54,0),"なし"))</f>
        <v/>
      </c>
      <c r="S209" s="33">
        <f>IF($B209="","",IF(ISNUMBER($D209),$D209,IF(ISNUMBER($A209),$A209,"")))</f>
        <v/>
      </c>
      <c r="T209" s="34">
        <f>IF(OR($B209="",N($N209)&lt;=0),"",IF(ISNUMBER($J209),$J209,99999)+ROW()/1000000)</f>
        <v/>
      </c>
      <c r="U209" s="35">
        <f>IF(OR($B209="",$B209&lt;&gt;'買掛帳'!$B$3,NOT(ISNUMBER($S209))),"",IF(AND($S209&gt;='買掛帳'!$Q$3,$S209&lt;='買掛帳'!$Q$4),$S209+ROW()/10000000,""))</f>
        <v/>
      </c>
      <c r="V209" s="35">
        <f>IF(OR($B209="",$B209&lt;&gt;'買掛帳'!$B$3,NOT(ISNUMBER($K209)),N($L209)+N($M209)=0),"",IF(AND($K209&gt;='買掛帳'!$Q$3,$K209&lt;='買掛帳'!$Q$4),$K209+0.5+ROW()/10000000,""))</f>
        <v/>
      </c>
    </row>
    <row r="210" ht="18" customHeight="1">
      <c r="A210" s="26" t="n"/>
      <c r="B210" s="18" t="n"/>
      <c r="C210" s="20">
        <f>IF($B210="","",IF($R210="なし","※仕入先にないコード",INDEX('仕入先'!$C$5:$C$54,$R210)&amp;""))</f>
        <v/>
      </c>
      <c r="D210" s="26" t="n"/>
      <c r="E210" s="18" t="n"/>
      <c r="F210" s="19" t="n"/>
      <c r="G210" s="27" t="n"/>
      <c r="H210" s="29">
        <f>IF(OR($B210="",NOT(ISNUMBER($R210)),NOT(ISNUMBER($S210))),"",IF(OR(INDEX('仕入先'!$D$5:$D$54,$R210)="",INDEX('仕入先'!$E$5:$E$54,$R210)="",INDEX('仕入先'!$F$5:$F$54,$R210)=""),"",IF(INDEX('仕入先'!$F$5:$F$54,$R210)="末",DATE(YEAR($S210),(MONTH($S210)+IF(INDEX('仕入先'!$D$5:$D$54,$R210)="末",0,IF(DAY($S210)&lt;=INDEX('仕入先'!$D$5:$D$54,$R210),0,1))+N(INDEX('仕入先'!$E$5:$E$54,$R210)))+1,0),DATE(YEAR($S210),(MONTH($S210)+IF(INDEX('仕入先'!$D$5:$D$54,$R210)="末",0,IF(DAY($S210)&lt;=INDEX('仕入先'!$D$5:$D$54,$R210),0,1))+N(INDEX('仕入先'!$E$5:$E$54,$R210))),MIN(INDEX('仕入先'!$F$5:$F$54,$R210),DAY(DATE(YEAR($S210),(MONTH($S210)+IF(INDEX('仕入先'!$D$5:$D$54,$R210)="末",0,IF(DAY($S210)&lt;=INDEX('仕入先'!$D$5:$D$54,$R210),0,1))+N(INDEX('仕入先'!$E$5:$E$54,$R210)))+1,0)))))))</f>
        <v/>
      </c>
      <c r="I210" s="26" t="n"/>
      <c r="J210" s="29">
        <f>IF($B210="","",IF(ISNUMBER($I210),$I210,$H210))</f>
        <v/>
      </c>
      <c r="K210" s="26" t="n"/>
      <c r="L210" s="27" t="n"/>
      <c r="M210" s="27" t="n"/>
      <c r="N210" s="28">
        <f>IF($B210="","",N($G210)-N($L210)-N($M210))</f>
        <v/>
      </c>
      <c r="O210" s="30">
        <f>IF($B210="","",IF(AND(OR(N($L210)&lt;&gt;0,N($M210)&lt;&gt;0),NOT(ISNUMBER($K210))),"支払日なし",IF($N210=0,IF(N($G210)=0,"請求額0","支払済"),IF($N210&lt;0,"払いすぎ",IF(N($L210)+N($M210)=0,"未払","一部支払")))))</f>
        <v/>
      </c>
      <c r="P210" s="30">
        <f>IF(OR($B210="",N($N210)&lt;=0,NOT(ISNUMBER($J210))),"",IF($J210&lt;'設定'!$B$7,"期日超過 "&amp;('設定'!$B$7-$J210)&amp;"日",IF($J210='設定'!$B$7,"今日","あと "&amp;($J210-'設定'!$B$7)&amp;"日")))</f>
        <v/>
      </c>
      <c r="Q210" s="56" t="n"/>
      <c r="R210" s="32">
        <f>IF($B210="","",IFERROR(MATCH($B210,'仕入先'!$B$5:$B$54,0),"なし"))</f>
        <v/>
      </c>
      <c r="S210" s="33">
        <f>IF($B210="","",IF(ISNUMBER($D210),$D210,IF(ISNUMBER($A210),$A210,"")))</f>
        <v/>
      </c>
      <c r="T210" s="34">
        <f>IF(OR($B210="",N($N210)&lt;=0),"",IF(ISNUMBER($J210),$J210,99999)+ROW()/1000000)</f>
        <v/>
      </c>
      <c r="U210" s="35">
        <f>IF(OR($B210="",$B210&lt;&gt;'買掛帳'!$B$3,NOT(ISNUMBER($S210))),"",IF(AND($S210&gt;='買掛帳'!$Q$3,$S210&lt;='買掛帳'!$Q$4),$S210+ROW()/10000000,""))</f>
        <v/>
      </c>
      <c r="V210" s="35">
        <f>IF(OR($B210="",$B210&lt;&gt;'買掛帳'!$B$3,NOT(ISNUMBER($K210)),N($L210)+N($M210)=0),"",IF(AND($K210&gt;='買掛帳'!$Q$3,$K210&lt;='買掛帳'!$Q$4),$K210+0.5+ROW()/10000000,""))</f>
        <v/>
      </c>
    </row>
    <row r="211" ht="18" customHeight="1">
      <c r="A211" s="26" t="n"/>
      <c r="B211" s="18" t="n"/>
      <c r="C211" s="20">
        <f>IF($B211="","",IF($R211="なし","※仕入先にないコード",INDEX('仕入先'!$C$5:$C$54,$R211)&amp;""))</f>
        <v/>
      </c>
      <c r="D211" s="26" t="n"/>
      <c r="E211" s="18" t="n"/>
      <c r="F211" s="19" t="n"/>
      <c r="G211" s="27" t="n"/>
      <c r="H211" s="29">
        <f>IF(OR($B211="",NOT(ISNUMBER($R211)),NOT(ISNUMBER($S211))),"",IF(OR(INDEX('仕入先'!$D$5:$D$54,$R211)="",INDEX('仕入先'!$E$5:$E$54,$R211)="",INDEX('仕入先'!$F$5:$F$54,$R211)=""),"",IF(INDEX('仕入先'!$F$5:$F$54,$R211)="末",DATE(YEAR($S211),(MONTH($S211)+IF(INDEX('仕入先'!$D$5:$D$54,$R211)="末",0,IF(DAY($S211)&lt;=INDEX('仕入先'!$D$5:$D$54,$R211),0,1))+N(INDEX('仕入先'!$E$5:$E$54,$R211)))+1,0),DATE(YEAR($S211),(MONTH($S211)+IF(INDEX('仕入先'!$D$5:$D$54,$R211)="末",0,IF(DAY($S211)&lt;=INDEX('仕入先'!$D$5:$D$54,$R211),0,1))+N(INDEX('仕入先'!$E$5:$E$54,$R211))),MIN(INDEX('仕入先'!$F$5:$F$54,$R211),DAY(DATE(YEAR($S211),(MONTH($S211)+IF(INDEX('仕入先'!$D$5:$D$54,$R211)="末",0,IF(DAY($S211)&lt;=INDEX('仕入先'!$D$5:$D$54,$R211),0,1))+N(INDEX('仕入先'!$E$5:$E$54,$R211)))+1,0)))))))</f>
        <v/>
      </c>
      <c r="I211" s="26" t="n"/>
      <c r="J211" s="29">
        <f>IF($B211="","",IF(ISNUMBER($I211),$I211,$H211))</f>
        <v/>
      </c>
      <c r="K211" s="26" t="n"/>
      <c r="L211" s="27" t="n"/>
      <c r="M211" s="27" t="n"/>
      <c r="N211" s="28">
        <f>IF($B211="","",N($G211)-N($L211)-N($M211))</f>
        <v/>
      </c>
      <c r="O211" s="30">
        <f>IF($B211="","",IF(AND(OR(N($L211)&lt;&gt;0,N($M211)&lt;&gt;0),NOT(ISNUMBER($K211))),"支払日なし",IF($N211=0,IF(N($G211)=0,"請求額0","支払済"),IF($N211&lt;0,"払いすぎ",IF(N($L211)+N($M211)=0,"未払","一部支払")))))</f>
        <v/>
      </c>
      <c r="P211" s="30">
        <f>IF(OR($B211="",N($N211)&lt;=0,NOT(ISNUMBER($J211))),"",IF($J211&lt;'設定'!$B$7,"期日超過 "&amp;('設定'!$B$7-$J211)&amp;"日",IF($J211='設定'!$B$7,"今日","あと "&amp;($J211-'設定'!$B$7)&amp;"日")))</f>
        <v/>
      </c>
      <c r="Q211" s="56" t="n"/>
      <c r="R211" s="32">
        <f>IF($B211="","",IFERROR(MATCH($B211,'仕入先'!$B$5:$B$54,0),"なし"))</f>
        <v/>
      </c>
      <c r="S211" s="33">
        <f>IF($B211="","",IF(ISNUMBER($D211),$D211,IF(ISNUMBER($A211),$A211,"")))</f>
        <v/>
      </c>
      <c r="T211" s="34">
        <f>IF(OR($B211="",N($N211)&lt;=0),"",IF(ISNUMBER($J211),$J211,99999)+ROW()/1000000)</f>
        <v/>
      </c>
      <c r="U211" s="35">
        <f>IF(OR($B211="",$B211&lt;&gt;'買掛帳'!$B$3,NOT(ISNUMBER($S211))),"",IF(AND($S211&gt;='買掛帳'!$Q$3,$S211&lt;='買掛帳'!$Q$4),$S211+ROW()/10000000,""))</f>
        <v/>
      </c>
      <c r="V211" s="35">
        <f>IF(OR($B211="",$B211&lt;&gt;'買掛帳'!$B$3,NOT(ISNUMBER($K211)),N($L211)+N($M211)=0),"",IF(AND($K211&gt;='買掛帳'!$Q$3,$K211&lt;='買掛帳'!$Q$4),$K211+0.5+ROW()/10000000,""))</f>
        <v/>
      </c>
    </row>
    <row r="212" ht="18" customHeight="1">
      <c r="A212" s="26" t="n"/>
      <c r="B212" s="18" t="n"/>
      <c r="C212" s="20">
        <f>IF($B212="","",IF($R212="なし","※仕入先にないコード",INDEX('仕入先'!$C$5:$C$54,$R212)&amp;""))</f>
        <v/>
      </c>
      <c r="D212" s="26" t="n"/>
      <c r="E212" s="18" t="n"/>
      <c r="F212" s="19" t="n"/>
      <c r="G212" s="27" t="n"/>
      <c r="H212" s="29">
        <f>IF(OR($B212="",NOT(ISNUMBER($R212)),NOT(ISNUMBER($S212))),"",IF(OR(INDEX('仕入先'!$D$5:$D$54,$R212)="",INDEX('仕入先'!$E$5:$E$54,$R212)="",INDEX('仕入先'!$F$5:$F$54,$R212)=""),"",IF(INDEX('仕入先'!$F$5:$F$54,$R212)="末",DATE(YEAR($S212),(MONTH($S212)+IF(INDEX('仕入先'!$D$5:$D$54,$R212)="末",0,IF(DAY($S212)&lt;=INDEX('仕入先'!$D$5:$D$54,$R212),0,1))+N(INDEX('仕入先'!$E$5:$E$54,$R212)))+1,0),DATE(YEAR($S212),(MONTH($S212)+IF(INDEX('仕入先'!$D$5:$D$54,$R212)="末",0,IF(DAY($S212)&lt;=INDEX('仕入先'!$D$5:$D$54,$R212),0,1))+N(INDEX('仕入先'!$E$5:$E$54,$R212))),MIN(INDEX('仕入先'!$F$5:$F$54,$R212),DAY(DATE(YEAR($S212),(MONTH($S212)+IF(INDEX('仕入先'!$D$5:$D$54,$R212)="末",0,IF(DAY($S212)&lt;=INDEX('仕入先'!$D$5:$D$54,$R212),0,1))+N(INDEX('仕入先'!$E$5:$E$54,$R212)))+1,0)))))))</f>
        <v/>
      </c>
      <c r="I212" s="26" t="n"/>
      <c r="J212" s="29">
        <f>IF($B212="","",IF(ISNUMBER($I212),$I212,$H212))</f>
        <v/>
      </c>
      <c r="K212" s="26" t="n"/>
      <c r="L212" s="27" t="n"/>
      <c r="M212" s="27" t="n"/>
      <c r="N212" s="28">
        <f>IF($B212="","",N($G212)-N($L212)-N($M212))</f>
        <v/>
      </c>
      <c r="O212" s="30">
        <f>IF($B212="","",IF(AND(OR(N($L212)&lt;&gt;0,N($M212)&lt;&gt;0),NOT(ISNUMBER($K212))),"支払日なし",IF($N212=0,IF(N($G212)=0,"請求額0","支払済"),IF($N212&lt;0,"払いすぎ",IF(N($L212)+N($M212)=0,"未払","一部支払")))))</f>
        <v/>
      </c>
      <c r="P212" s="30">
        <f>IF(OR($B212="",N($N212)&lt;=0,NOT(ISNUMBER($J212))),"",IF($J212&lt;'設定'!$B$7,"期日超過 "&amp;('設定'!$B$7-$J212)&amp;"日",IF($J212='設定'!$B$7,"今日","あと "&amp;($J212-'設定'!$B$7)&amp;"日")))</f>
        <v/>
      </c>
      <c r="Q212" s="56" t="n"/>
      <c r="R212" s="32">
        <f>IF($B212="","",IFERROR(MATCH($B212,'仕入先'!$B$5:$B$54,0),"なし"))</f>
        <v/>
      </c>
      <c r="S212" s="33">
        <f>IF($B212="","",IF(ISNUMBER($D212),$D212,IF(ISNUMBER($A212),$A212,"")))</f>
        <v/>
      </c>
      <c r="T212" s="34">
        <f>IF(OR($B212="",N($N212)&lt;=0),"",IF(ISNUMBER($J212),$J212,99999)+ROW()/1000000)</f>
        <v/>
      </c>
      <c r="U212" s="35">
        <f>IF(OR($B212="",$B212&lt;&gt;'買掛帳'!$B$3,NOT(ISNUMBER($S212))),"",IF(AND($S212&gt;='買掛帳'!$Q$3,$S212&lt;='買掛帳'!$Q$4),$S212+ROW()/10000000,""))</f>
        <v/>
      </c>
      <c r="V212" s="35">
        <f>IF(OR($B212="",$B212&lt;&gt;'買掛帳'!$B$3,NOT(ISNUMBER($K212)),N($L212)+N($M212)=0),"",IF(AND($K212&gt;='買掛帳'!$Q$3,$K212&lt;='買掛帳'!$Q$4),$K212+0.5+ROW()/10000000,""))</f>
        <v/>
      </c>
    </row>
    <row r="213" ht="18" customHeight="1">
      <c r="A213" s="26" t="n"/>
      <c r="B213" s="18" t="n"/>
      <c r="C213" s="20">
        <f>IF($B213="","",IF($R213="なし","※仕入先にないコード",INDEX('仕入先'!$C$5:$C$54,$R213)&amp;""))</f>
        <v/>
      </c>
      <c r="D213" s="26" t="n"/>
      <c r="E213" s="18" t="n"/>
      <c r="F213" s="19" t="n"/>
      <c r="G213" s="27" t="n"/>
      <c r="H213" s="29">
        <f>IF(OR($B213="",NOT(ISNUMBER($R213)),NOT(ISNUMBER($S213))),"",IF(OR(INDEX('仕入先'!$D$5:$D$54,$R213)="",INDEX('仕入先'!$E$5:$E$54,$R213)="",INDEX('仕入先'!$F$5:$F$54,$R213)=""),"",IF(INDEX('仕入先'!$F$5:$F$54,$R213)="末",DATE(YEAR($S213),(MONTH($S213)+IF(INDEX('仕入先'!$D$5:$D$54,$R213)="末",0,IF(DAY($S213)&lt;=INDEX('仕入先'!$D$5:$D$54,$R213),0,1))+N(INDEX('仕入先'!$E$5:$E$54,$R213)))+1,0),DATE(YEAR($S213),(MONTH($S213)+IF(INDEX('仕入先'!$D$5:$D$54,$R213)="末",0,IF(DAY($S213)&lt;=INDEX('仕入先'!$D$5:$D$54,$R213),0,1))+N(INDEX('仕入先'!$E$5:$E$54,$R213))),MIN(INDEX('仕入先'!$F$5:$F$54,$R213),DAY(DATE(YEAR($S213),(MONTH($S213)+IF(INDEX('仕入先'!$D$5:$D$54,$R213)="末",0,IF(DAY($S213)&lt;=INDEX('仕入先'!$D$5:$D$54,$R213),0,1))+N(INDEX('仕入先'!$E$5:$E$54,$R213)))+1,0)))))))</f>
        <v/>
      </c>
      <c r="I213" s="26" t="n"/>
      <c r="J213" s="29">
        <f>IF($B213="","",IF(ISNUMBER($I213),$I213,$H213))</f>
        <v/>
      </c>
      <c r="K213" s="26" t="n"/>
      <c r="L213" s="27" t="n"/>
      <c r="M213" s="27" t="n"/>
      <c r="N213" s="28">
        <f>IF($B213="","",N($G213)-N($L213)-N($M213))</f>
        <v/>
      </c>
      <c r="O213" s="30">
        <f>IF($B213="","",IF(AND(OR(N($L213)&lt;&gt;0,N($M213)&lt;&gt;0),NOT(ISNUMBER($K213))),"支払日なし",IF($N213=0,IF(N($G213)=0,"請求額0","支払済"),IF($N213&lt;0,"払いすぎ",IF(N($L213)+N($M213)=0,"未払","一部支払")))))</f>
        <v/>
      </c>
      <c r="P213" s="30">
        <f>IF(OR($B213="",N($N213)&lt;=0,NOT(ISNUMBER($J213))),"",IF($J213&lt;'設定'!$B$7,"期日超過 "&amp;('設定'!$B$7-$J213)&amp;"日",IF($J213='設定'!$B$7,"今日","あと "&amp;($J213-'設定'!$B$7)&amp;"日")))</f>
        <v/>
      </c>
      <c r="Q213" s="56" t="n"/>
      <c r="R213" s="32">
        <f>IF($B213="","",IFERROR(MATCH($B213,'仕入先'!$B$5:$B$54,0),"なし"))</f>
        <v/>
      </c>
      <c r="S213" s="33">
        <f>IF($B213="","",IF(ISNUMBER($D213),$D213,IF(ISNUMBER($A213),$A213,"")))</f>
        <v/>
      </c>
      <c r="T213" s="34">
        <f>IF(OR($B213="",N($N213)&lt;=0),"",IF(ISNUMBER($J213),$J213,99999)+ROW()/1000000)</f>
        <v/>
      </c>
      <c r="U213" s="35">
        <f>IF(OR($B213="",$B213&lt;&gt;'買掛帳'!$B$3,NOT(ISNUMBER($S213))),"",IF(AND($S213&gt;='買掛帳'!$Q$3,$S213&lt;='買掛帳'!$Q$4),$S213+ROW()/10000000,""))</f>
        <v/>
      </c>
      <c r="V213" s="35">
        <f>IF(OR($B213="",$B213&lt;&gt;'買掛帳'!$B$3,NOT(ISNUMBER($K213)),N($L213)+N($M213)=0),"",IF(AND($K213&gt;='買掛帳'!$Q$3,$K213&lt;='買掛帳'!$Q$4),$K213+0.5+ROW()/10000000,""))</f>
        <v/>
      </c>
    </row>
    <row r="214" ht="18" customHeight="1">
      <c r="A214" s="26" t="n"/>
      <c r="B214" s="18" t="n"/>
      <c r="C214" s="20">
        <f>IF($B214="","",IF($R214="なし","※仕入先にないコード",INDEX('仕入先'!$C$5:$C$54,$R214)&amp;""))</f>
        <v/>
      </c>
      <c r="D214" s="26" t="n"/>
      <c r="E214" s="18" t="n"/>
      <c r="F214" s="19" t="n"/>
      <c r="G214" s="27" t="n"/>
      <c r="H214" s="29">
        <f>IF(OR($B214="",NOT(ISNUMBER($R214)),NOT(ISNUMBER($S214))),"",IF(OR(INDEX('仕入先'!$D$5:$D$54,$R214)="",INDEX('仕入先'!$E$5:$E$54,$R214)="",INDEX('仕入先'!$F$5:$F$54,$R214)=""),"",IF(INDEX('仕入先'!$F$5:$F$54,$R214)="末",DATE(YEAR($S214),(MONTH($S214)+IF(INDEX('仕入先'!$D$5:$D$54,$R214)="末",0,IF(DAY($S214)&lt;=INDEX('仕入先'!$D$5:$D$54,$R214),0,1))+N(INDEX('仕入先'!$E$5:$E$54,$R214)))+1,0),DATE(YEAR($S214),(MONTH($S214)+IF(INDEX('仕入先'!$D$5:$D$54,$R214)="末",0,IF(DAY($S214)&lt;=INDEX('仕入先'!$D$5:$D$54,$R214),0,1))+N(INDEX('仕入先'!$E$5:$E$54,$R214))),MIN(INDEX('仕入先'!$F$5:$F$54,$R214),DAY(DATE(YEAR($S214),(MONTH($S214)+IF(INDEX('仕入先'!$D$5:$D$54,$R214)="末",0,IF(DAY($S214)&lt;=INDEX('仕入先'!$D$5:$D$54,$R214),0,1))+N(INDEX('仕入先'!$E$5:$E$54,$R214)))+1,0)))))))</f>
        <v/>
      </c>
      <c r="I214" s="26" t="n"/>
      <c r="J214" s="29">
        <f>IF($B214="","",IF(ISNUMBER($I214),$I214,$H214))</f>
        <v/>
      </c>
      <c r="K214" s="26" t="n"/>
      <c r="L214" s="27" t="n"/>
      <c r="M214" s="27" t="n"/>
      <c r="N214" s="28">
        <f>IF($B214="","",N($G214)-N($L214)-N($M214))</f>
        <v/>
      </c>
      <c r="O214" s="30">
        <f>IF($B214="","",IF(AND(OR(N($L214)&lt;&gt;0,N($M214)&lt;&gt;0),NOT(ISNUMBER($K214))),"支払日なし",IF($N214=0,IF(N($G214)=0,"請求額0","支払済"),IF($N214&lt;0,"払いすぎ",IF(N($L214)+N($M214)=0,"未払","一部支払")))))</f>
        <v/>
      </c>
      <c r="P214" s="30">
        <f>IF(OR($B214="",N($N214)&lt;=0,NOT(ISNUMBER($J214))),"",IF($J214&lt;'設定'!$B$7,"期日超過 "&amp;('設定'!$B$7-$J214)&amp;"日",IF($J214='設定'!$B$7,"今日","あと "&amp;($J214-'設定'!$B$7)&amp;"日")))</f>
        <v/>
      </c>
      <c r="Q214" s="56" t="n"/>
      <c r="R214" s="32">
        <f>IF($B214="","",IFERROR(MATCH($B214,'仕入先'!$B$5:$B$54,0),"なし"))</f>
        <v/>
      </c>
      <c r="S214" s="33">
        <f>IF($B214="","",IF(ISNUMBER($D214),$D214,IF(ISNUMBER($A214),$A214,"")))</f>
        <v/>
      </c>
      <c r="T214" s="34">
        <f>IF(OR($B214="",N($N214)&lt;=0),"",IF(ISNUMBER($J214),$J214,99999)+ROW()/1000000)</f>
        <v/>
      </c>
      <c r="U214" s="35">
        <f>IF(OR($B214="",$B214&lt;&gt;'買掛帳'!$B$3,NOT(ISNUMBER($S214))),"",IF(AND($S214&gt;='買掛帳'!$Q$3,$S214&lt;='買掛帳'!$Q$4),$S214+ROW()/10000000,""))</f>
        <v/>
      </c>
      <c r="V214" s="35">
        <f>IF(OR($B214="",$B214&lt;&gt;'買掛帳'!$B$3,NOT(ISNUMBER($K214)),N($L214)+N($M214)=0),"",IF(AND($K214&gt;='買掛帳'!$Q$3,$K214&lt;='買掛帳'!$Q$4),$K214+0.5+ROW()/10000000,""))</f>
        <v/>
      </c>
    </row>
    <row r="215" ht="18" customHeight="1">
      <c r="A215" s="26" t="n"/>
      <c r="B215" s="18" t="n"/>
      <c r="C215" s="20">
        <f>IF($B215="","",IF($R215="なし","※仕入先にないコード",INDEX('仕入先'!$C$5:$C$54,$R215)&amp;""))</f>
        <v/>
      </c>
      <c r="D215" s="26" t="n"/>
      <c r="E215" s="18" t="n"/>
      <c r="F215" s="19" t="n"/>
      <c r="G215" s="27" t="n"/>
      <c r="H215" s="29">
        <f>IF(OR($B215="",NOT(ISNUMBER($R215)),NOT(ISNUMBER($S215))),"",IF(OR(INDEX('仕入先'!$D$5:$D$54,$R215)="",INDEX('仕入先'!$E$5:$E$54,$R215)="",INDEX('仕入先'!$F$5:$F$54,$R215)=""),"",IF(INDEX('仕入先'!$F$5:$F$54,$R215)="末",DATE(YEAR($S215),(MONTH($S215)+IF(INDEX('仕入先'!$D$5:$D$54,$R215)="末",0,IF(DAY($S215)&lt;=INDEX('仕入先'!$D$5:$D$54,$R215),0,1))+N(INDEX('仕入先'!$E$5:$E$54,$R215)))+1,0),DATE(YEAR($S215),(MONTH($S215)+IF(INDEX('仕入先'!$D$5:$D$54,$R215)="末",0,IF(DAY($S215)&lt;=INDEX('仕入先'!$D$5:$D$54,$R215),0,1))+N(INDEX('仕入先'!$E$5:$E$54,$R215))),MIN(INDEX('仕入先'!$F$5:$F$54,$R215),DAY(DATE(YEAR($S215),(MONTH($S215)+IF(INDEX('仕入先'!$D$5:$D$54,$R215)="末",0,IF(DAY($S215)&lt;=INDEX('仕入先'!$D$5:$D$54,$R215),0,1))+N(INDEX('仕入先'!$E$5:$E$54,$R215)))+1,0)))))))</f>
        <v/>
      </c>
      <c r="I215" s="26" t="n"/>
      <c r="J215" s="29">
        <f>IF($B215="","",IF(ISNUMBER($I215),$I215,$H215))</f>
        <v/>
      </c>
      <c r="K215" s="26" t="n"/>
      <c r="L215" s="27" t="n"/>
      <c r="M215" s="27" t="n"/>
      <c r="N215" s="28">
        <f>IF($B215="","",N($G215)-N($L215)-N($M215))</f>
        <v/>
      </c>
      <c r="O215" s="30">
        <f>IF($B215="","",IF(AND(OR(N($L215)&lt;&gt;0,N($M215)&lt;&gt;0),NOT(ISNUMBER($K215))),"支払日なし",IF($N215=0,IF(N($G215)=0,"請求額0","支払済"),IF($N215&lt;0,"払いすぎ",IF(N($L215)+N($M215)=0,"未払","一部支払")))))</f>
        <v/>
      </c>
      <c r="P215" s="30">
        <f>IF(OR($B215="",N($N215)&lt;=0,NOT(ISNUMBER($J215))),"",IF($J215&lt;'設定'!$B$7,"期日超過 "&amp;('設定'!$B$7-$J215)&amp;"日",IF($J215='設定'!$B$7,"今日","あと "&amp;($J215-'設定'!$B$7)&amp;"日")))</f>
        <v/>
      </c>
      <c r="Q215" s="56" t="n"/>
      <c r="R215" s="32">
        <f>IF($B215="","",IFERROR(MATCH($B215,'仕入先'!$B$5:$B$54,0),"なし"))</f>
        <v/>
      </c>
      <c r="S215" s="33">
        <f>IF($B215="","",IF(ISNUMBER($D215),$D215,IF(ISNUMBER($A215),$A215,"")))</f>
        <v/>
      </c>
      <c r="T215" s="34">
        <f>IF(OR($B215="",N($N215)&lt;=0),"",IF(ISNUMBER($J215),$J215,99999)+ROW()/1000000)</f>
        <v/>
      </c>
      <c r="U215" s="35">
        <f>IF(OR($B215="",$B215&lt;&gt;'買掛帳'!$B$3,NOT(ISNUMBER($S215))),"",IF(AND($S215&gt;='買掛帳'!$Q$3,$S215&lt;='買掛帳'!$Q$4),$S215+ROW()/10000000,""))</f>
        <v/>
      </c>
      <c r="V215" s="35">
        <f>IF(OR($B215="",$B215&lt;&gt;'買掛帳'!$B$3,NOT(ISNUMBER($K215)),N($L215)+N($M215)=0),"",IF(AND($K215&gt;='買掛帳'!$Q$3,$K215&lt;='買掛帳'!$Q$4),$K215+0.5+ROW()/10000000,""))</f>
        <v/>
      </c>
    </row>
    <row r="216" ht="18" customHeight="1">
      <c r="A216" s="26" t="n"/>
      <c r="B216" s="18" t="n"/>
      <c r="C216" s="20">
        <f>IF($B216="","",IF($R216="なし","※仕入先にないコード",INDEX('仕入先'!$C$5:$C$54,$R216)&amp;""))</f>
        <v/>
      </c>
      <c r="D216" s="26" t="n"/>
      <c r="E216" s="18" t="n"/>
      <c r="F216" s="19" t="n"/>
      <c r="G216" s="27" t="n"/>
      <c r="H216" s="29">
        <f>IF(OR($B216="",NOT(ISNUMBER($R216)),NOT(ISNUMBER($S216))),"",IF(OR(INDEX('仕入先'!$D$5:$D$54,$R216)="",INDEX('仕入先'!$E$5:$E$54,$R216)="",INDEX('仕入先'!$F$5:$F$54,$R216)=""),"",IF(INDEX('仕入先'!$F$5:$F$54,$R216)="末",DATE(YEAR($S216),(MONTH($S216)+IF(INDEX('仕入先'!$D$5:$D$54,$R216)="末",0,IF(DAY($S216)&lt;=INDEX('仕入先'!$D$5:$D$54,$R216),0,1))+N(INDEX('仕入先'!$E$5:$E$54,$R216)))+1,0),DATE(YEAR($S216),(MONTH($S216)+IF(INDEX('仕入先'!$D$5:$D$54,$R216)="末",0,IF(DAY($S216)&lt;=INDEX('仕入先'!$D$5:$D$54,$R216),0,1))+N(INDEX('仕入先'!$E$5:$E$54,$R216))),MIN(INDEX('仕入先'!$F$5:$F$54,$R216),DAY(DATE(YEAR($S216),(MONTH($S216)+IF(INDEX('仕入先'!$D$5:$D$54,$R216)="末",0,IF(DAY($S216)&lt;=INDEX('仕入先'!$D$5:$D$54,$R216),0,1))+N(INDEX('仕入先'!$E$5:$E$54,$R216)))+1,0)))))))</f>
        <v/>
      </c>
      <c r="I216" s="26" t="n"/>
      <c r="J216" s="29">
        <f>IF($B216="","",IF(ISNUMBER($I216),$I216,$H216))</f>
        <v/>
      </c>
      <c r="K216" s="26" t="n"/>
      <c r="L216" s="27" t="n"/>
      <c r="M216" s="27" t="n"/>
      <c r="N216" s="28">
        <f>IF($B216="","",N($G216)-N($L216)-N($M216))</f>
        <v/>
      </c>
      <c r="O216" s="30">
        <f>IF($B216="","",IF(AND(OR(N($L216)&lt;&gt;0,N($M216)&lt;&gt;0),NOT(ISNUMBER($K216))),"支払日なし",IF($N216=0,IF(N($G216)=0,"請求額0","支払済"),IF($N216&lt;0,"払いすぎ",IF(N($L216)+N($M216)=0,"未払","一部支払")))))</f>
        <v/>
      </c>
      <c r="P216" s="30">
        <f>IF(OR($B216="",N($N216)&lt;=0,NOT(ISNUMBER($J216))),"",IF($J216&lt;'設定'!$B$7,"期日超過 "&amp;('設定'!$B$7-$J216)&amp;"日",IF($J216='設定'!$B$7,"今日","あと "&amp;($J216-'設定'!$B$7)&amp;"日")))</f>
        <v/>
      </c>
      <c r="Q216" s="56" t="n"/>
      <c r="R216" s="32">
        <f>IF($B216="","",IFERROR(MATCH($B216,'仕入先'!$B$5:$B$54,0),"なし"))</f>
        <v/>
      </c>
      <c r="S216" s="33">
        <f>IF($B216="","",IF(ISNUMBER($D216),$D216,IF(ISNUMBER($A216),$A216,"")))</f>
        <v/>
      </c>
      <c r="T216" s="34">
        <f>IF(OR($B216="",N($N216)&lt;=0),"",IF(ISNUMBER($J216),$J216,99999)+ROW()/1000000)</f>
        <v/>
      </c>
      <c r="U216" s="35">
        <f>IF(OR($B216="",$B216&lt;&gt;'買掛帳'!$B$3,NOT(ISNUMBER($S216))),"",IF(AND($S216&gt;='買掛帳'!$Q$3,$S216&lt;='買掛帳'!$Q$4),$S216+ROW()/10000000,""))</f>
        <v/>
      </c>
      <c r="V216" s="35">
        <f>IF(OR($B216="",$B216&lt;&gt;'買掛帳'!$B$3,NOT(ISNUMBER($K216)),N($L216)+N($M216)=0),"",IF(AND($K216&gt;='買掛帳'!$Q$3,$K216&lt;='買掛帳'!$Q$4),$K216+0.5+ROW()/10000000,""))</f>
        <v/>
      </c>
    </row>
    <row r="217" ht="18" customHeight="1">
      <c r="A217" s="26" t="n"/>
      <c r="B217" s="18" t="n"/>
      <c r="C217" s="20">
        <f>IF($B217="","",IF($R217="なし","※仕入先にないコード",INDEX('仕入先'!$C$5:$C$54,$R217)&amp;""))</f>
        <v/>
      </c>
      <c r="D217" s="26" t="n"/>
      <c r="E217" s="18" t="n"/>
      <c r="F217" s="19" t="n"/>
      <c r="G217" s="27" t="n"/>
      <c r="H217" s="29">
        <f>IF(OR($B217="",NOT(ISNUMBER($R217)),NOT(ISNUMBER($S217))),"",IF(OR(INDEX('仕入先'!$D$5:$D$54,$R217)="",INDEX('仕入先'!$E$5:$E$54,$R217)="",INDEX('仕入先'!$F$5:$F$54,$R217)=""),"",IF(INDEX('仕入先'!$F$5:$F$54,$R217)="末",DATE(YEAR($S217),(MONTH($S217)+IF(INDEX('仕入先'!$D$5:$D$54,$R217)="末",0,IF(DAY($S217)&lt;=INDEX('仕入先'!$D$5:$D$54,$R217),0,1))+N(INDEX('仕入先'!$E$5:$E$54,$R217)))+1,0),DATE(YEAR($S217),(MONTH($S217)+IF(INDEX('仕入先'!$D$5:$D$54,$R217)="末",0,IF(DAY($S217)&lt;=INDEX('仕入先'!$D$5:$D$54,$R217),0,1))+N(INDEX('仕入先'!$E$5:$E$54,$R217))),MIN(INDEX('仕入先'!$F$5:$F$54,$R217),DAY(DATE(YEAR($S217),(MONTH($S217)+IF(INDEX('仕入先'!$D$5:$D$54,$R217)="末",0,IF(DAY($S217)&lt;=INDEX('仕入先'!$D$5:$D$54,$R217),0,1))+N(INDEX('仕入先'!$E$5:$E$54,$R217)))+1,0)))))))</f>
        <v/>
      </c>
      <c r="I217" s="26" t="n"/>
      <c r="J217" s="29">
        <f>IF($B217="","",IF(ISNUMBER($I217),$I217,$H217))</f>
        <v/>
      </c>
      <c r="K217" s="26" t="n"/>
      <c r="L217" s="27" t="n"/>
      <c r="M217" s="27" t="n"/>
      <c r="N217" s="28">
        <f>IF($B217="","",N($G217)-N($L217)-N($M217))</f>
        <v/>
      </c>
      <c r="O217" s="30">
        <f>IF($B217="","",IF(AND(OR(N($L217)&lt;&gt;0,N($M217)&lt;&gt;0),NOT(ISNUMBER($K217))),"支払日なし",IF($N217=0,IF(N($G217)=0,"請求額0","支払済"),IF($N217&lt;0,"払いすぎ",IF(N($L217)+N($M217)=0,"未払","一部支払")))))</f>
        <v/>
      </c>
      <c r="P217" s="30">
        <f>IF(OR($B217="",N($N217)&lt;=0,NOT(ISNUMBER($J217))),"",IF($J217&lt;'設定'!$B$7,"期日超過 "&amp;('設定'!$B$7-$J217)&amp;"日",IF($J217='設定'!$B$7,"今日","あと "&amp;($J217-'設定'!$B$7)&amp;"日")))</f>
        <v/>
      </c>
      <c r="Q217" s="56" t="n"/>
      <c r="R217" s="32">
        <f>IF($B217="","",IFERROR(MATCH($B217,'仕入先'!$B$5:$B$54,0),"なし"))</f>
        <v/>
      </c>
      <c r="S217" s="33">
        <f>IF($B217="","",IF(ISNUMBER($D217),$D217,IF(ISNUMBER($A217),$A217,"")))</f>
        <v/>
      </c>
      <c r="T217" s="34">
        <f>IF(OR($B217="",N($N217)&lt;=0),"",IF(ISNUMBER($J217),$J217,99999)+ROW()/1000000)</f>
        <v/>
      </c>
      <c r="U217" s="35">
        <f>IF(OR($B217="",$B217&lt;&gt;'買掛帳'!$B$3,NOT(ISNUMBER($S217))),"",IF(AND($S217&gt;='買掛帳'!$Q$3,$S217&lt;='買掛帳'!$Q$4),$S217+ROW()/10000000,""))</f>
        <v/>
      </c>
      <c r="V217" s="35">
        <f>IF(OR($B217="",$B217&lt;&gt;'買掛帳'!$B$3,NOT(ISNUMBER($K217)),N($L217)+N($M217)=0),"",IF(AND($K217&gt;='買掛帳'!$Q$3,$K217&lt;='買掛帳'!$Q$4),$K217+0.5+ROW()/10000000,""))</f>
        <v/>
      </c>
    </row>
    <row r="218" ht="18" customHeight="1">
      <c r="A218" s="26" t="n"/>
      <c r="B218" s="18" t="n"/>
      <c r="C218" s="20">
        <f>IF($B218="","",IF($R218="なし","※仕入先にないコード",INDEX('仕入先'!$C$5:$C$54,$R218)&amp;""))</f>
        <v/>
      </c>
      <c r="D218" s="26" t="n"/>
      <c r="E218" s="18" t="n"/>
      <c r="F218" s="19" t="n"/>
      <c r="G218" s="27" t="n"/>
      <c r="H218" s="29">
        <f>IF(OR($B218="",NOT(ISNUMBER($R218)),NOT(ISNUMBER($S218))),"",IF(OR(INDEX('仕入先'!$D$5:$D$54,$R218)="",INDEX('仕入先'!$E$5:$E$54,$R218)="",INDEX('仕入先'!$F$5:$F$54,$R218)=""),"",IF(INDEX('仕入先'!$F$5:$F$54,$R218)="末",DATE(YEAR($S218),(MONTH($S218)+IF(INDEX('仕入先'!$D$5:$D$54,$R218)="末",0,IF(DAY($S218)&lt;=INDEX('仕入先'!$D$5:$D$54,$R218),0,1))+N(INDEX('仕入先'!$E$5:$E$54,$R218)))+1,0),DATE(YEAR($S218),(MONTH($S218)+IF(INDEX('仕入先'!$D$5:$D$54,$R218)="末",0,IF(DAY($S218)&lt;=INDEX('仕入先'!$D$5:$D$54,$R218),0,1))+N(INDEX('仕入先'!$E$5:$E$54,$R218))),MIN(INDEX('仕入先'!$F$5:$F$54,$R218),DAY(DATE(YEAR($S218),(MONTH($S218)+IF(INDEX('仕入先'!$D$5:$D$54,$R218)="末",0,IF(DAY($S218)&lt;=INDEX('仕入先'!$D$5:$D$54,$R218),0,1))+N(INDEX('仕入先'!$E$5:$E$54,$R218)))+1,0)))))))</f>
        <v/>
      </c>
      <c r="I218" s="26" t="n"/>
      <c r="J218" s="29">
        <f>IF($B218="","",IF(ISNUMBER($I218),$I218,$H218))</f>
        <v/>
      </c>
      <c r="K218" s="26" t="n"/>
      <c r="L218" s="27" t="n"/>
      <c r="M218" s="27" t="n"/>
      <c r="N218" s="28">
        <f>IF($B218="","",N($G218)-N($L218)-N($M218))</f>
        <v/>
      </c>
      <c r="O218" s="30">
        <f>IF($B218="","",IF(AND(OR(N($L218)&lt;&gt;0,N($M218)&lt;&gt;0),NOT(ISNUMBER($K218))),"支払日なし",IF($N218=0,IF(N($G218)=0,"請求額0","支払済"),IF($N218&lt;0,"払いすぎ",IF(N($L218)+N($M218)=0,"未払","一部支払")))))</f>
        <v/>
      </c>
      <c r="P218" s="30">
        <f>IF(OR($B218="",N($N218)&lt;=0,NOT(ISNUMBER($J218))),"",IF($J218&lt;'設定'!$B$7,"期日超過 "&amp;('設定'!$B$7-$J218)&amp;"日",IF($J218='設定'!$B$7,"今日","あと "&amp;($J218-'設定'!$B$7)&amp;"日")))</f>
        <v/>
      </c>
      <c r="Q218" s="56" t="n"/>
      <c r="R218" s="32">
        <f>IF($B218="","",IFERROR(MATCH($B218,'仕入先'!$B$5:$B$54,0),"なし"))</f>
        <v/>
      </c>
      <c r="S218" s="33">
        <f>IF($B218="","",IF(ISNUMBER($D218),$D218,IF(ISNUMBER($A218),$A218,"")))</f>
        <v/>
      </c>
      <c r="T218" s="34">
        <f>IF(OR($B218="",N($N218)&lt;=0),"",IF(ISNUMBER($J218),$J218,99999)+ROW()/1000000)</f>
        <v/>
      </c>
      <c r="U218" s="35">
        <f>IF(OR($B218="",$B218&lt;&gt;'買掛帳'!$B$3,NOT(ISNUMBER($S218))),"",IF(AND($S218&gt;='買掛帳'!$Q$3,$S218&lt;='買掛帳'!$Q$4),$S218+ROW()/10000000,""))</f>
        <v/>
      </c>
      <c r="V218" s="35">
        <f>IF(OR($B218="",$B218&lt;&gt;'買掛帳'!$B$3,NOT(ISNUMBER($K218)),N($L218)+N($M218)=0),"",IF(AND($K218&gt;='買掛帳'!$Q$3,$K218&lt;='買掛帳'!$Q$4),$K218+0.5+ROW()/10000000,""))</f>
        <v/>
      </c>
    </row>
    <row r="219" ht="18" customHeight="1">
      <c r="A219" s="26" t="n"/>
      <c r="B219" s="18" t="n"/>
      <c r="C219" s="20">
        <f>IF($B219="","",IF($R219="なし","※仕入先にないコード",INDEX('仕入先'!$C$5:$C$54,$R219)&amp;""))</f>
        <v/>
      </c>
      <c r="D219" s="26" t="n"/>
      <c r="E219" s="18" t="n"/>
      <c r="F219" s="19" t="n"/>
      <c r="G219" s="27" t="n"/>
      <c r="H219" s="29">
        <f>IF(OR($B219="",NOT(ISNUMBER($R219)),NOT(ISNUMBER($S219))),"",IF(OR(INDEX('仕入先'!$D$5:$D$54,$R219)="",INDEX('仕入先'!$E$5:$E$54,$R219)="",INDEX('仕入先'!$F$5:$F$54,$R219)=""),"",IF(INDEX('仕入先'!$F$5:$F$54,$R219)="末",DATE(YEAR($S219),(MONTH($S219)+IF(INDEX('仕入先'!$D$5:$D$54,$R219)="末",0,IF(DAY($S219)&lt;=INDEX('仕入先'!$D$5:$D$54,$R219),0,1))+N(INDEX('仕入先'!$E$5:$E$54,$R219)))+1,0),DATE(YEAR($S219),(MONTH($S219)+IF(INDEX('仕入先'!$D$5:$D$54,$R219)="末",0,IF(DAY($S219)&lt;=INDEX('仕入先'!$D$5:$D$54,$R219),0,1))+N(INDEX('仕入先'!$E$5:$E$54,$R219))),MIN(INDEX('仕入先'!$F$5:$F$54,$R219),DAY(DATE(YEAR($S219),(MONTH($S219)+IF(INDEX('仕入先'!$D$5:$D$54,$R219)="末",0,IF(DAY($S219)&lt;=INDEX('仕入先'!$D$5:$D$54,$R219),0,1))+N(INDEX('仕入先'!$E$5:$E$54,$R219)))+1,0)))))))</f>
        <v/>
      </c>
      <c r="I219" s="26" t="n"/>
      <c r="J219" s="29">
        <f>IF($B219="","",IF(ISNUMBER($I219),$I219,$H219))</f>
        <v/>
      </c>
      <c r="K219" s="26" t="n"/>
      <c r="L219" s="27" t="n"/>
      <c r="M219" s="27" t="n"/>
      <c r="N219" s="28">
        <f>IF($B219="","",N($G219)-N($L219)-N($M219))</f>
        <v/>
      </c>
      <c r="O219" s="30">
        <f>IF($B219="","",IF(AND(OR(N($L219)&lt;&gt;0,N($M219)&lt;&gt;0),NOT(ISNUMBER($K219))),"支払日なし",IF($N219=0,IF(N($G219)=0,"請求額0","支払済"),IF($N219&lt;0,"払いすぎ",IF(N($L219)+N($M219)=0,"未払","一部支払")))))</f>
        <v/>
      </c>
      <c r="P219" s="30">
        <f>IF(OR($B219="",N($N219)&lt;=0,NOT(ISNUMBER($J219))),"",IF($J219&lt;'設定'!$B$7,"期日超過 "&amp;('設定'!$B$7-$J219)&amp;"日",IF($J219='設定'!$B$7,"今日","あと "&amp;($J219-'設定'!$B$7)&amp;"日")))</f>
        <v/>
      </c>
      <c r="Q219" s="56" t="n"/>
      <c r="R219" s="32">
        <f>IF($B219="","",IFERROR(MATCH($B219,'仕入先'!$B$5:$B$54,0),"なし"))</f>
        <v/>
      </c>
      <c r="S219" s="33">
        <f>IF($B219="","",IF(ISNUMBER($D219),$D219,IF(ISNUMBER($A219),$A219,"")))</f>
        <v/>
      </c>
      <c r="T219" s="34">
        <f>IF(OR($B219="",N($N219)&lt;=0),"",IF(ISNUMBER($J219),$J219,99999)+ROW()/1000000)</f>
        <v/>
      </c>
      <c r="U219" s="35">
        <f>IF(OR($B219="",$B219&lt;&gt;'買掛帳'!$B$3,NOT(ISNUMBER($S219))),"",IF(AND($S219&gt;='買掛帳'!$Q$3,$S219&lt;='買掛帳'!$Q$4),$S219+ROW()/10000000,""))</f>
        <v/>
      </c>
      <c r="V219" s="35">
        <f>IF(OR($B219="",$B219&lt;&gt;'買掛帳'!$B$3,NOT(ISNUMBER($K219)),N($L219)+N($M219)=0),"",IF(AND($K219&gt;='買掛帳'!$Q$3,$K219&lt;='買掛帳'!$Q$4),$K219+0.5+ROW()/10000000,""))</f>
        <v/>
      </c>
    </row>
    <row r="220" ht="18" customHeight="1">
      <c r="A220" s="26" t="n"/>
      <c r="B220" s="18" t="n"/>
      <c r="C220" s="20">
        <f>IF($B220="","",IF($R220="なし","※仕入先にないコード",INDEX('仕入先'!$C$5:$C$54,$R220)&amp;""))</f>
        <v/>
      </c>
      <c r="D220" s="26" t="n"/>
      <c r="E220" s="18" t="n"/>
      <c r="F220" s="19" t="n"/>
      <c r="G220" s="27" t="n"/>
      <c r="H220" s="29">
        <f>IF(OR($B220="",NOT(ISNUMBER($R220)),NOT(ISNUMBER($S220))),"",IF(OR(INDEX('仕入先'!$D$5:$D$54,$R220)="",INDEX('仕入先'!$E$5:$E$54,$R220)="",INDEX('仕入先'!$F$5:$F$54,$R220)=""),"",IF(INDEX('仕入先'!$F$5:$F$54,$R220)="末",DATE(YEAR($S220),(MONTH($S220)+IF(INDEX('仕入先'!$D$5:$D$54,$R220)="末",0,IF(DAY($S220)&lt;=INDEX('仕入先'!$D$5:$D$54,$R220),0,1))+N(INDEX('仕入先'!$E$5:$E$54,$R220)))+1,0),DATE(YEAR($S220),(MONTH($S220)+IF(INDEX('仕入先'!$D$5:$D$54,$R220)="末",0,IF(DAY($S220)&lt;=INDEX('仕入先'!$D$5:$D$54,$R220),0,1))+N(INDEX('仕入先'!$E$5:$E$54,$R220))),MIN(INDEX('仕入先'!$F$5:$F$54,$R220),DAY(DATE(YEAR($S220),(MONTH($S220)+IF(INDEX('仕入先'!$D$5:$D$54,$R220)="末",0,IF(DAY($S220)&lt;=INDEX('仕入先'!$D$5:$D$54,$R220),0,1))+N(INDEX('仕入先'!$E$5:$E$54,$R220)))+1,0)))))))</f>
        <v/>
      </c>
      <c r="I220" s="26" t="n"/>
      <c r="J220" s="29">
        <f>IF($B220="","",IF(ISNUMBER($I220),$I220,$H220))</f>
        <v/>
      </c>
      <c r="K220" s="26" t="n"/>
      <c r="L220" s="27" t="n"/>
      <c r="M220" s="27" t="n"/>
      <c r="N220" s="28">
        <f>IF($B220="","",N($G220)-N($L220)-N($M220))</f>
        <v/>
      </c>
      <c r="O220" s="30">
        <f>IF($B220="","",IF(AND(OR(N($L220)&lt;&gt;0,N($M220)&lt;&gt;0),NOT(ISNUMBER($K220))),"支払日なし",IF($N220=0,IF(N($G220)=0,"請求額0","支払済"),IF($N220&lt;0,"払いすぎ",IF(N($L220)+N($M220)=0,"未払","一部支払")))))</f>
        <v/>
      </c>
      <c r="P220" s="30">
        <f>IF(OR($B220="",N($N220)&lt;=0,NOT(ISNUMBER($J220))),"",IF($J220&lt;'設定'!$B$7,"期日超過 "&amp;('設定'!$B$7-$J220)&amp;"日",IF($J220='設定'!$B$7,"今日","あと "&amp;($J220-'設定'!$B$7)&amp;"日")))</f>
        <v/>
      </c>
      <c r="Q220" s="56" t="n"/>
      <c r="R220" s="32">
        <f>IF($B220="","",IFERROR(MATCH($B220,'仕入先'!$B$5:$B$54,0),"なし"))</f>
        <v/>
      </c>
      <c r="S220" s="33">
        <f>IF($B220="","",IF(ISNUMBER($D220),$D220,IF(ISNUMBER($A220),$A220,"")))</f>
        <v/>
      </c>
      <c r="T220" s="34">
        <f>IF(OR($B220="",N($N220)&lt;=0),"",IF(ISNUMBER($J220),$J220,99999)+ROW()/1000000)</f>
        <v/>
      </c>
      <c r="U220" s="35">
        <f>IF(OR($B220="",$B220&lt;&gt;'買掛帳'!$B$3,NOT(ISNUMBER($S220))),"",IF(AND($S220&gt;='買掛帳'!$Q$3,$S220&lt;='買掛帳'!$Q$4),$S220+ROW()/10000000,""))</f>
        <v/>
      </c>
      <c r="V220" s="35">
        <f>IF(OR($B220="",$B220&lt;&gt;'買掛帳'!$B$3,NOT(ISNUMBER($K220)),N($L220)+N($M220)=0),"",IF(AND($K220&gt;='買掛帳'!$Q$3,$K220&lt;='買掛帳'!$Q$4),$K220+0.5+ROW()/10000000,""))</f>
        <v/>
      </c>
    </row>
    <row r="221" ht="18" customHeight="1">
      <c r="A221" s="26" t="n"/>
      <c r="B221" s="18" t="n"/>
      <c r="C221" s="20">
        <f>IF($B221="","",IF($R221="なし","※仕入先にないコード",INDEX('仕入先'!$C$5:$C$54,$R221)&amp;""))</f>
        <v/>
      </c>
      <c r="D221" s="26" t="n"/>
      <c r="E221" s="18" t="n"/>
      <c r="F221" s="19" t="n"/>
      <c r="G221" s="27" t="n"/>
      <c r="H221" s="29">
        <f>IF(OR($B221="",NOT(ISNUMBER($R221)),NOT(ISNUMBER($S221))),"",IF(OR(INDEX('仕入先'!$D$5:$D$54,$R221)="",INDEX('仕入先'!$E$5:$E$54,$R221)="",INDEX('仕入先'!$F$5:$F$54,$R221)=""),"",IF(INDEX('仕入先'!$F$5:$F$54,$R221)="末",DATE(YEAR($S221),(MONTH($S221)+IF(INDEX('仕入先'!$D$5:$D$54,$R221)="末",0,IF(DAY($S221)&lt;=INDEX('仕入先'!$D$5:$D$54,$R221),0,1))+N(INDEX('仕入先'!$E$5:$E$54,$R221)))+1,0),DATE(YEAR($S221),(MONTH($S221)+IF(INDEX('仕入先'!$D$5:$D$54,$R221)="末",0,IF(DAY($S221)&lt;=INDEX('仕入先'!$D$5:$D$54,$R221),0,1))+N(INDEX('仕入先'!$E$5:$E$54,$R221))),MIN(INDEX('仕入先'!$F$5:$F$54,$R221),DAY(DATE(YEAR($S221),(MONTH($S221)+IF(INDEX('仕入先'!$D$5:$D$54,$R221)="末",0,IF(DAY($S221)&lt;=INDEX('仕入先'!$D$5:$D$54,$R221),0,1))+N(INDEX('仕入先'!$E$5:$E$54,$R221)))+1,0)))))))</f>
        <v/>
      </c>
      <c r="I221" s="26" t="n"/>
      <c r="J221" s="29">
        <f>IF($B221="","",IF(ISNUMBER($I221),$I221,$H221))</f>
        <v/>
      </c>
      <c r="K221" s="26" t="n"/>
      <c r="L221" s="27" t="n"/>
      <c r="M221" s="27" t="n"/>
      <c r="N221" s="28">
        <f>IF($B221="","",N($G221)-N($L221)-N($M221))</f>
        <v/>
      </c>
      <c r="O221" s="30">
        <f>IF($B221="","",IF(AND(OR(N($L221)&lt;&gt;0,N($M221)&lt;&gt;0),NOT(ISNUMBER($K221))),"支払日なし",IF($N221=0,IF(N($G221)=0,"請求額0","支払済"),IF($N221&lt;0,"払いすぎ",IF(N($L221)+N($M221)=0,"未払","一部支払")))))</f>
        <v/>
      </c>
      <c r="P221" s="30">
        <f>IF(OR($B221="",N($N221)&lt;=0,NOT(ISNUMBER($J221))),"",IF($J221&lt;'設定'!$B$7,"期日超過 "&amp;('設定'!$B$7-$J221)&amp;"日",IF($J221='設定'!$B$7,"今日","あと "&amp;($J221-'設定'!$B$7)&amp;"日")))</f>
        <v/>
      </c>
      <c r="Q221" s="56" t="n"/>
      <c r="R221" s="32">
        <f>IF($B221="","",IFERROR(MATCH($B221,'仕入先'!$B$5:$B$54,0),"なし"))</f>
        <v/>
      </c>
      <c r="S221" s="33">
        <f>IF($B221="","",IF(ISNUMBER($D221),$D221,IF(ISNUMBER($A221),$A221,"")))</f>
        <v/>
      </c>
      <c r="T221" s="34">
        <f>IF(OR($B221="",N($N221)&lt;=0),"",IF(ISNUMBER($J221),$J221,99999)+ROW()/1000000)</f>
        <v/>
      </c>
      <c r="U221" s="35">
        <f>IF(OR($B221="",$B221&lt;&gt;'買掛帳'!$B$3,NOT(ISNUMBER($S221))),"",IF(AND($S221&gt;='買掛帳'!$Q$3,$S221&lt;='買掛帳'!$Q$4),$S221+ROW()/10000000,""))</f>
        <v/>
      </c>
      <c r="V221" s="35">
        <f>IF(OR($B221="",$B221&lt;&gt;'買掛帳'!$B$3,NOT(ISNUMBER($K221)),N($L221)+N($M221)=0),"",IF(AND($K221&gt;='買掛帳'!$Q$3,$K221&lt;='買掛帳'!$Q$4),$K221+0.5+ROW()/10000000,""))</f>
        <v/>
      </c>
    </row>
    <row r="222" ht="18" customHeight="1">
      <c r="A222" s="26" t="n"/>
      <c r="B222" s="18" t="n"/>
      <c r="C222" s="20">
        <f>IF($B222="","",IF($R222="なし","※仕入先にないコード",INDEX('仕入先'!$C$5:$C$54,$R222)&amp;""))</f>
        <v/>
      </c>
      <c r="D222" s="26" t="n"/>
      <c r="E222" s="18" t="n"/>
      <c r="F222" s="19" t="n"/>
      <c r="G222" s="27" t="n"/>
      <c r="H222" s="29">
        <f>IF(OR($B222="",NOT(ISNUMBER($R222)),NOT(ISNUMBER($S222))),"",IF(OR(INDEX('仕入先'!$D$5:$D$54,$R222)="",INDEX('仕入先'!$E$5:$E$54,$R222)="",INDEX('仕入先'!$F$5:$F$54,$R222)=""),"",IF(INDEX('仕入先'!$F$5:$F$54,$R222)="末",DATE(YEAR($S222),(MONTH($S222)+IF(INDEX('仕入先'!$D$5:$D$54,$R222)="末",0,IF(DAY($S222)&lt;=INDEX('仕入先'!$D$5:$D$54,$R222),0,1))+N(INDEX('仕入先'!$E$5:$E$54,$R222)))+1,0),DATE(YEAR($S222),(MONTH($S222)+IF(INDEX('仕入先'!$D$5:$D$54,$R222)="末",0,IF(DAY($S222)&lt;=INDEX('仕入先'!$D$5:$D$54,$R222),0,1))+N(INDEX('仕入先'!$E$5:$E$54,$R222))),MIN(INDEX('仕入先'!$F$5:$F$54,$R222),DAY(DATE(YEAR($S222),(MONTH($S222)+IF(INDEX('仕入先'!$D$5:$D$54,$R222)="末",0,IF(DAY($S222)&lt;=INDEX('仕入先'!$D$5:$D$54,$R222),0,1))+N(INDEX('仕入先'!$E$5:$E$54,$R222)))+1,0)))))))</f>
        <v/>
      </c>
      <c r="I222" s="26" t="n"/>
      <c r="J222" s="29">
        <f>IF($B222="","",IF(ISNUMBER($I222),$I222,$H222))</f>
        <v/>
      </c>
      <c r="K222" s="26" t="n"/>
      <c r="L222" s="27" t="n"/>
      <c r="M222" s="27" t="n"/>
      <c r="N222" s="28">
        <f>IF($B222="","",N($G222)-N($L222)-N($M222))</f>
        <v/>
      </c>
      <c r="O222" s="30">
        <f>IF($B222="","",IF(AND(OR(N($L222)&lt;&gt;0,N($M222)&lt;&gt;0),NOT(ISNUMBER($K222))),"支払日なし",IF($N222=0,IF(N($G222)=0,"請求額0","支払済"),IF($N222&lt;0,"払いすぎ",IF(N($L222)+N($M222)=0,"未払","一部支払")))))</f>
        <v/>
      </c>
      <c r="P222" s="30">
        <f>IF(OR($B222="",N($N222)&lt;=0,NOT(ISNUMBER($J222))),"",IF($J222&lt;'設定'!$B$7,"期日超過 "&amp;('設定'!$B$7-$J222)&amp;"日",IF($J222='設定'!$B$7,"今日","あと "&amp;($J222-'設定'!$B$7)&amp;"日")))</f>
        <v/>
      </c>
      <c r="Q222" s="56" t="n"/>
      <c r="R222" s="32">
        <f>IF($B222="","",IFERROR(MATCH($B222,'仕入先'!$B$5:$B$54,0),"なし"))</f>
        <v/>
      </c>
      <c r="S222" s="33">
        <f>IF($B222="","",IF(ISNUMBER($D222),$D222,IF(ISNUMBER($A222),$A222,"")))</f>
        <v/>
      </c>
      <c r="T222" s="34">
        <f>IF(OR($B222="",N($N222)&lt;=0),"",IF(ISNUMBER($J222),$J222,99999)+ROW()/1000000)</f>
        <v/>
      </c>
      <c r="U222" s="35">
        <f>IF(OR($B222="",$B222&lt;&gt;'買掛帳'!$B$3,NOT(ISNUMBER($S222))),"",IF(AND($S222&gt;='買掛帳'!$Q$3,$S222&lt;='買掛帳'!$Q$4),$S222+ROW()/10000000,""))</f>
        <v/>
      </c>
      <c r="V222" s="35">
        <f>IF(OR($B222="",$B222&lt;&gt;'買掛帳'!$B$3,NOT(ISNUMBER($K222)),N($L222)+N($M222)=0),"",IF(AND($K222&gt;='買掛帳'!$Q$3,$K222&lt;='買掛帳'!$Q$4),$K222+0.5+ROW()/10000000,""))</f>
        <v/>
      </c>
    </row>
    <row r="223" ht="18" customHeight="1">
      <c r="A223" s="26" t="n"/>
      <c r="B223" s="18" t="n"/>
      <c r="C223" s="20">
        <f>IF($B223="","",IF($R223="なし","※仕入先にないコード",INDEX('仕入先'!$C$5:$C$54,$R223)&amp;""))</f>
        <v/>
      </c>
      <c r="D223" s="26" t="n"/>
      <c r="E223" s="18" t="n"/>
      <c r="F223" s="19" t="n"/>
      <c r="G223" s="27" t="n"/>
      <c r="H223" s="29">
        <f>IF(OR($B223="",NOT(ISNUMBER($R223)),NOT(ISNUMBER($S223))),"",IF(OR(INDEX('仕入先'!$D$5:$D$54,$R223)="",INDEX('仕入先'!$E$5:$E$54,$R223)="",INDEX('仕入先'!$F$5:$F$54,$R223)=""),"",IF(INDEX('仕入先'!$F$5:$F$54,$R223)="末",DATE(YEAR($S223),(MONTH($S223)+IF(INDEX('仕入先'!$D$5:$D$54,$R223)="末",0,IF(DAY($S223)&lt;=INDEX('仕入先'!$D$5:$D$54,$R223),0,1))+N(INDEX('仕入先'!$E$5:$E$54,$R223)))+1,0),DATE(YEAR($S223),(MONTH($S223)+IF(INDEX('仕入先'!$D$5:$D$54,$R223)="末",0,IF(DAY($S223)&lt;=INDEX('仕入先'!$D$5:$D$54,$R223),0,1))+N(INDEX('仕入先'!$E$5:$E$54,$R223))),MIN(INDEX('仕入先'!$F$5:$F$54,$R223),DAY(DATE(YEAR($S223),(MONTH($S223)+IF(INDEX('仕入先'!$D$5:$D$54,$R223)="末",0,IF(DAY($S223)&lt;=INDEX('仕入先'!$D$5:$D$54,$R223),0,1))+N(INDEX('仕入先'!$E$5:$E$54,$R223)))+1,0)))))))</f>
        <v/>
      </c>
      <c r="I223" s="26" t="n"/>
      <c r="J223" s="29">
        <f>IF($B223="","",IF(ISNUMBER($I223),$I223,$H223))</f>
        <v/>
      </c>
      <c r="K223" s="26" t="n"/>
      <c r="L223" s="27" t="n"/>
      <c r="M223" s="27" t="n"/>
      <c r="N223" s="28">
        <f>IF($B223="","",N($G223)-N($L223)-N($M223))</f>
        <v/>
      </c>
      <c r="O223" s="30">
        <f>IF($B223="","",IF(AND(OR(N($L223)&lt;&gt;0,N($M223)&lt;&gt;0),NOT(ISNUMBER($K223))),"支払日なし",IF($N223=0,IF(N($G223)=0,"請求額0","支払済"),IF($N223&lt;0,"払いすぎ",IF(N($L223)+N($M223)=0,"未払","一部支払")))))</f>
        <v/>
      </c>
      <c r="P223" s="30">
        <f>IF(OR($B223="",N($N223)&lt;=0,NOT(ISNUMBER($J223))),"",IF($J223&lt;'設定'!$B$7,"期日超過 "&amp;('設定'!$B$7-$J223)&amp;"日",IF($J223='設定'!$B$7,"今日","あと "&amp;($J223-'設定'!$B$7)&amp;"日")))</f>
        <v/>
      </c>
      <c r="Q223" s="56" t="n"/>
      <c r="R223" s="32">
        <f>IF($B223="","",IFERROR(MATCH($B223,'仕入先'!$B$5:$B$54,0),"なし"))</f>
        <v/>
      </c>
      <c r="S223" s="33">
        <f>IF($B223="","",IF(ISNUMBER($D223),$D223,IF(ISNUMBER($A223),$A223,"")))</f>
        <v/>
      </c>
      <c r="T223" s="34">
        <f>IF(OR($B223="",N($N223)&lt;=0),"",IF(ISNUMBER($J223),$J223,99999)+ROW()/1000000)</f>
        <v/>
      </c>
      <c r="U223" s="35">
        <f>IF(OR($B223="",$B223&lt;&gt;'買掛帳'!$B$3,NOT(ISNUMBER($S223))),"",IF(AND($S223&gt;='買掛帳'!$Q$3,$S223&lt;='買掛帳'!$Q$4),$S223+ROW()/10000000,""))</f>
        <v/>
      </c>
      <c r="V223" s="35">
        <f>IF(OR($B223="",$B223&lt;&gt;'買掛帳'!$B$3,NOT(ISNUMBER($K223)),N($L223)+N($M223)=0),"",IF(AND($K223&gt;='買掛帳'!$Q$3,$K223&lt;='買掛帳'!$Q$4),$K223+0.5+ROW()/10000000,""))</f>
        <v/>
      </c>
    </row>
    <row r="224" ht="18" customHeight="1">
      <c r="A224" s="26" t="n"/>
      <c r="B224" s="18" t="n"/>
      <c r="C224" s="20">
        <f>IF($B224="","",IF($R224="なし","※仕入先にないコード",INDEX('仕入先'!$C$5:$C$54,$R224)&amp;""))</f>
        <v/>
      </c>
      <c r="D224" s="26" t="n"/>
      <c r="E224" s="18" t="n"/>
      <c r="F224" s="19" t="n"/>
      <c r="G224" s="27" t="n"/>
      <c r="H224" s="29">
        <f>IF(OR($B224="",NOT(ISNUMBER($R224)),NOT(ISNUMBER($S224))),"",IF(OR(INDEX('仕入先'!$D$5:$D$54,$R224)="",INDEX('仕入先'!$E$5:$E$54,$R224)="",INDEX('仕入先'!$F$5:$F$54,$R224)=""),"",IF(INDEX('仕入先'!$F$5:$F$54,$R224)="末",DATE(YEAR($S224),(MONTH($S224)+IF(INDEX('仕入先'!$D$5:$D$54,$R224)="末",0,IF(DAY($S224)&lt;=INDEX('仕入先'!$D$5:$D$54,$R224),0,1))+N(INDEX('仕入先'!$E$5:$E$54,$R224)))+1,0),DATE(YEAR($S224),(MONTH($S224)+IF(INDEX('仕入先'!$D$5:$D$54,$R224)="末",0,IF(DAY($S224)&lt;=INDEX('仕入先'!$D$5:$D$54,$R224),0,1))+N(INDEX('仕入先'!$E$5:$E$54,$R224))),MIN(INDEX('仕入先'!$F$5:$F$54,$R224),DAY(DATE(YEAR($S224),(MONTH($S224)+IF(INDEX('仕入先'!$D$5:$D$54,$R224)="末",0,IF(DAY($S224)&lt;=INDEX('仕入先'!$D$5:$D$54,$R224),0,1))+N(INDEX('仕入先'!$E$5:$E$54,$R224)))+1,0)))))))</f>
        <v/>
      </c>
      <c r="I224" s="26" t="n"/>
      <c r="J224" s="29">
        <f>IF($B224="","",IF(ISNUMBER($I224),$I224,$H224))</f>
        <v/>
      </c>
      <c r="K224" s="26" t="n"/>
      <c r="L224" s="27" t="n"/>
      <c r="M224" s="27" t="n"/>
      <c r="N224" s="28">
        <f>IF($B224="","",N($G224)-N($L224)-N($M224))</f>
        <v/>
      </c>
      <c r="O224" s="30">
        <f>IF($B224="","",IF(AND(OR(N($L224)&lt;&gt;0,N($M224)&lt;&gt;0),NOT(ISNUMBER($K224))),"支払日なし",IF($N224=0,IF(N($G224)=0,"請求額0","支払済"),IF($N224&lt;0,"払いすぎ",IF(N($L224)+N($M224)=0,"未払","一部支払")))))</f>
        <v/>
      </c>
      <c r="P224" s="30">
        <f>IF(OR($B224="",N($N224)&lt;=0,NOT(ISNUMBER($J224))),"",IF($J224&lt;'設定'!$B$7,"期日超過 "&amp;('設定'!$B$7-$J224)&amp;"日",IF($J224='設定'!$B$7,"今日","あと "&amp;($J224-'設定'!$B$7)&amp;"日")))</f>
        <v/>
      </c>
      <c r="Q224" s="56" t="n"/>
      <c r="R224" s="32">
        <f>IF($B224="","",IFERROR(MATCH($B224,'仕入先'!$B$5:$B$54,0),"なし"))</f>
        <v/>
      </c>
      <c r="S224" s="33">
        <f>IF($B224="","",IF(ISNUMBER($D224),$D224,IF(ISNUMBER($A224),$A224,"")))</f>
        <v/>
      </c>
      <c r="T224" s="34">
        <f>IF(OR($B224="",N($N224)&lt;=0),"",IF(ISNUMBER($J224),$J224,99999)+ROW()/1000000)</f>
        <v/>
      </c>
      <c r="U224" s="35">
        <f>IF(OR($B224="",$B224&lt;&gt;'買掛帳'!$B$3,NOT(ISNUMBER($S224))),"",IF(AND($S224&gt;='買掛帳'!$Q$3,$S224&lt;='買掛帳'!$Q$4),$S224+ROW()/10000000,""))</f>
        <v/>
      </c>
      <c r="V224" s="35">
        <f>IF(OR($B224="",$B224&lt;&gt;'買掛帳'!$B$3,NOT(ISNUMBER($K224)),N($L224)+N($M224)=0),"",IF(AND($K224&gt;='買掛帳'!$Q$3,$K224&lt;='買掛帳'!$Q$4),$K224+0.5+ROW()/10000000,""))</f>
        <v/>
      </c>
    </row>
    <row r="225" ht="18" customHeight="1">
      <c r="A225" s="26" t="n"/>
      <c r="B225" s="18" t="n"/>
      <c r="C225" s="20">
        <f>IF($B225="","",IF($R225="なし","※仕入先にないコード",INDEX('仕入先'!$C$5:$C$54,$R225)&amp;""))</f>
        <v/>
      </c>
      <c r="D225" s="26" t="n"/>
      <c r="E225" s="18" t="n"/>
      <c r="F225" s="19" t="n"/>
      <c r="G225" s="27" t="n"/>
      <c r="H225" s="29">
        <f>IF(OR($B225="",NOT(ISNUMBER($R225)),NOT(ISNUMBER($S225))),"",IF(OR(INDEX('仕入先'!$D$5:$D$54,$R225)="",INDEX('仕入先'!$E$5:$E$54,$R225)="",INDEX('仕入先'!$F$5:$F$54,$R225)=""),"",IF(INDEX('仕入先'!$F$5:$F$54,$R225)="末",DATE(YEAR($S225),(MONTH($S225)+IF(INDEX('仕入先'!$D$5:$D$54,$R225)="末",0,IF(DAY($S225)&lt;=INDEX('仕入先'!$D$5:$D$54,$R225),0,1))+N(INDEX('仕入先'!$E$5:$E$54,$R225)))+1,0),DATE(YEAR($S225),(MONTH($S225)+IF(INDEX('仕入先'!$D$5:$D$54,$R225)="末",0,IF(DAY($S225)&lt;=INDEX('仕入先'!$D$5:$D$54,$R225),0,1))+N(INDEX('仕入先'!$E$5:$E$54,$R225))),MIN(INDEX('仕入先'!$F$5:$F$54,$R225),DAY(DATE(YEAR($S225),(MONTH($S225)+IF(INDEX('仕入先'!$D$5:$D$54,$R225)="末",0,IF(DAY($S225)&lt;=INDEX('仕入先'!$D$5:$D$54,$R225),0,1))+N(INDEX('仕入先'!$E$5:$E$54,$R225)))+1,0)))))))</f>
        <v/>
      </c>
      <c r="I225" s="26" t="n"/>
      <c r="J225" s="29">
        <f>IF($B225="","",IF(ISNUMBER($I225),$I225,$H225))</f>
        <v/>
      </c>
      <c r="K225" s="26" t="n"/>
      <c r="L225" s="27" t="n"/>
      <c r="M225" s="27" t="n"/>
      <c r="N225" s="28">
        <f>IF($B225="","",N($G225)-N($L225)-N($M225))</f>
        <v/>
      </c>
      <c r="O225" s="30">
        <f>IF($B225="","",IF(AND(OR(N($L225)&lt;&gt;0,N($M225)&lt;&gt;0),NOT(ISNUMBER($K225))),"支払日なし",IF($N225=0,IF(N($G225)=0,"請求額0","支払済"),IF($N225&lt;0,"払いすぎ",IF(N($L225)+N($M225)=0,"未払","一部支払")))))</f>
        <v/>
      </c>
      <c r="P225" s="30">
        <f>IF(OR($B225="",N($N225)&lt;=0,NOT(ISNUMBER($J225))),"",IF($J225&lt;'設定'!$B$7,"期日超過 "&amp;('設定'!$B$7-$J225)&amp;"日",IF($J225='設定'!$B$7,"今日","あと "&amp;($J225-'設定'!$B$7)&amp;"日")))</f>
        <v/>
      </c>
      <c r="Q225" s="56" t="n"/>
      <c r="R225" s="32">
        <f>IF($B225="","",IFERROR(MATCH($B225,'仕入先'!$B$5:$B$54,0),"なし"))</f>
        <v/>
      </c>
      <c r="S225" s="33">
        <f>IF($B225="","",IF(ISNUMBER($D225),$D225,IF(ISNUMBER($A225),$A225,"")))</f>
        <v/>
      </c>
      <c r="T225" s="34">
        <f>IF(OR($B225="",N($N225)&lt;=0),"",IF(ISNUMBER($J225),$J225,99999)+ROW()/1000000)</f>
        <v/>
      </c>
      <c r="U225" s="35">
        <f>IF(OR($B225="",$B225&lt;&gt;'買掛帳'!$B$3,NOT(ISNUMBER($S225))),"",IF(AND($S225&gt;='買掛帳'!$Q$3,$S225&lt;='買掛帳'!$Q$4),$S225+ROW()/10000000,""))</f>
        <v/>
      </c>
      <c r="V225" s="35">
        <f>IF(OR($B225="",$B225&lt;&gt;'買掛帳'!$B$3,NOT(ISNUMBER($K225)),N($L225)+N($M225)=0),"",IF(AND($K225&gt;='買掛帳'!$Q$3,$K225&lt;='買掛帳'!$Q$4),$K225+0.5+ROW()/10000000,""))</f>
        <v/>
      </c>
    </row>
    <row r="226" ht="18" customHeight="1">
      <c r="A226" s="26" t="n"/>
      <c r="B226" s="18" t="n"/>
      <c r="C226" s="20">
        <f>IF($B226="","",IF($R226="なし","※仕入先にないコード",INDEX('仕入先'!$C$5:$C$54,$R226)&amp;""))</f>
        <v/>
      </c>
      <c r="D226" s="26" t="n"/>
      <c r="E226" s="18" t="n"/>
      <c r="F226" s="19" t="n"/>
      <c r="G226" s="27" t="n"/>
      <c r="H226" s="29">
        <f>IF(OR($B226="",NOT(ISNUMBER($R226)),NOT(ISNUMBER($S226))),"",IF(OR(INDEX('仕入先'!$D$5:$D$54,$R226)="",INDEX('仕入先'!$E$5:$E$54,$R226)="",INDEX('仕入先'!$F$5:$F$54,$R226)=""),"",IF(INDEX('仕入先'!$F$5:$F$54,$R226)="末",DATE(YEAR($S226),(MONTH($S226)+IF(INDEX('仕入先'!$D$5:$D$54,$R226)="末",0,IF(DAY($S226)&lt;=INDEX('仕入先'!$D$5:$D$54,$R226),0,1))+N(INDEX('仕入先'!$E$5:$E$54,$R226)))+1,0),DATE(YEAR($S226),(MONTH($S226)+IF(INDEX('仕入先'!$D$5:$D$54,$R226)="末",0,IF(DAY($S226)&lt;=INDEX('仕入先'!$D$5:$D$54,$R226),0,1))+N(INDEX('仕入先'!$E$5:$E$54,$R226))),MIN(INDEX('仕入先'!$F$5:$F$54,$R226),DAY(DATE(YEAR($S226),(MONTH($S226)+IF(INDEX('仕入先'!$D$5:$D$54,$R226)="末",0,IF(DAY($S226)&lt;=INDEX('仕入先'!$D$5:$D$54,$R226),0,1))+N(INDEX('仕入先'!$E$5:$E$54,$R226)))+1,0)))))))</f>
        <v/>
      </c>
      <c r="I226" s="26" t="n"/>
      <c r="J226" s="29">
        <f>IF($B226="","",IF(ISNUMBER($I226),$I226,$H226))</f>
        <v/>
      </c>
      <c r="K226" s="26" t="n"/>
      <c r="L226" s="27" t="n"/>
      <c r="M226" s="27" t="n"/>
      <c r="N226" s="28">
        <f>IF($B226="","",N($G226)-N($L226)-N($M226))</f>
        <v/>
      </c>
      <c r="O226" s="30">
        <f>IF($B226="","",IF(AND(OR(N($L226)&lt;&gt;0,N($M226)&lt;&gt;0),NOT(ISNUMBER($K226))),"支払日なし",IF($N226=0,IF(N($G226)=0,"請求額0","支払済"),IF($N226&lt;0,"払いすぎ",IF(N($L226)+N($M226)=0,"未払","一部支払")))))</f>
        <v/>
      </c>
      <c r="P226" s="30">
        <f>IF(OR($B226="",N($N226)&lt;=0,NOT(ISNUMBER($J226))),"",IF($J226&lt;'設定'!$B$7,"期日超過 "&amp;('設定'!$B$7-$J226)&amp;"日",IF($J226='設定'!$B$7,"今日","あと "&amp;($J226-'設定'!$B$7)&amp;"日")))</f>
        <v/>
      </c>
      <c r="Q226" s="56" t="n"/>
      <c r="R226" s="32">
        <f>IF($B226="","",IFERROR(MATCH($B226,'仕入先'!$B$5:$B$54,0),"なし"))</f>
        <v/>
      </c>
      <c r="S226" s="33">
        <f>IF($B226="","",IF(ISNUMBER($D226),$D226,IF(ISNUMBER($A226),$A226,"")))</f>
        <v/>
      </c>
      <c r="T226" s="34">
        <f>IF(OR($B226="",N($N226)&lt;=0),"",IF(ISNUMBER($J226),$J226,99999)+ROW()/1000000)</f>
        <v/>
      </c>
      <c r="U226" s="35">
        <f>IF(OR($B226="",$B226&lt;&gt;'買掛帳'!$B$3,NOT(ISNUMBER($S226))),"",IF(AND($S226&gt;='買掛帳'!$Q$3,$S226&lt;='買掛帳'!$Q$4),$S226+ROW()/10000000,""))</f>
        <v/>
      </c>
      <c r="V226" s="35">
        <f>IF(OR($B226="",$B226&lt;&gt;'買掛帳'!$B$3,NOT(ISNUMBER($K226)),N($L226)+N($M226)=0),"",IF(AND($K226&gt;='買掛帳'!$Q$3,$K226&lt;='買掛帳'!$Q$4),$K226+0.5+ROW()/10000000,""))</f>
        <v/>
      </c>
    </row>
    <row r="227" ht="18" customHeight="1">
      <c r="A227" s="26" t="n"/>
      <c r="B227" s="18" t="n"/>
      <c r="C227" s="20">
        <f>IF($B227="","",IF($R227="なし","※仕入先にないコード",INDEX('仕入先'!$C$5:$C$54,$R227)&amp;""))</f>
        <v/>
      </c>
      <c r="D227" s="26" t="n"/>
      <c r="E227" s="18" t="n"/>
      <c r="F227" s="19" t="n"/>
      <c r="G227" s="27" t="n"/>
      <c r="H227" s="29">
        <f>IF(OR($B227="",NOT(ISNUMBER($R227)),NOT(ISNUMBER($S227))),"",IF(OR(INDEX('仕入先'!$D$5:$D$54,$R227)="",INDEX('仕入先'!$E$5:$E$54,$R227)="",INDEX('仕入先'!$F$5:$F$54,$R227)=""),"",IF(INDEX('仕入先'!$F$5:$F$54,$R227)="末",DATE(YEAR($S227),(MONTH($S227)+IF(INDEX('仕入先'!$D$5:$D$54,$R227)="末",0,IF(DAY($S227)&lt;=INDEX('仕入先'!$D$5:$D$54,$R227),0,1))+N(INDEX('仕入先'!$E$5:$E$54,$R227)))+1,0),DATE(YEAR($S227),(MONTH($S227)+IF(INDEX('仕入先'!$D$5:$D$54,$R227)="末",0,IF(DAY($S227)&lt;=INDEX('仕入先'!$D$5:$D$54,$R227),0,1))+N(INDEX('仕入先'!$E$5:$E$54,$R227))),MIN(INDEX('仕入先'!$F$5:$F$54,$R227),DAY(DATE(YEAR($S227),(MONTH($S227)+IF(INDEX('仕入先'!$D$5:$D$54,$R227)="末",0,IF(DAY($S227)&lt;=INDEX('仕入先'!$D$5:$D$54,$R227),0,1))+N(INDEX('仕入先'!$E$5:$E$54,$R227)))+1,0)))))))</f>
        <v/>
      </c>
      <c r="I227" s="26" t="n"/>
      <c r="J227" s="29">
        <f>IF($B227="","",IF(ISNUMBER($I227),$I227,$H227))</f>
        <v/>
      </c>
      <c r="K227" s="26" t="n"/>
      <c r="L227" s="27" t="n"/>
      <c r="M227" s="27" t="n"/>
      <c r="N227" s="28">
        <f>IF($B227="","",N($G227)-N($L227)-N($M227))</f>
        <v/>
      </c>
      <c r="O227" s="30">
        <f>IF($B227="","",IF(AND(OR(N($L227)&lt;&gt;0,N($M227)&lt;&gt;0),NOT(ISNUMBER($K227))),"支払日なし",IF($N227=0,IF(N($G227)=0,"請求額0","支払済"),IF($N227&lt;0,"払いすぎ",IF(N($L227)+N($M227)=0,"未払","一部支払")))))</f>
        <v/>
      </c>
      <c r="P227" s="30">
        <f>IF(OR($B227="",N($N227)&lt;=0,NOT(ISNUMBER($J227))),"",IF($J227&lt;'設定'!$B$7,"期日超過 "&amp;('設定'!$B$7-$J227)&amp;"日",IF($J227='設定'!$B$7,"今日","あと "&amp;($J227-'設定'!$B$7)&amp;"日")))</f>
        <v/>
      </c>
      <c r="Q227" s="56" t="n"/>
      <c r="R227" s="32">
        <f>IF($B227="","",IFERROR(MATCH($B227,'仕入先'!$B$5:$B$54,0),"なし"))</f>
        <v/>
      </c>
      <c r="S227" s="33">
        <f>IF($B227="","",IF(ISNUMBER($D227),$D227,IF(ISNUMBER($A227),$A227,"")))</f>
        <v/>
      </c>
      <c r="T227" s="34">
        <f>IF(OR($B227="",N($N227)&lt;=0),"",IF(ISNUMBER($J227),$J227,99999)+ROW()/1000000)</f>
        <v/>
      </c>
      <c r="U227" s="35">
        <f>IF(OR($B227="",$B227&lt;&gt;'買掛帳'!$B$3,NOT(ISNUMBER($S227))),"",IF(AND($S227&gt;='買掛帳'!$Q$3,$S227&lt;='買掛帳'!$Q$4),$S227+ROW()/10000000,""))</f>
        <v/>
      </c>
      <c r="V227" s="35">
        <f>IF(OR($B227="",$B227&lt;&gt;'買掛帳'!$B$3,NOT(ISNUMBER($K227)),N($L227)+N($M227)=0),"",IF(AND($K227&gt;='買掛帳'!$Q$3,$K227&lt;='買掛帳'!$Q$4),$K227+0.5+ROW()/10000000,""))</f>
        <v/>
      </c>
    </row>
    <row r="228" ht="18" customHeight="1">
      <c r="A228" s="26" t="n"/>
      <c r="B228" s="18" t="n"/>
      <c r="C228" s="20">
        <f>IF($B228="","",IF($R228="なし","※仕入先にないコード",INDEX('仕入先'!$C$5:$C$54,$R228)&amp;""))</f>
        <v/>
      </c>
      <c r="D228" s="26" t="n"/>
      <c r="E228" s="18" t="n"/>
      <c r="F228" s="19" t="n"/>
      <c r="G228" s="27" t="n"/>
      <c r="H228" s="29">
        <f>IF(OR($B228="",NOT(ISNUMBER($R228)),NOT(ISNUMBER($S228))),"",IF(OR(INDEX('仕入先'!$D$5:$D$54,$R228)="",INDEX('仕入先'!$E$5:$E$54,$R228)="",INDEX('仕入先'!$F$5:$F$54,$R228)=""),"",IF(INDEX('仕入先'!$F$5:$F$54,$R228)="末",DATE(YEAR($S228),(MONTH($S228)+IF(INDEX('仕入先'!$D$5:$D$54,$R228)="末",0,IF(DAY($S228)&lt;=INDEX('仕入先'!$D$5:$D$54,$R228),0,1))+N(INDEX('仕入先'!$E$5:$E$54,$R228)))+1,0),DATE(YEAR($S228),(MONTH($S228)+IF(INDEX('仕入先'!$D$5:$D$54,$R228)="末",0,IF(DAY($S228)&lt;=INDEX('仕入先'!$D$5:$D$54,$R228),0,1))+N(INDEX('仕入先'!$E$5:$E$54,$R228))),MIN(INDEX('仕入先'!$F$5:$F$54,$R228),DAY(DATE(YEAR($S228),(MONTH($S228)+IF(INDEX('仕入先'!$D$5:$D$54,$R228)="末",0,IF(DAY($S228)&lt;=INDEX('仕入先'!$D$5:$D$54,$R228),0,1))+N(INDEX('仕入先'!$E$5:$E$54,$R228)))+1,0)))))))</f>
        <v/>
      </c>
      <c r="I228" s="26" t="n"/>
      <c r="J228" s="29">
        <f>IF($B228="","",IF(ISNUMBER($I228),$I228,$H228))</f>
        <v/>
      </c>
      <c r="K228" s="26" t="n"/>
      <c r="L228" s="27" t="n"/>
      <c r="M228" s="27" t="n"/>
      <c r="N228" s="28">
        <f>IF($B228="","",N($G228)-N($L228)-N($M228))</f>
        <v/>
      </c>
      <c r="O228" s="30">
        <f>IF($B228="","",IF(AND(OR(N($L228)&lt;&gt;0,N($M228)&lt;&gt;0),NOT(ISNUMBER($K228))),"支払日なし",IF($N228=0,IF(N($G228)=0,"請求額0","支払済"),IF($N228&lt;0,"払いすぎ",IF(N($L228)+N($M228)=0,"未払","一部支払")))))</f>
        <v/>
      </c>
      <c r="P228" s="30">
        <f>IF(OR($B228="",N($N228)&lt;=0,NOT(ISNUMBER($J228))),"",IF($J228&lt;'設定'!$B$7,"期日超過 "&amp;('設定'!$B$7-$J228)&amp;"日",IF($J228='設定'!$B$7,"今日","あと "&amp;($J228-'設定'!$B$7)&amp;"日")))</f>
        <v/>
      </c>
      <c r="Q228" s="56" t="n"/>
      <c r="R228" s="32">
        <f>IF($B228="","",IFERROR(MATCH($B228,'仕入先'!$B$5:$B$54,0),"なし"))</f>
        <v/>
      </c>
      <c r="S228" s="33">
        <f>IF($B228="","",IF(ISNUMBER($D228),$D228,IF(ISNUMBER($A228),$A228,"")))</f>
        <v/>
      </c>
      <c r="T228" s="34">
        <f>IF(OR($B228="",N($N228)&lt;=0),"",IF(ISNUMBER($J228),$J228,99999)+ROW()/1000000)</f>
        <v/>
      </c>
      <c r="U228" s="35">
        <f>IF(OR($B228="",$B228&lt;&gt;'買掛帳'!$B$3,NOT(ISNUMBER($S228))),"",IF(AND($S228&gt;='買掛帳'!$Q$3,$S228&lt;='買掛帳'!$Q$4),$S228+ROW()/10000000,""))</f>
        <v/>
      </c>
      <c r="V228" s="35">
        <f>IF(OR($B228="",$B228&lt;&gt;'買掛帳'!$B$3,NOT(ISNUMBER($K228)),N($L228)+N($M228)=0),"",IF(AND($K228&gt;='買掛帳'!$Q$3,$K228&lt;='買掛帳'!$Q$4),$K228+0.5+ROW()/10000000,""))</f>
        <v/>
      </c>
    </row>
    <row r="229" ht="18" customHeight="1">
      <c r="A229" s="26" t="n"/>
      <c r="B229" s="18" t="n"/>
      <c r="C229" s="20">
        <f>IF($B229="","",IF($R229="なし","※仕入先にないコード",INDEX('仕入先'!$C$5:$C$54,$R229)&amp;""))</f>
        <v/>
      </c>
      <c r="D229" s="26" t="n"/>
      <c r="E229" s="18" t="n"/>
      <c r="F229" s="19" t="n"/>
      <c r="G229" s="27" t="n"/>
      <c r="H229" s="29">
        <f>IF(OR($B229="",NOT(ISNUMBER($R229)),NOT(ISNUMBER($S229))),"",IF(OR(INDEX('仕入先'!$D$5:$D$54,$R229)="",INDEX('仕入先'!$E$5:$E$54,$R229)="",INDEX('仕入先'!$F$5:$F$54,$R229)=""),"",IF(INDEX('仕入先'!$F$5:$F$54,$R229)="末",DATE(YEAR($S229),(MONTH($S229)+IF(INDEX('仕入先'!$D$5:$D$54,$R229)="末",0,IF(DAY($S229)&lt;=INDEX('仕入先'!$D$5:$D$54,$R229),0,1))+N(INDEX('仕入先'!$E$5:$E$54,$R229)))+1,0),DATE(YEAR($S229),(MONTH($S229)+IF(INDEX('仕入先'!$D$5:$D$54,$R229)="末",0,IF(DAY($S229)&lt;=INDEX('仕入先'!$D$5:$D$54,$R229),0,1))+N(INDEX('仕入先'!$E$5:$E$54,$R229))),MIN(INDEX('仕入先'!$F$5:$F$54,$R229),DAY(DATE(YEAR($S229),(MONTH($S229)+IF(INDEX('仕入先'!$D$5:$D$54,$R229)="末",0,IF(DAY($S229)&lt;=INDEX('仕入先'!$D$5:$D$54,$R229),0,1))+N(INDEX('仕入先'!$E$5:$E$54,$R229)))+1,0)))))))</f>
        <v/>
      </c>
      <c r="I229" s="26" t="n"/>
      <c r="J229" s="29">
        <f>IF($B229="","",IF(ISNUMBER($I229),$I229,$H229))</f>
        <v/>
      </c>
      <c r="K229" s="26" t="n"/>
      <c r="L229" s="27" t="n"/>
      <c r="M229" s="27" t="n"/>
      <c r="N229" s="28">
        <f>IF($B229="","",N($G229)-N($L229)-N($M229))</f>
        <v/>
      </c>
      <c r="O229" s="30">
        <f>IF($B229="","",IF(AND(OR(N($L229)&lt;&gt;0,N($M229)&lt;&gt;0),NOT(ISNUMBER($K229))),"支払日なし",IF($N229=0,IF(N($G229)=0,"請求額0","支払済"),IF($N229&lt;0,"払いすぎ",IF(N($L229)+N($M229)=0,"未払","一部支払")))))</f>
        <v/>
      </c>
      <c r="P229" s="30">
        <f>IF(OR($B229="",N($N229)&lt;=0,NOT(ISNUMBER($J229))),"",IF($J229&lt;'設定'!$B$7,"期日超過 "&amp;('設定'!$B$7-$J229)&amp;"日",IF($J229='設定'!$B$7,"今日","あと "&amp;($J229-'設定'!$B$7)&amp;"日")))</f>
        <v/>
      </c>
      <c r="Q229" s="56" t="n"/>
      <c r="R229" s="32">
        <f>IF($B229="","",IFERROR(MATCH($B229,'仕入先'!$B$5:$B$54,0),"なし"))</f>
        <v/>
      </c>
      <c r="S229" s="33">
        <f>IF($B229="","",IF(ISNUMBER($D229),$D229,IF(ISNUMBER($A229),$A229,"")))</f>
        <v/>
      </c>
      <c r="T229" s="34">
        <f>IF(OR($B229="",N($N229)&lt;=0),"",IF(ISNUMBER($J229),$J229,99999)+ROW()/1000000)</f>
        <v/>
      </c>
      <c r="U229" s="35">
        <f>IF(OR($B229="",$B229&lt;&gt;'買掛帳'!$B$3,NOT(ISNUMBER($S229))),"",IF(AND($S229&gt;='買掛帳'!$Q$3,$S229&lt;='買掛帳'!$Q$4),$S229+ROW()/10000000,""))</f>
        <v/>
      </c>
      <c r="V229" s="35">
        <f>IF(OR($B229="",$B229&lt;&gt;'買掛帳'!$B$3,NOT(ISNUMBER($K229)),N($L229)+N($M229)=0),"",IF(AND($K229&gt;='買掛帳'!$Q$3,$K229&lt;='買掛帳'!$Q$4),$K229+0.5+ROW()/10000000,""))</f>
        <v/>
      </c>
    </row>
    <row r="230" ht="18" customHeight="1">
      <c r="A230" s="26" t="n"/>
      <c r="B230" s="18" t="n"/>
      <c r="C230" s="20">
        <f>IF($B230="","",IF($R230="なし","※仕入先にないコード",INDEX('仕入先'!$C$5:$C$54,$R230)&amp;""))</f>
        <v/>
      </c>
      <c r="D230" s="26" t="n"/>
      <c r="E230" s="18" t="n"/>
      <c r="F230" s="19" t="n"/>
      <c r="G230" s="27" t="n"/>
      <c r="H230" s="29">
        <f>IF(OR($B230="",NOT(ISNUMBER($R230)),NOT(ISNUMBER($S230))),"",IF(OR(INDEX('仕入先'!$D$5:$D$54,$R230)="",INDEX('仕入先'!$E$5:$E$54,$R230)="",INDEX('仕入先'!$F$5:$F$54,$R230)=""),"",IF(INDEX('仕入先'!$F$5:$F$54,$R230)="末",DATE(YEAR($S230),(MONTH($S230)+IF(INDEX('仕入先'!$D$5:$D$54,$R230)="末",0,IF(DAY($S230)&lt;=INDEX('仕入先'!$D$5:$D$54,$R230),0,1))+N(INDEX('仕入先'!$E$5:$E$54,$R230)))+1,0),DATE(YEAR($S230),(MONTH($S230)+IF(INDEX('仕入先'!$D$5:$D$54,$R230)="末",0,IF(DAY($S230)&lt;=INDEX('仕入先'!$D$5:$D$54,$R230),0,1))+N(INDEX('仕入先'!$E$5:$E$54,$R230))),MIN(INDEX('仕入先'!$F$5:$F$54,$R230),DAY(DATE(YEAR($S230),(MONTH($S230)+IF(INDEX('仕入先'!$D$5:$D$54,$R230)="末",0,IF(DAY($S230)&lt;=INDEX('仕入先'!$D$5:$D$54,$R230),0,1))+N(INDEX('仕入先'!$E$5:$E$54,$R230)))+1,0)))))))</f>
        <v/>
      </c>
      <c r="I230" s="26" t="n"/>
      <c r="J230" s="29">
        <f>IF($B230="","",IF(ISNUMBER($I230),$I230,$H230))</f>
        <v/>
      </c>
      <c r="K230" s="26" t="n"/>
      <c r="L230" s="27" t="n"/>
      <c r="M230" s="27" t="n"/>
      <c r="N230" s="28">
        <f>IF($B230="","",N($G230)-N($L230)-N($M230))</f>
        <v/>
      </c>
      <c r="O230" s="30">
        <f>IF($B230="","",IF(AND(OR(N($L230)&lt;&gt;0,N($M230)&lt;&gt;0),NOT(ISNUMBER($K230))),"支払日なし",IF($N230=0,IF(N($G230)=0,"請求額0","支払済"),IF($N230&lt;0,"払いすぎ",IF(N($L230)+N($M230)=0,"未払","一部支払")))))</f>
        <v/>
      </c>
      <c r="P230" s="30">
        <f>IF(OR($B230="",N($N230)&lt;=0,NOT(ISNUMBER($J230))),"",IF($J230&lt;'設定'!$B$7,"期日超過 "&amp;('設定'!$B$7-$J230)&amp;"日",IF($J230='設定'!$B$7,"今日","あと "&amp;($J230-'設定'!$B$7)&amp;"日")))</f>
        <v/>
      </c>
      <c r="Q230" s="56" t="n"/>
      <c r="R230" s="32">
        <f>IF($B230="","",IFERROR(MATCH($B230,'仕入先'!$B$5:$B$54,0),"なし"))</f>
        <v/>
      </c>
      <c r="S230" s="33">
        <f>IF($B230="","",IF(ISNUMBER($D230),$D230,IF(ISNUMBER($A230),$A230,"")))</f>
        <v/>
      </c>
      <c r="T230" s="34">
        <f>IF(OR($B230="",N($N230)&lt;=0),"",IF(ISNUMBER($J230),$J230,99999)+ROW()/1000000)</f>
        <v/>
      </c>
      <c r="U230" s="35">
        <f>IF(OR($B230="",$B230&lt;&gt;'買掛帳'!$B$3,NOT(ISNUMBER($S230))),"",IF(AND($S230&gt;='買掛帳'!$Q$3,$S230&lt;='買掛帳'!$Q$4),$S230+ROW()/10000000,""))</f>
        <v/>
      </c>
      <c r="V230" s="35">
        <f>IF(OR($B230="",$B230&lt;&gt;'買掛帳'!$B$3,NOT(ISNUMBER($K230)),N($L230)+N($M230)=0),"",IF(AND($K230&gt;='買掛帳'!$Q$3,$K230&lt;='買掛帳'!$Q$4),$K230+0.5+ROW()/10000000,""))</f>
        <v/>
      </c>
    </row>
    <row r="231" ht="18" customHeight="1">
      <c r="A231" s="26" t="n"/>
      <c r="B231" s="18" t="n"/>
      <c r="C231" s="20">
        <f>IF($B231="","",IF($R231="なし","※仕入先にないコード",INDEX('仕入先'!$C$5:$C$54,$R231)&amp;""))</f>
        <v/>
      </c>
      <c r="D231" s="26" t="n"/>
      <c r="E231" s="18" t="n"/>
      <c r="F231" s="19" t="n"/>
      <c r="G231" s="27" t="n"/>
      <c r="H231" s="29">
        <f>IF(OR($B231="",NOT(ISNUMBER($R231)),NOT(ISNUMBER($S231))),"",IF(OR(INDEX('仕入先'!$D$5:$D$54,$R231)="",INDEX('仕入先'!$E$5:$E$54,$R231)="",INDEX('仕入先'!$F$5:$F$54,$R231)=""),"",IF(INDEX('仕入先'!$F$5:$F$54,$R231)="末",DATE(YEAR($S231),(MONTH($S231)+IF(INDEX('仕入先'!$D$5:$D$54,$R231)="末",0,IF(DAY($S231)&lt;=INDEX('仕入先'!$D$5:$D$54,$R231),0,1))+N(INDEX('仕入先'!$E$5:$E$54,$R231)))+1,0),DATE(YEAR($S231),(MONTH($S231)+IF(INDEX('仕入先'!$D$5:$D$54,$R231)="末",0,IF(DAY($S231)&lt;=INDEX('仕入先'!$D$5:$D$54,$R231),0,1))+N(INDEX('仕入先'!$E$5:$E$54,$R231))),MIN(INDEX('仕入先'!$F$5:$F$54,$R231),DAY(DATE(YEAR($S231),(MONTH($S231)+IF(INDEX('仕入先'!$D$5:$D$54,$R231)="末",0,IF(DAY($S231)&lt;=INDEX('仕入先'!$D$5:$D$54,$R231),0,1))+N(INDEX('仕入先'!$E$5:$E$54,$R231)))+1,0)))))))</f>
        <v/>
      </c>
      <c r="I231" s="26" t="n"/>
      <c r="J231" s="29">
        <f>IF($B231="","",IF(ISNUMBER($I231),$I231,$H231))</f>
        <v/>
      </c>
      <c r="K231" s="26" t="n"/>
      <c r="L231" s="27" t="n"/>
      <c r="M231" s="27" t="n"/>
      <c r="N231" s="28">
        <f>IF($B231="","",N($G231)-N($L231)-N($M231))</f>
        <v/>
      </c>
      <c r="O231" s="30">
        <f>IF($B231="","",IF(AND(OR(N($L231)&lt;&gt;0,N($M231)&lt;&gt;0),NOT(ISNUMBER($K231))),"支払日なし",IF($N231=0,IF(N($G231)=0,"請求額0","支払済"),IF($N231&lt;0,"払いすぎ",IF(N($L231)+N($M231)=0,"未払","一部支払")))))</f>
        <v/>
      </c>
      <c r="P231" s="30">
        <f>IF(OR($B231="",N($N231)&lt;=0,NOT(ISNUMBER($J231))),"",IF($J231&lt;'設定'!$B$7,"期日超過 "&amp;('設定'!$B$7-$J231)&amp;"日",IF($J231='設定'!$B$7,"今日","あと "&amp;($J231-'設定'!$B$7)&amp;"日")))</f>
        <v/>
      </c>
      <c r="Q231" s="56" t="n"/>
      <c r="R231" s="32">
        <f>IF($B231="","",IFERROR(MATCH($B231,'仕入先'!$B$5:$B$54,0),"なし"))</f>
        <v/>
      </c>
      <c r="S231" s="33">
        <f>IF($B231="","",IF(ISNUMBER($D231),$D231,IF(ISNUMBER($A231),$A231,"")))</f>
        <v/>
      </c>
      <c r="T231" s="34">
        <f>IF(OR($B231="",N($N231)&lt;=0),"",IF(ISNUMBER($J231),$J231,99999)+ROW()/1000000)</f>
        <v/>
      </c>
      <c r="U231" s="35">
        <f>IF(OR($B231="",$B231&lt;&gt;'買掛帳'!$B$3,NOT(ISNUMBER($S231))),"",IF(AND($S231&gt;='買掛帳'!$Q$3,$S231&lt;='買掛帳'!$Q$4),$S231+ROW()/10000000,""))</f>
        <v/>
      </c>
      <c r="V231" s="35">
        <f>IF(OR($B231="",$B231&lt;&gt;'買掛帳'!$B$3,NOT(ISNUMBER($K231)),N($L231)+N($M231)=0),"",IF(AND($K231&gt;='買掛帳'!$Q$3,$K231&lt;='買掛帳'!$Q$4),$K231+0.5+ROW()/10000000,""))</f>
        <v/>
      </c>
    </row>
    <row r="232" ht="18" customHeight="1">
      <c r="A232" s="26" t="n"/>
      <c r="B232" s="18" t="n"/>
      <c r="C232" s="20">
        <f>IF($B232="","",IF($R232="なし","※仕入先にないコード",INDEX('仕入先'!$C$5:$C$54,$R232)&amp;""))</f>
        <v/>
      </c>
      <c r="D232" s="26" t="n"/>
      <c r="E232" s="18" t="n"/>
      <c r="F232" s="19" t="n"/>
      <c r="G232" s="27" t="n"/>
      <c r="H232" s="29">
        <f>IF(OR($B232="",NOT(ISNUMBER($R232)),NOT(ISNUMBER($S232))),"",IF(OR(INDEX('仕入先'!$D$5:$D$54,$R232)="",INDEX('仕入先'!$E$5:$E$54,$R232)="",INDEX('仕入先'!$F$5:$F$54,$R232)=""),"",IF(INDEX('仕入先'!$F$5:$F$54,$R232)="末",DATE(YEAR($S232),(MONTH($S232)+IF(INDEX('仕入先'!$D$5:$D$54,$R232)="末",0,IF(DAY($S232)&lt;=INDEX('仕入先'!$D$5:$D$54,$R232),0,1))+N(INDEX('仕入先'!$E$5:$E$54,$R232)))+1,0),DATE(YEAR($S232),(MONTH($S232)+IF(INDEX('仕入先'!$D$5:$D$54,$R232)="末",0,IF(DAY($S232)&lt;=INDEX('仕入先'!$D$5:$D$54,$R232),0,1))+N(INDEX('仕入先'!$E$5:$E$54,$R232))),MIN(INDEX('仕入先'!$F$5:$F$54,$R232),DAY(DATE(YEAR($S232),(MONTH($S232)+IF(INDEX('仕入先'!$D$5:$D$54,$R232)="末",0,IF(DAY($S232)&lt;=INDEX('仕入先'!$D$5:$D$54,$R232),0,1))+N(INDEX('仕入先'!$E$5:$E$54,$R232)))+1,0)))))))</f>
        <v/>
      </c>
      <c r="I232" s="26" t="n"/>
      <c r="J232" s="29">
        <f>IF($B232="","",IF(ISNUMBER($I232),$I232,$H232))</f>
        <v/>
      </c>
      <c r="K232" s="26" t="n"/>
      <c r="L232" s="27" t="n"/>
      <c r="M232" s="27" t="n"/>
      <c r="N232" s="28">
        <f>IF($B232="","",N($G232)-N($L232)-N($M232))</f>
        <v/>
      </c>
      <c r="O232" s="30">
        <f>IF($B232="","",IF(AND(OR(N($L232)&lt;&gt;0,N($M232)&lt;&gt;0),NOT(ISNUMBER($K232))),"支払日なし",IF($N232=0,IF(N($G232)=0,"請求額0","支払済"),IF($N232&lt;0,"払いすぎ",IF(N($L232)+N($M232)=0,"未払","一部支払")))))</f>
        <v/>
      </c>
      <c r="P232" s="30">
        <f>IF(OR($B232="",N($N232)&lt;=0,NOT(ISNUMBER($J232))),"",IF($J232&lt;'設定'!$B$7,"期日超過 "&amp;('設定'!$B$7-$J232)&amp;"日",IF($J232='設定'!$B$7,"今日","あと "&amp;($J232-'設定'!$B$7)&amp;"日")))</f>
        <v/>
      </c>
      <c r="Q232" s="56" t="n"/>
      <c r="R232" s="32">
        <f>IF($B232="","",IFERROR(MATCH($B232,'仕入先'!$B$5:$B$54,0),"なし"))</f>
        <v/>
      </c>
      <c r="S232" s="33">
        <f>IF($B232="","",IF(ISNUMBER($D232),$D232,IF(ISNUMBER($A232),$A232,"")))</f>
        <v/>
      </c>
      <c r="T232" s="34">
        <f>IF(OR($B232="",N($N232)&lt;=0),"",IF(ISNUMBER($J232),$J232,99999)+ROW()/1000000)</f>
        <v/>
      </c>
      <c r="U232" s="35">
        <f>IF(OR($B232="",$B232&lt;&gt;'買掛帳'!$B$3,NOT(ISNUMBER($S232))),"",IF(AND($S232&gt;='買掛帳'!$Q$3,$S232&lt;='買掛帳'!$Q$4),$S232+ROW()/10000000,""))</f>
        <v/>
      </c>
      <c r="V232" s="35">
        <f>IF(OR($B232="",$B232&lt;&gt;'買掛帳'!$B$3,NOT(ISNUMBER($K232)),N($L232)+N($M232)=0),"",IF(AND($K232&gt;='買掛帳'!$Q$3,$K232&lt;='買掛帳'!$Q$4),$K232+0.5+ROW()/10000000,""))</f>
        <v/>
      </c>
    </row>
    <row r="233" ht="18" customHeight="1">
      <c r="A233" s="26" t="n"/>
      <c r="B233" s="18" t="n"/>
      <c r="C233" s="20">
        <f>IF($B233="","",IF($R233="なし","※仕入先にないコード",INDEX('仕入先'!$C$5:$C$54,$R233)&amp;""))</f>
        <v/>
      </c>
      <c r="D233" s="26" t="n"/>
      <c r="E233" s="18" t="n"/>
      <c r="F233" s="19" t="n"/>
      <c r="G233" s="27" t="n"/>
      <c r="H233" s="29">
        <f>IF(OR($B233="",NOT(ISNUMBER($R233)),NOT(ISNUMBER($S233))),"",IF(OR(INDEX('仕入先'!$D$5:$D$54,$R233)="",INDEX('仕入先'!$E$5:$E$54,$R233)="",INDEX('仕入先'!$F$5:$F$54,$R233)=""),"",IF(INDEX('仕入先'!$F$5:$F$54,$R233)="末",DATE(YEAR($S233),(MONTH($S233)+IF(INDEX('仕入先'!$D$5:$D$54,$R233)="末",0,IF(DAY($S233)&lt;=INDEX('仕入先'!$D$5:$D$54,$R233),0,1))+N(INDEX('仕入先'!$E$5:$E$54,$R233)))+1,0),DATE(YEAR($S233),(MONTH($S233)+IF(INDEX('仕入先'!$D$5:$D$54,$R233)="末",0,IF(DAY($S233)&lt;=INDEX('仕入先'!$D$5:$D$54,$R233),0,1))+N(INDEX('仕入先'!$E$5:$E$54,$R233))),MIN(INDEX('仕入先'!$F$5:$F$54,$R233),DAY(DATE(YEAR($S233),(MONTH($S233)+IF(INDEX('仕入先'!$D$5:$D$54,$R233)="末",0,IF(DAY($S233)&lt;=INDEX('仕入先'!$D$5:$D$54,$R233),0,1))+N(INDEX('仕入先'!$E$5:$E$54,$R233)))+1,0)))))))</f>
        <v/>
      </c>
      <c r="I233" s="26" t="n"/>
      <c r="J233" s="29">
        <f>IF($B233="","",IF(ISNUMBER($I233),$I233,$H233))</f>
        <v/>
      </c>
      <c r="K233" s="26" t="n"/>
      <c r="L233" s="27" t="n"/>
      <c r="M233" s="27" t="n"/>
      <c r="N233" s="28">
        <f>IF($B233="","",N($G233)-N($L233)-N($M233))</f>
        <v/>
      </c>
      <c r="O233" s="30">
        <f>IF($B233="","",IF(AND(OR(N($L233)&lt;&gt;0,N($M233)&lt;&gt;0),NOT(ISNUMBER($K233))),"支払日なし",IF($N233=0,IF(N($G233)=0,"請求額0","支払済"),IF($N233&lt;0,"払いすぎ",IF(N($L233)+N($M233)=0,"未払","一部支払")))))</f>
        <v/>
      </c>
      <c r="P233" s="30">
        <f>IF(OR($B233="",N($N233)&lt;=0,NOT(ISNUMBER($J233))),"",IF($J233&lt;'設定'!$B$7,"期日超過 "&amp;('設定'!$B$7-$J233)&amp;"日",IF($J233='設定'!$B$7,"今日","あと "&amp;($J233-'設定'!$B$7)&amp;"日")))</f>
        <v/>
      </c>
      <c r="Q233" s="56" t="n"/>
      <c r="R233" s="32">
        <f>IF($B233="","",IFERROR(MATCH($B233,'仕入先'!$B$5:$B$54,0),"なし"))</f>
        <v/>
      </c>
      <c r="S233" s="33">
        <f>IF($B233="","",IF(ISNUMBER($D233),$D233,IF(ISNUMBER($A233),$A233,"")))</f>
        <v/>
      </c>
      <c r="T233" s="34">
        <f>IF(OR($B233="",N($N233)&lt;=0),"",IF(ISNUMBER($J233),$J233,99999)+ROW()/1000000)</f>
        <v/>
      </c>
      <c r="U233" s="35">
        <f>IF(OR($B233="",$B233&lt;&gt;'買掛帳'!$B$3,NOT(ISNUMBER($S233))),"",IF(AND($S233&gt;='買掛帳'!$Q$3,$S233&lt;='買掛帳'!$Q$4),$S233+ROW()/10000000,""))</f>
        <v/>
      </c>
      <c r="V233" s="35">
        <f>IF(OR($B233="",$B233&lt;&gt;'買掛帳'!$B$3,NOT(ISNUMBER($K233)),N($L233)+N($M233)=0),"",IF(AND($K233&gt;='買掛帳'!$Q$3,$K233&lt;='買掛帳'!$Q$4),$K233+0.5+ROW()/10000000,""))</f>
        <v/>
      </c>
    </row>
    <row r="234" ht="18" customHeight="1">
      <c r="A234" s="26" t="n"/>
      <c r="B234" s="18" t="n"/>
      <c r="C234" s="20">
        <f>IF($B234="","",IF($R234="なし","※仕入先にないコード",INDEX('仕入先'!$C$5:$C$54,$R234)&amp;""))</f>
        <v/>
      </c>
      <c r="D234" s="26" t="n"/>
      <c r="E234" s="18" t="n"/>
      <c r="F234" s="19" t="n"/>
      <c r="G234" s="27" t="n"/>
      <c r="H234" s="29">
        <f>IF(OR($B234="",NOT(ISNUMBER($R234)),NOT(ISNUMBER($S234))),"",IF(OR(INDEX('仕入先'!$D$5:$D$54,$R234)="",INDEX('仕入先'!$E$5:$E$54,$R234)="",INDEX('仕入先'!$F$5:$F$54,$R234)=""),"",IF(INDEX('仕入先'!$F$5:$F$54,$R234)="末",DATE(YEAR($S234),(MONTH($S234)+IF(INDEX('仕入先'!$D$5:$D$54,$R234)="末",0,IF(DAY($S234)&lt;=INDEX('仕入先'!$D$5:$D$54,$R234),0,1))+N(INDEX('仕入先'!$E$5:$E$54,$R234)))+1,0),DATE(YEAR($S234),(MONTH($S234)+IF(INDEX('仕入先'!$D$5:$D$54,$R234)="末",0,IF(DAY($S234)&lt;=INDEX('仕入先'!$D$5:$D$54,$R234),0,1))+N(INDEX('仕入先'!$E$5:$E$54,$R234))),MIN(INDEX('仕入先'!$F$5:$F$54,$R234),DAY(DATE(YEAR($S234),(MONTH($S234)+IF(INDEX('仕入先'!$D$5:$D$54,$R234)="末",0,IF(DAY($S234)&lt;=INDEX('仕入先'!$D$5:$D$54,$R234),0,1))+N(INDEX('仕入先'!$E$5:$E$54,$R234)))+1,0)))))))</f>
        <v/>
      </c>
      <c r="I234" s="26" t="n"/>
      <c r="J234" s="29">
        <f>IF($B234="","",IF(ISNUMBER($I234),$I234,$H234))</f>
        <v/>
      </c>
      <c r="K234" s="26" t="n"/>
      <c r="L234" s="27" t="n"/>
      <c r="M234" s="27" t="n"/>
      <c r="N234" s="28">
        <f>IF($B234="","",N($G234)-N($L234)-N($M234))</f>
        <v/>
      </c>
      <c r="O234" s="30">
        <f>IF($B234="","",IF(AND(OR(N($L234)&lt;&gt;0,N($M234)&lt;&gt;0),NOT(ISNUMBER($K234))),"支払日なし",IF($N234=0,IF(N($G234)=0,"請求額0","支払済"),IF($N234&lt;0,"払いすぎ",IF(N($L234)+N($M234)=0,"未払","一部支払")))))</f>
        <v/>
      </c>
      <c r="P234" s="30">
        <f>IF(OR($B234="",N($N234)&lt;=0,NOT(ISNUMBER($J234))),"",IF($J234&lt;'設定'!$B$7,"期日超過 "&amp;('設定'!$B$7-$J234)&amp;"日",IF($J234='設定'!$B$7,"今日","あと "&amp;($J234-'設定'!$B$7)&amp;"日")))</f>
        <v/>
      </c>
      <c r="Q234" s="56" t="n"/>
      <c r="R234" s="32">
        <f>IF($B234="","",IFERROR(MATCH($B234,'仕入先'!$B$5:$B$54,0),"なし"))</f>
        <v/>
      </c>
      <c r="S234" s="33">
        <f>IF($B234="","",IF(ISNUMBER($D234),$D234,IF(ISNUMBER($A234),$A234,"")))</f>
        <v/>
      </c>
      <c r="T234" s="34">
        <f>IF(OR($B234="",N($N234)&lt;=0),"",IF(ISNUMBER($J234),$J234,99999)+ROW()/1000000)</f>
        <v/>
      </c>
      <c r="U234" s="35">
        <f>IF(OR($B234="",$B234&lt;&gt;'買掛帳'!$B$3,NOT(ISNUMBER($S234))),"",IF(AND($S234&gt;='買掛帳'!$Q$3,$S234&lt;='買掛帳'!$Q$4),$S234+ROW()/10000000,""))</f>
        <v/>
      </c>
      <c r="V234" s="35">
        <f>IF(OR($B234="",$B234&lt;&gt;'買掛帳'!$B$3,NOT(ISNUMBER($K234)),N($L234)+N($M234)=0),"",IF(AND($K234&gt;='買掛帳'!$Q$3,$K234&lt;='買掛帳'!$Q$4),$K234+0.5+ROW()/10000000,""))</f>
        <v/>
      </c>
    </row>
    <row r="235" ht="18" customHeight="1">
      <c r="A235" s="26" t="n"/>
      <c r="B235" s="18" t="n"/>
      <c r="C235" s="20">
        <f>IF($B235="","",IF($R235="なし","※仕入先にないコード",INDEX('仕入先'!$C$5:$C$54,$R235)&amp;""))</f>
        <v/>
      </c>
      <c r="D235" s="26" t="n"/>
      <c r="E235" s="18" t="n"/>
      <c r="F235" s="19" t="n"/>
      <c r="G235" s="27" t="n"/>
      <c r="H235" s="29">
        <f>IF(OR($B235="",NOT(ISNUMBER($R235)),NOT(ISNUMBER($S235))),"",IF(OR(INDEX('仕入先'!$D$5:$D$54,$R235)="",INDEX('仕入先'!$E$5:$E$54,$R235)="",INDEX('仕入先'!$F$5:$F$54,$R235)=""),"",IF(INDEX('仕入先'!$F$5:$F$54,$R235)="末",DATE(YEAR($S235),(MONTH($S235)+IF(INDEX('仕入先'!$D$5:$D$54,$R235)="末",0,IF(DAY($S235)&lt;=INDEX('仕入先'!$D$5:$D$54,$R235),0,1))+N(INDEX('仕入先'!$E$5:$E$54,$R235)))+1,0),DATE(YEAR($S235),(MONTH($S235)+IF(INDEX('仕入先'!$D$5:$D$54,$R235)="末",0,IF(DAY($S235)&lt;=INDEX('仕入先'!$D$5:$D$54,$R235),0,1))+N(INDEX('仕入先'!$E$5:$E$54,$R235))),MIN(INDEX('仕入先'!$F$5:$F$54,$R235),DAY(DATE(YEAR($S235),(MONTH($S235)+IF(INDEX('仕入先'!$D$5:$D$54,$R235)="末",0,IF(DAY($S235)&lt;=INDEX('仕入先'!$D$5:$D$54,$R235),0,1))+N(INDEX('仕入先'!$E$5:$E$54,$R235)))+1,0)))))))</f>
        <v/>
      </c>
      <c r="I235" s="26" t="n"/>
      <c r="J235" s="29">
        <f>IF($B235="","",IF(ISNUMBER($I235),$I235,$H235))</f>
        <v/>
      </c>
      <c r="K235" s="26" t="n"/>
      <c r="L235" s="27" t="n"/>
      <c r="M235" s="27" t="n"/>
      <c r="N235" s="28">
        <f>IF($B235="","",N($G235)-N($L235)-N($M235))</f>
        <v/>
      </c>
      <c r="O235" s="30">
        <f>IF($B235="","",IF(AND(OR(N($L235)&lt;&gt;0,N($M235)&lt;&gt;0),NOT(ISNUMBER($K235))),"支払日なし",IF($N235=0,IF(N($G235)=0,"請求額0","支払済"),IF($N235&lt;0,"払いすぎ",IF(N($L235)+N($M235)=0,"未払","一部支払")))))</f>
        <v/>
      </c>
      <c r="P235" s="30">
        <f>IF(OR($B235="",N($N235)&lt;=0,NOT(ISNUMBER($J235))),"",IF($J235&lt;'設定'!$B$7,"期日超過 "&amp;('設定'!$B$7-$J235)&amp;"日",IF($J235='設定'!$B$7,"今日","あと "&amp;($J235-'設定'!$B$7)&amp;"日")))</f>
        <v/>
      </c>
      <c r="Q235" s="56" t="n"/>
      <c r="R235" s="32">
        <f>IF($B235="","",IFERROR(MATCH($B235,'仕入先'!$B$5:$B$54,0),"なし"))</f>
        <v/>
      </c>
      <c r="S235" s="33">
        <f>IF($B235="","",IF(ISNUMBER($D235),$D235,IF(ISNUMBER($A235),$A235,"")))</f>
        <v/>
      </c>
      <c r="T235" s="34">
        <f>IF(OR($B235="",N($N235)&lt;=0),"",IF(ISNUMBER($J235),$J235,99999)+ROW()/1000000)</f>
        <v/>
      </c>
      <c r="U235" s="35">
        <f>IF(OR($B235="",$B235&lt;&gt;'買掛帳'!$B$3,NOT(ISNUMBER($S235))),"",IF(AND($S235&gt;='買掛帳'!$Q$3,$S235&lt;='買掛帳'!$Q$4),$S235+ROW()/10000000,""))</f>
        <v/>
      </c>
      <c r="V235" s="35">
        <f>IF(OR($B235="",$B235&lt;&gt;'買掛帳'!$B$3,NOT(ISNUMBER($K235)),N($L235)+N($M235)=0),"",IF(AND($K235&gt;='買掛帳'!$Q$3,$K235&lt;='買掛帳'!$Q$4),$K235+0.5+ROW()/10000000,""))</f>
        <v/>
      </c>
    </row>
    <row r="236" ht="18" customHeight="1">
      <c r="A236" s="26" t="n"/>
      <c r="B236" s="18" t="n"/>
      <c r="C236" s="20">
        <f>IF($B236="","",IF($R236="なし","※仕入先にないコード",INDEX('仕入先'!$C$5:$C$54,$R236)&amp;""))</f>
        <v/>
      </c>
      <c r="D236" s="26" t="n"/>
      <c r="E236" s="18" t="n"/>
      <c r="F236" s="19" t="n"/>
      <c r="G236" s="27" t="n"/>
      <c r="H236" s="29">
        <f>IF(OR($B236="",NOT(ISNUMBER($R236)),NOT(ISNUMBER($S236))),"",IF(OR(INDEX('仕入先'!$D$5:$D$54,$R236)="",INDEX('仕入先'!$E$5:$E$54,$R236)="",INDEX('仕入先'!$F$5:$F$54,$R236)=""),"",IF(INDEX('仕入先'!$F$5:$F$54,$R236)="末",DATE(YEAR($S236),(MONTH($S236)+IF(INDEX('仕入先'!$D$5:$D$54,$R236)="末",0,IF(DAY($S236)&lt;=INDEX('仕入先'!$D$5:$D$54,$R236),0,1))+N(INDEX('仕入先'!$E$5:$E$54,$R236)))+1,0),DATE(YEAR($S236),(MONTH($S236)+IF(INDEX('仕入先'!$D$5:$D$54,$R236)="末",0,IF(DAY($S236)&lt;=INDEX('仕入先'!$D$5:$D$54,$R236),0,1))+N(INDEX('仕入先'!$E$5:$E$54,$R236))),MIN(INDEX('仕入先'!$F$5:$F$54,$R236),DAY(DATE(YEAR($S236),(MONTH($S236)+IF(INDEX('仕入先'!$D$5:$D$54,$R236)="末",0,IF(DAY($S236)&lt;=INDEX('仕入先'!$D$5:$D$54,$R236),0,1))+N(INDEX('仕入先'!$E$5:$E$54,$R236)))+1,0)))))))</f>
        <v/>
      </c>
      <c r="I236" s="26" t="n"/>
      <c r="J236" s="29">
        <f>IF($B236="","",IF(ISNUMBER($I236),$I236,$H236))</f>
        <v/>
      </c>
      <c r="K236" s="26" t="n"/>
      <c r="L236" s="27" t="n"/>
      <c r="M236" s="27" t="n"/>
      <c r="N236" s="28">
        <f>IF($B236="","",N($G236)-N($L236)-N($M236))</f>
        <v/>
      </c>
      <c r="O236" s="30">
        <f>IF($B236="","",IF(AND(OR(N($L236)&lt;&gt;0,N($M236)&lt;&gt;0),NOT(ISNUMBER($K236))),"支払日なし",IF($N236=0,IF(N($G236)=0,"請求額0","支払済"),IF($N236&lt;0,"払いすぎ",IF(N($L236)+N($M236)=0,"未払","一部支払")))))</f>
        <v/>
      </c>
      <c r="P236" s="30">
        <f>IF(OR($B236="",N($N236)&lt;=0,NOT(ISNUMBER($J236))),"",IF($J236&lt;'設定'!$B$7,"期日超過 "&amp;('設定'!$B$7-$J236)&amp;"日",IF($J236='設定'!$B$7,"今日","あと "&amp;($J236-'設定'!$B$7)&amp;"日")))</f>
        <v/>
      </c>
      <c r="Q236" s="56" t="n"/>
      <c r="R236" s="32">
        <f>IF($B236="","",IFERROR(MATCH($B236,'仕入先'!$B$5:$B$54,0),"なし"))</f>
        <v/>
      </c>
      <c r="S236" s="33">
        <f>IF($B236="","",IF(ISNUMBER($D236),$D236,IF(ISNUMBER($A236),$A236,"")))</f>
        <v/>
      </c>
      <c r="T236" s="34">
        <f>IF(OR($B236="",N($N236)&lt;=0),"",IF(ISNUMBER($J236),$J236,99999)+ROW()/1000000)</f>
        <v/>
      </c>
      <c r="U236" s="35">
        <f>IF(OR($B236="",$B236&lt;&gt;'買掛帳'!$B$3,NOT(ISNUMBER($S236))),"",IF(AND($S236&gt;='買掛帳'!$Q$3,$S236&lt;='買掛帳'!$Q$4),$S236+ROW()/10000000,""))</f>
        <v/>
      </c>
      <c r="V236" s="35">
        <f>IF(OR($B236="",$B236&lt;&gt;'買掛帳'!$B$3,NOT(ISNUMBER($K236)),N($L236)+N($M236)=0),"",IF(AND($K236&gt;='買掛帳'!$Q$3,$K236&lt;='買掛帳'!$Q$4),$K236+0.5+ROW()/10000000,""))</f>
        <v/>
      </c>
    </row>
    <row r="237" ht="18" customHeight="1">
      <c r="A237" s="26" t="n"/>
      <c r="B237" s="18" t="n"/>
      <c r="C237" s="20">
        <f>IF($B237="","",IF($R237="なし","※仕入先にないコード",INDEX('仕入先'!$C$5:$C$54,$R237)&amp;""))</f>
        <v/>
      </c>
      <c r="D237" s="26" t="n"/>
      <c r="E237" s="18" t="n"/>
      <c r="F237" s="19" t="n"/>
      <c r="G237" s="27" t="n"/>
      <c r="H237" s="29">
        <f>IF(OR($B237="",NOT(ISNUMBER($R237)),NOT(ISNUMBER($S237))),"",IF(OR(INDEX('仕入先'!$D$5:$D$54,$R237)="",INDEX('仕入先'!$E$5:$E$54,$R237)="",INDEX('仕入先'!$F$5:$F$54,$R237)=""),"",IF(INDEX('仕入先'!$F$5:$F$54,$R237)="末",DATE(YEAR($S237),(MONTH($S237)+IF(INDEX('仕入先'!$D$5:$D$54,$R237)="末",0,IF(DAY($S237)&lt;=INDEX('仕入先'!$D$5:$D$54,$R237),0,1))+N(INDEX('仕入先'!$E$5:$E$54,$R237)))+1,0),DATE(YEAR($S237),(MONTH($S237)+IF(INDEX('仕入先'!$D$5:$D$54,$R237)="末",0,IF(DAY($S237)&lt;=INDEX('仕入先'!$D$5:$D$54,$R237),0,1))+N(INDEX('仕入先'!$E$5:$E$54,$R237))),MIN(INDEX('仕入先'!$F$5:$F$54,$R237),DAY(DATE(YEAR($S237),(MONTH($S237)+IF(INDEX('仕入先'!$D$5:$D$54,$R237)="末",0,IF(DAY($S237)&lt;=INDEX('仕入先'!$D$5:$D$54,$R237),0,1))+N(INDEX('仕入先'!$E$5:$E$54,$R237)))+1,0)))))))</f>
        <v/>
      </c>
      <c r="I237" s="26" t="n"/>
      <c r="J237" s="29">
        <f>IF($B237="","",IF(ISNUMBER($I237),$I237,$H237))</f>
        <v/>
      </c>
      <c r="K237" s="26" t="n"/>
      <c r="L237" s="27" t="n"/>
      <c r="M237" s="27" t="n"/>
      <c r="N237" s="28">
        <f>IF($B237="","",N($G237)-N($L237)-N($M237))</f>
        <v/>
      </c>
      <c r="O237" s="30">
        <f>IF($B237="","",IF(AND(OR(N($L237)&lt;&gt;0,N($M237)&lt;&gt;0),NOT(ISNUMBER($K237))),"支払日なし",IF($N237=0,IF(N($G237)=0,"請求額0","支払済"),IF($N237&lt;0,"払いすぎ",IF(N($L237)+N($M237)=0,"未払","一部支払")))))</f>
        <v/>
      </c>
      <c r="P237" s="30">
        <f>IF(OR($B237="",N($N237)&lt;=0,NOT(ISNUMBER($J237))),"",IF($J237&lt;'設定'!$B$7,"期日超過 "&amp;('設定'!$B$7-$J237)&amp;"日",IF($J237='設定'!$B$7,"今日","あと "&amp;($J237-'設定'!$B$7)&amp;"日")))</f>
        <v/>
      </c>
      <c r="Q237" s="56" t="n"/>
      <c r="R237" s="32">
        <f>IF($B237="","",IFERROR(MATCH($B237,'仕入先'!$B$5:$B$54,0),"なし"))</f>
        <v/>
      </c>
      <c r="S237" s="33">
        <f>IF($B237="","",IF(ISNUMBER($D237),$D237,IF(ISNUMBER($A237),$A237,"")))</f>
        <v/>
      </c>
      <c r="T237" s="34">
        <f>IF(OR($B237="",N($N237)&lt;=0),"",IF(ISNUMBER($J237),$J237,99999)+ROW()/1000000)</f>
        <v/>
      </c>
      <c r="U237" s="35">
        <f>IF(OR($B237="",$B237&lt;&gt;'買掛帳'!$B$3,NOT(ISNUMBER($S237))),"",IF(AND($S237&gt;='買掛帳'!$Q$3,$S237&lt;='買掛帳'!$Q$4),$S237+ROW()/10000000,""))</f>
        <v/>
      </c>
      <c r="V237" s="35">
        <f>IF(OR($B237="",$B237&lt;&gt;'買掛帳'!$B$3,NOT(ISNUMBER($K237)),N($L237)+N($M237)=0),"",IF(AND($K237&gt;='買掛帳'!$Q$3,$K237&lt;='買掛帳'!$Q$4),$K237+0.5+ROW()/10000000,""))</f>
        <v/>
      </c>
    </row>
    <row r="238" ht="18" customHeight="1">
      <c r="A238" s="26" t="n"/>
      <c r="B238" s="18" t="n"/>
      <c r="C238" s="20">
        <f>IF($B238="","",IF($R238="なし","※仕入先にないコード",INDEX('仕入先'!$C$5:$C$54,$R238)&amp;""))</f>
        <v/>
      </c>
      <c r="D238" s="26" t="n"/>
      <c r="E238" s="18" t="n"/>
      <c r="F238" s="19" t="n"/>
      <c r="G238" s="27" t="n"/>
      <c r="H238" s="29">
        <f>IF(OR($B238="",NOT(ISNUMBER($R238)),NOT(ISNUMBER($S238))),"",IF(OR(INDEX('仕入先'!$D$5:$D$54,$R238)="",INDEX('仕入先'!$E$5:$E$54,$R238)="",INDEX('仕入先'!$F$5:$F$54,$R238)=""),"",IF(INDEX('仕入先'!$F$5:$F$54,$R238)="末",DATE(YEAR($S238),(MONTH($S238)+IF(INDEX('仕入先'!$D$5:$D$54,$R238)="末",0,IF(DAY($S238)&lt;=INDEX('仕入先'!$D$5:$D$54,$R238),0,1))+N(INDEX('仕入先'!$E$5:$E$54,$R238)))+1,0),DATE(YEAR($S238),(MONTH($S238)+IF(INDEX('仕入先'!$D$5:$D$54,$R238)="末",0,IF(DAY($S238)&lt;=INDEX('仕入先'!$D$5:$D$54,$R238),0,1))+N(INDEX('仕入先'!$E$5:$E$54,$R238))),MIN(INDEX('仕入先'!$F$5:$F$54,$R238),DAY(DATE(YEAR($S238),(MONTH($S238)+IF(INDEX('仕入先'!$D$5:$D$54,$R238)="末",0,IF(DAY($S238)&lt;=INDEX('仕入先'!$D$5:$D$54,$R238),0,1))+N(INDEX('仕入先'!$E$5:$E$54,$R238)))+1,0)))))))</f>
        <v/>
      </c>
      <c r="I238" s="26" t="n"/>
      <c r="J238" s="29">
        <f>IF($B238="","",IF(ISNUMBER($I238),$I238,$H238))</f>
        <v/>
      </c>
      <c r="K238" s="26" t="n"/>
      <c r="L238" s="27" t="n"/>
      <c r="M238" s="27" t="n"/>
      <c r="N238" s="28">
        <f>IF($B238="","",N($G238)-N($L238)-N($M238))</f>
        <v/>
      </c>
      <c r="O238" s="30">
        <f>IF($B238="","",IF(AND(OR(N($L238)&lt;&gt;0,N($M238)&lt;&gt;0),NOT(ISNUMBER($K238))),"支払日なし",IF($N238=0,IF(N($G238)=0,"請求額0","支払済"),IF($N238&lt;0,"払いすぎ",IF(N($L238)+N($M238)=0,"未払","一部支払")))))</f>
        <v/>
      </c>
      <c r="P238" s="30">
        <f>IF(OR($B238="",N($N238)&lt;=0,NOT(ISNUMBER($J238))),"",IF($J238&lt;'設定'!$B$7,"期日超過 "&amp;('設定'!$B$7-$J238)&amp;"日",IF($J238='設定'!$B$7,"今日","あと "&amp;($J238-'設定'!$B$7)&amp;"日")))</f>
        <v/>
      </c>
      <c r="Q238" s="56" t="n"/>
      <c r="R238" s="32">
        <f>IF($B238="","",IFERROR(MATCH($B238,'仕入先'!$B$5:$B$54,0),"なし"))</f>
        <v/>
      </c>
      <c r="S238" s="33">
        <f>IF($B238="","",IF(ISNUMBER($D238),$D238,IF(ISNUMBER($A238),$A238,"")))</f>
        <v/>
      </c>
      <c r="T238" s="34">
        <f>IF(OR($B238="",N($N238)&lt;=0),"",IF(ISNUMBER($J238),$J238,99999)+ROW()/1000000)</f>
        <v/>
      </c>
      <c r="U238" s="35">
        <f>IF(OR($B238="",$B238&lt;&gt;'買掛帳'!$B$3,NOT(ISNUMBER($S238))),"",IF(AND($S238&gt;='買掛帳'!$Q$3,$S238&lt;='買掛帳'!$Q$4),$S238+ROW()/10000000,""))</f>
        <v/>
      </c>
      <c r="V238" s="35">
        <f>IF(OR($B238="",$B238&lt;&gt;'買掛帳'!$B$3,NOT(ISNUMBER($K238)),N($L238)+N($M238)=0),"",IF(AND($K238&gt;='買掛帳'!$Q$3,$K238&lt;='買掛帳'!$Q$4),$K238+0.5+ROW()/10000000,""))</f>
        <v/>
      </c>
    </row>
    <row r="239" ht="18" customHeight="1">
      <c r="A239" s="26" t="n"/>
      <c r="B239" s="18" t="n"/>
      <c r="C239" s="20">
        <f>IF($B239="","",IF($R239="なし","※仕入先にないコード",INDEX('仕入先'!$C$5:$C$54,$R239)&amp;""))</f>
        <v/>
      </c>
      <c r="D239" s="26" t="n"/>
      <c r="E239" s="18" t="n"/>
      <c r="F239" s="19" t="n"/>
      <c r="G239" s="27" t="n"/>
      <c r="H239" s="29">
        <f>IF(OR($B239="",NOT(ISNUMBER($R239)),NOT(ISNUMBER($S239))),"",IF(OR(INDEX('仕入先'!$D$5:$D$54,$R239)="",INDEX('仕入先'!$E$5:$E$54,$R239)="",INDEX('仕入先'!$F$5:$F$54,$R239)=""),"",IF(INDEX('仕入先'!$F$5:$F$54,$R239)="末",DATE(YEAR($S239),(MONTH($S239)+IF(INDEX('仕入先'!$D$5:$D$54,$R239)="末",0,IF(DAY($S239)&lt;=INDEX('仕入先'!$D$5:$D$54,$R239),0,1))+N(INDEX('仕入先'!$E$5:$E$54,$R239)))+1,0),DATE(YEAR($S239),(MONTH($S239)+IF(INDEX('仕入先'!$D$5:$D$54,$R239)="末",0,IF(DAY($S239)&lt;=INDEX('仕入先'!$D$5:$D$54,$R239),0,1))+N(INDEX('仕入先'!$E$5:$E$54,$R239))),MIN(INDEX('仕入先'!$F$5:$F$54,$R239),DAY(DATE(YEAR($S239),(MONTH($S239)+IF(INDEX('仕入先'!$D$5:$D$54,$R239)="末",0,IF(DAY($S239)&lt;=INDEX('仕入先'!$D$5:$D$54,$R239),0,1))+N(INDEX('仕入先'!$E$5:$E$54,$R239)))+1,0)))))))</f>
        <v/>
      </c>
      <c r="I239" s="26" t="n"/>
      <c r="J239" s="29">
        <f>IF($B239="","",IF(ISNUMBER($I239),$I239,$H239))</f>
        <v/>
      </c>
      <c r="K239" s="26" t="n"/>
      <c r="L239" s="27" t="n"/>
      <c r="M239" s="27" t="n"/>
      <c r="N239" s="28">
        <f>IF($B239="","",N($G239)-N($L239)-N($M239))</f>
        <v/>
      </c>
      <c r="O239" s="30">
        <f>IF($B239="","",IF(AND(OR(N($L239)&lt;&gt;0,N($M239)&lt;&gt;0),NOT(ISNUMBER($K239))),"支払日なし",IF($N239=0,IF(N($G239)=0,"請求額0","支払済"),IF($N239&lt;0,"払いすぎ",IF(N($L239)+N($M239)=0,"未払","一部支払")))))</f>
        <v/>
      </c>
      <c r="P239" s="30">
        <f>IF(OR($B239="",N($N239)&lt;=0,NOT(ISNUMBER($J239))),"",IF($J239&lt;'設定'!$B$7,"期日超過 "&amp;('設定'!$B$7-$J239)&amp;"日",IF($J239='設定'!$B$7,"今日","あと "&amp;($J239-'設定'!$B$7)&amp;"日")))</f>
        <v/>
      </c>
      <c r="Q239" s="56" t="n"/>
      <c r="R239" s="32">
        <f>IF($B239="","",IFERROR(MATCH($B239,'仕入先'!$B$5:$B$54,0),"なし"))</f>
        <v/>
      </c>
      <c r="S239" s="33">
        <f>IF($B239="","",IF(ISNUMBER($D239),$D239,IF(ISNUMBER($A239),$A239,"")))</f>
        <v/>
      </c>
      <c r="T239" s="34">
        <f>IF(OR($B239="",N($N239)&lt;=0),"",IF(ISNUMBER($J239),$J239,99999)+ROW()/1000000)</f>
        <v/>
      </c>
      <c r="U239" s="35">
        <f>IF(OR($B239="",$B239&lt;&gt;'買掛帳'!$B$3,NOT(ISNUMBER($S239))),"",IF(AND($S239&gt;='買掛帳'!$Q$3,$S239&lt;='買掛帳'!$Q$4),$S239+ROW()/10000000,""))</f>
        <v/>
      </c>
      <c r="V239" s="35">
        <f>IF(OR($B239="",$B239&lt;&gt;'買掛帳'!$B$3,NOT(ISNUMBER($K239)),N($L239)+N($M239)=0),"",IF(AND($K239&gt;='買掛帳'!$Q$3,$K239&lt;='買掛帳'!$Q$4),$K239+0.5+ROW()/10000000,""))</f>
        <v/>
      </c>
    </row>
    <row r="240" ht="18" customHeight="1">
      <c r="A240" s="26" t="n"/>
      <c r="B240" s="18" t="n"/>
      <c r="C240" s="20">
        <f>IF($B240="","",IF($R240="なし","※仕入先にないコード",INDEX('仕入先'!$C$5:$C$54,$R240)&amp;""))</f>
        <v/>
      </c>
      <c r="D240" s="26" t="n"/>
      <c r="E240" s="18" t="n"/>
      <c r="F240" s="19" t="n"/>
      <c r="G240" s="27" t="n"/>
      <c r="H240" s="29">
        <f>IF(OR($B240="",NOT(ISNUMBER($R240)),NOT(ISNUMBER($S240))),"",IF(OR(INDEX('仕入先'!$D$5:$D$54,$R240)="",INDEX('仕入先'!$E$5:$E$54,$R240)="",INDEX('仕入先'!$F$5:$F$54,$R240)=""),"",IF(INDEX('仕入先'!$F$5:$F$54,$R240)="末",DATE(YEAR($S240),(MONTH($S240)+IF(INDEX('仕入先'!$D$5:$D$54,$R240)="末",0,IF(DAY($S240)&lt;=INDEX('仕入先'!$D$5:$D$54,$R240),0,1))+N(INDEX('仕入先'!$E$5:$E$54,$R240)))+1,0),DATE(YEAR($S240),(MONTH($S240)+IF(INDEX('仕入先'!$D$5:$D$54,$R240)="末",0,IF(DAY($S240)&lt;=INDEX('仕入先'!$D$5:$D$54,$R240),0,1))+N(INDEX('仕入先'!$E$5:$E$54,$R240))),MIN(INDEX('仕入先'!$F$5:$F$54,$R240),DAY(DATE(YEAR($S240),(MONTH($S240)+IF(INDEX('仕入先'!$D$5:$D$54,$R240)="末",0,IF(DAY($S240)&lt;=INDEX('仕入先'!$D$5:$D$54,$R240),0,1))+N(INDEX('仕入先'!$E$5:$E$54,$R240)))+1,0)))))))</f>
        <v/>
      </c>
      <c r="I240" s="26" t="n"/>
      <c r="J240" s="29">
        <f>IF($B240="","",IF(ISNUMBER($I240),$I240,$H240))</f>
        <v/>
      </c>
      <c r="K240" s="26" t="n"/>
      <c r="L240" s="27" t="n"/>
      <c r="M240" s="27" t="n"/>
      <c r="N240" s="28">
        <f>IF($B240="","",N($G240)-N($L240)-N($M240))</f>
        <v/>
      </c>
      <c r="O240" s="30">
        <f>IF($B240="","",IF(AND(OR(N($L240)&lt;&gt;0,N($M240)&lt;&gt;0),NOT(ISNUMBER($K240))),"支払日なし",IF($N240=0,IF(N($G240)=0,"請求額0","支払済"),IF($N240&lt;0,"払いすぎ",IF(N($L240)+N($M240)=0,"未払","一部支払")))))</f>
        <v/>
      </c>
      <c r="P240" s="30">
        <f>IF(OR($B240="",N($N240)&lt;=0,NOT(ISNUMBER($J240))),"",IF($J240&lt;'設定'!$B$7,"期日超過 "&amp;('設定'!$B$7-$J240)&amp;"日",IF($J240='設定'!$B$7,"今日","あと "&amp;($J240-'設定'!$B$7)&amp;"日")))</f>
        <v/>
      </c>
      <c r="Q240" s="56" t="n"/>
      <c r="R240" s="32">
        <f>IF($B240="","",IFERROR(MATCH($B240,'仕入先'!$B$5:$B$54,0),"なし"))</f>
        <v/>
      </c>
      <c r="S240" s="33">
        <f>IF($B240="","",IF(ISNUMBER($D240),$D240,IF(ISNUMBER($A240),$A240,"")))</f>
        <v/>
      </c>
      <c r="T240" s="34">
        <f>IF(OR($B240="",N($N240)&lt;=0),"",IF(ISNUMBER($J240),$J240,99999)+ROW()/1000000)</f>
        <v/>
      </c>
      <c r="U240" s="35">
        <f>IF(OR($B240="",$B240&lt;&gt;'買掛帳'!$B$3,NOT(ISNUMBER($S240))),"",IF(AND($S240&gt;='買掛帳'!$Q$3,$S240&lt;='買掛帳'!$Q$4),$S240+ROW()/10000000,""))</f>
        <v/>
      </c>
      <c r="V240" s="35">
        <f>IF(OR($B240="",$B240&lt;&gt;'買掛帳'!$B$3,NOT(ISNUMBER($K240)),N($L240)+N($M240)=0),"",IF(AND($K240&gt;='買掛帳'!$Q$3,$K240&lt;='買掛帳'!$Q$4),$K240+0.5+ROW()/10000000,""))</f>
        <v/>
      </c>
    </row>
    <row r="241" ht="18" customHeight="1">
      <c r="A241" s="26" t="n"/>
      <c r="B241" s="18" t="n"/>
      <c r="C241" s="20">
        <f>IF($B241="","",IF($R241="なし","※仕入先にないコード",INDEX('仕入先'!$C$5:$C$54,$R241)&amp;""))</f>
        <v/>
      </c>
      <c r="D241" s="26" t="n"/>
      <c r="E241" s="18" t="n"/>
      <c r="F241" s="19" t="n"/>
      <c r="G241" s="27" t="n"/>
      <c r="H241" s="29">
        <f>IF(OR($B241="",NOT(ISNUMBER($R241)),NOT(ISNUMBER($S241))),"",IF(OR(INDEX('仕入先'!$D$5:$D$54,$R241)="",INDEX('仕入先'!$E$5:$E$54,$R241)="",INDEX('仕入先'!$F$5:$F$54,$R241)=""),"",IF(INDEX('仕入先'!$F$5:$F$54,$R241)="末",DATE(YEAR($S241),(MONTH($S241)+IF(INDEX('仕入先'!$D$5:$D$54,$R241)="末",0,IF(DAY($S241)&lt;=INDEX('仕入先'!$D$5:$D$54,$R241),0,1))+N(INDEX('仕入先'!$E$5:$E$54,$R241)))+1,0),DATE(YEAR($S241),(MONTH($S241)+IF(INDEX('仕入先'!$D$5:$D$54,$R241)="末",0,IF(DAY($S241)&lt;=INDEX('仕入先'!$D$5:$D$54,$R241),0,1))+N(INDEX('仕入先'!$E$5:$E$54,$R241))),MIN(INDEX('仕入先'!$F$5:$F$54,$R241),DAY(DATE(YEAR($S241),(MONTH($S241)+IF(INDEX('仕入先'!$D$5:$D$54,$R241)="末",0,IF(DAY($S241)&lt;=INDEX('仕入先'!$D$5:$D$54,$R241),0,1))+N(INDEX('仕入先'!$E$5:$E$54,$R241)))+1,0)))))))</f>
        <v/>
      </c>
      <c r="I241" s="26" t="n"/>
      <c r="J241" s="29">
        <f>IF($B241="","",IF(ISNUMBER($I241),$I241,$H241))</f>
        <v/>
      </c>
      <c r="K241" s="26" t="n"/>
      <c r="L241" s="27" t="n"/>
      <c r="M241" s="27" t="n"/>
      <c r="N241" s="28">
        <f>IF($B241="","",N($G241)-N($L241)-N($M241))</f>
        <v/>
      </c>
      <c r="O241" s="30">
        <f>IF($B241="","",IF(AND(OR(N($L241)&lt;&gt;0,N($M241)&lt;&gt;0),NOT(ISNUMBER($K241))),"支払日なし",IF($N241=0,IF(N($G241)=0,"請求額0","支払済"),IF($N241&lt;0,"払いすぎ",IF(N($L241)+N($M241)=0,"未払","一部支払")))))</f>
        <v/>
      </c>
      <c r="P241" s="30">
        <f>IF(OR($B241="",N($N241)&lt;=0,NOT(ISNUMBER($J241))),"",IF($J241&lt;'設定'!$B$7,"期日超過 "&amp;('設定'!$B$7-$J241)&amp;"日",IF($J241='設定'!$B$7,"今日","あと "&amp;($J241-'設定'!$B$7)&amp;"日")))</f>
        <v/>
      </c>
      <c r="Q241" s="56" t="n"/>
      <c r="R241" s="32">
        <f>IF($B241="","",IFERROR(MATCH($B241,'仕入先'!$B$5:$B$54,0),"なし"))</f>
        <v/>
      </c>
      <c r="S241" s="33">
        <f>IF($B241="","",IF(ISNUMBER($D241),$D241,IF(ISNUMBER($A241),$A241,"")))</f>
        <v/>
      </c>
      <c r="T241" s="34">
        <f>IF(OR($B241="",N($N241)&lt;=0),"",IF(ISNUMBER($J241),$J241,99999)+ROW()/1000000)</f>
        <v/>
      </c>
      <c r="U241" s="35">
        <f>IF(OR($B241="",$B241&lt;&gt;'買掛帳'!$B$3,NOT(ISNUMBER($S241))),"",IF(AND($S241&gt;='買掛帳'!$Q$3,$S241&lt;='買掛帳'!$Q$4),$S241+ROW()/10000000,""))</f>
        <v/>
      </c>
      <c r="V241" s="35">
        <f>IF(OR($B241="",$B241&lt;&gt;'買掛帳'!$B$3,NOT(ISNUMBER($K241)),N($L241)+N($M241)=0),"",IF(AND($K241&gt;='買掛帳'!$Q$3,$K241&lt;='買掛帳'!$Q$4),$K241+0.5+ROW()/10000000,""))</f>
        <v/>
      </c>
    </row>
    <row r="242" ht="18" customHeight="1">
      <c r="A242" s="26" t="n"/>
      <c r="B242" s="18" t="n"/>
      <c r="C242" s="20">
        <f>IF($B242="","",IF($R242="なし","※仕入先にないコード",INDEX('仕入先'!$C$5:$C$54,$R242)&amp;""))</f>
        <v/>
      </c>
      <c r="D242" s="26" t="n"/>
      <c r="E242" s="18" t="n"/>
      <c r="F242" s="19" t="n"/>
      <c r="G242" s="27" t="n"/>
      <c r="H242" s="29">
        <f>IF(OR($B242="",NOT(ISNUMBER($R242)),NOT(ISNUMBER($S242))),"",IF(OR(INDEX('仕入先'!$D$5:$D$54,$R242)="",INDEX('仕入先'!$E$5:$E$54,$R242)="",INDEX('仕入先'!$F$5:$F$54,$R242)=""),"",IF(INDEX('仕入先'!$F$5:$F$54,$R242)="末",DATE(YEAR($S242),(MONTH($S242)+IF(INDEX('仕入先'!$D$5:$D$54,$R242)="末",0,IF(DAY($S242)&lt;=INDEX('仕入先'!$D$5:$D$54,$R242),0,1))+N(INDEX('仕入先'!$E$5:$E$54,$R242)))+1,0),DATE(YEAR($S242),(MONTH($S242)+IF(INDEX('仕入先'!$D$5:$D$54,$R242)="末",0,IF(DAY($S242)&lt;=INDEX('仕入先'!$D$5:$D$54,$R242),0,1))+N(INDEX('仕入先'!$E$5:$E$54,$R242))),MIN(INDEX('仕入先'!$F$5:$F$54,$R242),DAY(DATE(YEAR($S242),(MONTH($S242)+IF(INDEX('仕入先'!$D$5:$D$54,$R242)="末",0,IF(DAY($S242)&lt;=INDEX('仕入先'!$D$5:$D$54,$R242),0,1))+N(INDEX('仕入先'!$E$5:$E$54,$R242)))+1,0)))))))</f>
        <v/>
      </c>
      <c r="I242" s="26" t="n"/>
      <c r="J242" s="29">
        <f>IF($B242="","",IF(ISNUMBER($I242),$I242,$H242))</f>
        <v/>
      </c>
      <c r="K242" s="26" t="n"/>
      <c r="L242" s="27" t="n"/>
      <c r="M242" s="27" t="n"/>
      <c r="N242" s="28">
        <f>IF($B242="","",N($G242)-N($L242)-N($M242))</f>
        <v/>
      </c>
      <c r="O242" s="30">
        <f>IF($B242="","",IF(AND(OR(N($L242)&lt;&gt;0,N($M242)&lt;&gt;0),NOT(ISNUMBER($K242))),"支払日なし",IF($N242=0,IF(N($G242)=0,"請求額0","支払済"),IF($N242&lt;0,"払いすぎ",IF(N($L242)+N($M242)=0,"未払","一部支払")))))</f>
        <v/>
      </c>
      <c r="P242" s="30">
        <f>IF(OR($B242="",N($N242)&lt;=0,NOT(ISNUMBER($J242))),"",IF($J242&lt;'設定'!$B$7,"期日超過 "&amp;('設定'!$B$7-$J242)&amp;"日",IF($J242='設定'!$B$7,"今日","あと "&amp;($J242-'設定'!$B$7)&amp;"日")))</f>
        <v/>
      </c>
      <c r="Q242" s="56" t="n"/>
      <c r="R242" s="32">
        <f>IF($B242="","",IFERROR(MATCH($B242,'仕入先'!$B$5:$B$54,0),"なし"))</f>
        <v/>
      </c>
      <c r="S242" s="33">
        <f>IF($B242="","",IF(ISNUMBER($D242),$D242,IF(ISNUMBER($A242),$A242,"")))</f>
        <v/>
      </c>
      <c r="T242" s="34">
        <f>IF(OR($B242="",N($N242)&lt;=0),"",IF(ISNUMBER($J242),$J242,99999)+ROW()/1000000)</f>
        <v/>
      </c>
      <c r="U242" s="35">
        <f>IF(OR($B242="",$B242&lt;&gt;'買掛帳'!$B$3,NOT(ISNUMBER($S242))),"",IF(AND($S242&gt;='買掛帳'!$Q$3,$S242&lt;='買掛帳'!$Q$4),$S242+ROW()/10000000,""))</f>
        <v/>
      </c>
      <c r="V242" s="35">
        <f>IF(OR($B242="",$B242&lt;&gt;'買掛帳'!$B$3,NOT(ISNUMBER($K242)),N($L242)+N($M242)=0),"",IF(AND($K242&gt;='買掛帳'!$Q$3,$K242&lt;='買掛帳'!$Q$4),$K242+0.5+ROW()/10000000,""))</f>
        <v/>
      </c>
    </row>
    <row r="243" ht="18" customHeight="1">
      <c r="A243" s="26" t="n"/>
      <c r="B243" s="18" t="n"/>
      <c r="C243" s="20">
        <f>IF($B243="","",IF($R243="なし","※仕入先にないコード",INDEX('仕入先'!$C$5:$C$54,$R243)&amp;""))</f>
        <v/>
      </c>
      <c r="D243" s="26" t="n"/>
      <c r="E243" s="18" t="n"/>
      <c r="F243" s="19" t="n"/>
      <c r="G243" s="27" t="n"/>
      <c r="H243" s="29">
        <f>IF(OR($B243="",NOT(ISNUMBER($R243)),NOT(ISNUMBER($S243))),"",IF(OR(INDEX('仕入先'!$D$5:$D$54,$R243)="",INDEX('仕入先'!$E$5:$E$54,$R243)="",INDEX('仕入先'!$F$5:$F$54,$R243)=""),"",IF(INDEX('仕入先'!$F$5:$F$54,$R243)="末",DATE(YEAR($S243),(MONTH($S243)+IF(INDEX('仕入先'!$D$5:$D$54,$R243)="末",0,IF(DAY($S243)&lt;=INDEX('仕入先'!$D$5:$D$54,$R243),0,1))+N(INDEX('仕入先'!$E$5:$E$54,$R243)))+1,0),DATE(YEAR($S243),(MONTH($S243)+IF(INDEX('仕入先'!$D$5:$D$54,$R243)="末",0,IF(DAY($S243)&lt;=INDEX('仕入先'!$D$5:$D$54,$R243),0,1))+N(INDEX('仕入先'!$E$5:$E$54,$R243))),MIN(INDEX('仕入先'!$F$5:$F$54,$R243),DAY(DATE(YEAR($S243),(MONTH($S243)+IF(INDEX('仕入先'!$D$5:$D$54,$R243)="末",0,IF(DAY($S243)&lt;=INDEX('仕入先'!$D$5:$D$54,$R243),0,1))+N(INDEX('仕入先'!$E$5:$E$54,$R243)))+1,0)))))))</f>
        <v/>
      </c>
      <c r="I243" s="26" t="n"/>
      <c r="J243" s="29">
        <f>IF($B243="","",IF(ISNUMBER($I243),$I243,$H243))</f>
        <v/>
      </c>
      <c r="K243" s="26" t="n"/>
      <c r="L243" s="27" t="n"/>
      <c r="M243" s="27" t="n"/>
      <c r="N243" s="28">
        <f>IF($B243="","",N($G243)-N($L243)-N($M243))</f>
        <v/>
      </c>
      <c r="O243" s="30">
        <f>IF($B243="","",IF(AND(OR(N($L243)&lt;&gt;0,N($M243)&lt;&gt;0),NOT(ISNUMBER($K243))),"支払日なし",IF($N243=0,IF(N($G243)=0,"請求額0","支払済"),IF($N243&lt;0,"払いすぎ",IF(N($L243)+N($M243)=0,"未払","一部支払")))))</f>
        <v/>
      </c>
      <c r="P243" s="30">
        <f>IF(OR($B243="",N($N243)&lt;=0,NOT(ISNUMBER($J243))),"",IF($J243&lt;'設定'!$B$7,"期日超過 "&amp;('設定'!$B$7-$J243)&amp;"日",IF($J243='設定'!$B$7,"今日","あと "&amp;($J243-'設定'!$B$7)&amp;"日")))</f>
        <v/>
      </c>
      <c r="Q243" s="56" t="n"/>
      <c r="R243" s="32">
        <f>IF($B243="","",IFERROR(MATCH($B243,'仕入先'!$B$5:$B$54,0),"なし"))</f>
        <v/>
      </c>
      <c r="S243" s="33">
        <f>IF($B243="","",IF(ISNUMBER($D243),$D243,IF(ISNUMBER($A243),$A243,"")))</f>
        <v/>
      </c>
      <c r="T243" s="34">
        <f>IF(OR($B243="",N($N243)&lt;=0),"",IF(ISNUMBER($J243),$J243,99999)+ROW()/1000000)</f>
        <v/>
      </c>
      <c r="U243" s="35">
        <f>IF(OR($B243="",$B243&lt;&gt;'買掛帳'!$B$3,NOT(ISNUMBER($S243))),"",IF(AND($S243&gt;='買掛帳'!$Q$3,$S243&lt;='買掛帳'!$Q$4),$S243+ROW()/10000000,""))</f>
        <v/>
      </c>
      <c r="V243" s="35">
        <f>IF(OR($B243="",$B243&lt;&gt;'買掛帳'!$B$3,NOT(ISNUMBER($K243)),N($L243)+N($M243)=0),"",IF(AND($K243&gt;='買掛帳'!$Q$3,$K243&lt;='買掛帳'!$Q$4),$K243+0.5+ROW()/10000000,""))</f>
        <v/>
      </c>
    </row>
    <row r="244" ht="18" customHeight="1">
      <c r="A244" s="26" t="n"/>
      <c r="B244" s="18" t="n"/>
      <c r="C244" s="20">
        <f>IF($B244="","",IF($R244="なし","※仕入先にないコード",INDEX('仕入先'!$C$5:$C$54,$R244)&amp;""))</f>
        <v/>
      </c>
      <c r="D244" s="26" t="n"/>
      <c r="E244" s="18" t="n"/>
      <c r="F244" s="19" t="n"/>
      <c r="G244" s="27" t="n"/>
      <c r="H244" s="29">
        <f>IF(OR($B244="",NOT(ISNUMBER($R244)),NOT(ISNUMBER($S244))),"",IF(OR(INDEX('仕入先'!$D$5:$D$54,$R244)="",INDEX('仕入先'!$E$5:$E$54,$R244)="",INDEX('仕入先'!$F$5:$F$54,$R244)=""),"",IF(INDEX('仕入先'!$F$5:$F$54,$R244)="末",DATE(YEAR($S244),(MONTH($S244)+IF(INDEX('仕入先'!$D$5:$D$54,$R244)="末",0,IF(DAY($S244)&lt;=INDEX('仕入先'!$D$5:$D$54,$R244),0,1))+N(INDEX('仕入先'!$E$5:$E$54,$R244)))+1,0),DATE(YEAR($S244),(MONTH($S244)+IF(INDEX('仕入先'!$D$5:$D$54,$R244)="末",0,IF(DAY($S244)&lt;=INDEX('仕入先'!$D$5:$D$54,$R244),0,1))+N(INDEX('仕入先'!$E$5:$E$54,$R244))),MIN(INDEX('仕入先'!$F$5:$F$54,$R244),DAY(DATE(YEAR($S244),(MONTH($S244)+IF(INDEX('仕入先'!$D$5:$D$54,$R244)="末",0,IF(DAY($S244)&lt;=INDEX('仕入先'!$D$5:$D$54,$R244),0,1))+N(INDEX('仕入先'!$E$5:$E$54,$R244)))+1,0)))))))</f>
        <v/>
      </c>
      <c r="I244" s="26" t="n"/>
      <c r="J244" s="29">
        <f>IF($B244="","",IF(ISNUMBER($I244),$I244,$H244))</f>
        <v/>
      </c>
      <c r="K244" s="26" t="n"/>
      <c r="L244" s="27" t="n"/>
      <c r="M244" s="27" t="n"/>
      <c r="N244" s="28">
        <f>IF($B244="","",N($G244)-N($L244)-N($M244))</f>
        <v/>
      </c>
      <c r="O244" s="30">
        <f>IF($B244="","",IF(AND(OR(N($L244)&lt;&gt;0,N($M244)&lt;&gt;0),NOT(ISNUMBER($K244))),"支払日なし",IF($N244=0,IF(N($G244)=0,"請求額0","支払済"),IF($N244&lt;0,"払いすぎ",IF(N($L244)+N($M244)=0,"未払","一部支払")))))</f>
        <v/>
      </c>
      <c r="P244" s="30">
        <f>IF(OR($B244="",N($N244)&lt;=0,NOT(ISNUMBER($J244))),"",IF($J244&lt;'設定'!$B$7,"期日超過 "&amp;('設定'!$B$7-$J244)&amp;"日",IF($J244='設定'!$B$7,"今日","あと "&amp;($J244-'設定'!$B$7)&amp;"日")))</f>
        <v/>
      </c>
      <c r="Q244" s="56" t="n"/>
      <c r="R244" s="32">
        <f>IF($B244="","",IFERROR(MATCH($B244,'仕入先'!$B$5:$B$54,0),"なし"))</f>
        <v/>
      </c>
      <c r="S244" s="33">
        <f>IF($B244="","",IF(ISNUMBER($D244),$D244,IF(ISNUMBER($A244),$A244,"")))</f>
        <v/>
      </c>
      <c r="T244" s="34">
        <f>IF(OR($B244="",N($N244)&lt;=0),"",IF(ISNUMBER($J244),$J244,99999)+ROW()/1000000)</f>
        <v/>
      </c>
      <c r="U244" s="35">
        <f>IF(OR($B244="",$B244&lt;&gt;'買掛帳'!$B$3,NOT(ISNUMBER($S244))),"",IF(AND($S244&gt;='買掛帳'!$Q$3,$S244&lt;='買掛帳'!$Q$4),$S244+ROW()/10000000,""))</f>
        <v/>
      </c>
      <c r="V244" s="35">
        <f>IF(OR($B244="",$B244&lt;&gt;'買掛帳'!$B$3,NOT(ISNUMBER($K244)),N($L244)+N($M244)=0),"",IF(AND($K244&gt;='買掛帳'!$Q$3,$K244&lt;='買掛帳'!$Q$4),$K244+0.5+ROW()/10000000,""))</f>
        <v/>
      </c>
    </row>
    <row r="245" ht="18" customHeight="1">
      <c r="A245" s="26" t="n"/>
      <c r="B245" s="18" t="n"/>
      <c r="C245" s="20">
        <f>IF($B245="","",IF($R245="なし","※仕入先にないコード",INDEX('仕入先'!$C$5:$C$54,$R245)&amp;""))</f>
        <v/>
      </c>
      <c r="D245" s="26" t="n"/>
      <c r="E245" s="18" t="n"/>
      <c r="F245" s="19" t="n"/>
      <c r="G245" s="27" t="n"/>
      <c r="H245" s="29">
        <f>IF(OR($B245="",NOT(ISNUMBER($R245)),NOT(ISNUMBER($S245))),"",IF(OR(INDEX('仕入先'!$D$5:$D$54,$R245)="",INDEX('仕入先'!$E$5:$E$54,$R245)="",INDEX('仕入先'!$F$5:$F$54,$R245)=""),"",IF(INDEX('仕入先'!$F$5:$F$54,$R245)="末",DATE(YEAR($S245),(MONTH($S245)+IF(INDEX('仕入先'!$D$5:$D$54,$R245)="末",0,IF(DAY($S245)&lt;=INDEX('仕入先'!$D$5:$D$54,$R245),0,1))+N(INDEX('仕入先'!$E$5:$E$54,$R245)))+1,0),DATE(YEAR($S245),(MONTH($S245)+IF(INDEX('仕入先'!$D$5:$D$54,$R245)="末",0,IF(DAY($S245)&lt;=INDEX('仕入先'!$D$5:$D$54,$R245),0,1))+N(INDEX('仕入先'!$E$5:$E$54,$R245))),MIN(INDEX('仕入先'!$F$5:$F$54,$R245),DAY(DATE(YEAR($S245),(MONTH($S245)+IF(INDEX('仕入先'!$D$5:$D$54,$R245)="末",0,IF(DAY($S245)&lt;=INDEX('仕入先'!$D$5:$D$54,$R245),0,1))+N(INDEX('仕入先'!$E$5:$E$54,$R245)))+1,0)))))))</f>
        <v/>
      </c>
      <c r="I245" s="26" t="n"/>
      <c r="J245" s="29">
        <f>IF($B245="","",IF(ISNUMBER($I245),$I245,$H245))</f>
        <v/>
      </c>
      <c r="K245" s="26" t="n"/>
      <c r="L245" s="27" t="n"/>
      <c r="M245" s="27" t="n"/>
      <c r="N245" s="28">
        <f>IF($B245="","",N($G245)-N($L245)-N($M245))</f>
        <v/>
      </c>
      <c r="O245" s="30">
        <f>IF($B245="","",IF(AND(OR(N($L245)&lt;&gt;0,N($M245)&lt;&gt;0),NOT(ISNUMBER($K245))),"支払日なし",IF($N245=0,IF(N($G245)=0,"請求額0","支払済"),IF($N245&lt;0,"払いすぎ",IF(N($L245)+N($M245)=0,"未払","一部支払")))))</f>
        <v/>
      </c>
      <c r="P245" s="30">
        <f>IF(OR($B245="",N($N245)&lt;=0,NOT(ISNUMBER($J245))),"",IF($J245&lt;'設定'!$B$7,"期日超過 "&amp;('設定'!$B$7-$J245)&amp;"日",IF($J245='設定'!$B$7,"今日","あと "&amp;($J245-'設定'!$B$7)&amp;"日")))</f>
        <v/>
      </c>
      <c r="Q245" s="56" t="n"/>
      <c r="R245" s="32">
        <f>IF($B245="","",IFERROR(MATCH($B245,'仕入先'!$B$5:$B$54,0),"なし"))</f>
        <v/>
      </c>
      <c r="S245" s="33">
        <f>IF($B245="","",IF(ISNUMBER($D245),$D245,IF(ISNUMBER($A245),$A245,"")))</f>
        <v/>
      </c>
      <c r="T245" s="34">
        <f>IF(OR($B245="",N($N245)&lt;=0),"",IF(ISNUMBER($J245),$J245,99999)+ROW()/1000000)</f>
        <v/>
      </c>
      <c r="U245" s="35">
        <f>IF(OR($B245="",$B245&lt;&gt;'買掛帳'!$B$3,NOT(ISNUMBER($S245))),"",IF(AND($S245&gt;='買掛帳'!$Q$3,$S245&lt;='買掛帳'!$Q$4),$S245+ROW()/10000000,""))</f>
        <v/>
      </c>
      <c r="V245" s="35">
        <f>IF(OR($B245="",$B245&lt;&gt;'買掛帳'!$B$3,NOT(ISNUMBER($K245)),N($L245)+N($M245)=0),"",IF(AND($K245&gt;='買掛帳'!$Q$3,$K245&lt;='買掛帳'!$Q$4),$K245+0.5+ROW()/10000000,""))</f>
        <v/>
      </c>
    </row>
    <row r="246" ht="18" customHeight="1">
      <c r="A246" s="26" t="n"/>
      <c r="B246" s="18" t="n"/>
      <c r="C246" s="20">
        <f>IF($B246="","",IF($R246="なし","※仕入先にないコード",INDEX('仕入先'!$C$5:$C$54,$R246)&amp;""))</f>
        <v/>
      </c>
      <c r="D246" s="26" t="n"/>
      <c r="E246" s="18" t="n"/>
      <c r="F246" s="19" t="n"/>
      <c r="G246" s="27" t="n"/>
      <c r="H246" s="29">
        <f>IF(OR($B246="",NOT(ISNUMBER($R246)),NOT(ISNUMBER($S246))),"",IF(OR(INDEX('仕入先'!$D$5:$D$54,$R246)="",INDEX('仕入先'!$E$5:$E$54,$R246)="",INDEX('仕入先'!$F$5:$F$54,$R246)=""),"",IF(INDEX('仕入先'!$F$5:$F$54,$R246)="末",DATE(YEAR($S246),(MONTH($S246)+IF(INDEX('仕入先'!$D$5:$D$54,$R246)="末",0,IF(DAY($S246)&lt;=INDEX('仕入先'!$D$5:$D$54,$R246),0,1))+N(INDEX('仕入先'!$E$5:$E$54,$R246)))+1,0),DATE(YEAR($S246),(MONTH($S246)+IF(INDEX('仕入先'!$D$5:$D$54,$R246)="末",0,IF(DAY($S246)&lt;=INDEX('仕入先'!$D$5:$D$54,$R246),0,1))+N(INDEX('仕入先'!$E$5:$E$54,$R246))),MIN(INDEX('仕入先'!$F$5:$F$54,$R246),DAY(DATE(YEAR($S246),(MONTH($S246)+IF(INDEX('仕入先'!$D$5:$D$54,$R246)="末",0,IF(DAY($S246)&lt;=INDEX('仕入先'!$D$5:$D$54,$R246),0,1))+N(INDEX('仕入先'!$E$5:$E$54,$R246)))+1,0)))))))</f>
        <v/>
      </c>
      <c r="I246" s="26" t="n"/>
      <c r="J246" s="29">
        <f>IF($B246="","",IF(ISNUMBER($I246),$I246,$H246))</f>
        <v/>
      </c>
      <c r="K246" s="26" t="n"/>
      <c r="L246" s="27" t="n"/>
      <c r="M246" s="27" t="n"/>
      <c r="N246" s="28">
        <f>IF($B246="","",N($G246)-N($L246)-N($M246))</f>
        <v/>
      </c>
      <c r="O246" s="30">
        <f>IF($B246="","",IF(AND(OR(N($L246)&lt;&gt;0,N($M246)&lt;&gt;0),NOT(ISNUMBER($K246))),"支払日なし",IF($N246=0,IF(N($G246)=0,"請求額0","支払済"),IF($N246&lt;0,"払いすぎ",IF(N($L246)+N($M246)=0,"未払","一部支払")))))</f>
        <v/>
      </c>
      <c r="P246" s="30">
        <f>IF(OR($B246="",N($N246)&lt;=0,NOT(ISNUMBER($J246))),"",IF($J246&lt;'設定'!$B$7,"期日超過 "&amp;('設定'!$B$7-$J246)&amp;"日",IF($J246='設定'!$B$7,"今日","あと "&amp;($J246-'設定'!$B$7)&amp;"日")))</f>
        <v/>
      </c>
      <c r="Q246" s="56" t="n"/>
      <c r="R246" s="32">
        <f>IF($B246="","",IFERROR(MATCH($B246,'仕入先'!$B$5:$B$54,0),"なし"))</f>
        <v/>
      </c>
      <c r="S246" s="33">
        <f>IF($B246="","",IF(ISNUMBER($D246),$D246,IF(ISNUMBER($A246),$A246,"")))</f>
        <v/>
      </c>
      <c r="T246" s="34">
        <f>IF(OR($B246="",N($N246)&lt;=0),"",IF(ISNUMBER($J246),$J246,99999)+ROW()/1000000)</f>
        <v/>
      </c>
      <c r="U246" s="35">
        <f>IF(OR($B246="",$B246&lt;&gt;'買掛帳'!$B$3,NOT(ISNUMBER($S246))),"",IF(AND($S246&gt;='買掛帳'!$Q$3,$S246&lt;='買掛帳'!$Q$4),$S246+ROW()/10000000,""))</f>
        <v/>
      </c>
      <c r="V246" s="35">
        <f>IF(OR($B246="",$B246&lt;&gt;'買掛帳'!$B$3,NOT(ISNUMBER($K246)),N($L246)+N($M246)=0),"",IF(AND($K246&gt;='買掛帳'!$Q$3,$K246&lt;='買掛帳'!$Q$4),$K246+0.5+ROW()/10000000,""))</f>
        <v/>
      </c>
    </row>
    <row r="247" ht="18" customHeight="1">
      <c r="A247" s="26" t="n"/>
      <c r="B247" s="18" t="n"/>
      <c r="C247" s="20">
        <f>IF($B247="","",IF($R247="なし","※仕入先にないコード",INDEX('仕入先'!$C$5:$C$54,$R247)&amp;""))</f>
        <v/>
      </c>
      <c r="D247" s="26" t="n"/>
      <c r="E247" s="18" t="n"/>
      <c r="F247" s="19" t="n"/>
      <c r="G247" s="27" t="n"/>
      <c r="H247" s="29">
        <f>IF(OR($B247="",NOT(ISNUMBER($R247)),NOT(ISNUMBER($S247))),"",IF(OR(INDEX('仕入先'!$D$5:$D$54,$R247)="",INDEX('仕入先'!$E$5:$E$54,$R247)="",INDEX('仕入先'!$F$5:$F$54,$R247)=""),"",IF(INDEX('仕入先'!$F$5:$F$54,$R247)="末",DATE(YEAR($S247),(MONTH($S247)+IF(INDEX('仕入先'!$D$5:$D$54,$R247)="末",0,IF(DAY($S247)&lt;=INDEX('仕入先'!$D$5:$D$54,$R247),0,1))+N(INDEX('仕入先'!$E$5:$E$54,$R247)))+1,0),DATE(YEAR($S247),(MONTH($S247)+IF(INDEX('仕入先'!$D$5:$D$54,$R247)="末",0,IF(DAY($S247)&lt;=INDEX('仕入先'!$D$5:$D$54,$R247),0,1))+N(INDEX('仕入先'!$E$5:$E$54,$R247))),MIN(INDEX('仕入先'!$F$5:$F$54,$R247),DAY(DATE(YEAR($S247),(MONTH($S247)+IF(INDEX('仕入先'!$D$5:$D$54,$R247)="末",0,IF(DAY($S247)&lt;=INDEX('仕入先'!$D$5:$D$54,$R247),0,1))+N(INDEX('仕入先'!$E$5:$E$54,$R247)))+1,0)))))))</f>
        <v/>
      </c>
      <c r="I247" s="26" t="n"/>
      <c r="J247" s="29">
        <f>IF($B247="","",IF(ISNUMBER($I247),$I247,$H247))</f>
        <v/>
      </c>
      <c r="K247" s="26" t="n"/>
      <c r="L247" s="27" t="n"/>
      <c r="M247" s="27" t="n"/>
      <c r="N247" s="28">
        <f>IF($B247="","",N($G247)-N($L247)-N($M247))</f>
        <v/>
      </c>
      <c r="O247" s="30">
        <f>IF($B247="","",IF(AND(OR(N($L247)&lt;&gt;0,N($M247)&lt;&gt;0),NOT(ISNUMBER($K247))),"支払日なし",IF($N247=0,IF(N($G247)=0,"請求額0","支払済"),IF($N247&lt;0,"払いすぎ",IF(N($L247)+N($M247)=0,"未払","一部支払")))))</f>
        <v/>
      </c>
      <c r="P247" s="30">
        <f>IF(OR($B247="",N($N247)&lt;=0,NOT(ISNUMBER($J247))),"",IF($J247&lt;'設定'!$B$7,"期日超過 "&amp;('設定'!$B$7-$J247)&amp;"日",IF($J247='設定'!$B$7,"今日","あと "&amp;($J247-'設定'!$B$7)&amp;"日")))</f>
        <v/>
      </c>
      <c r="Q247" s="56" t="n"/>
      <c r="R247" s="32">
        <f>IF($B247="","",IFERROR(MATCH($B247,'仕入先'!$B$5:$B$54,0),"なし"))</f>
        <v/>
      </c>
      <c r="S247" s="33">
        <f>IF($B247="","",IF(ISNUMBER($D247),$D247,IF(ISNUMBER($A247),$A247,"")))</f>
        <v/>
      </c>
      <c r="T247" s="34">
        <f>IF(OR($B247="",N($N247)&lt;=0),"",IF(ISNUMBER($J247),$J247,99999)+ROW()/1000000)</f>
        <v/>
      </c>
      <c r="U247" s="35">
        <f>IF(OR($B247="",$B247&lt;&gt;'買掛帳'!$B$3,NOT(ISNUMBER($S247))),"",IF(AND($S247&gt;='買掛帳'!$Q$3,$S247&lt;='買掛帳'!$Q$4),$S247+ROW()/10000000,""))</f>
        <v/>
      </c>
      <c r="V247" s="35">
        <f>IF(OR($B247="",$B247&lt;&gt;'買掛帳'!$B$3,NOT(ISNUMBER($K247)),N($L247)+N($M247)=0),"",IF(AND($K247&gt;='買掛帳'!$Q$3,$K247&lt;='買掛帳'!$Q$4),$K247+0.5+ROW()/10000000,""))</f>
        <v/>
      </c>
    </row>
    <row r="248" ht="18" customHeight="1">
      <c r="A248" s="26" t="n"/>
      <c r="B248" s="18" t="n"/>
      <c r="C248" s="20">
        <f>IF($B248="","",IF($R248="なし","※仕入先にないコード",INDEX('仕入先'!$C$5:$C$54,$R248)&amp;""))</f>
        <v/>
      </c>
      <c r="D248" s="26" t="n"/>
      <c r="E248" s="18" t="n"/>
      <c r="F248" s="19" t="n"/>
      <c r="G248" s="27" t="n"/>
      <c r="H248" s="29">
        <f>IF(OR($B248="",NOT(ISNUMBER($R248)),NOT(ISNUMBER($S248))),"",IF(OR(INDEX('仕入先'!$D$5:$D$54,$R248)="",INDEX('仕入先'!$E$5:$E$54,$R248)="",INDEX('仕入先'!$F$5:$F$54,$R248)=""),"",IF(INDEX('仕入先'!$F$5:$F$54,$R248)="末",DATE(YEAR($S248),(MONTH($S248)+IF(INDEX('仕入先'!$D$5:$D$54,$R248)="末",0,IF(DAY($S248)&lt;=INDEX('仕入先'!$D$5:$D$54,$R248),0,1))+N(INDEX('仕入先'!$E$5:$E$54,$R248)))+1,0),DATE(YEAR($S248),(MONTH($S248)+IF(INDEX('仕入先'!$D$5:$D$54,$R248)="末",0,IF(DAY($S248)&lt;=INDEX('仕入先'!$D$5:$D$54,$R248),0,1))+N(INDEX('仕入先'!$E$5:$E$54,$R248))),MIN(INDEX('仕入先'!$F$5:$F$54,$R248),DAY(DATE(YEAR($S248),(MONTH($S248)+IF(INDEX('仕入先'!$D$5:$D$54,$R248)="末",0,IF(DAY($S248)&lt;=INDEX('仕入先'!$D$5:$D$54,$R248),0,1))+N(INDEX('仕入先'!$E$5:$E$54,$R248)))+1,0)))))))</f>
        <v/>
      </c>
      <c r="I248" s="26" t="n"/>
      <c r="J248" s="29">
        <f>IF($B248="","",IF(ISNUMBER($I248),$I248,$H248))</f>
        <v/>
      </c>
      <c r="K248" s="26" t="n"/>
      <c r="L248" s="27" t="n"/>
      <c r="M248" s="27" t="n"/>
      <c r="N248" s="28">
        <f>IF($B248="","",N($G248)-N($L248)-N($M248))</f>
        <v/>
      </c>
      <c r="O248" s="30">
        <f>IF($B248="","",IF(AND(OR(N($L248)&lt;&gt;0,N($M248)&lt;&gt;0),NOT(ISNUMBER($K248))),"支払日なし",IF($N248=0,IF(N($G248)=0,"請求額0","支払済"),IF($N248&lt;0,"払いすぎ",IF(N($L248)+N($M248)=0,"未払","一部支払")))))</f>
        <v/>
      </c>
      <c r="P248" s="30">
        <f>IF(OR($B248="",N($N248)&lt;=0,NOT(ISNUMBER($J248))),"",IF($J248&lt;'設定'!$B$7,"期日超過 "&amp;('設定'!$B$7-$J248)&amp;"日",IF($J248='設定'!$B$7,"今日","あと "&amp;($J248-'設定'!$B$7)&amp;"日")))</f>
        <v/>
      </c>
      <c r="Q248" s="56" t="n"/>
      <c r="R248" s="32">
        <f>IF($B248="","",IFERROR(MATCH($B248,'仕入先'!$B$5:$B$54,0),"なし"))</f>
        <v/>
      </c>
      <c r="S248" s="33">
        <f>IF($B248="","",IF(ISNUMBER($D248),$D248,IF(ISNUMBER($A248),$A248,"")))</f>
        <v/>
      </c>
      <c r="T248" s="34">
        <f>IF(OR($B248="",N($N248)&lt;=0),"",IF(ISNUMBER($J248),$J248,99999)+ROW()/1000000)</f>
        <v/>
      </c>
      <c r="U248" s="35">
        <f>IF(OR($B248="",$B248&lt;&gt;'買掛帳'!$B$3,NOT(ISNUMBER($S248))),"",IF(AND($S248&gt;='買掛帳'!$Q$3,$S248&lt;='買掛帳'!$Q$4),$S248+ROW()/10000000,""))</f>
        <v/>
      </c>
      <c r="V248" s="35">
        <f>IF(OR($B248="",$B248&lt;&gt;'買掛帳'!$B$3,NOT(ISNUMBER($K248)),N($L248)+N($M248)=0),"",IF(AND($K248&gt;='買掛帳'!$Q$3,$K248&lt;='買掛帳'!$Q$4),$K248+0.5+ROW()/10000000,""))</f>
        <v/>
      </c>
    </row>
    <row r="249" ht="18" customHeight="1">
      <c r="A249" s="26" t="n"/>
      <c r="B249" s="18" t="n"/>
      <c r="C249" s="20">
        <f>IF($B249="","",IF($R249="なし","※仕入先にないコード",INDEX('仕入先'!$C$5:$C$54,$R249)&amp;""))</f>
        <v/>
      </c>
      <c r="D249" s="26" t="n"/>
      <c r="E249" s="18" t="n"/>
      <c r="F249" s="19" t="n"/>
      <c r="G249" s="27" t="n"/>
      <c r="H249" s="29">
        <f>IF(OR($B249="",NOT(ISNUMBER($R249)),NOT(ISNUMBER($S249))),"",IF(OR(INDEX('仕入先'!$D$5:$D$54,$R249)="",INDEX('仕入先'!$E$5:$E$54,$R249)="",INDEX('仕入先'!$F$5:$F$54,$R249)=""),"",IF(INDEX('仕入先'!$F$5:$F$54,$R249)="末",DATE(YEAR($S249),(MONTH($S249)+IF(INDEX('仕入先'!$D$5:$D$54,$R249)="末",0,IF(DAY($S249)&lt;=INDEX('仕入先'!$D$5:$D$54,$R249),0,1))+N(INDEX('仕入先'!$E$5:$E$54,$R249)))+1,0),DATE(YEAR($S249),(MONTH($S249)+IF(INDEX('仕入先'!$D$5:$D$54,$R249)="末",0,IF(DAY($S249)&lt;=INDEX('仕入先'!$D$5:$D$54,$R249),0,1))+N(INDEX('仕入先'!$E$5:$E$54,$R249))),MIN(INDEX('仕入先'!$F$5:$F$54,$R249),DAY(DATE(YEAR($S249),(MONTH($S249)+IF(INDEX('仕入先'!$D$5:$D$54,$R249)="末",0,IF(DAY($S249)&lt;=INDEX('仕入先'!$D$5:$D$54,$R249),0,1))+N(INDEX('仕入先'!$E$5:$E$54,$R249)))+1,0)))))))</f>
        <v/>
      </c>
      <c r="I249" s="26" t="n"/>
      <c r="J249" s="29">
        <f>IF($B249="","",IF(ISNUMBER($I249),$I249,$H249))</f>
        <v/>
      </c>
      <c r="K249" s="26" t="n"/>
      <c r="L249" s="27" t="n"/>
      <c r="M249" s="27" t="n"/>
      <c r="N249" s="28">
        <f>IF($B249="","",N($G249)-N($L249)-N($M249))</f>
        <v/>
      </c>
      <c r="O249" s="30">
        <f>IF($B249="","",IF(AND(OR(N($L249)&lt;&gt;0,N($M249)&lt;&gt;0),NOT(ISNUMBER($K249))),"支払日なし",IF($N249=0,IF(N($G249)=0,"請求額0","支払済"),IF($N249&lt;0,"払いすぎ",IF(N($L249)+N($M249)=0,"未払","一部支払")))))</f>
        <v/>
      </c>
      <c r="P249" s="30">
        <f>IF(OR($B249="",N($N249)&lt;=0,NOT(ISNUMBER($J249))),"",IF($J249&lt;'設定'!$B$7,"期日超過 "&amp;('設定'!$B$7-$J249)&amp;"日",IF($J249='設定'!$B$7,"今日","あと "&amp;($J249-'設定'!$B$7)&amp;"日")))</f>
        <v/>
      </c>
      <c r="Q249" s="56" t="n"/>
      <c r="R249" s="32">
        <f>IF($B249="","",IFERROR(MATCH($B249,'仕入先'!$B$5:$B$54,0),"なし"))</f>
        <v/>
      </c>
      <c r="S249" s="33">
        <f>IF($B249="","",IF(ISNUMBER($D249),$D249,IF(ISNUMBER($A249),$A249,"")))</f>
        <v/>
      </c>
      <c r="T249" s="34">
        <f>IF(OR($B249="",N($N249)&lt;=0),"",IF(ISNUMBER($J249),$J249,99999)+ROW()/1000000)</f>
        <v/>
      </c>
      <c r="U249" s="35">
        <f>IF(OR($B249="",$B249&lt;&gt;'買掛帳'!$B$3,NOT(ISNUMBER($S249))),"",IF(AND($S249&gt;='買掛帳'!$Q$3,$S249&lt;='買掛帳'!$Q$4),$S249+ROW()/10000000,""))</f>
        <v/>
      </c>
      <c r="V249" s="35">
        <f>IF(OR($B249="",$B249&lt;&gt;'買掛帳'!$B$3,NOT(ISNUMBER($K249)),N($L249)+N($M249)=0),"",IF(AND($K249&gt;='買掛帳'!$Q$3,$K249&lt;='買掛帳'!$Q$4),$K249+0.5+ROW()/10000000,""))</f>
        <v/>
      </c>
    </row>
    <row r="250" ht="18" customHeight="1">
      <c r="A250" s="26" t="n"/>
      <c r="B250" s="18" t="n"/>
      <c r="C250" s="20">
        <f>IF($B250="","",IF($R250="なし","※仕入先にないコード",INDEX('仕入先'!$C$5:$C$54,$R250)&amp;""))</f>
        <v/>
      </c>
      <c r="D250" s="26" t="n"/>
      <c r="E250" s="18" t="n"/>
      <c r="F250" s="19" t="n"/>
      <c r="G250" s="27" t="n"/>
      <c r="H250" s="29">
        <f>IF(OR($B250="",NOT(ISNUMBER($R250)),NOT(ISNUMBER($S250))),"",IF(OR(INDEX('仕入先'!$D$5:$D$54,$R250)="",INDEX('仕入先'!$E$5:$E$54,$R250)="",INDEX('仕入先'!$F$5:$F$54,$R250)=""),"",IF(INDEX('仕入先'!$F$5:$F$54,$R250)="末",DATE(YEAR($S250),(MONTH($S250)+IF(INDEX('仕入先'!$D$5:$D$54,$R250)="末",0,IF(DAY($S250)&lt;=INDEX('仕入先'!$D$5:$D$54,$R250),0,1))+N(INDEX('仕入先'!$E$5:$E$54,$R250)))+1,0),DATE(YEAR($S250),(MONTH($S250)+IF(INDEX('仕入先'!$D$5:$D$54,$R250)="末",0,IF(DAY($S250)&lt;=INDEX('仕入先'!$D$5:$D$54,$R250),0,1))+N(INDEX('仕入先'!$E$5:$E$54,$R250))),MIN(INDEX('仕入先'!$F$5:$F$54,$R250),DAY(DATE(YEAR($S250),(MONTH($S250)+IF(INDEX('仕入先'!$D$5:$D$54,$R250)="末",0,IF(DAY($S250)&lt;=INDEX('仕入先'!$D$5:$D$54,$R250),0,1))+N(INDEX('仕入先'!$E$5:$E$54,$R250)))+1,0)))))))</f>
        <v/>
      </c>
      <c r="I250" s="26" t="n"/>
      <c r="J250" s="29">
        <f>IF($B250="","",IF(ISNUMBER($I250),$I250,$H250))</f>
        <v/>
      </c>
      <c r="K250" s="26" t="n"/>
      <c r="L250" s="27" t="n"/>
      <c r="M250" s="27" t="n"/>
      <c r="N250" s="28">
        <f>IF($B250="","",N($G250)-N($L250)-N($M250))</f>
        <v/>
      </c>
      <c r="O250" s="30">
        <f>IF($B250="","",IF(AND(OR(N($L250)&lt;&gt;0,N($M250)&lt;&gt;0),NOT(ISNUMBER($K250))),"支払日なし",IF($N250=0,IF(N($G250)=0,"請求額0","支払済"),IF($N250&lt;0,"払いすぎ",IF(N($L250)+N($M250)=0,"未払","一部支払")))))</f>
        <v/>
      </c>
      <c r="P250" s="30">
        <f>IF(OR($B250="",N($N250)&lt;=0,NOT(ISNUMBER($J250))),"",IF($J250&lt;'設定'!$B$7,"期日超過 "&amp;('設定'!$B$7-$J250)&amp;"日",IF($J250='設定'!$B$7,"今日","あと "&amp;($J250-'設定'!$B$7)&amp;"日")))</f>
        <v/>
      </c>
      <c r="Q250" s="56" t="n"/>
      <c r="R250" s="32">
        <f>IF($B250="","",IFERROR(MATCH($B250,'仕入先'!$B$5:$B$54,0),"なし"))</f>
        <v/>
      </c>
      <c r="S250" s="33">
        <f>IF($B250="","",IF(ISNUMBER($D250),$D250,IF(ISNUMBER($A250),$A250,"")))</f>
        <v/>
      </c>
      <c r="T250" s="34">
        <f>IF(OR($B250="",N($N250)&lt;=0),"",IF(ISNUMBER($J250),$J250,99999)+ROW()/1000000)</f>
        <v/>
      </c>
      <c r="U250" s="35">
        <f>IF(OR($B250="",$B250&lt;&gt;'買掛帳'!$B$3,NOT(ISNUMBER($S250))),"",IF(AND($S250&gt;='買掛帳'!$Q$3,$S250&lt;='買掛帳'!$Q$4),$S250+ROW()/10000000,""))</f>
        <v/>
      </c>
      <c r="V250" s="35">
        <f>IF(OR($B250="",$B250&lt;&gt;'買掛帳'!$B$3,NOT(ISNUMBER($K250)),N($L250)+N($M250)=0),"",IF(AND($K250&gt;='買掛帳'!$Q$3,$K250&lt;='買掛帳'!$Q$4),$K250+0.5+ROW()/10000000,""))</f>
        <v/>
      </c>
    </row>
    <row r="251" ht="18" customHeight="1">
      <c r="A251" s="26" t="n"/>
      <c r="B251" s="18" t="n"/>
      <c r="C251" s="20">
        <f>IF($B251="","",IF($R251="なし","※仕入先にないコード",INDEX('仕入先'!$C$5:$C$54,$R251)&amp;""))</f>
        <v/>
      </c>
      <c r="D251" s="26" t="n"/>
      <c r="E251" s="18" t="n"/>
      <c r="F251" s="19" t="n"/>
      <c r="G251" s="27" t="n"/>
      <c r="H251" s="29">
        <f>IF(OR($B251="",NOT(ISNUMBER($R251)),NOT(ISNUMBER($S251))),"",IF(OR(INDEX('仕入先'!$D$5:$D$54,$R251)="",INDEX('仕入先'!$E$5:$E$54,$R251)="",INDEX('仕入先'!$F$5:$F$54,$R251)=""),"",IF(INDEX('仕入先'!$F$5:$F$54,$R251)="末",DATE(YEAR($S251),(MONTH($S251)+IF(INDEX('仕入先'!$D$5:$D$54,$R251)="末",0,IF(DAY($S251)&lt;=INDEX('仕入先'!$D$5:$D$54,$R251),0,1))+N(INDEX('仕入先'!$E$5:$E$54,$R251)))+1,0),DATE(YEAR($S251),(MONTH($S251)+IF(INDEX('仕入先'!$D$5:$D$54,$R251)="末",0,IF(DAY($S251)&lt;=INDEX('仕入先'!$D$5:$D$54,$R251),0,1))+N(INDEX('仕入先'!$E$5:$E$54,$R251))),MIN(INDEX('仕入先'!$F$5:$F$54,$R251),DAY(DATE(YEAR($S251),(MONTH($S251)+IF(INDEX('仕入先'!$D$5:$D$54,$R251)="末",0,IF(DAY($S251)&lt;=INDEX('仕入先'!$D$5:$D$54,$R251),0,1))+N(INDEX('仕入先'!$E$5:$E$54,$R251)))+1,0)))))))</f>
        <v/>
      </c>
      <c r="I251" s="26" t="n"/>
      <c r="J251" s="29">
        <f>IF($B251="","",IF(ISNUMBER($I251),$I251,$H251))</f>
        <v/>
      </c>
      <c r="K251" s="26" t="n"/>
      <c r="L251" s="27" t="n"/>
      <c r="M251" s="27" t="n"/>
      <c r="N251" s="28">
        <f>IF($B251="","",N($G251)-N($L251)-N($M251))</f>
        <v/>
      </c>
      <c r="O251" s="30">
        <f>IF($B251="","",IF(AND(OR(N($L251)&lt;&gt;0,N($M251)&lt;&gt;0),NOT(ISNUMBER($K251))),"支払日なし",IF($N251=0,IF(N($G251)=0,"請求額0","支払済"),IF($N251&lt;0,"払いすぎ",IF(N($L251)+N($M251)=0,"未払","一部支払")))))</f>
        <v/>
      </c>
      <c r="P251" s="30">
        <f>IF(OR($B251="",N($N251)&lt;=0,NOT(ISNUMBER($J251))),"",IF($J251&lt;'設定'!$B$7,"期日超過 "&amp;('設定'!$B$7-$J251)&amp;"日",IF($J251='設定'!$B$7,"今日","あと "&amp;($J251-'設定'!$B$7)&amp;"日")))</f>
        <v/>
      </c>
      <c r="Q251" s="56" t="n"/>
      <c r="R251" s="32">
        <f>IF($B251="","",IFERROR(MATCH($B251,'仕入先'!$B$5:$B$54,0),"なし"))</f>
        <v/>
      </c>
      <c r="S251" s="33">
        <f>IF($B251="","",IF(ISNUMBER($D251),$D251,IF(ISNUMBER($A251),$A251,"")))</f>
        <v/>
      </c>
      <c r="T251" s="34">
        <f>IF(OR($B251="",N($N251)&lt;=0),"",IF(ISNUMBER($J251),$J251,99999)+ROW()/1000000)</f>
        <v/>
      </c>
      <c r="U251" s="35">
        <f>IF(OR($B251="",$B251&lt;&gt;'買掛帳'!$B$3,NOT(ISNUMBER($S251))),"",IF(AND($S251&gt;='買掛帳'!$Q$3,$S251&lt;='買掛帳'!$Q$4),$S251+ROW()/10000000,""))</f>
        <v/>
      </c>
      <c r="V251" s="35">
        <f>IF(OR($B251="",$B251&lt;&gt;'買掛帳'!$B$3,NOT(ISNUMBER($K251)),N($L251)+N($M251)=0),"",IF(AND($K251&gt;='買掛帳'!$Q$3,$K251&lt;='買掛帳'!$Q$4),$K251+0.5+ROW()/10000000,""))</f>
        <v/>
      </c>
    </row>
    <row r="252" ht="18" customHeight="1">
      <c r="A252" s="26" t="n"/>
      <c r="B252" s="18" t="n"/>
      <c r="C252" s="20">
        <f>IF($B252="","",IF($R252="なし","※仕入先にないコード",INDEX('仕入先'!$C$5:$C$54,$R252)&amp;""))</f>
        <v/>
      </c>
      <c r="D252" s="26" t="n"/>
      <c r="E252" s="18" t="n"/>
      <c r="F252" s="19" t="n"/>
      <c r="G252" s="27" t="n"/>
      <c r="H252" s="29">
        <f>IF(OR($B252="",NOT(ISNUMBER($R252)),NOT(ISNUMBER($S252))),"",IF(OR(INDEX('仕入先'!$D$5:$D$54,$R252)="",INDEX('仕入先'!$E$5:$E$54,$R252)="",INDEX('仕入先'!$F$5:$F$54,$R252)=""),"",IF(INDEX('仕入先'!$F$5:$F$54,$R252)="末",DATE(YEAR($S252),(MONTH($S252)+IF(INDEX('仕入先'!$D$5:$D$54,$R252)="末",0,IF(DAY($S252)&lt;=INDEX('仕入先'!$D$5:$D$54,$R252),0,1))+N(INDEX('仕入先'!$E$5:$E$54,$R252)))+1,0),DATE(YEAR($S252),(MONTH($S252)+IF(INDEX('仕入先'!$D$5:$D$54,$R252)="末",0,IF(DAY($S252)&lt;=INDEX('仕入先'!$D$5:$D$54,$R252),0,1))+N(INDEX('仕入先'!$E$5:$E$54,$R252))),MIN(INDEX('仕入先'!$F$5:$F$54,$R252),DAY(DATE(YEAR($S252),(MONTH($S252)+IF(INDEX('仕入先'!$D$5:$D$54,$R252)="末",0,IF(DAY($S252)&lt;=INDEX('仕入先'!$D$5:$D$54,$R252),0,1))+N(INDEX('仕入先'!$E$5:$E$54,$R252)))+1,0)))))))</f>
        <v/>
      </c>
      <c r="I252" s="26" t="n"/>
      <c r="J252" s="29">
        <f>IF($B252="","",IF(ISNUMBER($I252),$I252,$H252))</f>
        <v/>
      </c>
      <c r="K252" s="26" t="n"/>
      <c r="L252" s="27" t="n"/>
      <c r="M252" s="27" t="n"/>
      <c r="N252" s="28">
        <f>IF($B252="","",N($G252)-N($L252)-N($M252))</f>
        <v/>
      </c>
      <c r="O252" s="30">
        <f>IF($B252="","",IF(AND(OR(N($L252)&lt;&gt;0,N($M252)&lt;&gt;0),NOT(ISNUMBER($K252))),"支払日なし",IF($N252=0,IF(N($G252)=0,"請求額0","支払済"),IF($N252&lt;0,"払いすぎ",IF(N($L252)+N($M252)=0,"未払","一部支払")))))</f>
        <v/>
      </c>
      <c r="P252" s="30">
        <f>IF(OR($B252="",N($N252)&lt;=0,NOT(ISNUMBER($J252))),"",IF($J252&lt;'設定'!$B$7,"期日超過 "&amp;('設定'!$B$7-$J252)&amp;"日",IF($J252='設定'!$B$7,"今日","あと "&amp;($J252-'設定'!$B$7)&amp;"日")))</f>
        <v/>
      </c>
      <c r="Q252" s="56" t="n"/>
      <c r="R252" s="32">
        <f>IF($B252="","",IFERROR(MATCH($B252,'仕入先'!$B$5:$B$54,0),"なし"))</f>
        <v/>
      </c>
      <c r="S252" s="33">
        <f>IF($B252="","",IF(ISNUMBER($D252),$D252,IF(ISNUMBER($A252),$A252,"")))</f>
        <v/>
      </c>
      <c r="T252" s="34">
        <f>IF(OR($B252="",N($N252)&lt;=0),"",IF(ISNUMBER($J252),$J252,99999)+ROW()/1000000)</f>
        <v/>
      </c>
      <c r="U252" s="35">
        <f>IF(OR($B252="",$B252&lt;&gt;'買掛帳'!$B$3,NOT(ISNUMBER($S252))),"",IF(AND($S252&gt;='買掛帳'!$Q$3,$S252&lt;='買掛帳'!$Q$4),$S252+ROW()/10000000,""))</f>
        <v/>
      </c>
      <c r="V252" s="35">
        <f>IF(OR($B252="",$B252&lt;&gt;'買掛帳'!$B$3,NOT(ISNUMBER($K252)),N($L252)+N($M252)=0),"",IF(AND($K252&gt;='買掛帳'!$Q$3,$K252&lt;='買掛帳'!$Q$4),$K252+0.5+ROW()/10000000,""))</f>
        <v/>
      </c>
    </row>
    <row r="253" ht="18" customHeight="1">
      <c r="A253" s="26" t="n"/>
      <c r="B253" s="18" t="n"/>
      <c r="C253" s="20">
        <f>IF($B253="","",IF($R253="なし","※仕入先にないコード",INDEX('仕入先'!$C$5:$C$54,$R253)&amp;""))</f>
        <v/>
      </c>
      <c r="D253" s="26" t="n"/>
      <c r="E253" s="18" t="n"/>
      <c r="F253" s="19" t="n"/>
      <c r="G253" s="27" t="n"/>
      <c r="H253" s="29">
        <f>IF(OR($B253="",NOT(ISNUMBER($R253)),NOT(ISNUMBER($S253))),"",IF(OR(INDEX('仕入先'!$D$5:$D$54,$R253)="",INDEX('仕入先'!$E$5:$E$54,$R253)="",INDEX('仕入先'!$F$5:$F$54,$R253)=""),"",IF(INDEX('仕入先'!$F$5:$F$54,$R253)="末",DATE(YEAR($S253),(MONTH($S253)+IF(INDEX('仕入先'!$D$5:$D$54,$R253)="末",0,IF(DAY($S253)&lt;=INDEX('仕入先'!$D$5:$D$54,$R253),0,1))+N(INDEX('仕入先'!$E$5:$E$54,$R253)))+1,0),DATE(YEAR($S253),(MONTH($S253)+IF(INDEX('仕入先'!$D$5:$D$54,$R253)="末",0,IF(DAY($S253)&lt;=INDEX('仕入先'!$D$5:$D$54,$R253),0,1))+N(INDEX('仕入先'!$E$5:$E$54,$R253))),MIN(INDEX('仕入先'!$F$5:$F$54,$R253),DAY(DATE(YEAR($S253),(MONTH($S253)+IF(INDEX('仕入先'!$D$5:$D$54,$R253)="末",0,IF(DAY($S253)&lt;=INDEX('仕入先'!$D$5:$D$54,$R253),0,1))+N(INDEX('仕入先'!$E$5:$E$54,$R253)))+1,0)))))))</f>
        <v/>
      </c>
      <c r="I253" s="26" t="n"/>
      <c r="J253" s="29">
        <f>IF($B253="","",IF(ISNUMBER($I253),$I253,$H253))</f>
        <v/>
      </c>
      <c r="K253" s="26" t="n"/>
      <c r="L253" s="27" t="n"/>
      <c r="M253" s="27" t="n"/>
      <c r="N253" s="28">
        <f>IF($B253="","",N($G253)-N($L253)-N($M253))</f>
        <v/>
      </c>
      <c r="O253" s="30">
        <f>IF($B253="","",IF(AND(OR(N($L253)&lt;&gt;0,N($M253)&lt;&gt;0),NOT(ISNUMBER($K253))),"支払日なし",IF($N253=0,IF(N($G253)=0,"請求額0","支払済"),IF($N253&lt;0,"払いすぎ",IF(N($L253)+N($M253)=0,"未払","一部支払")))))</f>
        <v/>
      </c>
      <c r="P253" s="30">
        <f>IF(OR($B253="",N($N253)&lt;=0,NOT(ISNUMBER($J253))),"",IF($J253&lt;'設定'!$B$7,"期日超過 "&amp;('設定'!$B$7-$J253)&amp;"日",IF($J253='設定'!$B$7,"今日","あと "&amp;($J253-'設定'!$B$7)&amp;"日")))</f>
        <v/>
      </c>
      <c r="Q253" s="56" t="n"/>
      <c r="R253" s="32">
        <f>IF($B253="","",IFERROR(MATCH($B253,'仕入先'!$B$5:$B$54,0),"なし"))</f>
        <v/>
      </c>
      <c r="S253" s="33">
        <f>IF($B253="","",IF(ISNUMBER($D253),$D253,IF(ISNUMBER($A253),$A253,"")))</f>
        <v/>
      </c>
      <c r="T253" s="34">
        <f>IF(OR($B253="",N($N253)&lt;=0),"",IF(ISNUMBER($J253),$J253,99999)+ROW()/1000000)</f>
        <v/>
      </c>
      <c r="U253" s="35">
        <f>IF(OR($B253="",$B253&lt;&gt;'買掛帳'!$B$3,NOT(ISNUMBER($S253))),"",IF(AND($S253&gt;='買掛帳'!$Q$3,$S253&lt;='買掛帳'!$Q$4),$S253+ROW()/10000000,""))</f>
        <v/>
      </c>
      <c r="V253" s="35">
        <f>IF(OR($B253="",$B253&lt;&gt;'買掛帳'!$B$3,NOT(ISNUMBER($K253)),N($L253)+N($M253)=0),"",IF(AND($K253&gt;='買掛帳'!$Q$3,$K253&lt;='買掛帳'!$Q$4),$K253+0.5+ROW()/10000000,""))</f>
        <v/>
      </c>
    </row>
    <row r="254" ht="18" customHeight="1">
      <c r="A254" s="26" t="n"/>
      <c r="B254" s="18" t="n"/>
      <c r="C254" s="20">
        <f>IF($B254="","",IF($R254="なし","※仕入先にないコード",INDEX('仕入先'!$C$5:$C$54,$R254)&amp;""))</f>
        <v/>
      </c>
      <c r="D254" s="26" t="n"/>
      <c r="E254" s="18" t="n"/>
      <c r="F254" s="19" t="n"/>
      <c r="G254" s="27" t="n"/>
      <c r="H254" s="29">
        <f>IF(OR($B254="",NOT(ISNUMBER($R254)),NOT(ISNUMBER($S254))),"",IF(OR(INDEX('仕入先'!$D$5:$D$54,$R254)="",INDEX('仕入先'!$E$5:$E$54,$R254)="",INDEX('仕入先'!$F$5:$F$54,$R254)=""),"",IF(INDEX('仕入先'!$F$5:$F$54,$R254)="末",DATE(YEAR($S254),(MONTH($S254)+IF(INDEX('仕入先'!$D$5:$D$54,$R254)="末",0,IF(DAY($S254)&lt;=INDEX('仕入先'!$D$5:$D$54,$R254),0,1))+N(INDEX('仕入先'!$E$5:$E$54,$R254)))+1,0),DATE(YEAR($S254),(MONTH($S254)+IF(INDEX('仕入先'!$D$5:$D$54,$R254)="末",0,IF(DAY($S254)&lt;=INDEX('仕入先'!$D$5:$D$54,$R254),0,1))+N(INDEX('仕入先'!$E$5:$E$54,$R254))),MIN(INDEX('仕入先'!$F$5:$F$54,$R254),DAY(DATE(YEAR($S254),(MONTH($S254)+IF(INDEX('仕入先'!$D$5:$D$54,$R254)="末",0,IF(DAY($S254)&lt;=INDEX('仕入先'!$D$5:$D$54,$R254),0,1))+N(INDEX('仕入先'!$E$5:$E$54,$R254)))+1,0)))))))</f>
        <v/>
      </c>
      <c r="I254" s="26" t="n"/>
      <c r="J254" s="29">
        <f>IF($B254="","",IF(ISNUMBER($I254),$I254,$H254))</f>
        <v/>
      </c>
      <c r="K254" s="26" t="n"/>
      <c r="L254" s="27" t="n"/>
      <c r="M254" s="27" t="n"/>
      <c r="N254" s="28">
        <f>IF($B254="","",N($G254)-N($L254)-N($M254))</f>
        <v/>
      </c>
      <c r="O254" s="30">
        <f>IF($B254="","",IF(AND(OR(N($L254)&lt;&gt;0,N($M254)&lt;&gt;0),NOT(ISNUMBER($K254))),"支払日なし",IF($N254=0,IF(N($G254)=0,"請求額0","支払済"),IF($N254&lt;0,"払いすぎ",IF(N($L254)+N($M254)=0,"未払","一部支払")))))</f>
        <v/>
      </c>
      <c r="P254" s="30">
        <f>IF(OR($B254="",N($N254)&lt;=0,NOT(ISNUMBER($J254))),"",IF($J254&lt;'設定'!$B$7,"期日超過 "&amp;('設定'!$B$7-$J254)&amp;"日",IF($J254='設定'!$B$7,"今日","あと "&amp;($J254-'設定'!$B$7)&amp;"日")))</f>
        <v/>
      </c>
      <c r="Q254" s="56" t="n"/>
      <c r="R254" s="32">
        <f>IF($B254="","",IFERROR(MATCH($B254,'仕入先'!$B$5:$B$54,0),"なし"))</f>
        <v/>
      </c>
      <c r="S254" s="33">
        <f>IF($B254="","",IF(ISNUMBER($D254),$D254,IF(ISNUMBER($A254),$A254,"")))</f>
        <v/>
      </c>
      <c r="T254" s="34">
        <f>IF(OR($B254="",N($N254)&lt;=0),"",IF(ISNUMBER($J254),$J254,99999)+ROW()/1000000)</f>
        <v/>
      </c>
      <c r="U254" s="35">
        <f>IF(OR($B254="",$B254&lt;&gt;'買掛帳'!$B$3,NOT(ISNUMBER($S254))),"",IF(AND($S254&gt;='買掛帳'!$Q$3,$S254&lt;='買掛帳'!$Q$4),$S254+ROW()/10000000,""))</f>
        <v/>
      </c>
      <c r="V254" s="35">
        <f>IF(OR($B254="",$B254&lt;&gt;'買掛帳'!$B$3,NOT(ISNUMBER($K254)),N($L254)+N($M254)=0),"",IF(AND($K254&gt;='買掛帳'!$Q$3,$K254&lt;='買掛帳'!$Q$4),$K254+0.5+ROW()/10000000,""))</f>
        <v/>
      </c>
    </row>
    <row r="255" ht="18" customHeight="1">
      <c r="A255" s="26" t="n"/>
      <c r="B255" s="18" t="n"/>
      <c r="C255" s="20">
        <f>IF($B255="","",IF($R255="なし","※仕入先にないコード",INDEX('仕入先'!$C$5:$C$54,$R255)&amp;""))</f>
        <v/>
      </c>
      <c r="D255" s="26" t="n"/>
      <c r="E255" s="18" t="n"/>
      <c r="F255" s="19" t="n"/>
      <c r="G255" s="27" t="n"/>
      <c r="H255" s="29">
        <f>IF(OR($B255="",NOT(ISNUMBER($R255)),NOT(ISNUMBER($S255))),"",IF(OR(INDEX('仕入先'!$D$5:$D$54,$R255)="",INDEX('仕入先'!$E$5:$E$54,$R255)="",INDEX('仕入先'!$F$5:$F$54,$R255)=""),"",IF(INDEX('仕入先'!$F$5:$F$54,$R255)="末",DATE(YEAR($S255),(MONTH($S255)+IF(INDEX('仕入先'!$D$5:$D$54,$R255)="末",0,IF(DAY($S255)&lt;=INDEX('仕入先'!$D$5:$D$54,$R255),0,1))+N(INDEX('仕入先'!$E$5:$E$54,$R255)))+1,0),DATE(YEAR($S255),(MONTH($S255)+IF(INDEX('仕入先'!$D$5:$D$54,$R255)="末",0,IF(DAY($S255)&lt;=INDEX('仕入先'!$D$5:$D$54,$R255),0,1))+N(INDEX('仕入先'!$E$5:$E$54,$R255))),MIN(INDEX('仕入先'!$F$5:$F$54,$R255),DAY(DATE(YEAR($S255),(MONTH($S255)+IF(INDEX('仕入先'!$D$5:$D$54,$R255)="末",0,IF(DAY($S255)&lt;=INDEX('仕入先'!$D$5:$D$54,$R255),0,1))+N(INDEX('仕入先'!$E$5:$E$54,$R255)))+1,0)))))))</f>
        <v/>
      </c>
      <c r="I255" s="26" t="n"/>
      <c r="J255" s="29">
        <f>IF($B255="","",IF(ISNUMBER($I255),$I255,$H255))</f>
        <v/>
      </c>
      <c r="K255" s="26" t="n"/>
      <c r="L255" s="27" t="n"/>
      <c r="M255" s="27" t="n"/>
      <c r="N255" s="28">
        <f>IF($B255="","",N($G255)-N($L255)-N($M255))</f>
        <v/>
      </c>
      <c r="O255" s="30">
        <f>IF($B255="","",IF(AND(OR(N($L255)&lt;&gt;0,N($M255)&lt;&gt;0),NOT(ISNUMBER($K255))),"支払日なし",IF($N255=0,IF(N($G255)=0,"請求額0","支払済"),IF($N255&lt;0,"払いすぎ",IF(N($L255)+N($M255)=0,"未払","一部支払")))))</f>
        <v/>
      </c>
      <c r="P255" s="30">
        <f>IF(OR($B255="",N($N255)&lt;=0,NOT(ISNUMBER($J255))),"",IF($J255&lt;'設定'!$B$7,"期日超過 "&amp;('設定'!$B$7-$J255)&amp;"日",IF($J255='設定'!$B$7,"今日","あと "&amp;($J255-'設定'!$B$7)&amp;"日")))</f>
        <v/>
      </c>
      <c r="Q255" s="56" t="n"/>
      <c r="R255" s="32">
        <f>IF($B255="","",IFERROR(MATCH($B255,'仕入先'!$B$5:$B$54,0),"なし"))</f>
        <v/>
      </c>
      <c r="S255" s="33">
        <f>IF($B255="","",IF(ISNUMBER($D255),$D255,IF(ISNUMBER($A255),$A255,"")))</f>
        <v/>
      </c>
      <c r="T255" s="34">
        <f>IF(OR($B255="",N($N255)&lt;=0),"",IF(ISNUMBER($J255),$J255,99999)+ROW()/1000000)</f>
        <v/>
      </c>
      <c r="U255" s="35">
        <f>IF(OR($B255="",$B255&lt;&gt;'買掛帳'!$B$3,NOT(ISNUMBER($S255))),"",IF(AND($S255&gt;='買掛帳'!$Q$3,$S255&lt;='買掛帳'!$Q$4),$S255+ROW()/10000000,""))</f>
        <v/>
      </c>
      <c r="V255" s="35">
        <f>IF(OR($B255="",$B255&lt;&gt;'買掛帳'!$B$3,NOT(ISNUMBER($K255)),N($L255)+N($M255)=0),"",IF(AND($K255&gt;='買掛帳'!$Q$3,$K255&lt;='買掛帳'!$Q$4),$K255+0.5+ROW()/10000000,""))</f>
        <v/>
      </c>
    </row>
    <row r="256" ht="18" customHeight="1">
      <c r="A256" s="26" t="n"/>
      <c r="B256" s="18" t="n"/>
      <c r="C256" s="20">
        <f>IF($B256="","",IF($R256="なし","※仕入先にないコード",INDEX('仕入先'!$C$5:$C$54,$R256)&amp;""))</f>
        <v/>
      </c>
      <c r="D256" s="26" t="n"/>
      <c r="E256" s="18" t="n"/>
      <c r="F256" s="19" t="n"/>
      <c r="G256" s="27" t="n"/>
      <c r="H256" s="29">
        <f>IF(OR($B256="",NOT(ISNUMBER($R256)),NOT(ISNUMBER($S256))),"",IF(OR(INDEX('仕入先'!$D$5:$D$54,$R256)="",INDEX('仕入先'!$E$5:$E$54,$R256)="",INDEX('仕入先'!$F$5:$F$54,$R256)=""),"",IF(INDEX('仕入先'!$F$5:$F$54,$R256)="末",DATE(YEAR($S256),(MONTH($S256)+IF(INDEX('仕入先'!$D$5:$D$54,$R256)="末",0,IF(DAY($S256)&lt;=INDEX('仕入先'!$D$5:$D$54,$R256),0,1))+N(INDEX('仕入先'!$E$5:$E$54,$R256)))+1,0),DATE(YEAR($S256),(MONTH($S256)+IF(INDEX('仕入先'!$D$5:$D$54,$R256)="末",0,IF(DAY($S256)&lt;=INDEX('仕入先'!$D$5:$D$54,$R256),0,1))+N(INDEX('仕入先'!$E$5:$E$54,$R256))),MIN(INDEX('仕入先'!$F$5:$F$54,$R256),DAY(DATE(YEAR($S256),(MONTH($S256)+IF(INDEX('仕入先'!$D$5:$D$54,$R256)="末",0,IF(DAY($S256)&lt;=INDEX('仕入先'!$D$5:$D$54,$R256),0,1))+N(INDEX('仕入先'!$E$5:$E$54,$R256)))+1,0)))))))</f>
        <v/>
      </c>
      <c r="I256" s="26" t="n"/>
      <c r="J256" s="29">
        <f>IF($B256="","",IF(ISNUMBER($I256),$I256,$H256))</f>
        <v/>
      </c>
      <c r="K256" s="26" t="n"/>
      <c r="L256" s="27" t="n"/>
      <c r="M256" s="27" t="n"/>
      <c r="N256" s="28">
        <f>IF($B256="","",N($G256)-N($L256)-N($M256))</f>
        <v/>
      </c>
      <c r="O256" s="30">
        <f>IF($B256="","",IF(AND(OR(N($L256)&lt;&gt;0,N($M256)&lt;&gt;0),NOT(ISNUMBER($K256))),"支払日なし",IF($N256=0,IF(N($G256)=0,"請求額0","支払済"),IF($N256&lt;0,"払いすぎ",IF(N($L256)+N($M256)=0,"未払","一部支払")))))</f>
        <v/>
      </c>
      <c r="P256" s="30">
        <f>IF(OR($B256="",N($N256)&lt;=0,NOT(ISNUMBER($J256))),"",IF($J256&lt;'設定'!$B$7,"期日超過 "&amp;('設定'!$B$7-$J256)&amp;"日",IF($J256='設定'!$B$7,"今日","あと "&amp;($J256-'設定'!$B$7)&amp;"日")))</f>
        <v/>
      </c>
      <c r="Q256" s="56" t="n"/>
      <c r="R256" s="32">
        <f>IF($B256="","",IFERROR(MATCH($B256,'仕入先'!$B$5:$B$54,0),"なし"))</f>
        <v/>
      </c>
      <c r="S256" s="33">
        <f>IF($B256="","",IF(ISNUMBER($D256),$D256,IF(ISNUMBER($A256),$A256,"")))</f>
        <v/>
      </c>
      <c r="T256" s="34">
        <f>IF(OR($B256="",N($N256)&lt;=0),"",IF(ISNUMBER($J256),$J256,99999)+ROW()/1000000)</f>
        <v/>
      </c>
      <c r="U256" s="35">
        <f>IF(OR($B256="",$B256&lt;&gt;'買掛帳'!$B$3,NOT(ISNUMBER($S256))),"",IF(AND($S256&gt;='買掛帳'!$Q$3,$S256&lt;='買掛帳'!$Q$4),$S256+ROW()/10000000,""))</f>
        <v/>
      </c>
      <c r="V256" s="35">
        <f>IF(OR($B256="",$B256&lt;&gt;'買掛帳'!$B$3,NOT(ISNUMBER($K256)),N($L256)+N($M256)=0),"",IF(AND($K256&gt;='買掛帳'!$Q$3,$K256&lt;='買掛帳'!$Q$4),$K256+0.5+ROW()/10000000,""))</f>
        <v/>
      </c>
    </row>
    <row r="257" ht="18" customHeight="1">
      <c r="A257" s="26" t="n"/>
      <c r="B257" s="18" t="n"/>
      <c r="C257" s="20">
        <f>IF($B257="","",IF($R257="なし","※仕入先にないコード",INDEX('仕入先'!$C$5:$C$54,$R257)&amp;""))</f>
        <v/>
      </c>
      <c r="D257" s="26" t="n"/>
      <c r="E257" s="18" t="n"/>
      <c r="F257" s="19" t="n"/>
      <c r="G257" s="27" t="n"/>
      <c r="H257" s="29">
        <f>IF(OR($B257="",NOT(ISNUMBER($R257)),NOT(ISNUMBER($S257))),"",IF(OR(INDEX('仕入先'!$D$5:$D$54,$R257)="",INDEX('仕入先'!$E$5:$E$54,$R257)="",INDEX('仕入先'!$F$5:$F$54,$R257)=""),"",IF(INDEX('仕入先'!$F$5:$F$54,$R257)="末",DATE(YEAR($S257),(MONTH($S257)+IF(INDEX('仕入先'!$D$5:$D$54,$R257)="末",0,IF(DAY($S257)&lt;=INDEX('仕入先'!$D$5:$D$54,$R257),0,1))+N(INDEX('仕入先'!$E$5:$E$54,$R257)))+1,0),DATE(YEAR($S257),(MONTH($S257)+IF(INDEX('仕入先'!$D$5:$D$54,$R257)="末",0,IF(DAY($S257)&lt;=INDEX('仕入先'!$D$5:$D$54,$R257),0,1))+N(INDEX('仕入先'!$E$5:$E$54,$R257))),MIN(INDEX('仕入先'!$F$5:$F$54,$R257),DAY(DATE(YEAR($S257),(MONTH($S257)+IF(INDEX('仕入先'!$D$5:$D$54,$R257)="末",0,IF(DAY($S257)&lt;=INDEX('仕入先'!$D$5:$D$54,$R257),0,1))+N(INDEX('仕入先'!$E$5:$E$54,$R257)))+1,0)))))))</f>
        <v/>
      </c>
      <c r="I257" s="26" t="n"/>
      <c r="J257" s="29">
        <f>IF($B257="","",IF(ISNUMBER($I257),$I257,$H257))</f>
        <v/>
      </c>
      <c r="K257" s="26" t="n"/>
      <c r="L257" s="27" t="n"/>
      <c r="M257" s="27" t="n"/>
      <c r="N257" s="28">
        <f>IF($B257="","",N($G257)-N($L257)-N($M257))</f>
        <v/>
      </c>
      <c r="O257" s="30">
        <f>IF($B257="","",IF(AND(OR(N($L257)&lt;&gt;0,N($M257)&lt;&gt;0),NOT(ISNUMBER($K257))),"支払日なし",IF($N257=0,IF(N($G257)=0,"請求額0","支払済"),IF($N257&lt;0,"払いすぎ",IF(N($L257)+N($M257)=0,"未払","一部支払")))))</f>
        <v/>
      </c>
      <c r="P257" s="30">
        <f>IF(OR($B257="",N($N257)&lt;=0,NOT(ISNUMBER($J257))),"",IF($J257&lt;'設定'!$B$7,"期日超過 "&amp;('設定'!$B$7-$J257)&amp;"日",IF($J257='設定'!$B$7,"今日","あと "&amp;($J257-'設定'!$B$7)&amp;"日")))</f>
        <v/>
      </c>
      <c r="Q257" s="56" t="n"/>
      <c r="R257" s="32">
        <f>IF($B257="","",IFERROR(MATCH($B257,'仕入先'!$B$5:$B$54,0),"なし"))</f>
        <v/>
      </c>
      <c r="S257" s="33">
        <f>IF($B257="","",IF(ISNUMBER($D257),$D257,IF(ISNUMBER($A257),$A257,"")))</f>
        <v/>
      </c>
      <c r="T257" s="34">
        <f>IF(OR($B257="",N($N257)&lt;=0),"",IF(ISNUMBER($J257),$J257,99999)+ROW()/1000000)</f>
        <v/>
      </c>
      <c r="U257" s="35">
        <f>IF(OR($B257="",$B257&lt;&gt;'買掛帳'!$B$3,NOT(ISNUMBER($S257))),"",IF(AND($S257&gt;='買掛帳'!$Q$3,$S257&lt;='買掛帳'!$Q$4),$S257+ROW()/10000000,""))</f>
        <v/>
      </c>
      <c r="V257" s="35">
        <f>IF(OR($B257="",$B257&lt;&gt;'買掛帳'!$B$3,NOT(ISNUMBER($K257)),N($L257)+N($M257)=0),"",IF(AND($K257&gt;='買掛帳'!$Q$3,$K257&lt;='買掛帳'!$Q$4),$K257+0.5+ROW()/10000000,""))</f>
        <v/>
      </c>
    </row>
    <row r="258" ht="18" customHeight="1">
      <c r="A258" s="26" t="n"/>
      <c r="B258" s="18" t="n"/>
      <c r="C258" s="20">
        <f>IF($B258="","",IF($R258="なし","※仕入先にないコード",INDEX('仕入先'!$C$5:$C$54,$R258)&amp;""))</f>
        <v/>
      </c>
      <c r="D258" s="26" t="n"/>
      <c r="E258" s="18" t="n"/>
      <c r="F258" s="19" t="n"/>
      <c r="G258" s="27" t="n"/>
      <c r="H258" s="29">
        <f>IF(OR($B258="",NOT(ISNUMBER($R258)),NOT(ISNUMBER($S258))),"",IF(OR(INDEX('仕入先'!$D$5:$D$54,$R258)="",INDEX('仕入先'!$E$5:$E$54,$R258)="",INDEX('仕入先'!$F$5:$F$54,$R258)=""),"",IF(INDEX('仕入先'!$F$5:$F$54,$R258)="末",DATE(YEAR($S258),(MONTH($S258)+IF(INDEX('仕入先'!$D$5:$D$54,$R258)="末",0,IF(DAY($S258)&lt;=INDEX('仕入先'!$D$5:$D$54,$R258),0,1))+N(INDEX('仕入先'!$E$5:$E$54,$R258)))+1,0),DATE(YEAR($S258),(MONTH($S258)+IF(INDEX('仕入先'!$D$5:$D$54,$R258)="末",0,IF(DAY($S258)&lt;=INDEX('仕入先'!$D$5:$D$54,$R258),0,1))+N(INDEX('仕入先'!$E$5:$E$54,$R258))),MIN(INDEX('仕入先'!$F$5:$F$54,$R258),DAY(DATE(YEAR($S258),(MONTH($S258)+IF(INDEX('仕入先'!$D$5:$D$54,$R258)="末",0,IF(DAY($S258)&lt;=INDEX('仕入先'!$D$5:$D$54,$R258),0,1))+N(INDEX('仕入先'!$E$5:$E$54,$R258)))+1,0)))))))</f>
        <v/>
      </c>
      <c r="I258" s="26" t="n"/>
      <c r="J258" s="29">
        <f>IF($B258="","",IF(ISNUMBER($I258),$I258,$H258))</f>
        <v/>
      </c>
      <c r="K258" s="26" t="n"/>
      <c r="L258" s="27" t="n"/>
      <c r="M258" s="27" t="n"/>
      <c r="N258" s="28">
        <f>IF($B258="","",N($G258)-N($L258)-N($M258))</f>
        <v/>
      </c>
      <c r="O258" s="30">
        <f>IF($B258="","",IF(AND(OR(N($L258)&lt;&gt;0,N($M258)&lt;&gt;0),NOT(ISNUMBER($K258))),"支払日なし",IF($N258=0,IF(N($G258)=0,"請求額0","支払済"),IF($N258&lt;0,"払いすぎ",IF(N($L258)+N($M258)=0,"未払","一部支払")))))</f>
        <v/>
      </c>
      <c r="P258" s="30">
        <f>IF(OR($B258="",N($N258)&lt;=0,NOT(ISNUMBER($J258))),"",IF($J258&lt;'設定'!$B$7,"期日超過 "&amp;('設定'!$B$7-$J258)&amp;"日",IF($J258='設定'!$B$7,"今日","あと "&amp;($J258-'設定'!$B$7)&amp;"日")))</f>
        <v/>
      </c>
      <c r="Q258" s="56" t="n"/>
      <c r="R258" s="32">
        <f>IF($B258="","",IFERROR(MATCH($B258,'仕入先'!$B$5:$B$54,0),"なし"))</f>
        <v/>
      </c>
      <c r="S258" s="33">
        <f>IF($B258="","",IF(ISNUMBER($D258),$D258,IF(ISNUMBER($A258),$A258,"")))</f>
        <v/>
      </c>
      <c r="T258" s="34">
        <f>IF(OR($B258="",N($N258)&lt;=0),"",IF(ISNUMBER($J258),$J258,99999)+ROW()/1000000)</f>
        <v/>
      </c>
      <c r="U258" s="35">
        <f>IF(OR($B258="",$B258&lt;&gt;'買掛帳'!$B$3,NOT(ISNUMBER($S258))),"",IF(AND($S258&gt;='買掛帳'!$Q$3,$S258&lt;='買掛帳'!$Q$4),$S258+ROW()/10000000,""))</f>
        <v/>
      </c>
      <c r="V258" s="35">
        <f>IF(OR($B258="",$B258&lt;&gt;'買掛帳'!$B$3,NOT(ISNUMBER($K258)),N($L258)+N($M258)=0),"",IF(AND($K258&gt;='買掛帳'!$Q$3,$K258&lt;='買掛帳'!$Q$4),$K258+0.5+ROW()/10000000,""))</f>
        <v/>
      </c>
    </row>
    <row r="259" ht="18" customHeight="1">
      <c r="A259" s="26" t="n"/>
      <c r="B259" s="18" t="n"/>
      <c r="C259" s="20">
        <f>IF($B259="","",IF($R259="なし","※仕入先にないコード",INDEX('仕入先'!$C$5:$C$54,$R259)&amp;""))</f>
        <v/>
      </c>
      <c r="D259" s="26" t="n"/>
      <c r="E259" s="18" t="n"/>
      <c r="F259" s="19" t="n"/>
      <c r="G259" s="27" t="n"/>
      <c r="H259" s="29">
        <f>IF(OR($B259="",NOT(ISNUMBER($R259)),NOT(ISNUMBER($S259))),"",IF(OR(INDEX('仕入先'!$D$5:$D$54,$R259)="",INDEX('仕入先'!$E$5:$E$54,$R259)="",INDEX('仕入先'!$F$5:$F$54,$R259)=""),"",IF(INDEX('仕入先'!$F$5:$F$54,$R259)="末",DATE(YEAR($S259),(MONTH($S259)+IF(INDEX('仕入先'!$D$5:$D$54,$R259)="末",0,IF(DAY($S259)&lt;=INDEX('仕入先'!$D$5:$D$54,$R259),0,1))+N(INDEX('仕入先'!$E$5:$E$54,$R259)))+1,0),DATE(YEAR($S259),(MONTH($S259)+IF(INDEX('仕入先'!$D$5:$D$54,$R259)="末",0,IF(DAY($S259)&lt;=INDEX('仕入先'!$D$5:$D$54,$R259),0,1))+N(INDEX('仕入先'!$E$5:$E$54,$R259))),MIN(INDEX('仕入先'!$F$5:$F$54,$R259),DAY(DATE(YEAR($S259),(MONTH($S259)+IF(INDEX('仕入先'!$D$5:$D$54,$R259)="末",0,IF(DAY($S259)&lt;=INDEX('仕入先'!$D$5:$D$54,$R259),0,1))+N(INDEX('仕入先'!$E$5:$E$54,$R259)))+1,0)))))))</f>
        <v/>
      </c>
      <c r="I259" s="26" t="n"/>
      <c r="J259" s="29">
        <f>IF($B259="","",IF(ISNUMBER($I259),$I259,$H259))</f>
        <v/>
      </c>
      <c r="K259" s="26" t="n"/>
      <c r="L259" s="27" t="n"/>
      <c r="M259" s="27" t="n"/>
      <c r="N259" s="28">
        <f>IF($B259="","",N($G259)-N($L259)-N($M259))</f>
        <v/>
      </c>
      <c r="O259" s="30">
        <f>IF($B259="","",IF(AND(OR(N($L259)&lt;&gt;0,N($M259)&lt;&gt;0),NOT(ISNUMBER($K259))),"支払日なし",IF($N259=0,IF(N($G259)=0,"請求額0","支払済"),IF($N259&lt;0,"払いすぎ",IF(N($L259)+N($M259)=0,"未払","一部支払")))))</f>
        <v/>
      </c>
      <c r="P259" s="30">
        <f>IF(OR($B259="",N($N259)&lt;=0,NOT(ISNUMBER($J259))),"",IF($J259&lt;'設定'!$B$7,"期日超過 "&amp;('設定'!$B$7-$J259)&amp;"日",IF($J259='設定'!$B$7,"今日","あと "&amp;($J259-'設定'!$B$7)&amp;"日")))</f>
        <v/>
      </c>
      <c r="Q259" s="56" t="n"/>
      <c r="R259" s="32">
        <f>IF($B259="","",IFERROR(MATCH($B259,'仕入先'!$B$5:$B$54,0),"なし"))</f>
        <v/>
      </c>
      <c r="S259" s="33">
        <f>IF($B259="","",IF(ISNUMBER($D259),$D259,IF(ISNUMBER($A259),$A259,"")))</f>
        <v/>
      </c>
      <c r="T259" s="34">
        <f>IF(OR($B259="",N($N259)&lt;=0),"",IF(ISNUMBER($J259),$J259,99999)+ROW()/1000000)</f>
        <v/>
      </c>
      <c r="U259" s="35">
        <f>IF(OR($B259="",$B259&lt;&gt;'買掛帳'!$B$3,NOT(ISNUMBER($S259))),"",IF(AND($S259&gt;='買掛帳'!$Q$3,$S259&lt;='買掛帳'!$Q$4),$S259+ROW()/10000000,""))</f>
        <v/>
      </c>
      <c r="V259" s="35">
        <f>IF(OR($B259="",$B259&lt;&gt;'買掛帳'!$B$3,NOT(ISNUMBER($K259)),N($L259)+N($M259)=0),"",IF(AND($K259&gt;='買掛帳'!$Q$3,$K259&lt;='買掛帳'!$Q$4),$K259+0.5+ROW()/10000000,""))</f>
        <v/>
      </c>
    </row>
    <row r="260" ht="18" customHeight="1">
      <c r="A260" s="26" t="n"/>
      <c r="B260" s="18" t="n"/>
      <c r="C260" s="20">
        <f>IF($B260="","",IF($R260="なし","※仕入先にないコード",INDEX('仕入先'!$C$5:$C$54,$R260)&amp;""))</f>
        <v/>
      </c>
      <c r="D260" s="26" t="n"/>
      <c r="E260" s="18" t="n"/>
      <c r="F260" s="19" t="n"/>
      <c r="G260" s="27" t="n"/>
      <c r="H260" s="29">
        <f>IF(OR($B260="",NOT(ISNUMBER($R260)),NOT(ISNUMBER($S260))),"",IF(OR(INDEX('仕入先'!$D$5:$D$54,$R260)="",INDEX('仕入先'!$E$5:$E$54,$R260)="",INDEX('仕入先'!$F$5:$F$54,$R260)=""),"",IF(INDEX('仕入先'!$F$5:$F$54,$R260)="末",DATE(YEAR($S260),(MONTH($S260)+IF(INDEX('仕入先'!$D$5:$D$54,$R260)="末",0,IF(DAY($S260)&lt;=INDEX('仕入先'!$D$5:$D$54,$R260),0,1))+N(INDEX('仕入先'!$E$5:$E$54,$R260)))+1,0),DATE(YEAR($S260),(MONTH($S260)+IF(INDEX('仕入先'!$D$5:$D$54,$R260)="末",0,IF(DAY($S260)&lt;=INDEX('仕入先'!$D$5:$D$54,$R260),0,1))+N(INDEX('仕入先'!$E$5:$E$54,$R260))),MIN(INDEX('仕入先'!$F$5:$F$54,$R260),DAY(DATE(YEAR($S260),(MONTH($S260)+IF(INDEX('仕入先'!$D$5:$D$54,$R260)="末",0,IF(DAY($S260)&lt;=INDEX('仕入先'!$D$5:$D$54,$R260),0,1))+N(INDEX('仕入先'!$E$5:$E$54,$R260)))+1,0)))))))</f>
        <v/>
      </c>
      <c r="I260" s="26" t="n"/>
      <c r="J260" s="29">
        <f>IF($B260="","",IF(ISNUMBER($I260),$I260,$H260))</f>
        <v/>
      </c>
      <c r="K260" s="26" t="n"/>
      <c r="L260" s="27" t="n"/>
      <c r="M260" s="27" t="n"/>
      <c r="N260" s="28">
        <f>IF($B260="","",N($G260)-N($L260)-N($M260))</f>
        <v/>
      </c>
      <c r="O260" s="30">
        <f>IF($B260="","",IF(AND(OR(N($L260)&lt;&gt;0,N($M260)&lt;&gt;0),NOT(ISNUMBER($K260))),"支払日なし",IF($N260=0,IF(N($G260)=0,"請求額0","支払済"),IF($N260&lt;0,"払いすぎ",IF(N($L260)+N($M260)=0,"未払","一部支払")))))</f>
        <v/>
      </c>
      <c r="P260" s="30">
        <f>IF(OR($B260="",N($N260)&lt;=0,NOT(ISNUMBER($J260))),"",IF($J260&lt;'設定'!$B$7,"期日超過 "&amp;('設定'!$B$7-$J260)&amp;"日",IF($J260='設定'!$B$7,"今日","あと "&amp;($J260-'設定'!$B$7)&amp;"日")))</f>
        <v/>
      </c>
      <c r="Q260" s="56" t="n"/>
      <c r="R260" s="32">
        <f>IF($B260="","",IFERROR(MATCH($B260,'仕入先'!$B$5:$B$54,0),"なし"))</f>
        <v/>
      </c>
      <c r="S260" s="33">
        <f>IF($B260="","",IF(ISNUMBER($D260),$D260,IF(ISNUMBER($A260),$A260,"")))</f>
        <v/>
      </c>
      <c r="T260" s="34">
        <f>IF(OR($B260="",N($N260)&lt;=0),"",IF(ISNUMBER($J260),$J260,99999)+ROW()/1000000)</f>
        <v/>
      </c>
      <c r="U260" s="35">
        <f>IF(OR($B260="",$B260&lt;&gt;'買掛帳'!$B$3,NOT(ISNUMBER($S260))),"",IF(AND($S260&gt;='買掛帳'!$Q$3,$S260&lt;='買掛帳'!$Q$4),$S260+ROW()/10000000,""))</f>
        <v/>
      </c>
      <c r="V260" s="35">
        <f>IF(OR($B260="",$B260&lt;&gt;'買掛帳'!$B$3,NOT(ISNUMBER($K260)),N($L260)+N($M260)=0),"",IF(AND($K260&gt;='買掛帳'!$Q$3,$K260&lt;='買掛帳'!$Q$4),$K260+0.5+ROW()/10000000,""))</f>
        <v/>
      </c>
    </row>
    <row r="261" ht="18" customHeight="1">
      <c r="A261" s="26" t="n"/>
      <c r="B261" s="18" t="n"/>
      <c r="C261" s="20">
        <f>IF($B261="","",IF($R261="なし","※仕入先にないコード",INDEX('仕入先'!$C$5:$C$54,$R261)&amp;""))</f>
        <v/>
      </c>
      <c r="D261" s="26" t="n"/>
      <c r="E261" s="18" t="n"/>
      <c r="F261" s="19" t="n"/>
      <c r="G261" s="27" t="n"/>
      <c r="H261" s="29">
        <f>IF(OR($B261="",NOT(ISNUMBER($R261)),NOT(ISNUMBER($S261))),"",IF(OR(INDEX('仕入先'!$D$5:$D$54,$R261)="",INDEX('仕入先'!$E$5:$E$54,$R261)="",INDEX('仕入先'!$F$5:$F$54,$R261)=""),"",IF(INDEX('仕入先'!$F$5:$F$54,$R261)="末",DATE(YEAR($S261),(MONTH($S261)+IF(INDEX('仕入先'!$D$5:$D$54,$R261)="末",0,IF(DAY($S261)&lt;=INDEX('仕入先'!$D$5:$D$54,$R261),0,1))+N(INDEX('仕入先'!$E$5:$E$54,$R261)))+1,0),DATE(YEAR($S261),(MONTH($S261)+IF(INDEX('仕入先'!$D$5:$D$54,$R261)="末",0,IF(DAY($S261)&lt;=INDEX('仕入先'!$D$5:$D$54,$R261),0,1))+N(INDEX('仕入先'!$E$5:$E$54,$R261))),MIN(INDEX('仕入先'!$F$5:$F$54,$R261),DAY(DATE(YEAR($S261),(MONTH($S261)+IF(INDEX('仕入先'!$D$5:$D$54,$R261)="末",0,IF(DAY($S261)&lt;=INDEX('仕入先'!$D$5:$D$54,$R261),0,1))+N(INDEX('仕入先'!$E$5:$E$54,$R261)))+1,0)))))))</f>
        <v/>
      </c>
      <c r="I261" s="26" t="n"/>
      <c r="J261" s="29">
        <f>IF($B261="","",IF(ISNUMBER($I261),$I261,$H261))</f>
        <v/>
      </c>
      <c r="K261" s="26" t="n"/>
      <c r="L261" s="27" t="n"/>
      <c r="M261" s="27" t="n"/>
      <c r="N261" s="28">
        <f>IF($B261="","",N($G261)-N($L261)-N($M261))</f>
        <v/>
      </c>
      <c r="O261" s="30">
        <f>IF($B261="","",IF(AND(OR(N($L261)&lt;&gt;0,N($M261)&lt;&gt;0),NOT(ISNUMBER($K261))),"支払日なし",IF($N261=0,IF(N($G261)=0,"請求額0","支払済"),IF($N261&lt;0,"払いすぎ",IF(N($L261)+N($M261)=0,"未払","一部支払")))))</f>
        <v/>
      </c>
      <c r="P261" s="30">
        <f>IF(OR($B261="",N($N261)&lt;=0,NOT(ISNUMBER($J261))),"",IF($J261&lt;'設定'!$B$7,"期日超過 "&amp;('設定'!$B$7-$J261)&amp;"日",IF($J261='設定'!$B$7,"今日","あと "&amp;($J261-'設定'!$B$7)&amp;"日")))</f>
        <v/>
      </c>
      <c r="Q261" s="56" t="n"/>
      <c r="R261" s="32">
        <f>IF($B261="","",IFERROR(MATCH($B261,'仕入先'!$B$5:$B$54,0),"なし"))</f>
        <v/>
      </c>
      <c r="S261" s="33">
        <f>IF($B261="","",IF(ISNUMBER($D261),$D261,IF(ISNUMBER($A261),$A261,"")))</f>
        <v/>
      </c>
      <c r="T261" s="34">
        <f>IF(OR($B261="",N($N261)&lt;=0),"",IF(ISNUMBER($J261),$J261,99999)+ROW()/1000000)</f>
        <v/>
      </c>
      <c r="U261" s="35">
        <f>IF(OR($B261="",$B261&lt;&gt;'買掛帳'!$B$3,NOT(ISNUMBER($S261))),"",IF(AND($S261&gt;='買掛帳'!$Q$3,$S261&lt;='買掛帳'!$Q$4),$S261+ROW()/10000000,""))</f>
        <v/>
      </c>
      <c r="V261" s="35">
        <f>IF(OR($B261="",$B261&lt;&gt;'買掛帳'!$B$3,NOT(ISNUMBER($K261)),N($L261)+N($M261)=0),"",IF(AND($K261&gt;='買掛帳'!$Q$3,$K261&lt;='買掛帳'!$Q$4),$K261+0.5+ROW()/10000000,""))</f>
        <v/>
      </c>
    </row>
    <row r="262" ht="18" customHeight="1">
      <c r="A262" s="26" t="n"/>
      <c r="B262" s="18" t="n"/>
      <c r="C262" s="20">
        <f>IF($B262="","",IF($R262="なし","※仕入先にないコード",INDEX('仕入先'!$C$5:$C$54,$R262)&amp;""))</f>
        <v/>
      </c>
      <c r="D262" s="26" t="n"/>
      <c r="E262" s="18" t="n"/>
      <c r="F262" s="19" t="n"/>
      <c r="G262" s="27" t="n"/>
      <c r="H262" s="29">
        <f>IF(OR($B262="",NOT(ISNUMBER($R262)),NOT(ISNUMBER($S262))),"",IF(OR(INDEX('仕入先'!$D$5:$D$54,$R262)="",INDEX('仕入先'!$E$5:$E$54,$R262)="",INDEX('仕入先'!$F$5:$F$54,$R262)=""),"",IF(INDEX('仕入先'!$F$5:$F$54,$R262)="末",DATE(YEAR($S262),(MONTH($S262)+IF(INDEX('仕入先'!$D$5:$D$54,$R262)="末",0,IF(DAY($S262)&lt;=INDEX('仕入先'!$D$5:$D$54,$R262),0,1))+N(INDEX('仕入先'!$E$5:$E$54,$R262)))+1,0),DATE(YEAR($S262),(MONTH($S262)+IF(INDEX('仕入先'!$D$5:$D$54,$R262)="末",0,IF(DAY($S262)&lt;=INDEX('仕入先'!$D$5:$D$54,$R262),0,1))+N(INDEX('仕入先'!$E$5:$E$54,$R262))),MIN(INDEX('仕入先'!$F$5:$F$54,$R262),DAY(DATE(YEAR($S262),(MONTH($S262)+IF(INDEX('仕入先'!$D$5:$D$54,$R262)="末",0,IF(DAY($S262)&lt;=INDEX('仕入先'!$D$5:$D$54,$R262),0,1))+N(INDEX('仕入先'!$E$5:$E$54,$R262)))+1,0)))))))</f>
        <v/>
      </c>
      <c r="I262" s="26" t="n"/>
      <c r="J262" s="29">
        <f>IF($B262="","",IF(ISNUMBER($I262),$I262,$H262))</f>
        <v/>
      </c>
      <c r="K262" s="26" t="n"/>
      <c r="L262" s="27" t="n"/>
      <c r="M262" s="27" t="n"/>
      <c r="N262" s="28">
        <f>IF($B262="","",N($G262)-N($L262)-N($M262))</f>
        <v/>
      </c>
      <c r="O262" s="30">
        <f>IF($B262="","",IF(AND(OR(N($L262)&lt;&gt;0,N($M262)&lt;&gt;0),NOT(ISNUMBER($K262))),"支払日なし",IF($N262=0,IF(N($G262)=0,"請求額0","支払済"),IF($N262&lt;0,"払いすぎ",IF(N($L262)+N($M262)=0,"未払","一部支払")))))</f>
        <v/>
      </c>
      <c r="P262" s="30">
        <f>IF(OR($B262="",N($N262)&lt;=0,NOT(ISNUMBER($J262))),"",IF($J262&lt;'設定'!$B$7,"期日超過 "&amp;('設定'!$B$7-$J262)&amp;"日",IF($J262='設定'!$B$7,"今日","あと "&amp;($J262-'設定'!$B$7)&amp;"日")))</f>
        <v/>
      </c>
      <c r="Q262" s="56" t="n"/>
      <c r="R262" s="32">
        <f>IF($B262="","",IFERROR(MATCH($B262,'仕入先'!$B$5:$B$54,0),"なし"))</f>
        <v/>
      </c>
      <c r="S262" s="33">
        <f>IF($B262="","",IF(ISNUMBER($D262),$D262,IF(ISNUMBER($A262),$A262,"")))</f>
        <v/>
      </c>
      <c r="T262" s="34">
        <f>IF(OR($B262="",N($N262)&lt;=0),"",IF(ISNUMBER($J262),$J262,99999)+ROW()/1000000)</f>
        <v/>
      </c>
      <c r="U262" s="35">
        <f>IF(OR($B262="",$B262&lt;&gt;'買掛帳'!$B$3,NOT(ISNUMBER($S262))),"",IF(AND($S262&gt;='買掛帳'!$Q$3,$S262&lt;='買掛帳'!$Q$4),$S262+ROW()/10000000,""))</f>
        <v/>
      </c>
      <c r="V262" s="35">
        <f>IF(OR($B262="",$B262&lt;&gt;'買掛帳'!$B$3,NOT(ISNUMBER($K262)),N($L262)+N($M262)=0),"",IF(AND($K262&gt;='買掛帳'!$Q$3,$K262&lt;='買掛帳'!$Q$4),$K262+0.5+ROW()/10000000,""))</f>
        <v/>
      </c>
    </row>
    <row r="263" ht="18" customHeight="1">
      <c r="A263" s="26" t="n"/>
      <c r="B263" s="18" t="n"/>
      <c r="C263" s="20">
        <f>IF($B263="","",IF($R263="なし","※仕入先にないコード",INDEX('仕入先'!$C$5:$C$54,$R263)&amp;""))</f>
        <v/>
      </c>
      <c r="D263" s="26" t="n"/>
      <c r="E263" s="18" t="n"/>
      <c r="F263" s="19" t="n"/>
      <c r="G263" s="27" t="n"/>
      <c r="H263" s="29">
        <f>IF(OR($B263="",NOT(ISNUMBER($R263)),NOT(ISNUMBER($S263))),"",IF(OR(INDEX('仕入先'!$D$5:$D$54,$R263)="",INDEX('仕入先'!$E$5:$E$54,$R263)="",INDEX('仕入先'!$F$5:$F$54,$R263)=""),"",IF(INDEX('仕入先'!$F$5:$F$54,$R263)="末",DATE(YEAR($S263),(MONTH($S263)+IF(INDEX('仕入先'!$D$5:$D$54,$R263)="末",0,IF(DAY($S263)&lt;=INDEX('仕入先'!$D$5:$D$54,$R263),0,1))+N(INDEX('仕入先'!$E$5:$E$54,$R263)))+1,0),DATE(YEAR($S263),(MONTH($S263)+IF(INDEX('仕入先'!$D$5:$D$54,$R263)="末",0,IF(DAY($S263)&lt;=INDEX('仕入先'!$D$5:$D$54,$R263),0,1))+N(INDEX('仕入先'!$E$5:$E$54,$R263))),MIN(INDEX('仕入先'!$F$5:$F$54,$R263),DAY(DATE(YEAR($S263),(MONTH($S263)+IF(INDEX('仕入先'!$D$5:$D$54,$R263)="末",0,IF(DAY($S263)&lt;=INDEX('仕入先'!$D$5:$D$54,$R263),0,1))+N(INDEX('仕入先'!$E$5:$E$54,$R263)))+1,0)))))))</f>
        <v/>
      </c>
      <c r="I263" s="26" t="n"/>
      <c r="J263" s="29">
        <f>IF($B263="","",IF(ISNUMBER($I263),$I263,$H263))</f>
        <v/>
      </c>
      <c r="K263" s="26" t="n"/>
      <c r="L263" s="27" t="n"/>
      <c r="M263" s="27" t="n"/>
      <c r="N263" s="28">
        <f>IF($B263="","",N($G263)-N($L263)-N($M263))</f>
        <v/>
      </c>
      <c r="O263" s="30">
        <f>IF($B263="","",IF(AND(OR(N($L263)&lt;&gt;0,N($M263)&lt;&gt;0),NOT(ISNUMBER($K263))),"支払日なし",IF($N263=0,IF(N($G263)=0,"請求額0","支払済"),IF($N263&lt;0,"払いすぎ",IF(N($L263)+N($M263)=0,"未払","一部支払")))))</f>
        <v/>
      </c>
      <c r="P263" s="30">
        <f>IF(OR($B263="",N($N263)&lt;=0,NOT(ISNUMBER($J263))),"",IF($J263&lt;'設定'!$B$7,"期日超過 "&amp;('設定'!$B$7-$J263)&amp;"日",IF($J263='設定'!$B$7,"今日","あと "&amp;($J263-'設定'!$B$7)&amp;"日")))</f>
        <v/>
      </c>
      <c r="Q263" s="56" t="n"/>
      <c r="R263" s="32">
        <f>IF($B263="","",IFERROR(MATCH($B263,'仕入先'!$B$5:$B$54,0),"なし"))</f>
        <v/>
      </c>
      <c r="S263" s="33">
        <f>IF($B263="","",IF(ISNUMBER($D263),$D263,IF(ISNUMBER($A263),$A263,"")))</f>
        <v/>
      </c>
      <c r="T263" s="34">
        <f>IF(OR($B263="",N($N263)&lt;=0),"",IF(ISNUMBER($J263),$J263,99999)+ROW()/1000000)</f>
        <v/>
      </c>
      <c r="U263" s="35">
        <f>IF(OR($B263="",$B263&lt;&gt;'買掛帳'!$B$3,NOT(ISNUMBER($S263))),"",IF(AND($S263&gt;='買掛帳'!$Q$3,$S263&lt;='買掛帳'!$Q$4),$S263+ROW()/10000000,""))</f>
        <v/>
      </c>
      <c r="V263" s="35">
        <f>IF(OR($B263="",$B263&lt;&gt;'買掛帳'!$B$3,NOT(ISNUMBER($K263)),N($L263)+N($M263)=0),"",IF(AND($K263&gt;='買掛帳'!$Q$3,$K263&lt;='買掛帳'!$Q$4),$K263+0.5+ROW()/10000000,""))</f>
        <v/>
      </c>
    </row>
    <row r="264" ht="18" customHeight="1">
      <c r="A264" s="26" t="n"/>
      <c r="B264" s="18" t="n"/>
      <c r="C264" s="20">
        <f>IF($B264="","",IF($R264="なし","※仕入先にないコード",INDEX('仕入先'!$C$5:$C$54,$R264)&amp;""))</f>
        <v/>
      </c>
      <c r="D264" s="26" t="n"/>
      <c r="E264" s="18" t="n"/>
      <c r="F264" s="19" t="n"/>
      <c r="G264" s="27" t="n"/>
      <c r="H264" s="29">
        <f>IF(OR($B264="",NOT(ISNUMBER($R264)),NOT(ISNUMBER($S264))),"",IF(OR(INDEX('仕入先'!$D$5:$D$54,$R264)="",INDEX('仕入先'!$E$5:$E$54,$R264)="",INDEX('仕入先'!$F$5:$F$54,$R264)=""),"",IF(INDEX('仕入先'!$F$5:$F$54,$R264)="末",DATE(YEAR($S264),(MONTH($S264)+IF(INDEX('仕入先'!$D$5:$D$54,$R264)="末",0,IF(DAY($S264)&lt;=INDEX('仕入先'!$D$5:$D$54,$R264),0,1))+N(INDEX('仕入先'!$E$5:$E$54,$R264)))+1,0),DATE(YEAR($S264),(MONTH($S264)+IF(INDEX('仕入先'!$D$5:$D$54,$R264)="末",0,IF(DAY($S264)&lt;=INDEX('仕入先'!$D$5:$D$54,$R264),0,1))+N(INDEX('仕入先'!$E$5:$E$54,$R264))),MIN(INDEX('仕入先'!$F$5:$F$54,$R264),DAY(DATE(YEAR($S264),(MONTH($S264)+IF(INDEX('仕入先'!$D$5:$D$54,$R264)="末",0,IF(DAY($S264)&lt;=INDEX('仕入先'!$D$5:$D$54,$R264),0,1))+N(INDEX('仕入先'!$E$5:$E$54,$R264)))+1,0)))))))</f>
        <v/>
      </c>
      <c r="I264" s="26" t="n"/>
      <c r="J264" s="29">
        <f>IF($B264="","",IF(ISNUMBER($I264),$I264,$H264))</f>
        <v/>
      </c>
      <c r="K264" s="26" t="n"/>
      <c r="L264" s="27" t="n"/>
      <c r="M264" s="27" t="n"/>
      <c r="N264" s="28">
        <f>IF($B264="","",N($G264)-N($L264)-N($M264))</f>
        <v/>
      </c>
      <c r="O264" s="30">
        <f>IF($B264="","",IF(AND(OR(N($L264)&lt;&gt;0,N($M264)&lt;&gt;0),NOT(ISNUMBER($K264))),"支払日なし",IF($N264=0,IF(N($G264)=0,"請求額0","支払済"),IF($N264&lt;0,"払いすぎ",IF(N($L264)+N($M264)=0,"未払","一部支払")))))</f>
        <v/>
      </c>
      <c r="P264" s="30">
        <f>IF(OR($B264="",N($N264)&lt;=0,NOT(ISNUMBER($J264))),"",IF($J264&lt;'設定'!$B$7,"期日超過 "&amp;('設定'!$B$7-$J264)&amp;"日",IF($J264='設定'!$B$7,"今日","あと "&amp;($J264-'設定'!$B$7)&amp;"日")))</f>
        <v/>
      </c>
      <c r="Q264" s="56" t="n"/>
      <c r="R264" s="32">
        <f>IF($B264="","",IFERROR(MATCH($B264,'仕入先'!$B$5:$B$54,0),"なし"))</f>
        <v/>
      </c>
      <c r="S264" s="33">
        <f>IF($B264="","",IF(ISNUMBER($D264),$D264,IF(ISNUMBER($A264),$A264,"")))</f>
        <v/>
      </c>
      <c r="T264" s="34">
        <f>IF(OR($B264="",N($N264)&lt;=0),"",IF(ISNUMBER($J264),$J264,99999)+ROW()/1000000)</f>
        <v/>
      </c>
      <c r="U264" s="35">
        <f>IF(OR($B264="",$B264&lt;&gt;'買掛帳'!$B$3,NOT(ISNUMBER($S264))),"",IF(AND($S264&gt;='買掛帳'!$Q$3,$S264&lt;='買掛帳'!$Q$4),$S264+ROW()/10000000,""))</f>
        <v/>
      </c>
      <c r="V264" s="35">
        <f>IF(OR($B264="",$B264&lt;&gt;'買掛帳'!$B$3,NOT(ISNUMBER($K264)),N($L264)+N($M264)=0),"",IF(AND($K264&gt;='買掛帳'!$Q$3,$K264&lt;='買掛帳'!$Q$4),$K264+0.5+ROW()/10000000,""))</f>
        <v/>
      </c>
    </row>
    <row r="265" ht="18" customHeight="1">
      <c r="A265" s="26" t="n"/>
      <c r="B265" s="18" t="n"/>
      <c r="C265" s="20">
        <f>IF($B265="","",IF($R265="なし","※仕入先にないコード",INDEX('仕入先'!$C$5:$C$54,$R265)&amp;""))</f>
        <v/>
      </c>
      <c r="D265" s="26" t="n"/>
      <c r="E265" s="18" t="n"/>
      <c r="F265" s="19" t="n"/>
      <c r="G265" s="27" t="n"/>
      <c r="H265" s="29">
        <f>IF(OR($B265="",NOT(ISNUMBER($R265)),NOT(ISNUMBER($S265))),"",IF(OR(INDEX('仕入先'!$D$5:$D$54,$R265)="",INDEX('仕入先'!$E$5:$E$54,$R265)="",INDEX('仕入先'!$F$5:$F$54,$R265)=""),"",IF(INDEX('仕入先'!$F$5:$F$54,$R265)="末",DATE(YEAR($S265),(MONTH($S265)+IF(INDEX('仕入先'!$D$5:$D$54,$R265)="末",0,IF(DAY($S265)&lt;=INDEX('仕入先'!$D$5:$D$54,$R265),0,1))+N(INDEX('仕入先'!$E$5:$E$54,$R265)))+1,0),DATE(YEAR($S265),(MONTH($S265)+IF(INDEX('仕入先'!$D$5:$D$54,$R265)="末",0,IF(DAY($S265)&lt;=INDEX('仕入先'!$D$5:$D$54,$R265),0,1))+N(INDEX('仕入先'!$E$5:$E$54,$R265))),MIN(INDEX('仕入先'!$F$5:$F$54,$R265),DAY(DATE(YEAR($S265),(MONTH($S265)+IF(INDEX('仕入先'!$D$5:$D$54,$R265)="末",0,IF(DAY($S265)&lt;=INDEX('仕入先'!$D$5:$D$54,$R265),0,1))+N(INDEX('仕入先'!$E$5:$E$54,$R265)))+1,0)))))))</f>
        <v/>
      </c>
      <c r="I265" s="26" t="n"/>
      <c r="J265" s="29">
        <f>IF($B265="","",IF(ISNUMBER($I265),$I265,$H265))</f>
        <v/>
      </c>
      <c r="K265" s="26" t="n"/>
      <c r="L265" s="27" t="n"/>
      <c r="M265" s="27" t="n"/>
      <c r="N265" s="28">
        <f>IF($B265="","",N($G265)-N($L265)-N($M265))</f>
        <v/>
      </c>
      <c r="O265" s="30">
        <f>IF($B265="","",IF(AND(OR(N($L265)&lt;&gt;0,N($M265)&lt;&gt;0),NOT(ISNUMBER($K265))),"支払日なし",IF($N265=0,IF(N($G265)=0,"請求額0","支払済"),IF($N265&lt;0,"払いすぎ",IF(N($L265)+N($M265)=0,"未払","一部支払")))))</f>
        <v/>
      </c>
      <c r="P265" s="30">
        <f>IF(OR($B265="",N($N265)&lt;=0,NOT(ISNUMBER($J265))),"",IF($J265&lt;'設定'!$B$7,"期日超過 "&amp;('設定'!$B$7-$J265)&amp;"日",IF($J265='設定'!$B$7,"今日","あと "&amp;($J265-'設定'!$B$7)&amp;"日")))</f>
        <v/>
      </c>
      <c r="Q265" s="56" t="n"/>
      <c r="R265" s="32">
        <f>IF($B265="","",IFERROR(MATCH($B265,'仕入先'!$B$5:$B$54,0),"なし"))</f>
        <v/>
      </c>
      <c r="S265" s="33">
        <f>IF($B265="","",IF(ISNUMBER($D265),$D265,IF(ISNUMBER($A265),$A265,"")))</f>
        <v/>
      </c>
      <c r="T265" s="34">
        <f>IF(OR($B265="",N($N265)&lt;=0),"",IF(ISNUMBER($J265),$J265,99999)+ROW()/1000000)</f>
        <v/>
      </c>
      <c r="U265" s="35">
        <f>IF(OR($B265="",$B265&lt;&gt;'買掛帳'!$B$3,NOT(ISNUMBER($S265))),"",IF(AND($S265&gt;='買掛帳'!$Q$3,$S265&lt;='買掛帳'!$Q$4),$S265+ROW()/10000000,""))</f>
        <v/>
      </c>
      <c r="V265" s="35">
        <f>IF(OR($B265="",$B265&lt;&gt;'買掛帳'!$B$3,NOT(ISNUMBER($K265)),N($L265)+N($M265)=0),"",IF(AND($K265&gt;='買掛帳'!$Q$3,$K265&lt;='買掛帳'!$Q$4),$K265+0.5+ROW()/10000000,""))</f>
        <v/>
      </c>
    </row>
    <row r="266" ht="18" customHeight="1">
      <c r="A266" s="26" t="n"/>
      <c r="B266" s="18" t="n"/>
      <c r="C266" s="20">
        <f>IF($B266="","",IF($R266="なし","※仕入先にないコード",INDEX('仕入先'!$C$5:$C$54,$R266)&amp;""))</f>
        <v/>
      </c>
      <c r="D266" s="26" t="n"/>
      <c r="E266" s="18" t="n"/>
      <c r="F266" s="19" t="n"/>
      <c r="G266" s="27" t="n"/>
      <c r="H266" s="29">
        <f>IF(OR($B266="",NOT(ISNUMBER($R266)),NOT(ISNUMBER($S266))),"",IF(OR(INDEX('仕入先'!$D$5:$D$54,$R266)="",INDEX('仕入先'!$E$5:$E$54,$R266)="",INDEX('仕入先'!$F$5:$F$54,$R266)=""),"",IF(INDEX('仕入先'!$F$5:$F$54,$R266)="末",DATE(YEAR($S266),(MONTH($S266)+IF(INDEX('仕入先'!$D$5:$D$54,$R266)="末",0,IF(DAY($S266)&lt;=INDEX('仕入先'!$D$5:$D$54,$R266),0,1))+N(INDEX('仕入先'!$E$5:$E$54,$R266)))+1,0),DATE(YEAR($S266),(MONTH($S266)+IF(INDEX('仕入先'!$D$5:$D$54,$R266)="末",0,IF(DAY($S266)&lt;=INDEX('仕入先'!$D$5:$D$54,$R266),0,1))+N(INDEX('仕入先'!$E$5:$E$54,$R266))),MIN(INDEX('仕入先'!$F$5:$F$54,$R266),DAY(DATE(YEAR($S266),(MONTH($S266)+IF(INDEX('仕入先'!$D$5:$D$54,$R266)="末",0,IF(DAY($S266)&lt;=INDEX('仕入先'!$D$5:$D$54,$R266),0,1))+N(INDEX('仕入先'!$E$5:$E$54,$R266)))+1,0)))))))</f>
        <v/>
      </c>
      <c r="I266" s="26" t="n"/>
      <c r="J266" s="29">
        <f>IF($B266="","",IF(ISNUMBER($I266),$I266,$H266))</f>
        <v/>
      </c>
      <c r="K266" s="26" t="n"/>
      <c r="L266" s="27" t="n"/>
      <c r="M266" s="27" t="n"/>
      <c r="N266" s="28">
        <f>IF($B266="","",N($G266)-N($L266)-N($M266))</f>
        <v/>
      </c>
      <c r="O266" s="30">
        <f>IF($B266="","",IF(AND(OR(N($L266)&lt;&gt;0,N($M266)&lt;&gt;0),NOT(ISNUMBER($K266))),"支払日なし",IF($N266=0,IF(N($G266)=0,"請求額0","支払済"),IF($N266&lt;0,"払いすぎ",IF(N($L266)+N($M266)=0,"未払","一部支払")))))</f>
        <v/>
      </c>
      <c r="P266" s="30">
        <f>IF(OR($B266="",N($N266)&lt;=0,NOT(ISNUMBER($J266))),"",IF($J266&lt;'設定'!$B$7,"期日超過 "&amp;('設定'!$B$7-$J266)&amp;"日",IF($J266='設定'!$B$7,"今日","あと "&amp;($J266-'設定'!$B$7)&amp;"日")))</f>
        <v/>
      </c>
      <c r="Q266" s="56" t="n"/>
      <c r="R266" s="32">
        <f>IF($B266="","",IFERROR(MATCH($B266,'仕入先'!$B$5:$B$54,0),"なし"))</f>
        <v/>
      </c>
      <c r="S266" s="33">
        <f>IF($B266="","",IF(ISNUMBER($D266),$D266,IF(ISNUMBER($A266),$A266,"")))</f>
        <v/>
      </c>
      <c r="T266" s="34">
        <f>IF(OR($B266="",N($N266)&lt;=0),"",IF(ISNUMBER($J266),$J266,99999)+ROW()/1000000)</f>
        <v/>
      </c>
      <c r="U266" s="35">
        <f>IF(OR($B266="",$B266&lt;&gt;'買掛帳'!$B$3,NOT(ISNUMBER($S266))),"",IF(AND($S266&gt;='買掛帳'!$Q$3,$S266&lt;='買掛帳'!$Q$4),$S266+ROW()/10000000,""))</f>
        <v/>
      </c>
      <c r="V266" s="35">
        <f>IF(OR($B266="",$B266&lt;&gt;'買掛帳'!$B$3,NOT(ISNUMBER($K266)),N($L266)+N($M266)=0),"",IF(AND($K266&gt;='買掛帳'!$Q$3,$K266&lt;='買掛帳'!$Q$4),$K266+0.5+ROW()/10000000,""))</f>
        <v/>
      </c>
    </row>
    <row r="267" ht="18" customHeight="1">
      <c r="A267" s="26" t="n"/>
      <c r="B267" s="18" t="n"/>
      <c r="C267" s="20">
        <f>IF($B267="","",IF($R267="なし","※仕入先にないコード",INDEX('仕入先'!$C$5:$C$54,$R267)&amp;""))</f>
        <v/>
      </c>
      <c r="D267" s="26" t="n"/>
      <c r="E267" s="18" t="n"/>
      <c r="F267" s="19" t="n"/>
      <c r="G267" s="27" t="n"/>
      <c r="H267" s="29">
        <f>IF(OR($B267="",NOT(ISNUMBER($R267)),NOT(ISNUMBER($S267))),"",IF(OR(INDEX('仕入先'!$D$5:$D$54,$R267)="",INDEX('仕入先'!$E$5:$E$54,$R267)="",INDEX('仕入先'!$F$5:$F$54,$R267)=""),"",IF(INDEX('仕入先'!$F$5:$F$54,$R267)="末",DATE(YEAR($S267),(MONTH($S267)+IF(INDEX('仕入先'!$D$5:$D$54,$R267)="末",0,IF(DAY($S267)&lt;=INDEX('仕入先'!$D$5:$D$54,$R267),0,1))+N(INDEX('仕入先'!$E$5:$E$54,$R267)))+1,0),DATE(YEAR($S267),(MONTH($S267)+IF(INDEX('仕入先'!$D$5:$D$54,$R267)="末",0,IF(DAY($S267)&lt;=INDEX('仕入先'!$D$5:$D$54,$R267),0,1))+N(INDEX('仕入先'!$E$5:$E$54,$R267))),MIN(INDEX('仕入先'!$F$5:$F$54,$R267),DAY(DATE(YEAR($S267),(MONTH($S267)+IF(INDEX('仕入先'!$D$5:$D$54,$R267)="末",0,IF(DAY($S267)&lt;=INDEX('仕入先'!$D$5:$D$54,$R267),0,1))+N(INDEX('仕入先'!$E$5:$E$54,$R267)))+1,0)))))))</f>
        <v/>
      </c>
      <c r="I267" s="26" t="n"/>
      <c r="J267" s="29">
        <f>IF($B267="","",IF(ISNUMBER($I267),$I267,$H267))</f>
        <v/>
      </c>
      <c r="K267" s="26" t="n"/>
      <c r="L267" s="27" t="n"/>
      <c r="M267" s="27" t="n"/>
      <c r="N267" s="28">
        <f>IF($B267="","",N($G267)-N($L267)-N($M267))</f>
        <v/>
      </c>
      <c r="O267" s="30">
        <f>IF($B267="","",IF(AND(OR(N($L267)&lt;&gt;0,N($M267)&lt;&gt;0),NOT(ISNUMBER($K267))),"支払日なし",IF($N267=0,IF(N($G267)=0,"請求額0","支払済"),IF($N267&lt;0,"払いすぎ",IF(N($L267)+N($M267)=0,"未払","一部支払")))))</f>
        <v/>
      </c>
      <c r="P267" s="30">
        <f>IF(OR($B267="",N($N267)&lt;=0,NOT(ISNUMBER($J267))),"",IF($J267&lt;'設定'!$B$7,"期日超過 "&amp;('設定'!$B$7-$J267)&amp;"日",IF($J267='設定'!$B$7,"今日","あと "&amp;($J267-'設定'!$B$7)&amp;"日")))</f>
        <v/>
      </c>
      <c r="Q267" s="56" t="n"/>
      <c r="R267" s="32">
        <f>IF($B267="","",IFERROR(MATCH($B267,'仕入先'!$B$5:$B$54,0),"なし"))</f>
        <v/>
      </c>
      <c r="S267" s="33">
        <f>IF($B267="","",IF(ISNUMBER($D267),$D267,IF(ISNUMBER($A267),$A267,"")))</f>
        <v/>
      </c>
      <c r="T267" s="34">
        <f>IF(OR($B267="",N($N267)&lt;=0),"",IF(ISNUMBER($J267),$J267,99999)+ROW()/1000000)</f>
        <v/>
      </c>
      <c r="U267" s="35">
        <f>IF(OR($B267="",$B267&lt;&gt;'買掛帳'!$B$3,NOT(ISNUMBER($S267))),"",IF(AND($S267&gt;='買掛帳'!$Q$3,$S267&lt;='買掛帳'!$Q$4),$S267+ROW()/10000000,""))</f>
        <v/>
      </c>
      <c r="V267" s="35">
        <f>IF(OR($B267="",$B267&lt;&gt;'買掛帳'!$B$3,NOT(ISNUMBER($K267)),N($L267)+N($M267)=0),"",IF(AND($K267&gt;='買掛帳'!$Q$3,$K267&lt;='買掛帳'!$Q$4),$K267+0.5+ROW()/10000000,""))</f>
        <v/>
      </c>
    </row>
    <row r="268" ht="18" customHeight="1">
      <c r="A268" s="26" t="n"/>
      <c r="B268" s="18" t="n"/>
      <c r="C268" s="20">
        <f>IF($B268="","",IF($R268="なし","※仕入先にないコード",INDEX('仕入先'!$C$5:$C$54,$R268)&amp;""))</f>
        <v/>
      </c>
      <c r="D268" s="26" t="n"/>
      <c r="E268" s="18" t="n"/>
      <c r="F268" s="19" t="n"/>
      <c r="G268" s="27" t="n"/>
      <c r="H268" s="29">
        <f>IF(OR($B268="",NOT(ISNUMBER($R268)),NOT(ISNUMBER($S268))),"",IF(OR(INDEX('仕入先'!$D$5:$D$54,$R268)="",INDEX('仕入先'!$E$5:$E$54,$R268)="",INDEX('仕入先'!$F$5:$F$54,$R268)=""),"",IF(INDEX('仕入先'!$F$5:$F$54,$R268)="末",DATE(YEAR($S268),(MONTH($S268)+IF(INDEX('仕入先'!$D$5:$D$54,$R268)="末",0,IF(DAY($S268)&lt;=INDEX('仕入先'!$D$5:$D$54,$R268),0,1))+N(INDEX('仕入先'!$E$5:$E$54,$R268)))+1,0),DATE(YEAR($S268),(MONTH($S268)+IF(INDEX('仕入先'!$D$5:$D$54,$R268)="末",0,IF(DAY($S268)&lt;=INDEX('仕入先'!$D$5:$D$54,$R268),0,1))+N(INDEX('仕入先'!$E$5:$E$54,$R268))),MIN(INDEX('仕入先'!$F$5:$F$54,$R268),DAY(DATE(YEAR($S268),(MONTH($S268)+IF(INDEX('仕入先'!$D$5:$D$54,$R268)="末",0,IF(DAY($S268)&lt;=INDEX('仕入先'!$D$5:$D$54,$R268),0,1))+N(INDEX('仕入先'!$E$5:$E$54,$R268)))+1,0)))))))</f>
        <v/>
      </c>
      <c r="I268" s="26" t="n"/>
      <c r="J268" s="29">
        <f>IF($B268="","",IF(ISNUMBER($I268),$I268,$H268))</f>
        <v/>
      </c>
      <c r="K268" s="26" t="n"/>
      <c r="L268" s="27" t="n"/>
      <c r="M268" s="27" t="n"/>
      <c r="N268" s="28">
        <f>IF($B268="","",N($G268)-N($L268)-N($M268))</f>
        <v/>
      </c>
      <c r="O268" s="30">
        <f>IF($B268="","",IF(AND(OR(N($L268)&lt;&gt;0,N($M268)&lt;&gt;0),NOT(ISNUMBER($K268))),"支払日なし",IF($N268=0,IF(N($G268)=0,"請求額0","支払済"),IF($N268&lt;0,"払いすぎ",IF(N($L268)+N($M268)=0,"未払","一部支払")))))</f>
        <v/>
      </c>
      <c r="P268" s="30">
        <f>IF(OR($B268="",N($N268)&lt;=0,NOT(ISNUMBER($J268))),"",IF($J268&lt;'設定'!$B$7,"期日超過 "&amp;('設定'!$B$7-$J268)&amp;"日",IF($J268='設定'!$B$7,"今日","あと "&amp;($J268-'設定'!$B$7)&amp;"日")))</f>
        <v/>
      </c>
      <c r="Q268" s="56" t="n"/>
      <c r="R268" s="32">
        <f>IF($B268="","",IFERROR(MATCH($B268,'仕入先'!$B$5:$B$54,0),"なし"))</f>
        <v/>
      </c>
      <c r="S268" s="33">
        <f>IF($B268="","",IF(ISNUMBER($D268),$D268,IF(ISNUMBER($A268),$A268,"")))</f>
        <v/>
      </c>
      <c r="T268" s="34">
        <f>IF(OR($B268="",N($N268)&lt;=0),"",IF(ISNUMBER($J268),$J268,99999)+ROW()/1000000)</f>
        <v/>
      </c>
      <c r="U268" s="35">
        <f>IF(OR($B268="",$B268&lt;&gt;'買掛帳'!$B$3,NOT(ISNUMBER($S268))),"",IF(AND($S268&gt;='買掛帳'!$Q$3,$S268&lt;='買掛帳'!$Q$4),$S268+ROW()/10000000,""))</f>
        <v/>
      </c>
      <c r="V268" s="35">
        <f>IF(OR($B268="",$B268&lt;&gt;'買掛帳'!$B$3,NOT(ISNUMBER($K268)),N($L268)+N($M268)=0),"",IF(AND($K268&gt;='買掛帳'!$Q$3,$K268&lt;='買掛帳'!$Q$4),$K268+0.5+ROW()/10000000,""))</f>
        <v/>
      </c>
    </row>
    <row r="269" ht="18" customHeight="1">
      <c r="A269" s="26" t="n"/>
      <c r="B269" s="18" t="n"/>
      <c r="C269" s="20">
        <f>IF($B269="","",IF($R269="なし","※仕入先にないコード",INDEX('仕入先'!$C$5:$C$54,$R269)&amp;""))</f>
        <v/>
      </c>
      <c r="D269" s="26" t="n"/>
      <c r="E269" s="18" t="n"/>
      <c r="F269" s="19" t="n"/>
      <c r="G269" s="27" t="n"/>
      <c r="H269" s="29">
        <f>IF(OR($B269="",NOT(ISNUMBER($R269)),NOT(ISNUMBER($S269))),"",IF(OR(INDEX('仕入先'!$D$5:$D$54,$R269)="",INDEX('仕入先'!$E$5:$E$54,$R269)="",INDEX('仕入先'!$F$5:$F$54,$R269)=""),"",IF(INDEX('仕入先'!$F$5:$F$54,$R269)="末",DATE(YEAR($S269),(MONTH($S269)+IF(INDEX('仕入先'!$D$5:$D$54,$R269)="末",0,IF(DAY($S269)&lt;=INDEX('仕入先'!$D$5:$D$54,$R269),0,1))+N(INDEX('仕入先'!$E$5:$E$54,$R269)))+1,0),DATE(YEAR($S269),(MONTH($S269)+IF(INDEX('仕入先'!$D$5:$D$54,$R269)="末",0,IF(DAY($S269)&lt;=INDEX('仕入先'!$D$5:$D$54,$R269),0,1))+N(INDEX('仕入先'!$E$5:$E$54,$R269))),MIN(INDEX('仕入先'!$F$5:$F$54,$R269),DAY(DATE(YEAR($S269),(MONTH($S269)+IF(INDEX('仕入先'!$D$5:$D$54,$R269)="末",0,IF(DAY($S269)&lt;=INDEX('仕入先'!$D$5:$D$54,$R269),0,1))+N(INDEX('仕入先'!$E$5:$E$54,$R269)))+1,0)))))))</f>
        <v/>
      </c>
      <c r="I269" s="26" t="n"/>
      <c r="J269" s="29">
        <f>IF($B269="","",IF(ISNUMBER($I269),$I269,$H269))</f>
        <v/>
      </c>
      <c r="K269" s="26" t="n"/>
      <c r="L269" s="27" t="n"/>
      <c r="M269" s="27" t="n"/>
      <c r="N269" s="28">
        <f>IF($B269="","",N($G269)-N($L269)-N($M269))</f>
        <v/>
      </c>
      <c r="O269" s="30">
        <f>IF($B269="","",IF(AND(OR(N($L269)&lt;&gt;0,N($M269)&lt;&gt;0),NOT(ISNUMBER($K269))),"支払日なし",IF($N269=0,IF(N($G269)=0,"請求額0","支払済"),IF($N269&lt;0,"払いすぎ",IF(N($L269)+N($M269)=0,"未払","一部支払")))))</f>
        <v/>
      </c>
      <c r="P269" s="30">
        <f>IF(OR($B269="",N($N269)&lt;=0,NOT(ISNUMBER($J269))),"",IF($J269&lt;'設定'!$B$7,"期日超過 "&amp;('設定'!$B$7-$J269)&amp;"日",IF($J269='設定'!$B$7,"今日","あと "&amp;($J269-'設定'!$B$7)&amp;"日")))</f>
        <v/>
      </c>
      <c r="Q269" s="56" t="n"/>
      <c r="R269" s="32">
        <f>IF($B269="","",IFERROR(MATCH($B269,'仕入先'!$B$5:$B$54,0),"なし"))</f>
        <v/>
      </c>
      <c r="S269" s="33">
        <f>IF($B269="","",IF(ISNUMBER($D269),$D269,IF(ISNUMBER($A269),$A269,"")))</f>
        <v/>
      </c>
      <c r="T269" s="34">
        <f>IF(OR($B269="",N($N269)&lt;=0),"",IF(ISNUMBER($J269),$J269,99999)+ROW()/1000000)</f>
        <v/>
      </c>
      <c r="U269" s="35">
        <f>IF(OR($B269="",$B269&lt;&gt;'買掛帳'!$B$3,NOT(ISNUMBER($S269))),"",IF(AND($S269&gt;='買掛帳'!$Q$3,$S269&lt;='買掛帳'!$Q$4),$S269+ROW()/10000000,""))</f>
        <v/>
      </c>
      <c r="V269" s="35">
        <f>IF(OR($B269="",$B269&lt;&gt;'買掛帳'!$B$3,NOT(ISNUMBER($K269)),N($L269)+N($M269)=0),"",IF(AND($K269&gt;='買掛帳'!$Q$3,$K269&lt;='買掛帳'!$Q$4),$K269+0.5+ROW()/10000000,""))</f>
        <v/>
      </c>
    </row>
    <row r="270" ht="18" customHeight="1">
      <c r="A270" s="26" t="n"/>
      <c r="B270" s="18" t="n"/>
      <c r="C270" s="20">
        <f>IF($B270="","",IF($R270="なし","※仕入先にないコード",INDEX('仕入先'!$C$5:$C$54,$R270)&amp;""))</f>
        <v/>
      </c>
      <c r="D270" s="26" t="n"/>
      <c r="E270" s="18" t="n"/>
      <c r="F270" s="19" t="n"/>
      <c r="G270" s="27" t="n"/>
      <c r="H270" s="29">
        <f>IF(OR($B270="",NOT(ISNUMBER($R270)),NOT(ISNUMBER($S270))),"",IF(OR(INDEX('仕入先'!$D$5:$D$54,$R270)="",INDEX('仕入先'!$E$5:$E$54,$R270)="",INDEX('仕入先'!$F$5:$F$54,$R270)=""),"",IF(INDEX('仕入先'!$F$5:$F$54,$R270)="末",DATE(YEAR($S270),(MONTH($S270)+IF(INDEX('仕入先'!$D$5:$D$54,$R270)="末",0,IF(DAY($S270)&lt;=INDEX('仕入先'!$D$5:$D$54,$R270),0,1))+N(INDEX('仕入先'!$E$5:$E$54,$R270)))+1,0),DATE(YEAR($S270),(MONTH($S270)+IF(INDEX('仕入先'!$D$5:$D$54,$R270)="末",0,IF(DAY($S270)&lt;=INDEX('仕入先'!$D$5:$D$54,$R270),0,1))+N(INDEX('仕入先'!$E$5:$E$54,$R270))),MIN(INDEX('仕入先'!$F$5:$F$54,$R270),DAY(DATE(YEAR($S270),(MONTH($S270)+IF(INDEX('仕入先'!$D$5:$D$54,$R270)="末",0,IF(DAY($S270)&lt;=INDEX('仕入先'!$D$5:$D$54,$R270),0,1))+N(INDEX('仕入先'!$E$5:$E$54,$R270)))+1,0)))))))</f>
        <v/>
      </c>
      <c r="I270" s="26" t="n"/>
      <c r="J270" s="29">
        <f>IF($B270="","",IF(ISNUMBER($I270),$I270,$H270))</f>
        <v/>
      </c>
      <c r="K270" s="26" t="n"/>
      <c r="L270" s="27" t="n"/>
      <c r="M270" s="27" t="n"/>
      <c r="N270" s="28">
        <f>IF($B270="","",N($G270)-N($L270)-N($M270))</f>
        <v/>
      </c>
      <c r="O270" s="30">
        <f>IF($B270="","",IF(AND(OR(N($L270)&lt;&gt;0,N($M270)&lt;&gt;0),NOT(ISNUMBER($K270))),"支払日なし",IF($N270=0,IF(N($G270)=0,"請求額0","支払済"),IF($N270&lt;0,"払いすぎ",IF(N($L270)+N($M270)=0,"未払","一部支払")))))</f>
        <v/>
      </c>
      <c r="P270" s="30">
        <f>IF(OR($B270="",N($N270)&lt;=0,NOT(ISNUMBER($J270))),"",IF($J270&lt;'設定'!$B$7,"期日超過 "&amp;('設定'!$B$7-$J270)&amp;"日",IF($J270='設定'!$B$7,"今日","あと "&amp;($J270-'設定'!$B$7)&amp;"日")))</f>
        <v/>
      </c>
      <c r="Q270" s="56" t="n"/>
      <c r="R270" s="32">
        <f>IF($B270="","",IFERROR(MATCH($B270,'仕入先'!$B$5:$B$54,0),"なし"))</f>
        <v/>
      </c>
      <c r="S270" s="33">
        <f>IF($B270="","",IF(ISNUMBER($D270),$D270,IF(ISNUMBER($A270),$A270,"")))</f>
        <v/>
      </c>
      <c r="T270" s="34">
        <f>IF(OR($B270="",N($N270)&lt;=0),"",IF(ISNUMBER($J270),$J270,99999)+ROW()/1000000)</f>
        <v/>
      </c>
      <c r="U270" s="35">
        <f>IF(OR($B270="",$B270&lt;&gt;'買掛帳'!$B$3,NOT(ISNUMBER($S270))),"",IF(AND($S270&gt;='買掛帳'!$Q$3,$S270&lt;='買掛帳'!$Q$4),$S270+ROW()/10000000,""))</f>
        <v/>
      </c>
      <c r="V270" s="35">
        <f>IF(OR($B270="",$B270&lt;&gt;'買掛帳'!$B$3,NOT(ISNUMBER($K270)),N($L270)+N($M270)=0),"",IF(AND($K270&gt;='買掛帳'!$Q$3,$K270&lt;='買掛帳'!$Q$4),$K270+0.5+ROW()/10000000,""))</f>
        <v/>
      </c>
    </row>
    <row r="271" ht="18" customHeight="1">
      <c r="A271" s="26" t="n"/>
      <c r="B271" s="18" t="n"/>
      <c r="C271" s="20">
        <f>IF($B271="","",IF($R271="なし","※仕入先にないコード",INDEX('仕入先'!$C$5:$C$54,$R271)&amp;""))</f>
        <v/>
      </c>
      <c r="D271" s="26" t="n"/>
      <c r="E271" s="18" t="n"/>
      <c r="F271" s="19" t="n"/>
      <c r="G271" s="27" t="n"/>
      <c r="H271" s="29">
        <f>IF(OR($B271="",NOT(ISNUMBER($R271)),NOT(ISNUMBER($S271))),"",IF(OR(INDEX('仕入先'!$D$5:$D$54,$R271)="",INDEX('仕入先'!$E$5:$E$54,$R271)="",INDEX('仕入先'!$F$5:$F$54,$R271)=""),"",IF(INDEX('仕入先'!$F$5:$F$54,$R271)="末",DATE(YEAR($S271),(MONTH($S271)+IF(INDEX('仕入先'!$D$5:$D$54,$R271)="末",0,IF(DAY($S271)&lt;=INDEX('仕入先'!$D$5:$D$54,$R271),0,1))+N(INDEX('仕入先'!$E$5:$E$54,$R271)))+1,0),DATE(YEAR($S271),(MONTH($S271)+IF(INDEX('仕入先'!$D$5:$D$54,$R271)="末",0,IF(DAY($S271)&lt;=INDEX('仕入先'!$D$5:$D$54,$R271),0,1))+N(INDEX('仕入先'!$E$5:$E$54,$R271))),MIN(INDEX('仕入先'!$F$5:$F$54,$R271),DAY(DATE(YEAR($S271),(MONTH($S271)+IF(INDEX('仕入先'!$D$5:$D$54,$R271)="末",0,IF(DAY($S271)&lt;=INDEX('仕入先'!$D$5:$D$54,$R271),0,1))+N(INDEX('仕入先'!$E$5:$E$54,$R271)))+1,0)))))))</f>
        <v/>
      </c>
      <c r="I271" s="26" t="n"/>
      <c r="J271" s="29">
        <f>IF($B271="","",IF(ISNUMBER($I271),$I271,$H271))</f>
        <v/>
      </c>
      <c r="K271" s="26" t="n"/>
      <c r="L271" s="27" t="n"/>
      <c r="M271" s="27" t="n"/>
      <c r="N271" s="28">
        <f>IF($B271="","",N($G271)-N($L271)-N($M271))</f>
        <v/>
      </c>
      <c r="O271" s="30">
        <f>IF($B271="","",IF(AND(OR(N($L271)&lt;&gt;0,N($M271)&lt;&gt;0),NOT(ISNUMBER($K271))),"支払日なし",IF($N271=0,IF(N($G271)=0,"請求額0","支払済"),IF($N271&lt;0,"払いすぎ",IF(N($L271)+N($M271)=0,"未払","一部支払")))))</f>
        <v/>
      </c>
      <c r="P271" s="30">
        <f>IF(OR($B271="",N($N271)&lt;=0,NOT(ISNUMBER($J271))),"",IF($J271&lt;'設定'!$B$7,"期日超過 "&amp;('設定'!$B$7-$J271)&amp;"日",IF($J271='設定'!$B$7,"今日","あと "&amp;($J271-'設定'!$B$7)&amp;"日")))</f>
        <v/>
      </c>
      <c r="Q271" s="56" t="n"/>
      <c r="R271" s="32">
        <f>IF($B271="","",IFERROR(MATCH($B271,'仕入先'!$B$5:$B$54,0),"なし"))</f>
        <v/>
      </c>
      <c r="S271" s="33">
        <f>IF($B271="","",IF(ISNUMBER($D271),$D271,IF(ISNUMBER($A271),$A271,"")))</f>
        <v/>
      </c>
      <c r="T271" s="34">
        <f>IF(OR($B271="",N($N271)&lt;=0),"",IF(ISNUMBER($J271),$J271,99999)+ROW()/1000000)</f>
        <v/>
      </c>
      <c r="U271" s="35">
        <f>IF(OR($B271="",$B271&lt;&gt;'買掛帳'!$B$3,NOT(ISNUMBER($S271))),"",IF(AND($S271&gt;='買掛帳'!$Q$3,$S271&lt;='買掛帳'!$Q$4),$S271+ROW()/10000000,""))</f>
        <v/>
      </c>
      <c r="V271" s="35">
        <f>IF(OR($B271="",$B271&lt;&gt;'買掛帳'!$B$3,NOT(ISNUMBER($K271)),N($L271)+N($M271)=0),"",IF(AND($K271&gt;='買掛帳'!$Q$3,$K271&lt;='買掛帳'!$Q$4),$K271+0.5+ROW()/10000000,""))</f>
        <v/>
      </c>
    </row>
    <row r="272" ht="18" customHeight="1">
      <c r="A272" s="26" t="n"/>
      <c r="B272" s="18" t="n"/>
      <c r="C272" s="20">
        <f>IF($B272="","",IF($R272="なし","※仕入先にないコード",INDEX('仕入先'!$C$5:$C$54,$R272)&amp;""))</f>
        <v/>
      </c>
      <c r="D272" s="26" t="n"/>
      <c r="E272" s="18" t="n"/>
      <c r="F272" s="19" t="n"/>
      <c r="G272" s="27" t="n"/>
      <c r="H272" s="29">
        <f>IF(OR($B272="",NOT(ISNUMBER($R272)),NOT(ISNUMBER($S272))),"",IF(OR(INDEX('仕入先'!$D$5:$D$54,$R272)="",INDEX('仕入先'!$E$5:$E$54,$R272)="",INDEX('仕入先'!$F$5:$F$54,$R272)=""),"",IF(INDEX('仕入先'!$F$5:$F$54,$R272)="末",DATE(YEAR($S272),(MONTH($S272)+IF(INDEX('仕入先'!$D$5:$D$54,$R272)="末",0,IF(DAY($S272)&lt;=INDEX('仕入先'!$D$5:$D$54,$R272),0,1))+N(INDEX('仕入先'!$E$5:$E$54,$R272)))+1,0),DATE(YEAR($S272),(MONTH($S272)+IF(INDEX('仕入先'!$D$5:$D$54,$R272)="末",0,IF(DAY($S272)&lt;=INDEX('仕入先'!$D$5:$D$54,$R272),0,1))+N(INDEX('仕入先'!$E$5:$E$54,$R272))),MIN(INDEX('仕入先'!$F$5:$F$54,$R272),DAY(DATE(YEAR($S272),(MONTH($S272)+IF(INDEX('仕入先'!$D$5:$D$54,$R272)="末",0,IF(DAY($S272)&lt;=INDEX('仕入先'!$D$5:$D$54,$R272),0,1))+N(INDEX('仕入先'!$E$5:$E$54,$R272)))+1,0)))))))</f>
        <v/>
      </c>
      <c r="I272" s="26" t="n"/>
      <c r="J272" s="29">
        <f>IF($B272="","",IF(ISNUMBER($I272),$I272,$H272))</f>
        <v/>
      </c>
      <c r="K272" s="26" t="n"/>
      <c r="L272" s="27" t="n"/>
      <c r="M272" s="27" t="n"/>
      <c r="N272" s="28">
        <f>IF($B272="","",N($G272)-N($L272)-N($M272))</f>
        <v/>
      </c>
      <c r="O272" s="30">
        <f>IF($B272="","",IF(AND(OR(N($L272)&lt;&gt;0,N($M272)&lt;&gt;0),NOT(ISNUMBER($K272))),"支払日なし",IF($N272=0,IF(N($G272)=0,"請求額0","支払済"),IF($N272&lt;0,"払いすぎ",IF(N($L272)+N($M272)=0,"未払","一部支払")))))</f>
        <v/>
      </c>
      <c r="P272" s="30">
        <f>IF(OR($B272="",N($N272)&lt;=0,NOT(ISNUMBER($J272))),"",IF($J272&lt;'設定'!$B$7,"期日超過 "&amp;('設定'!$B$7-$J272)&amp;"日",IF($J272='設定'!$B$7,"今日","あと "&amp;($J272-'設定'!$B$7)&amp;"日")))</f>
        <v/>
      </c>
      <c r="Q272" s="56" t="n"/>
      <c r="R272" s="32">
        <f>IF($B272="","",IFERROR(MATCH($B272,'仕入先'!$B$5:$B$54,0),"なし"))</f>
        <v/>
      </c>
      <c r="S272" s="33">
        <f>IF($B272="","",IF(ISNUMBER($D272),$D272,IF(ISNUMBER($A272),$A272,"")))</f>
        <v/>
      </c>
      <c r="T272" s="34">
        <f>IF(OR($B272="",N($N272)&lt;=0),"",IF(ISNUMBER($J272),$J272,99999)+ROW()/1000000)</f>
        <v/>
      </c>
      <c r="U272" s="35">
        <f>IF(OR($B272="",$B272&lt;&gt;'買掛帳'!$B$3,NOT(ISNUMBER($S272))),"",IF(AND($S272&gt;='買掛帳'!$Q$3,$S272&lt;='買掛帳'!$Q$4),$S272+ROW()/10000000,""))</f>
        <v/>
      </c>
      <c r="V272" s="35">
        <f>IF(OR($B272="",$B272&lt;&gt;'買掛帳'!$B$3,NOT(ISNUMBER($K272)),N($L272)+N($M272)=0),"",IF(AND($K272&gt;='買掛帳'!$Q$3,$K272&lt;='買掛帳'!$Q$4),$K272+0.5+ROW()/10000000,""))</f>
        <v/>
      </c>
    </row>
    <row r="273" ht="18" customHeight="1">
      <c r="A273" s="26" t="n"/>
      <c r="B273" s="18" t="n"/>
      <c r="C273" s="20">
        <f>IF($B273="","",IF($R273="なし","※仕入先にないコード",INDEX('仕入先'!$C$5:$C$54,$R273)&amp;""))</f>
        <v/>
      </c>
      <c r="D273" s="26" t="n"/>
      <c r="E273" s="18" t="n"/>
      <c r="F273" s="19" t="n"/>
      <c r="G273" s="27" t="n"/>
      <c r="H273" s="29">
        <f>IF(OR($B273="",NOT(ISNUMBER($R273)),NOT(ISNUMBER($S273))),"",IF(OR(INDEX('仕入先'!$D$5:$D$54,$R273)="",INDEX('仕入先'!$E$5:$E$54,$R273)="",INDEX('仕入先'!$F$5:$F$54,$R273)=""),"",IF(INDEX('仕入先'!$F$5:$F$54,$R273)="末",DATE(YEAR($S273),(MONTH($S273)+IF(INDEX('仕入先'!$D$5:$D$54,$R273)="末",0,IF(DAY($S273)&lt;=INDEX('仕入先'!$D$5:$D$54,$R273),0,1))+N(INDEX('仕入先'!$E$5:$E$54,$R273)))+1,0),DATE(YEAR($S273),(MONTH($S273)+IF(INDEX('仕入先'!$D$5:$D$54,$R273)="末",0,IF(DAY($S273)&lt;=INDEX('仕入先'!$D$5:$D$54,$R273),0,1))+N(INDEX('仕入先'!$E$5:$E$54,$R273))),MIN(INDEX('仕入先'!$F$5:$F$54,$R273),DAY(DATE(YEAR($S273),(MONTH($S273)+IF(INDEX('仕入先'!$D$5:$D$54,$R273)="末",0,IF(DAY($S273)&lt;=INDEX('仕入先'!$D$5:$D$54,$R273),0,1))+N(INDEX('仕入先'!$E$5:$E$54,$R273)))+1,0)))))))</f>
        <v/>
      </c>
      <c r="I273" s="26" t="n"/>
      <c r="J273" s="29">
        <f>IF($B273="","",IF(ISNUMBER($I273),$I273,$H273))</f>
        <v/>
      </c>
      <c r="K273" s="26" t="n"/>
      <c r="L273" s="27" t="n"/>
      <c r="M273" s="27" t="n"/>
      <c r="N273" s="28">
        <f>IF($B273="","",N($G273)-N($L273)-N($M273))</f>
        <v/>
      </c>
      <c r="O273" s="30">
        <f>IF($B273="","",IF(AND(OR(N($L273)&lt;&gt;0,N($M273)&lt;&gt;0),NOT(ISNUMBER($K273))),"支払日なし",IF($N273=0,IF(N($G273)=0,"請求額0","支払済"),IF($N273&lt;0,"払いすぎ",IF(N($L273)+N($M273)=0,"未払","一部支払")))))</f>
        <v/>
      </c>
      <c r="P273" s="30">
        <f>IF(OR($B273="",N($N273)&lt;=0,NOT(ISNUMBER($J273))),"",IF($J273&lt;'設定'!$B$7,"期日超過 "&amp;('設定'!$B$7-$J273)&amp;"日",IF($J273='設定'!$B$7,"今日","あと "&amp;($J273-'設定'!$B$7)&amp;"日")))</f>
        <v/>
      </c>
      <c r="Q273" s="56" t="n"/>
      <c r="R273" s="32">
        <f>IF($B273="","",IFERROR(MATCH($B273,'仕入先'!$B$5:$B$54,0),"なし"))</f>
        <v/>
      </c>
      <c r="S273" s="33">
        <f>IF($B273="","",IF(ISNUMBER($D273),$D273,IF(ISNUMBER($A273),$A273,"")))</f>
        <v/>
      </c>
      <c r="T273" s="34">
        <f>IF(OR($B273="",N($N273)&lt;=0),"",IF(ISNUMBER($J273),$J273,99999)+ROW()/1000000)</f>
        <v/>
      </c>
      <c r="U273" s="35">
        <f>IF(OR($B273="",$B273&lt;&gt;'買掛帳'!$B$3,NOT(ISNUMBER($S273))),"",IF(AND($S273&gt;='買掛帳'!$Q$3,$S273&lt;='買掛帳'!$Q$4),$S273+ROW()/10000000,""))</f>
        <v/>
      </c>
      <c r="V273" s="35">
        <f>IF(OR($B273="",$B273&lt;&gt;'買掛帳'!$B$3,NOT(ISNUMBER($K273)),N($L273)+N($M273)=0),"",IF(AND($K273&gt;='買掛帳'!$Q$3,$K273&lt;='買掛帳'!$Q$4),$K273+0.5+ROW()/10000000,""))</f>
        <v/>
      </c>
    </row>
    <row r="274" ht="18" customHeight="1">
      <c r="A274" s="26" t="n"/>
      <c r="B274" s="18" t="n"/>
      <c r="C274" s="20">
        <f>IF($B274="","",IF($R274="なし","※仕入先にないコード",INDEX('仕入先'!$C$5:$C$54,$R274)&amp;""))</f>
        <v/>
      </c>
      <c r="D274" s="26" t="n"/>
      <c r="E274" s="18" t="n"/>
      <c r="F274" s="19" t="n"/>
      <c r="G274" s="27" t="n"/>
      <c r="H274" s="29">
        <f>IF(OR($B274="",NOT(ISNUMBER($R274)),NOT(ISNUMBER($S274))),"",IF(OR(INDEX('仕入先'!$D$5:$D$54,$R274)="",INDEX('仕入先'!$E$5:$E$54,$R274)="",INDEX('仕入先'!$F$5:$F$54,$R274)=""),"",IF(INDEX('仕入先'!$F$5:$F$54,$R274)="末",DATE(YEAR($S274),(MONTH($S274)+IF(INDEX('仕入先'!$D$5:$D$54,$R274)="末",0,IF(DAY($S274)&lt;=INDEX('仕入先'!$D$5:$D$54,$R274),0,1))+N(INDEX('仕入先'!$E$5:$E$54,$R274)))+1,0),DATE(YEAR($S274),(MONTH($S274)+IF(INDEX('仕入先'!$D$5:$D$54,$R274)="末",0,IF(DAY($S274)&lt;=INDEX('仕入先'!$D$5:$D$54,$R274),0,1))+N(INDEX('仕入先'!$E$5:$E$54,$R274))),MIN(INDEX('仕入先'!$F$5:$F$54,$R274),DAY(DATE(YEAR($S274),(MONTH($S274)+IF(INDEX('仕入先'!$D$5:$D$54,$R274)="末",0,IF(DAY($S274)&lt;=INDEX('仕入先'!$D$5:$D$54,$R274),0,1))+N(INDEX('仕入先'!$E$5:$E$54,$R274)))+1,0)))))))</f>
        <v/>
      </c>
      <c r="I274" s="26" t="n"/>
      <c r="J274" s="29">
        <f>IF($B274="","",IF(ISNUMBER($I274),$I274,$H274))</f>
        <v/>
      </c>
      <c r="K274" s="26" t="n"/>
      <c r="L274" s="27" t="n"/>
      <c r="M274" s="27" t="n"/>
      <c r="N274" s="28">
        <f>IF($B274="","",N($G274)-N($L274)-N($M274))</f>
        <v/>
      </c>
      <c r="O274" s="30">
        <f>IF($B274="","",IF(AND(OR(N($L274)&lt;&gt;0,N($M274)&lt;&gt;0),NOT(ISNUMBER($K274))),"支払日なし",IF($N274=0,IF(N($G274)=0,"請求額0","支払済"),IF($N274&lt;0,"払いすぎ",IF(N($L274)+N($M274)=0,"未払","一部支払")))))</f>
        <v/>
      </c>
      <c r="P274" s="30">
        <f>IF(OR($B274="",N($N274)&lt;=0,NOT(ISNUMBER($J274))),"",IF($J274&lt;'設定'!$B$7,"期日超過 "&amp;('設定'!$B$7-$J274)&amp;"日",IF($J274='設定'!$B$7,"今日","あと "&amp;($J274-'設定'!$B$7)&amp;"日")))</f>
        <v/>
      </c>
      <c r="Q274" s="56" t="n"/>
      <c r="R274" s="32">
        <f>IF($B274="","",IFERROR(MATCH($B274,'仕入先'!$B$5:$B$54,0),"なし"))</f>
        <v/>
      </c>
      <c r="S274" s="33">
        <f>IF($B274="","",IF(ISNUMBER($D274),$D274,IF(ISNUMBER($A274),$A274,"")))</f>
        <v/>
      </c>
      <c r="T274" s="34">
        <f>IF(OR($B274="",N($N274)&lt;=0),"",IF(ISNUMBER($J274),$J274,99999)+ROW()/1000000)</f>
        <v/>
      </c>
      <c r="U274" s="35">
        <f>IF(OR($B274="",$B274&lt;&gt;'買掛帳'!$B$3,NOT(ISNUMBER($S274))),"",IF(AND($S274&gt;='買掛帳'!$Q$3,$S274&lt;='買掛帳'!$Q$4),$S274+ROW()/10000000,""))</f>
        <v/>
      </c>
      <c r="V274" s="35">
        <f>IF(OR($B274="",$B274&lt;&gt;'買掛帳'!$B$3,NOT(ISNUMBER($K274)),N($L274)+N($M274)=0),"",IF(AND($K274&gt;='買掛帳'!$Q$3,$K274&lt;='買掛帳'!$Q$4),$K274+0.5+ROW()/10000000,""))</f>
        <v/>
      </c>
    </row>
    <row r="275" ht="18" customHeight="1">
      <c r="A275" s="26" t="n"/>
      <c r="B275" s="18" t="n"/>
      <c r="C275" s="20">
        <f>IF($B275="","",IF($R275="なし","※仕入先にないコード",INDEX('仕入先'!$C$5:$C$54,$R275)&amp;""))</f>
        <v/>
      </c>
      <c r="D275" s="26" t="n"/>
      <c r="E275" s="18" t="n"/>
      <c r="F275" s="19" t="n"/>
      <c r="G275" s="27" t="n"/>
      <c r="H275" s="29">
        <f>IF(OR($B275="",NOT(ISNUMBER($R275)),NOT(ISNUMBER($S275))),"",IF(OR(INDEX('仕入先'!$D$5:$D$54,$R275)="",INDEX('仕入先'!$E$5:$E$54,$R275)="",INDEX('仕入先'!$F$5:$F$54,$R275)=""),"",IF(INDEX('仕入先'!$F$5:$F$54,$R275)="末",DATE(YEAR($S275),(MONTH($S275)+IF(INDEX('仕入先'!$D$5:$D$54,$R275)="末",0,IF(DAY($S275)&lt;=INDEX('仕入先'!$D$5:$D$54,$R275),0,1))+N(INDEX('仕入先'!$E$5:$E$54,$R275)))+1,0),DATE(YEAR($S275),(MONTH($S275)+IF(INDEX('仕入先'!$D$5:$D$54,$R275)="末",0,IF(DAY($S275)&lt;=INDEX('仕入先'!$D$5:$D$54,$R275),0,1))+N(INDEX('仕入先'!$E$5:$E$54,$R275))),MIN(INDEX('仕入先'!$F$5:$F$54,$R275),DAY(DATE(YEAR($S275),(MONTH($S275)+IF(INDEX('仕入先'!$D$5:$D$54,$R275)="末",0,IF(DAY($S275)&lt;=INDEX('仕入先'!$D$5:$D$54,$R275),0,1))+N(INDEX('仕入先'!$E$5:$E$54,$R275)))+1,0)))))))</f>
        <v/>
      </c>
      <c r="I275" s="26" t="n"/>
      <c r="J275" s="29">
        <f>IF($B275="","",IF(ISNUMBER($I275),$I275,$H275))</f>
        <v/>
      </c>
      <c r="K275" s="26" t="n"/>
      <c r="L275" s="27" t="n"/>
      <c r="M275" s="27" t="n"/>
      <c r="N275" s="28">
        <f>IF($B275="","",N($G275)-N($L275)-N($M275))</f>
        <v/>
      </c>
      <c r="O275" s="30">
        <f>IF($B275="","",IF(AND(OR(N($L275)&lt;&gt;0,N($M275)&lt;&gt;0),NOT(ISNUMBER($K275))),"支払日なし",IF($N275=0,IF(N($G275)=0,"請求額0","支払済"),IF($N275&lt;0,"払いすぎ",IF(N($L275)+N($M275)=0,"未払","一部支払")))))</f>
        <v/>
      </c>
      <c r="P275" s="30">
        <f>IF(OR($B275="",N($N275)&lt;=0,NOT(ISNUMBER($J275))),"",IF($J275&lt;'設定'!$B$7,"期日超過 "&amp;('設定'!$B$7-$J275)&amp;"日",IF($J275='設定'!$B$7,"今日","あと "&amp;($J275-'設定'!$B$7)&amp;"日")))</f>
        <v/>
      </c>
      <c r="Q275" s="56" t="n"/>
      <c r="R275" s="32">
        <f>IF($B275="","",IFERROR(MATCH($B275,'仕入先'!$B$5:$B$54,0),"なし"))</f>
        <v/>
      </c>
      <c r="S275" s="33">
        <f>IF($B275="","",IF(ISNUMBER($D275),$D275,IF(ISNUMBER($A275),$A275,"")))</f>
        <v/>
      </c>
      <c r="T275" s="34">
        <f>IF(OR($B275="",N($N275)&lt;=0),"",IF(ISNUMBER($J275),$J275,99999)+ROW()/1000000)</f>
        <v/>
      </c>
      <c r="U275" s="35">
        <f>IF(OR($B275="",$B275&lt;&gt;'買掛帳'!$B$3,NOT(ISNUMBER($S275))),"",IF(AND($S275&gt;='買掛帳'!$Q$3,$S275&lt;='買掛帳'!$Q$4),$S275+ROW()/10000000,""))</f>
        <v/>
      </c>
      <c r="V275" s="35">
        <f>IF(OR($B275="",$B275&lt;&gt;'買掛帳'!$B$3,NOT(ISNUMBER($K275)),N($L275)+N($M275)=0),"",IF(AND($K275&gt;='買掛帳'!$Q$3,$K275&lt;='買掛帳'!$Q$4),$K275+0.5+ROW()/10000000,""))</f>
        <v/>
      </c>
    </row>
    <row r="276" ht="18" customHeight="1">
      <c r="A276" s="26" t="n"/>
      <c r="B276" s="18" t="n"/>
      <c r="C276" s="20">
        <f>IF($B276="","",IF($R276="なし","※仕入先にないコード",INDEX('仕入先'!$C$5:$C$54,$R276)&amp;""))</f>
        <v/>
      </c>
      <c r="D276" s="26" t="n"/>
      <c r="E276" s="18" t="n"/>
      <c r="F276" s="19" t="n"/>
      <c r="G276" s="27" t="n"/>
      <c r="H276" s="29">
        <f>IF(OR($B276="",NOT(ISNUMBER($R276)),NOT(ISNUMBER($S276))),"",IF(OR(INDEX('仕入先'!$D$5:$D$54,$R276)="",INDEX('仕入先'!$E$5:$E$54,$R276)="",INDEX('仕入先'!$F$5:$F$54,$R276)=""),"",IF(INDEX('仕入先'!$F$5:$F$54,$R276)="末",DATE(YEAR($S276),(MONTH($S276)+IF(INDEX('仕入先'!$D$5:$D$54,$R276)="末",0,IF(DAY($S276)&lt;=INDEX('仕入先'!$D$5:$D$54,$R276),0,1))+N(INDEX('仕入先'!$E$5:$E$54,$R276)))+1,0),DATE(YEAR($S276),(MONTH($S276)+IF(INDEX('仕入先'!$D$5:$D$54,$R276)="末",0,IF(DAY($S276)&lt;=INDEX('仕入先'!$D$5:$D$54,$R276),0,1))+N(INDEX('仕入先'!$E$5:$E$54,$R276))),MIN(INDEX('仕入先'!$F$5:$F$54,$R276),DAY(DATE(YEAR($S276),(MONTH($S276)+IF(INDEX('仕入先'!$D$5:$D$54,$R276)="末",0,IF(DAY($S276)&lt;=INDEX('仕入先'!$D$5:$D$54,$R276),0,1))+N(INDEX('仕入先'!$E$5:$E$54,$R276)))+1,0)))))))</f>
        <v/>
      </c>
      <c r="I276" s="26" t="n"/>
      <c r="J276" s="29">
        <f>IF($B276="","",IF(ISNUMBER($I276),$I276,$H276))</f>
        <v/>
      </c>
      <c r="K276" s="26" t="n"/>
      <c r="L276" s="27" t="n"/>
      <c r="M276" s="27" t="n"/>
      <c r="N276" s="28">
        <f>IF($B276="","",N($G276)-N($L276)-N($M276))</f>
        <v/>
      </c>
      <c r="O276" s="30">
        <f>IF($B276="","",IF(AND(OR(N($L276)&lt;&gt;0,N($M276)&lt;&gt;0),NOT(ISNUMBER($K276))),"支払日なし",IF($N276=0,IF(N($G276)=0,"請求額0","支払済"),IF($N276&lt;0,"払いすぎ",IF(N($L276)+N($M276)=0,"未払","一部支払")))))</f>
        <v/>
      </c>
      <c r="P276" s="30">
        <f>IF(OR($B276="",N($N276)&lt;=0,NOT(ISNUMBER($J276))),"",IF($J276&lt;'設定'!$B$7,"期日超過 "&amp;('設定'!$B$7-$J276)&amp;"日",IF($J276='設定'!$B$7,"今日","あと "&amp;($J276-'設定'!$B$7)&amp;"日")))</f>
        <v/>
      </c>
      <c r="Q276" s="56" t="n"/>
      <c r="R276" s="32">
        <f>IF($B276="","",IFERROR(MATCH($B276,'仕入先'!$B$5:$B$54,0),"なし"))</f>
        <v/>
      </c>
      <c r="S276" s="33">
        <f>IF($B276="","",IF(ISNUMBER($D276),$D276,IF(ISNUMBER($A276),$A276,"")))</f>
        <v/>
      </c>
      <c r="T276" s="34">
        <f>IF(OR($B276="",N($N276)&lt;=0),"",IF(ISNUMBER($J276),$J276,99999)+ROW()/1000000)</f>
        <v/>
      </c>
      <c r="U276" s="35">
        <f>IF(OR($B276="",$B276&lt;&gt;'買掛帳'!$B$3,NOT(ISNUMBER($S276))),"",IF(AND($S276&gt;='買掛帳'!$Q$3,$S276&lt;='買掛帳'!$Q$4),$S276+ROW()/10000000,""))</f>
        <v/>
      </c>
      <c r="V276" s="35">
        <f>IF(OR($B276="",$B276&lt;&gt;'買掛帳'!$B$3,NOT(ISNUMBER($K276)),N($L276)+N($M276)=0),"",IF(AND($K276&gt;='買掛帳'!$Q$3,$K276&lt;='買掛帳'!$Q$4),$K276+0.5+ROW()/10000000,""))</f>
        <v/>
      </c>
    </row>
    <row r="277" ht="18" customHeight="1">
      <c r="A277" s="26" t="n"/>
      <c r="B277" s="18" t="n"/>
      <c r="C277" s="20">
        <f>IF($B277="","",IF($R277="なし","※仕入先にないコード",INDEX('仕入先'!$C$5:$C$54,$R277)&amp;""))</f>
        <v/>
      </c>
      <c r="D277" s="26" t="n"/>
      <c r="E277" s="18" t="n"/>
      <c r="F277" s="19" t="n"/>
      <c r="G277" s="27" t="n"/>
      <c r="H277" s="29">
        <f>IF(OR($B277="",NOT(ISNUMBER($R277)),NOT(ISNUMBER($S277))),"",IF(OR(INDEX('仕入先'!$D$5:$D$54,$R277)="",INDEX('仕入先'!$E$5:$E$54,$R277)="",INDEX('仕入先'!$F$5:$F$54,$R277)=""),"",IF(INDEX('仕入先'!$F$5:$F$54,$R277)="末",DATE(YEAR($S277),(MONTH($S277)+IF(INDEX('仕入先'!$D$5:$D$54,$R277)="末",0,IF(DAY($S277)&lt;=INDEX('仕入先'!$D$5:$D$54,$R277),0,1))+N(INDEX('仕入先'!$E$5:$E$54,$R277)))+1,0),DATE(YEAR($S277),(MONTH($S277)+IF(INDEX('仕入先'!$D$5:$D$54,$R277)="末",0,IF(DAY($S277)&lt;=INDEX('仕入先'!$D$5:$D$54,$R277),0,1))+N(INDEX('仕入先'!$E$5:$E$54,$R277))),MIN(INDEX('仕入先'!$F$5:$F$54,$R277),DAY(DATE(YEAR($S277),(MONTH($S277)+IF(INDEX('仕入先'!$D$5:$D$54,$R277)="末",0,IF(DAY($S277)&lt;=INDEX('仕入先'!$D$5:$D$54,$R277),0,1))+N(INDEX('仕入先'!$E$5:$E$54,$R277)))+1,0)))))))</f>
        <v/>
      </c>
      <c r="I277" s="26" t="n"/>
      <c r="J277" s="29">
        <f>IF($B277="","",IF(ISNUMBER($I277),$I277,$H277))</f>
        <v/>
      </c>
      <c r="K277" s="26" t="n"/>
      <c r="L277" s="27" t="n"/>
      <c r="M277" s="27" t="n"/>
      <c r="N277" s="28">
        <f>IF($B277="","",N($G277)-N($L277)-N($M277))</f>
        <v/>
      </c>
      <c r="O277" s="30">
        <f>IF($B277="","",IF(AND(OR(N($L277)&lt;&gt;0,N($M277)&lt;&gt;0),NOT(ISNUMBER($K277))),"支払日なし",IF($N277=0,IF(N($G277)=0,"請求額0","支払済"),IF($N277&lt;0,"払いすぎ",IF(N($L277)+N($M277)=0,"未払","一部支払")))))</f>
        <v/>
      </c>
      <c r="P277" s="30">
        <f>IF(OR($B277="",N($N277)&lt;=0,NOT(ISNUMBER($J277))),"",IF($J277&lt;'設定'!$B$7,"期日超過 "&amp;('設定'!$B$7-$J277)&amp;"日",IF($J277='設定'!$B$7,"今日","あと "&amp;($J277-'設定'!$B$7)&amp;"日")))</f>
        <v/>
      </c>
      <c r="Q277" s="56" t="n"/>
      <c r="R277" s="32">
        <f>IF($B277="","",IFERROR(MATCH($B277,'仕入先'!$B$5:$B$54,0),"なし"))</f>
        <v/>
      </c>
      <c r="S277" s="33">
        <f>IF($B277="","",IF(ISNUMBER($D277),$D277,IF(ISNUMBER($A277),$A277,"")))</f>
        <v/>
      </c>
      <c r="T277" s="34">
        <f>IF(OR($B277="",N($N277)&lt;=0),"",IF(ISNUMBER($J277),$J277,99999)+ROW()/1000000)</f>
        <v/>
      </c>
      <c r="U277" s="35">
        <f>IF(OR($B277="",$B277&lt;&gt;'買掛帳'!$B$3,NOT(ISNUMBER($S277))),"",IF(AND($S277&gt;='買掛帳'!$Q$3,$S277&lt;='買掛帳'!$Q$4),$S277+ROW()/10000000,""))</f>
        <v/>
      </c>
      <c r="V277" s="35">
        <f>IF(OR($B277="",$B277&lt;&gt;'買掛帳'!$B$3,NOT(ISNUMBER($K277)),N($L277)+N($M277)=0),"",IF(AND($K277&gt;='買掛帳'!$Q$3,$K277&lt;='買掛帳'!$Q$4),$K277+0.5+ROW()/10000000,""))</f>
        <v/>
      </c>
    </row>
    <row r="278" ht="18" customHeight="1">
      <c r="A278" s="26" t="n"/>
      <c r="B278" s="18" t="n"/>
      <c r="C278" s="20">
        <f>IF($B278="","",IF($R278="なし","※仕入先にないコード",INDEX('仕入先'!$C$5:$C$54,$R278)&amp;""))</f>
        <v/>
      </c>
      <c r="D278" s="26" t="n"/>
      <c r="E278" s="18" t="n"/>
      <c r="F278" s="19" t="n"/>
      <c r="G278" s="27" t="n"/>
      <c r="H278" s="29">
        <f>IF(OR($B278="",NOT(ISNUMBER($R278)),NOT(ISNUMBER($S278))),"",IF(OR(INDEX('仕入先'!$D$5:$D$54,$R278)="",INDEX('仕入先'!$E$5:$E$54,$R278)="",INDEX('仕入先'!$F$5:$F$54,$R278)=""),"",IF(INDEX('仕入先'!$F$5:$F$54,$R278)="末",DATE(YEAR($S278),(MONTH($S278)+IF(INDEX('仕入先'!$D$5:$D$54,$R278)="末",0,IF(DAY($S278)&lt;=INDEX('仕入先'!$D$5:$D$54,$R278),0,1))+N(INDEX('仕入先'!$E$5:$E$54,$R278)))+1,0),DATE(YEAR($S278),(MONTH($S278)+IF(INDEX('仕入先'!$D$5:$D$54,$R278)="末",0,IF(DAY($S278)&lt;=INDEX('仕入先'!$D$5:$D$54,$R278),0,1))+N(INDEX('仕入先'!$E$5:$E$54,$R278))),MIN(INDEX('仕入先'!$F$5:$F$54,$R278),DAY(DATE(YEAR($S278),(MONTH($S278)+IF(INDEX('仕入先'!$D$5:$D$54,$R278)="末",0,IF(DAY($S278)&lt;=INDEX('仕入先'!$D$5:$D$54,$R278),0,1))+N(INDEX('仕入先'!$E$5:$E$54,$R278)))+1,0)))))))</f>
        <v/>
      </c>
      <c r="I278" s="26" t="n"/>
      <c r="J278" s="29">
        <f>IF($B278="","",IF(ISNUMBER($I278),$I278,$H278))</f>
        <v/>
      </c>
      <c r="K278" s="26" t="n"/>
      <c r="L278" s="27" t="n"/>
      <c r="M278" s="27" t="n"/>
      <c r="N278" s="28">
        <f>IF($B278="","",N($G278)-N($L278)-N($M278))</f>
        <v/>
      </c>
      <c r="O278" s="30">
        <f>IF($B278="","",IF(AND(OR(N($L278)&lt;&gt;0,N($M278)&lt;&gt;0),NOT(ISNUMBER($K278))),"支払日なし",IF($N278=0,IF(N($G278)=0,"請求額0","支払済"),IF($N278&lt;0,"払いすぎ",IF(N($L278)+N($M278)=0,"未払","一部支払")))))</f>
        <v/>
      </c>
      <c r="P278" s="30">
        <f>IF(OR($B278="",N($N278)&lt;=0,NOT(ISNUMBER($J278))),"",IF($J278&lt;'設定'!$B$7,"期日超過 "&amp;('設定'!$B$7-$J278)&amp;"日",IF($J278='設定'!$B$7,"今日","あと "&amp;($J278-'設定'!$B$7)&amp;"日")))</f>
        <v/>
      </c>
      <c r="Q278" s="56" t="n"/>
      <c r="R278" s="32">
        <f>IF($B278="","",IFERROR(MATCH($B278,'仕入先'!$B$5:$B$54,0),"なし"))</f>
        <v/>
      </c>
      <c r="S278" s="33">
        <f>IF($B278="","",IF(ISNUMBER($D278),$D278,IF(ISNUMBER($A278),$A278,"")))</f>
        <v/>
      </c>
      <c r="T278" s="34">
        <f>IF(OR($B278="",N($N278)&lt;=0),"",IF(ISNUMBER($J278),$J278,99999)+ROW()/1000000)</f>
        <v/>
      </c>
      <c r="U278" s="35">
        <f>IF(OR($B278="",$B278&lt;&gt;'買掛帳'!$B$3,NOT(ISNUMBER($S278))),"",IF(AND($S278&gt;='買掛帳'!$Q$3,$S278&lt;='買掛帳'!$Q$4),$S278+ROW()/10000000,""))</f>
        <v/>
      </c>
      <c r="V278" s="35">
        <f>IF(OR($B278="",$B278&lt;&gt;'買掛帳'!$B$3,NOT(ISNUMBER($K278)),N($L278)+N($M278)=0),"",IF(AND($K278&gt;='買掛帳'!$Q$3,$K278&lt;='買掛帳'!$Q$4),$K278+0.5+ROW()/10000000,""))</f>
        <v/>
      </c>
    </row>
    <row r="279" ht="18" customHeight="1">
      <c r="A279" s="26" t="n"/>
      <c r="B279" s="18" t="n"/>
      <c r="C279" s="20">
        <f>IF($B279="","",IF($R279="なし","※仕入先にないコード",INDEX('仕入先'!$C$5:$C$54,$R279)&amp;""))</f>
        <v/>
      </c>
      <c r="D279" s="26" t="n"/>
      <c r="E279" s="18" t="n"/>
      <c r="F279" s="19" t="n"/>
      <c r="G279" s="27" t="n"/>
      <c r="H279" s="29">
        <f>IF(OR($B279="",NOT(ISNUMBER($R279)),NOT(ISNUMBER($S279))),"",IF(OR(INDEX('仕入先'!$D$5:$D$54,$R279)="",INDEX('仕入先'!$E$5:$E$54,$R279)="",INDEX('仕入先'!$F$5:$F$54,$R279)=""),"",IF(INDEX('仕入先'!$F$5:$F$54,$R279)="末",DATE(YEAR($S279),(MONTH($S279)+IF(INDEX('仕入先'!$D$5:$D$54,$R279)="末",0,IF(DAY($S279)&lt;=INDEX('仕入先'!$D$5:$D$54,$R279),0,1))+N(INDEX('仕入先'!$E$5:$E$54,$R279)))+1,0),DATE(YEAR($S279),(MONTH($S279)+IF(INDEX('仕入先'!$D$5:$D$54,$R279)="末",0,IF(DAY($S279)&lt;=INDEX('仕入先'!$D$5:$D$54,$R279),0,1))+N(INDEX('仕入先'!$E$5:$E$54,$R279))),MIN(INDEX('仕入先'!$F$5:$F$54,$R279),DAY(DATE(YEAR($S279),(MONTH($S279)+IF(INDEX('仕入先'!$D$5:$D$54,$R279)="末",0,IF(DAY($S279)&lt;=INDEX('仕入先'!$D$5:$D$54,$R279),0,1))+N(INDEX('仕入先'!$E$5:$E$54,$R279)))+1,0)))))))</f>
        <v/>
      </c>
      <c r="I279" s="26" t="n"/>
      <c r="J279" s="29">
        <f>IF($B279="","",IF(ISNUMBER($I279),$I279,$H279))</f>
        <v/>
      </c>
      <c r="K279" s="26" t="n"/>
      <c r="L279" s="27" t="n"/>
      <c r="M279" s="27" t="n"/>
      <c r="N279" s="28">
        <f>IF($B279="","",N($G279)-N($L279)-N($M279))</f>
        <v/>
      </c>
      <c r="O279" s="30">
        <f>IF($B279="","",IF(AND(OR(N($L279)&lt;&gt;0,N($M279)&lt;&gt;0),NOT(ISNUMBER($K279))),"支払日なし",IF($N279=0,IF(N($G279)=0,"請求額0","支払済"),IF($N279&lt;0,"払いすぎ",IF(N($L279)+N($M279)=0,"未払","一部支払")))))</f>
        <v/>
      </c>
      <c r="P279" s="30">
        <f>IF(OR($B279="",N($N279)&lt;=0,NOT(ISNUMBER($J279))),"",IF($J279&lt;'設定'!$B$7,"期日超過 "&amp;('設定'!$B$7-$J279)&amp;"日",IF($J279='設定'!$B$7,"今日","あと "&amp;($J279-'設定'!$B$7)&amp;"日")))</f>
        <v/>
      </c>
      <c r="Q279" s="56" t="n"/>
      <c r="R279" s="32">
        <f>IF($B279="","",IFERROR(MATCH($B279,'仕入先'!$B$5:$B$54,0),"なし"))</f>
        <v/>
      </c>
      <c r="S279" s="33">
        <f>IF($B279="","",IF(ISNUMBER($D279),$D279,IF(ISNUMBER($A279),$A279,"")))</f>
        <v/>
      </c>
      <c r="T279" s="34">
        <f>IF(OR($B279="",N($N279)&lt;=0),"",IF(ISNUMBER($J279),$J279,99999)+ROW()/1000000)</f>
        <v/>
      </c>
      <c r="U279" s="35">
        <f>IF(OR($B279="",$B279&lt;&gt;'買掛帳'!$B$3,NOT(ISNUMBER($S279))),"",IF(AND($S279&gt;='買掛帳'!$Q$3,$S279&lt;='買掛帳'!$Q$4),$S279+ROW()/10000000,""))</f>
        <v/>
      </c>
      <c r="V279" s="35">
        <f>IF(OR($B279="",$B279&lt;&gt;'買掛帳'!$B$3,NOT(ISNUMBER($K279)),N($L279)+N($M279)=0),"",IF(AND($K279&gt;='買掛帳'!$Q$3,$K279&lt;='買掛帳'!$Q$4),$K279+0.5+ROW()/10000000,""))</f>
        <v/>
      </c>
    </row>
    <row r="280" ht="18" customHeight="1">
      <c r="A280" s="26" t="n"/>
      <c r="B280" s="18" t="n"/>
      <c r="C280" s="20">
        <f>IF($B280="","",IF($R280="なし","※仕入先にないコード",INDEX('仕入先'!$C$5:$C$54,$R280)&amp;""))</f>
        <v/>
      </c>
      <c r="D280" s="26" t="n"/>
      <c r="E280" s="18" t="n"/>
      <c r="F280" s="19" t="n"/>
      <c r="G280" s="27" t="n"/>
      <c r="H280" s="29">
        <f>IF(OR($B280="",NOT(ISNUMBER($R280)),NOT(ISNUMBER($S280))),"",IF(OR(INDEX('仕入先'!$D$5:$D$54,$R280)="",INDEX('仕入先'!$E$5:$E$54,$R280)="",INDEX('仕入先'!$F$5:$F$54,$R280)=""),"",IF(INDEX('仕入先'!$F$5:$F$54,$R280)="末",DATE(YEAR($S280),(MONTH($S280)+IF(INDEX('仕入先'!$D$5:$D$54,$R280)="末",0,IF(DAY($S280)&lt;=INDEX('仕入先'!$D$5:$D$54,$R280),0,1))+N(INDEX('仕入先'!$E$5:$E$54,$R280)))+1,0),DATE(YEAR($S280),(MONTH($S280)+IF(INDEX('仕入先'!$D$5:$D$54,$R280)="末",0,IF(DAY($S280)&lt;=INDEX('仕入先'!$D$5:$D$54,$R280),0,1))+N(INDEX('仕入先'!$E$5:$E$54,$R280))),MIN(INDEX('仕入先'!$F$5:$F$54,$R280),DAY(DATE(YEAR($S280),(MONTH($S280)+IF(INDEX('仕入先'!$D$5:$D$54,$R280)="末",0,IF(DAY($S280)&lt;=INDEX('仕入先'!$D$5:$D$54,$R280),0,1))+N(INDEX('仕入先'!$E$5:$E$54,$R280)))+1,0)))))))</f>
        <v/>
      </c>
      <c r="I280" s="26" t="n"/>
      <c r="J280" s="29">
        <f>IF($B280="","",IF(ISNUMBER($I280),$I280,$H280))</f>
        <v/>
      </c>
      <c r="K280" s="26" t="n"/>
      <c r="L280" s="27" t="n"/>
      <c r="M280" s="27" t="n"/>
      <c r="N280" s="28">
        <f>IF($B280="","",N($G280)-N($L280)-N($M280))</f>
        <v/>
      </c>
      <c r="O280" s="30">
        <f>IF($B280="","",IF(AND(OR(N($L280)&lt;&gt;0,N($M280)&lt;&gt;0),NOT(ISNUMBER($K280))),"支払日なし",IF($N280=0,IF(N($G280)=0,"請求額0","支払済"),IF($N280&lt;0,"払いすぎ",IF(N($L280)+N($M280)=0,"未払","一部支払")))))</f>
        <v/>
      </c>
      <c r="P280" s="30">
        <f>IF(OR($B280="",N($N280)&lt;=0,NOT(ISNUMBER($J280))),"",IF($J280&lt;'設定'!$B$7,"期日超過 "&amp;('設定'!$B$7-$J280)&amp;"日",IF($J280='設定'!$B$7,"今日","あと "&amp;($J280-'設定'!$B$7)&amp;"日")))</f>
        <v/>
      </c>
      <c r="Q280" s="56" t="n"/>
      <c r="R280" s="32">
        <f>IF($B280="","",IFERROR(MATCH($B280,'仕入先'!$B$5:$B$54,0),"なし"))</f>
        <v/>
      </c>
      <c r="S280" s="33">
        <f>IF($B280="","",IF(ISNUMBER($D280),$D280,IF(ISNUMBER($A280),$A280,"")))</f>
        <v/>
      </c>
      <c r="T280" s="34">
        <f>IF(OR($B280="",N($N280)&lt;=0),"",IF(ISNUMBER($J280),$J280,99999)+ROW()/1000000)</f>
        <v/>
      </c>
      <c r="U280" s="35">
        <f>IF(OR($B280="",$B280&lt;&gt;'買掛帳'!$B$3,NOT(ISNUMBER($S280))),"",IF(AND($S280&gt;='買掛帳'!$Q$3,$S280&lt;='買掛帳'!$Q$4),$S280+ROW()/10000000,""))</f>
        <v/>
      </c>
      <c r="V280" s="35">
        <f>IF(OR($B280="",$B280&lt;&gt;'買掛帳'!$B$3,NOT(ISNUMBER($K280)),N($L280)+N($M280)=0),"",IF(AND($K280&gt;='買掛帳'!$Q$3,$K280&lt;='買掛帳'!$Q$4),$K280+0.5+ROW()/10000000,""))</f>
        <v/>
      </c>
    </row>
    <row r="281" ht="18" customHeight="1">
      <c r="A281" s="26" t="n"/>
      <c r="B281" s="18" t="n"/>
      <c r="C281" s="20">
        <f>IF($B281="","",IF($R281="なし","※仕入先にないコード",INDEX('仕入先'!$C$5:$C$54,$R281)&amp;""))</f>
        <v/>
      </c>
      <c r="D281" s="26" t="n"/>
      <c r="E281" s="18" t="n"/>
      <c r="F281" s="19" t="n"/>
      <c r="G281" s="27" t="n"/>
      <c r="H281" s="29">
        <f>IF(OR($B281="",NOT(ISNUMBER($R281)),NOT(ISNUMBER($S281))),"",IF(OR(INDEX('仕入先'!$D$5:$D$54,$R281)="",INDEX('仕入先'!$E$5:$E$54,$R281)="",INDEX('仕入先'!$F$5:$F$54,$R281)=""),"",IF(INDEX('仕入先'!$F$5:$F$54,$R281)="末",DATE(YEAR($S281),(MONTH($S281)+IF(INDEX('仕入先'!$D$5:$D$54,$R281)="末",0,IF(DAY($S281)&lt;=INDEX('仕入先'!$D$5:$D$54,$R281),0,1))+N(INDEX('仕入先'!$E$5:$E$54,$R281)))+1,0),DATE(YEAR($S281),(MONTH($S281)+IF(INDEX('仕入先'!$D$5:$D$54,$R281)="末",0,IF(DAY($S281)&lt;=INDEX('仕入先'!$D$5:$D$54,$R281),0,1))+N(INDEX('仕入先'!$E$5:$E$54,$R281))),MIN(INDEX('仕入先'!$F$5:$F$54,$R281),DAY(DATE(YEAR($S281),(MONTH($S281)+IF(INDEX('仕入先'!$D$5:$D$54,$R281)="末",0,IF(DAY($S281)&lt;=INDEX('仕入先'!$D$5:$D$54,$R281),0,1))+N(INDEX('仕入先'!$E$5:$E$54,$R281)))+1,0)))))))</f>
        <v/>
      </c>
      <c r="I281" s="26" t="n"/>
      <c r="J281" s="29">
        <f>IF($B281="","",IF(ISNUMBER($I281),$I281,$H281))</f>
        <v/>
      </c>
      <c r="K281" s="26" t="n"/>
      <c r="L281" s="27" t="n"/>
      <c r="M281" s="27" t="n"/>
      <c r="N281" s="28">
        <f>IF($B281="","",N($G281)-N($L281)-N($M281))</f>
        <v/>
      </c>
      <c r="O281" s="30">
        <f>IF($B281="","",IF(AND(OR(N($L281)&lt;&gt;0,N($M281)&lt;&gt;0),NOT(ISNUMBER($K281))),"支払日なし",IF($N281=0,IF(N($G281)=0,"請求額0","支払済"),IF($N281&lt;0,"払いすぎ",IF(N($L281)+N($M281)=0,"未払","一部支払")))))</f>
        <v/>
      </c>
      <c r="P281" s="30">
        <f>IF(OR($B281="",N($N281)&lt;=0,NOT(ISNUMBER($J281))),"",IF($J281&lt;'設定'!$B$7,"期日超過 "&amp;('設定'!$B$7-$J281)&amp;"日",IF($J281='設定'!$B$7,"今日","あと "&amp;($J281-'設定'!$B$7)&amp;"日")))</f>
        <v/>
      </c>
      <c r="Q281" s="56" t="n"/>
      <c r="R281" s="32">
        <f>IF($B281="","",IFERROR(MATCH($B281,'仕入先'!$B$5:$B$54,0),"なし"))</f>
        <v/>
      </c>
      <c r="S281" s="33">
        <f>IF($B281="","",IF(ISNUMBER($D281),$D281,IF(ISNUMBER($A281),$A281,"")))</f>
        <v/>
      </c>
      <c r="T281" s="34">
        <f>IF(OR($B281="",N($N281)&lt;=0),"",IF(ISNUMBER($J281),$J281,99999)+ROW()/1000000)</f>
        <v/>
      </c>
      <c r="U281" s="35">
        <f>IF(OR($B281="",$B281&lt;&gt;'買掛帳'!$B$3,NOT(ISNUMBER($S281))),"",IF(AND($S281&gt;='買掛帳'!$Q$3,$S281&lt;='買掛帳'!$Q$4),$S281+ROW()/10000000,""))</f>
        <v/>
      </c>
      <c r="V281" s="35">
        <f>IF(OR($B281="",$B281&lt;&gt;'買掛帳'!$B$3,NOT(ISNUMBER($K281)),N($L281)+N($M281)=0),"",IF(AND($K281&gt;='買掛帳'!$Q$3,$K281&lt;='買掛帳'!$Q$4),$K281+0.5+ROW()/10000000,""))</f>
        <v/>
      </c>
    </row>
    <row r="282" ht="18" customHeight="1">
      <c r="A282" s="26" t="n"/>
      <c r="B282" s="18" t="n"/>
      <c r="C282" s="20">
        <f>IF($B282="","",IF($R282="なし","※仕入先にないコード",INDEX('仕入先'!$C$5:$C$54,$R282)&amp;""))</f>
        <v/>
      </c>
      <c r="D282" s="26" t="n"/>
      <c r="E282" s="18" t="n"/>
      <c r="F282" s="19" t="n"/>
      <c r="G282" s="27" t="n"/>
      <c r="H282" s="29">
        <f>IF(OR($B282="",NOT(ISNUMBER($R282)),NOT(ISNUMBER($S282))),"",IF(OR(INDEX('仕入先'!$D$5:$D$54,$R282)="",INDEX('仕入先'!$E$5:$E$54,$R282)="",INDEX('仕入先'!$F$5:$F$54,$R282)=""),"",IF(INDEX('仕入先'!$F$5:$F$54,$R282)="末",DATE(YEAR($S282),(MONTH($S282)+IF(INDEX('仕入先'!$D$5:$D$54,$R282)="末",0,IF(DAY($S282)&lt;=INDEX('仕入先'!$D$5:$D$54,$R282),0,1))+N(INDEX('仕入先'!$E$5:$E$54,$R282)))+1,0),DATE(YEAR($S282),(MONTH($S282)+IF(INDEX('仕入先'!$D$5:$D$54,$R282)="末",0,IF(DAY($S282)&lt;=INDEX('仕入先'!$D$5:$D$54,$R282),0,1))+N(INDEX('仕入先'!$E$5:$E$54,$R282))),MIN(INDEX('仕入先'!$F$5:$F$54,$R282),DAY(DATE(YEAR($S282),(MONTH($S282)+IF(INDEX('仕入先'!$D$5:$D$54,$R282)="末",0,IF(DAY($S282)&lt;=INDEX('仕入先'!$D$5:$D$54,$R282),0,1))+N(INDEX('仕入先'!$E$5:$E$54,$R282)))+1,0)))))))</f>
        <v/>
      </c>
      <c r="I282" s="26" t="n"/>
      <c r="J282" s="29">
        <f>IF($B282="","",IF(ISNUMBER($I282),$I282,$H282))</f>
        <v/>
      </c>
      <c r="K282" s="26" t="n"/>
      <c r="L282" s="27" t="n"/>
      <c r="M282" s="27" t="n"/>
      <c r="N282" s="28">
        <f>IF($B282="","",N($G282)-N($L282)-N($M282))</f>
        <v/>
      </c>
      <c r="O282" s="30">
        <f>IF($B282="","",IF(AND(OR(N($L282)&lt;&gt;0,N($M282)&lt;&gt;0),NOT(ISNUMBER($K282))),"支払日なし",IF($N282=0,IF(N($G282)=0,"請求額0","支払済"),IF($N282&lt;0,"払いすぎ",IF(N($L282)+N($M282)=0,"未払","一部支払")))))</f>
        <v/>
      </c>
      <c r="P282" s="30">
        <f>IF(OR($B282="",N($N282)&lt;=0,NOT(ISNUMBER($J282))),"",IF($J282&lt;'設定'!$B$7,"期日超過 "&amp;('設定'!$B$7-$J282)&amp;"日",IF($J282='設定'!$B$7,"今日","あと "&amp;($J282-'設定'!$B$7)&amp;"日")))</f>
        <v/>
      </c>
      <c r="Q282" s="56" t="n"/>
      <c r="R282" s="32">
        <f>IF($B282="","",IFERROR(MATCH($B282,'仕入先'!$B$5:$B$54,0),"なし"))</f>
        <v/>
      </c>
      <c r="S282" s="33">
        <f>IF($B282="","",IF(ISNUMBER($D282),$D282,IF(ISNUMBER($A282),$A282,"")))</f>
        <v/>
      </c>
      <c r="T282" s="34">
        <f>IF(OR($B282="",N($N282)&lt;=0),"",IF(ISNUMBER($J282),$J282,99999)+ROW()/1000000)</f>
        <v/>
      </c>
      <c r="U282" s="35">
        <f>IF(OR($B282="",$B282&lt;&gt;'買掛帳'!$B$3,NOT(ISNUMBER($S282))),"",IF(AND($S282&gt;='買掛帳'!$Q$3,$S282&lt;='買掛帳'!$Q$4),$S282+ROW()/10000000,""))</f>
        <v/>
      </c>
      <c r="V282" s="35">
        <f>IF(OR($B282="",$B282&lt;&gt;'買掛帳'!$B$3,NOT(ISNUMBER($K282)),N($L282)+N($M282)=0),"",IF(AND($K282&gt;='買掛帳'!$Q$3,$K282&lt;='買掛帳'!$Q$4),$K282+0.5+ROW()/10000000,""))</f>
        <v/>
      </c>
    </row>
    <row r="283" ht="18" customHeight="1">
      <c r="A283" s="26" t="n"/>
      <c r="B283" s="18" t="n"/>
      <c r="C283" s="20">
        <f>IF($B283="","",IF($R283="なし","※仕入先にないコード",INDEX('仕入先'!$C$5:$C$54,$R283)&amp;""))</f>
        <v/>
      </c>
      <c r="D283" s="26" t="n"/>
      <c r="E283" s="18" t="n"/>
      <c r="F283" s="19" t="n"/>
      <c r="G283" s="27" t="n"/>
      <c r="H283" s="29">
        <f>IF(OR($B283="",NOT(ISNUMBER($R283)),NOT(ISNUMBER($S283))),"",IF(OR(INDEX('仕入先'!$D$5:$D$54,$R283)="",INDEX('仕入先'!$E$5:$E$54,$R283)="",INDEX('仕入先'!$F$5:$F$54,$R283)=""),"",IF(INDEX('仕入先'!$F$5:$F$54,$R283)="末",DATE(YEAR($S283),(MONTH($S283)+IF(INDEX('仕入先'!$D$5:$D$54,$R283)="末",0,IF(DAY($S283)&lt;=INDEX('仕入先'!$D$5:$D$54,$R283),0,1))+N(INDEX('仕入先'!$E$5:$E$54,$R283)))+1,0),DATE(YEAR($S283),(MONTH($S283)+IF(INDEX('仕入先'!$D$5:$D$54,$R283)="末",0,IF(DAY($S283)&lt;=INDEX('仕入先'!$D$5:$D$54,$R283),0,1))+N(INDEX('仕入先'!$E$5:$E$54,$R283))),MIN(INDEX('仕入先'!$F$5:$F$54,$R283),DAY(DATE(YEAR($S283),(MONTH($S283)+IF(INDEX('仕入先'!$D$5:$D$54,$R283)="末",0,IF(DAY($S283)&lt;=INDEX('仕入先'!$D$5:$D$54,$R283),0,1))+N(INDEX('仕入先'!$E$5:$E$54,$R283)))+1,0)))))))</f>
        <v/>
      </c>
      <c r="I283" s="26" t="n"/>
      <c r="J283" s="29">
        <f>IF($B283="","",IF(ISNUMBER($I283),$I283,$H283))</f>
        <v/>
      </c>
      <c r="K283" s="26" t="n"/>
      <c r="L283" s="27" t="n"/>
      <c r="M283" s="27" t="n"/>
      <c r="N283" s="28">
        <f>IF($B283="","",N($G283)-N($L283)-N($M283))</f>
        <v/>
      </c>
      <c r="O283" s="30">
        <f>IF($B283="","",IF(AND(OR(N($L283)&lt;&gt;0,N($M283)&lt;&gt;0),NOT(ISNUMBER($K283))),"支払日なし",IF($N283=0,IF(N($G283)=0,"請求額0","支払済"),IF($N283&lt;0,"払いすぎ",IF(N($L283)+N($M283)=0,"未払","一部支払")))))</f>
        <v/>
      </c>
      <c r="P283" s="30">
        <f>IF(OR($B283="",N($N283)&lt;=0,NOT(ISNUMBER($J283))),"",IF($J283&lt;'設定'!$B$7,"期日超過 "&amp;('設定'!$B$7-$J283)&amp;"日",IF($J283='設定'!$B$7,"今日","あと "&amp;($J283-'設定'!$B$7)&amp;"日")))</f>
        <v/>
      </c>
      <c r="Q283" s="56" t="n"/>
      <c r="R283" s="32">
        <f>IF($B283="","",IFERROR(MATCH($B283,'仕入先'!$B$5:$B$54,0),"なし"))</f>
        <v/>
      </c>
      <c r="S283" s="33">
        <f>IF($B283="","",IF(ISNUMBER($D283),$D283,IF(ISNUMBER($A283),$A283,"")))</f>
        <v/>
      </c>
      <c r="T283" s="34">
        <f>IF(OR($B283="",N($N283)&lt;=0),"",IF(ISNUMBER($J283),$J283,99999)+ROW()/1000000)</f>
        <v/>
      </c>
      <c r="U283" s="35">
        <f>IF(OR($B283="",$B283&lt;&gt;'買掛帳'!$B$3,NOT(ISNUMBER($S283))),"",IF(AND($S283&gt;='買掛帳'!$Q$3,$S283&lt;='買掛帳'!$Q$4),$S283+ROW()/10000000,""))</f>
        <v/>
      </c>
      <c r="V283" s="35">
        <f>IF(OR($B283="",$B283&lt;&gt;'買掛帳'!$B$3,NOT(ISNUMBER($K283)),N($L283)+N($M283)=0),"",IF(AND($K283&gt;='買掛帳'!$Q$3,$K283&lt;='買掛帳'!$Q$4),$K283+0.5+ROW()/10000000,""))</f>
        <v/>
      </c>
    </row>
    <row r="284" ht="18" customHeight="1">
      <c r="A284" s="26" t="n"/>
      <c r="B284" s="18" t="n"/>
      <c r="C284" s="20">
        <f>IF($B284="","",IF($R284="なし","※仕入先にないコード",INDEX('仕入先'!$C$5:$C$54,$R284)&amp;""))</f>
        <v/>
      </c>
      <c r="D284" s="26" t="n"/>
      <c r="E284" s="18" t="n"/>
      <c r="F284" s="19" t="n"/>
      <c r="G284" s="27" t="n"/>
      <c r="H284" s="29">
        <f>IF(OR($B284="",NOT(ISNUMBER($R284)),NOT(ISNUMBER($S284))),"",IF(OR(INDEX('仕入先'!$D$5:$D$54,$R284)="",INDEX('仕入先'!$E$5:$E$54,$R284)="",INDEX('仕入先'!$F$5:$F$54,$R284)=""),"",IF(INDEX('仕入先'!$F$5:$F$54,$R284)="末",DATE(YEAR($S284),(MONTH($S284)+IF(INDEX('仕入先'!$D$5:$D$54,$R284)="末",0,IF(DAY($S284)&lt;=INDEX('仕入先'!$D$5:$D$54,$R284),0,1))+N(INDEX('仕入先'!$E$5:$E$54,$R284)))+1,0),DATE(YEAR($S284),(MONTH($S284)+IF(INDEX('仕入先'!$D$5:$D$54,$R284)="末",0,IF(DAY($S284)&lt;=INDEX('仕入先'!$D$5:$D$54,$R284),0,1))+N(INDEX('仕入先'!$E$5:$E$54,$R284))),MIN(INDEX('仕入先'!$F$5:$F$54,$R284),DAY(DATE(YEAR($S284),(MONTH($S284)+IF(INDEX('仕入先'!$D$5:$D$54,$R284)="末",0,IF(DAY($S284)&lt;=INDEX('仕入先'!$D$5:$D$54,$R284),0,1))+N(INDEX('仕入先'!$E$5:$E$54,$R284)))+1,0)))))))</f>
        <v/>
      </c>
      <c r="I284" s="26" t="n"/>
      <c r="J284" s="29">
        <f>IF($B284="","",IF(ISNUMBER($I284),$I284,$H284))</f>
        <v/>
      </c>
      <c r="K284" s="26" t="n"/>
      <c r="L284" s="27" t="n"/>
      <c r="M284" s="27" t="n"/>
      <c r="N284" s="28">
        <f>IF($B284="","",N($G284)-N($L284)-N($M284))</f>
        <v/>
      </c>
      <c r="O284" s="30">
        <f>IF($B284="","",IF(AND(OR(N($L284)&lt;&gt;0,N($M284)&lt;&gt;0),NOT(ISNUMBER($K284))),"支払日なし",IF($N284=0,IF(N($G284)=0,"請求額0","支払済"),IF($N284&lt;0,"払いすぎ",IF(N($L284)+N($M284)=0,"未払","一部支払")))))</f>
        <v/>
      </c>
      <c r="P284" s="30">
        <f>IF(OR($B284="",N($N284)&lt;=0,NOT(ISNUMBER($J284))),"",IF($J284&lt;'設定'!$B$7,"期日超過 "&amp;('設定'!$B$7-$J284)&amp;"日",IF($J284='設定'!$B$7,"今日","あと "&amp;($J284-'設定'!$B$7)&amp;"日")))</f>
        <v/>
      </c>
      <c r="Q284" s="56" t="n"/>
      <c r="R284" s="32">
        <f>IF($B284="","",IFERROR(MATCH($B284,'仕入先'!$B$5:$B$54,0),"なし"))</f>
        <v/>
      </c>
      <c r="S284" s="33">
        <f>IF($B284="","",IF(ISNUMBER($D284),$D284,IF(ISNUMBER($A284),$A284,"")))</f>
        <v/>
      </c>
      <c r="T284" s="34">
        <f>IF(OR($B284="",N($N284)&lt;=0),"",IF(ISNUMBER($J284),$J284,99999)+ROW()/1000000)</f>
        <v/>
      </c>
      <c r="U284" s="35">
        <f>IF(OR($B284="",$B284&lt;&gt;'買掛帳'!$B$3,NOT(ISNUMBER($S284))),"",IF(AND($S284&gt;='買掛帳'!$Q$3,$S284&lt;='買掛帳'!$Q$4),$S284+ROW()/10000000,""))</f>
        <v/>
      </c>
      <c r="V284" s="35">
        <f>IF(OR($B284="",$B284&lt;&gt;'買掛帳'!$B$3,NOT(ISNUMBER($K284)),N($L284)+N($M284)=0),"",IF(AND($K284&gt;='買掛帳'!$Q$3,$K284&lt;='買掛帳'!$Q$4),$K284+0.5+ROW()/10000000,""))</f>
        <v/>
      </c>
    </row>
    <row r="285" ht="18" customHeight="1">
      <c r="A285" s="26" t="n"/>
      <c r="B285" s="18" t="n"/>
      <c r="C285" s="20">
        <f>IF($B285="","",IF($R285="なし","※仕入先にないコード",INDEX('仕入先'!$C$5:$C$54,$R285)&amp;""))</f>
        <v/>
      </c>
      <c r="D285" s="26" t="n"/>
      <c r="E285" s="18" t="n"/>
      <c r="F285" s="19" t="n"/>
      <c r="G285" s="27" t="n"/>
      <c r="H285" s="29">
        <f>IF(OR($B285="",NOT(ISNUMBER($R285)),NOT(ISNUMBER($S285))),"",IF(OR(INDEX('仕入先'!$D$5:$D$54,$R285)="",INDEX('仕入先'!$E$5:$E$54,$R285)="",INDEX('仕入先'!$F$5:$F$54,$R285)=""),"",IF(INDEX('仕入先'!$F$5:$F$54,$R285)="末",DATE(YEAR($S285),(MONTH($S285)+IF(INDEX('仕入先'!$D$5:$D$54,$R285)="末",0,IF(DAY($S285)&lt;=INDEX('仕入先'!$D$5:$D$54,$R285),0,1))+N(INDEX('仕入先'!$E$5:$E$54,$R285)))+1,0),DATE(YEAR($S285),(MONTH($S285)+IF(INDEX('仕入先'!$D$5:$D$54,$R285)="末",0,IF(DAY($S285)&lt;=INDEX('仕入先'!$D$5:$D$54,$R285),0,1))+N(INDEX('仕入先'!$E$5:$E$54,$R285))),MIN(INDEX('仕入先'!$F$5:$F$54,$R285),DAY(DATE(YEAR($S285),(MONTH($S285)+IF(INDEX('仕入先'!$D$5:$D$54,$R285)="末",0,IF(DAY($S285)&lt;=INDEX('仕入先'!$D$5:$D$54,$R285),0,1))+N(INDEX('仕入先'!$E$5:$E$54,$R285)))+1,0)))))))</f>
        <v/>
      </c>
      <c r="I285" s="26" t="n"/>
      <c r="J285" s="29">
        <f>IF($B285="","",IF(ISNUMBER($I285),$I285,$H285))</f>
        <v/>
      </c>
      <c r="K285" s="26" t="n"/>
      <c r="L285" s="27" t="n"/>
      <c r="M285" s="27" t="n"/>
      <c r="N285" s="28">
        <f>IF($B285="","",N($G285)-N($L285)-N($M285))</f>
        <v/>
      </c>
      <c r="O285" s="30">
        <f>IF($B285="","",IF(AND(OR(N($L285)&lt;&gt;0,N($M285)&lt;&gt;0),NOT(ISNUMBER($K285))),"支払日なし",IF($N285=0,IF(N($G285)=0,"請求額0","支払済"),IF($N285&lt;0,"払いすぎ",IF(N($L285)+N($M285)=0,"未払","一部支払")))))</f>
        <v/>
      </c>
      <c r="P285" s="30">
        <f>IF(OR($B285="",N($N285)&lt;=0,NOT(ISNUMBER($J285))),"",IF($J285&lt;'設定'!$B$7,"期日超過 "&amp;('設定'!$B$7-$J285)&amp;"日",IF($J285='設定'!$B$7,"今日","あと "&amp;($J285-'設定'!$B$7)&amp;"日")))</f>
        <v/>
      </c>
      <c r="Q285" s="56" t="n"/>
      <c r="R285" s="32">
        <f>IF($B285="","",IFERROR(MATCH($B285,'仕入先'!$B$5:$B$54,0),"なし"))</f>
        <v/>
      </c>
      <c r="S285" s="33">
        <f>IF($B285="","",IF(ISNUMBER($D285),$D285,IF(ISNUMBER($A285),$A285,"")))</f>
        <v/>
      </c>
      <c r="T285" s="34">
        <f>IF(OR($B285="",N($N285)&lt;=0),"",IF(ISNUMBER($J285),$J285,99999)+ROW()/1000000)</f>
        <v/>
      </c>
      <c r="U285" s="35">
        <f>IF(OR($B285="",$B285&lt;&gt;'買掛帳'!$B$3,NOT(ISNUMBER($S285))),"",IF(AND($S285&gt;='買掛帳'!$Q$3,$S285&lt;='買掛帳'!$Q$4),$S285+ROW()/10000000,""))</f>
        <v/>
      </c>
      <c r="V285" s="35">
        <f>IF(OR($B285="",$B285&lt;&gt;'買掛帳'!$B$3,NOT(ISNUMBER($K285)),N($L285)+N($M285)=0),"",IF(AND($K285&gt;='買掛帳'!$Q$3,$K285&lt;='買掛帳'!$Q$4),$K285+0.5+ROW()/10000000,""))</f>
        <v/>
      </c>
    </row>
    <row r="286" ht="18" customHeight="1">
      <c r="A286" s="26" t="n"/>
      <c r="B286" s="18" t="n"/>
      <c r="C286" s="20">
        <f>IF($B286="","",IF($R286="なし","※仕入先にないコード",INDEX('仕入先'!$C$5:$C$54,$R286)&amp;""))</f>
        <v/>
      </c>
      <c r="D286" s="26" t="n"/>
      <c r="E286" s="18" t="n"/>
      <c r="F286" s="19" t="n"/>
      <c r="G286" s="27" t="n"/>
      <c r="H286" s="29">
        <f>IF(OR($B286="",NOT(ISNUMBER($R286)),NOT(ISNUMBER($S286))),"",IF(OR(INDEX('仕入先'!$D$5:$D$54,$R286)="",INDEX('仕入先'!$E$5:$E$54,$R286)="",INDEX('仕入先'!$F$5:$F$54,$R286)=""),"",IF(INDEX('仕入先'!$F$5:$F$54,$R286)="末",DATE(YEAR($S286),(MONTH($S286)+IF(INDEX('仕入先'!$D$5:$D$54,$R286)="末",0,IF(DAY($S286)&lt;=INDEX('仕入先'!$D$5:$D$54,$R286),0,1))+N(INDEX('仕入先'!$E$5:$E$54,$R286)))+1,0),DATE(YEAR($S286),(MONTH($S286)+IF(INDEX('仕入先'!$D$5:$D$54,$R286)="末",0,IF(DAY($S286)&lt;=INDEX('仕入先'!$D$5:$D$54,$R286),0,1))+N(INDEX('仕入先'!$E$5:$E$54,$R286))),MIN(INDEX('仕入先'!$F$5:$F$54,$R286),DAY(DATE(YEAR($S286),(MONTH($S286)+IF(INDEX('仕入先'!$D$5:$D$54,$R286)="末",0,IF(DAY($S286)&lt;=INDEX('仕入先'!$D$5:$D$54,$R286),0,1))+N(INDEX('仕入先'!$E$5:$E$54,$R286)))+1,0)))))))</f>
        <v/>
      </c>
      <c r="I286" s="26" t="n"/>
      <c r="J286" s="29">
        <f>IF($B286="","",IF(ISNUMBER($I286),$I286,$H286))</f>
        <v/>
      </c>
      <c r="K286" s="26" t="n"/>
      <c r="L286" s="27" t="n"/>
      <c r="M286" s="27" t="n"/>
      <c r="N286" s="28">
        <f>IF($B286="","",N($G286)-N($L286)-N($M286))</f>
        <v/>
      </c>
      <c r="O286" s="30">
        <f>IF($B286="","",IF(AND(OR(N($L286)&lt;&gt;0,N($M286)&lt;&gt;0),NOT(ISNUMBER($K286))),"支払日なし",IF($N286=0,IF(N($G286)=0,"請求額0","支払済"),IF($N286&lt;0,"払いすぎ",IF(N($L286)+N($M286)=0,"未払","一部支払")))))</f>
        <v/>
      </c>
      <c r="P286" s="30">
        <f>IF(OR($B286="",N($N286)&lt;=0,NOT(ISNUMBER($J286))),"",IF($J286&lt;'設定'!$B$7,"期日超過 "&amp;('設定'!$B$7-$J286)&amp;"日",IF($J286='設定'!$B$7,"今日","あと "&amp;($J286-'設定'!$B$7)&amp;"日")))</f>
        <v/>
      </c>
      <c r="Q286" s="56" t="n"/>
      <c r="R286" s="32">
        <f>IF($B286="","",IFERROR(MATCH($B286,'仕入先'!$B$5:$B$54,0),"なし"))</f>
        <v/>
      </c>
      <c r="S286" s="33">
        <f>IF($B286="","",IF(ISNUMBER($D286),$D286,IF(ISNUMBER($A286),$A286,"")))</f>
        <v/>
      </c>
      <c r="T286" s="34">
        <f>IF(OR($B286="",N($N286)&lt;=0),"",IF(ISNUMBER($J286),$J286,99999)+ROW()/1000000)</f>
        <v/>
      </c>
      <c r="U286" s="35">
        <f>IF(OR($B286="",$B286&lt;&gt;'買掛帳'!$B$3,NOT(ISNUMBER($S286))),"",IF(AND($S286&gt;='買掛帳'!$Q$3,$S286&lt;='買掛帳'!$Q$4),$S286+ROW()/10000000,""))</f>
        <v/>
      </c>
      <c r="V286" s="35">
        <f>IF(OR($B286="",$B286&lt;&gt;'買掛帳'!$B$3,NOT(ISNUMBER($K286)),N($L286)+N($M286)=0),"",IF(AND($K286&gt;='買掛帳'!$Q$3,$K286&lt;='買掛帳'!$Q$4),$K286+0.5+ROW()/10000000,""))</f>
        <v/>
      </c>
    </row>
    <row r="287" ht="18" customHeight="1">
      <c r="A287" s="26" t="n"/>
      <c r="B287" s="18" t="n"/>
      <c r="C287" s="20">
        <f>IF($B287="","",IF($R287="なし","※仕入先にないコード",INDEX('仕入先'!$C$5:$C$54,$R287)&amp;""))</f>
        <v/>
      </c>
      <c r="D287" s="26" t="n"/>
      <c r="E287" s="18" t="n"/>
      <c r="F287" s="19" t="n"/>
      <c r="G287" s="27" t="n"/>
      <c r="H287" s="29">
        <f>IF(OR($B287="",NOT(ISNUMBER($R287)),NOT(ISNUMBER($S287))),"",IF(OR(INDEX('仕入先'!$D$5:$D$54,$R287)="",INDEX('仕入先'!$E$5:$E$54,$R287)="",INDEX('仕入先'!$F$5:$F$54,$R287)=""),"",IF(INDEX('仕入先'!$F$5:$F$54,$R287)="末",DATE(YEAR($S287),(MONTH($S287)+IF(INDEX('仕入先'!$D$5:$D$54,$R287)="末",0,IF(DAY($S287)&lt;=INDEX('仕入先'!$D$5:$D$54,$R287),0,1))+N(INDEX('仕入先'!$E$5:$E$54,$R287)))+1,0),DATE(YEAR($S287),(MONTH($S287)+IF(INDEX('仕入先'!$D$5:$D$54,$R287)="末",0,IF(DAY($S287)&lt;=INDEX('仕入先'!$D$5:$D$54,$R287),0,1))+N(INDEX('仕入先'!$E$5:$E$54,$R287))),MIN(INDEX('仕入先'!$F$5:$F$54,$R287),DAY(DATE(YEAR($S287),(MONTH($S287)+IF(INDEX('仕入先'!$D$5:$D$54,$R287)="末",0,IF(DAY($S287)&lt;=INDEX('仕入先'!$D$5:$D$54,$R287),0,1))+N(INDEX('仕入先'!$E$5:$E$54,$R287)))+1,0)))))))</f>
        <v/>
      </c>
      <c r="I287" s="26" t="n"/>
      <c r="J287" s="29">
        <f>IF($B287="","",IF(ISNUMBER($I287),$I287,$H287))</f>
        <v/>
      </c>
      <c r="K287" s="26" t="n"/>
      <c r="L287" s="27" t="n"/>
      <c r="M287" s="27" t="n"/>
      <c r="N287" s="28">
        <f>IF($B287="","",N($G287)-N($L287)-N($M287))</f>
        <v/>
      </c>
      <c r="O287" s="30">
        <f>IF($B287="","",IF(AND(OR(N($L287)&lt;&gt;0,N($M287)&lt;&gt;0),NOT(ISNUMBER($K287))),"支払日なし",IF($N287=0,IF(N($G287)=0,"請求額0","支払済"),IF($N287&lt;0,"払いすぎ",IF(N($L287)+N($M287)=0,"未払","一部支払")))))</f>
        <v/>
      </c>
      <c r="P287" s="30">
        <f>IF(OR($B287="",N($N287)&lt;=0,NOT(ISNUMBER($J287))),"",IF($J287&lt;'設定'!$B$7,"期日超過 "&amp;('設定'!$B$7-$J287)&amp;"日",IF($J287='設定'!$B$7,"今日","あと "&amp;($J287-'設定'!$B$7)&amp;"日")))</f>
        <v/>
      </c>
      <c r="Q287" s="56" t="n"/>
      <c r="R287" s="32">
        <f>IF($B287="","",IFERROR(MATCH($B287,'仕入先'!$B$5:$B$54,0),"なし"))</f>
        <v/>
      </c>
      <c r="S287" s="33">
        <f>IF($B287="","",IF(ISNUMBER($D287),$D287,IF(ISNUMBER($A287),$A287,"")))</f>
        <v/>
      </c>
      <c r="T287" s="34">
        <f>IF(OR($B287="",N($N287)&lt;=0),"",IF(ISNUMBER($J287),$J287,99999)+ROW()/1000000)</f>
        <v/>
      </c>
      <c r="U287" s="35">
        <f>IF(OR($B287="",$B287&lt;&gt;'買掛帳'!$B$3,NOT(ISNUMBER($S287))),"",IF(AND($S287&gt;='買掛帳'!$Q$3,$S287&lt;='買掛帳'!$Q$4),$S287+ROW()/10000000,""))</f>
        <v/>
      </c>
      <c r="V287" s="35">
        <f>IF(OR($B287="",$B287&lt;&gt;'買掛帳'!$B$3,NOT(ISNUMBER($K287)),N($L287)+N($M287)=0),"",IF(AND($K287&gt;='買掛帳'!$Q$3,$K287&lt;='買掛帳'!$Q$4),$K287+0.5+ROW()/10000000,""))</f>
        <v/>
      </c>
    </row>
    <row r="288" ht="18" customHeight="1">
      <c r="A288" s="26" t="n"/>
      <c r="B288" s="18" t="n"/>
      <c r="C288" s="20">
        <f>IF($B288="","",IF($R288="なし","※仕入先にないコード",INDEX('仕入先'!$C$5:$C$54,$R288)&amp;""))</f>
        <v/>
      </c>
      <c r="D288" s="26" t="n"/>
      <c r="E288" s="18" t="n"/>
      <c r="F288" s="19" t="n"/>
      <c r="G288" s="27" t="n"/>
      <c r="H288" s="29">
        <f>IF(OR($B288="",NOT(ISNUMBER($R288)),NOT(ISNUMBER($S288))),"",IF(OR(INDEX('仕入先'!$D$5:$D$54,$R288)="",INDEX('仕入先'!$E$5:$E$54,$R288)="",INDEX('仕入先'!$F$5:$F$54,$R288)=""),"",IF(INDEX('仕入先'!$F$5:$F$54,$R288)="末",DATE(YEAR($S288),(MONTH($S288)+IF(INDEX('仕入先'!$D$5:$D$54,$R288)="末",0,IF(DAY($S288)&lt;=INDEX('仕入先'!$D$5:$D$54,$R288),0,1))+N(INDEX('仕入先'!$E$5:$E$54,$R288)))+1,0),DATE(YEAR($S288),(MONTH($S288)+IF(INDEX('仕入先'!$D$5:$D$54,$R288)="末",0,IF(DAY($S288)&lt;=INDEX('仕入先'!$D$5:$D$54,$R288),0,1))+N(INDEX('仕入先'!$E$5:$E$54,$R288))),MIN(INDEX('仕入先'!$F$5:$F$54,$R288),DAY(DATE(YEAR($S288),(MONTH($S288)+IF(INDEX('仕入先'!$D$5:$D$54,$R288)="末",0,IF(DAY($S288)&lt;=INDEX('仕入先'!$D$5:$D$54,$R288),0,1))+N(INDEX('仕入先'!$E$5:$E$54,$R288)))+1,0)))))))</f>
        <v/>
      </c>
      <c r="I288" s="26" t="n"/>
      <c r="J288" s="29">
        <f>IF($B288="","",IF(ISNUMBER($I288),$I288,$H288))</f>
        <v/>
      </c>
      <c r="K288" s="26" t="n"/>
      <c r="L288" s="27" t="n"/>
      <c r="M288" s="27" t="n"/>
      <c r="N288" s="28">
        <f>IF($B288="","",N($G288)-N($L288)-N($M288))</f>
        <v/>
      </c>
      <c r="O288" s="30">
        <f>IF($B288="","",IF(AND(OR(N($L288)&lt;&gt;0,N($M288)&lt;&gt;0),NOT(ISNUMBER($K288))),"支払日なし",IF($N288=0,IF(N($G288)=0,"請求額0","支払済"),IF($N288&lt;0,"払いすぎ",IF(N($L288)+N($M288)=0,"未払","一部支払")))))</f>
        <v/>
      </c>
      <c r="P288" s="30">
        <f>IF(OR($B288="",N($N288)&lt;=0,NOT(ISNUMBER($J288))),"",IF($J288&lt;'設定'!$B$7,"期日超過 "&amp;('設定'!$B$7-$J288)&amp;"日",IF($J288='設定'!$B$7,"今日","あと "&amp;($J288-'設定'!$B$7)&amp;"日")))</f>
        <v/>
      </c>
      <c r="Q288" s="56" t="n"/>
      <c r="R288" s="32">
        <f>IF($B288="","",IFERROR(MATCH($B288,'仕入先'!$B$5:$B$54,0),"なし"))</f>
        <v/>
      </c>
      <c r="S288" s="33">
        <f>IF($B288="","",IF(ISNUMBER($D288),$D288,IF(ISNUMBER($A288),$A288,"")))</f>
        <v/>
      </c>
      <c r="T288" s="34">
        <f>IF(OR($B288="",N($N288)&lt;=0),"",IF(ISNUMBER($J288),$J288,99999)+ROW()/1000000)</f>
        <v/>
      </c>
      <c r="U288" s="35">
        <f>IF(OR($B288="",$B288&lt;&gt;'買掛帳'!$B$3,NOT(ISNUMBER($S288))),"",IF(AND($S288&gt;='買掛帳'!$Q$3,$S288&lt;='買掛帳'!$Q$4),$S288+ROW()/10000000,""))</f>
        <v/>
      </c>
      <c r="V288" s="35">
        <f>IF(OR($B288="",$B288&lt;&gt;'買掛帳'!$B$3,NOT(ISNUMBER($K288)),N($L288)+N($M288)=0),"",IF(AND($K288&gt;='買掛帳'!$Q$3,$K288&lt;='買掛帳'!$Q$4),$K288+0.5+ROW()/10000000,""))</f>
        <v/>
      </c>
    </row>
    <row r="289" ht="18" customHeight="1">
      <c r="A289" s="26" t="n"/>
      <c r="B289" s="18" t="n"/>
      <c r="C289" s="20">
        <f>IF($B289="","",IF($R289="なし","※仕入先にないコード",INDEX('仕入先'!$C$5:$C$54,$R289)&amp;""))</f>
        <v/>
      </c>
      <c r="D289" s="26" t="n"/>
      <c r="E289" s="18" t="n"/>
      <c r="F289" s="19" t="n"/>
      <c r="G289" s="27" t="n"/>
      <c r="H289" s="29">
        <f>IF(OR($B289="",NOT(ISNUMBER($R289)),NOT(ISNUMBER($S289))),"",IF(OR(INDEX('仕入先'!$D$5:$D$54,$R289)="",INDEX('仕入先'!$E$5:$E$54,$R289)="",INDEX('仕入先'!$F$5:$F$54,$R289)=""),"",IF(INDEX('仕入先'!$F$5:$F$54,$R289)="末",DATE(YEAR($S289),(MONTH($S289)+IF(INDEX('仕入先'!$D$5:$D$54,$R289)="末",0,IF(DAY($S289)&lt;=INDEX('仕入先'!$D$5:$D$54,$R289),0,1))+N(INDEX('仕入先'!$E$5:$E$54,$R289)))+1,0),DATE(YEAR($S289),(MONTH($S289)+IF(INDEX('仕入先'!$D$5:$D$54,$R289)="末",0,IF(DAY($S289)&lt;=INDEX('仕入先'!$D$5:$D$54,$R289),0,1))+N(INDEX('仕入先'!$E$5:$E$54,$R289))),MIN(INDEX('仕入先'!$F$5:$F$54,$R289),DAY(DATE(YEAR($S289),(MONTH($S289)+IF(INDEX('仕入先'!$D$5:$D$54,$R289)="末",0,IF(DAY($S289)&lt;=INDEX('仕入先'!$D$5:$D$54,$R289),0,1))+N(INDEX('仕入先'!$E$5:$E$54,$R289)))+1,0)))))))</f>
        <v/>
      </c>
      <c r="I289" s="26" t="n"/>
      <c r="J289" s="29">
        <f>IF($B289="","",IF(ISNUMBER($I289),$I289,$H289))</f>
        <v/>
      </c>
      <c r="K289" s="26" t="n"/>
      <c r="L289" s="27" t="n"/>
      <c r="M289" s="27" t="n"/>
      <c r="N289" s="28">
        <f>IF($B289="","",N($G289)-N($L289)-N($M289))</f>
        <v/>
      </c>
      <c r="O289" s="30">
        <f>IF($B289="","",IF(AND(OR(N($L289)&lt;&gt;0,N($M289)&lt;&gt;0),NOT(ISNUMBER($K289))),"支払日なし",IF($N289=0,IF(N($G289)=0,"請求額0","支払済"),IF($N289&lt;0,"払いすぎ",IF(N($L289)+N($M289)=0,"未払","一部支払")))))</f>
        <v/>
      </c>
      <c r="P289" s="30">
        <f>IF(OR($B289="",N($N289)&lt;=0,NOT(ISNUMBER($J289))),"",IF($J289&lt;'設定'!$B$7,"期日超過 "&amp;('設定'!$B$7-$J289)&amp;"日",IF($J289='設定'!$B$7,"今日","あと "&amp;($J289-'設定'!$B$7)&amp;"日")))</f>
        <v/>
      </c>
      <c r="Q289" s="56" t="n"/>
      <c r="R289" s="32">
        <f>IF($B289="","",IFERROR(MATCH($B289,'仕入先'!$B$5:$B$54,0),"なし"))</f>
        <v/>
      </c>
      <c r="S289" s="33">
        <f>IF($B289="","",IF(ISNUMBER($D289),$D289,IF(ISNUMBER($A289),$A289,"")))</f>
        <v/>
      </c>
      <c r="T289" s="34">
        <f>IF(OR($B289="",N($N289)&lt;=0),"",IF(ISNUMBER($J289),$J289,99999)+ROW()/1000000)</f>
        <v/>
      </c>
      <c r="U289" s="35">
        <f>IF(OR($B289="",$B289&lt;&gt;'買掛帳'!$B$3,NOT(ISNUMBER($S289))),"",IF(AND($S289&gt;='買掛帳'!$Q$3,$S289&lt;='買掛帳'!$Q$4),$S289+ROW()/10000000,""))</f>
        <v/>
      </c>
      <c r="V289" s="35">
        <f>IF(OR($B289="",$B289&lt;&gt;'買掛帳'!$B$3,NOT(ISNUMBER($K289)),N($L289)+N($M289)=0),"",IF(AND($K289&gt;='買掛帳'!$Q$3,$K289&lt;='買掛帳'!$Q$4),$K289+0.5+ROW()/10000000,""))</f>
        <v/>
      </c>
    </row>
    <row r="290" ht="18" customHeight="1">
      <c r="A290" s="26" t="n"/>
      <c r="B290" s="18" t="n"/>
      <c r="C290" s="20">
        <f>IF($B290="","",IF($R290="なし","※仕入先にないコード",INDEX('仕入先'!$C$5:$C$54,$R290)&amp;""))</f>
        <v/>
      </c>
      <c r="D290" s="26" t="n"/>
      <c r="E290" s="18" t="n"/>
      <c r="F290" s="19" t="n"/>
      <c r="G290" s="27" t="n"/>
      <c r="H290" s="29">
        <f>IF(OR($B290="",NOT(ISNUMBER($R290)),NOT(ISNUMBER($S290))),"",IF(OR(INDEX('仕入先'!$D$5:$D$54,$R290)="",INDEX('仕入先'!$E$5:$E$54,$R290)="",INDEX('仕入先'!$F$5:$F$54,$R290)=""),"",IF(INDEX('仕入先'!$F$5:$F$54,$R290)="末",DATE(YEAR($S290),(MONTH($S290)+IF(INDEX('仕入先'!$D$5:$D$54,$R290)="末",0,IF(DAY($S290)&lt;=INDEX('仕入先'!$D$5:$D$54,$R290),0,1))+N(INDEX('仕入先'!$E$5:$E$54,$R290)))+1,0),DATE(YEAR($S290),(MONTH($S290)+IF(INDEX('仕入先'!$D$5:$D$54,$R290)="末",0,IF(DAY($S290)&lt;=INDEX('仕入先'!$D$5:$D$54,$R290),0,1))+N(INDEX('仕入先'!$E$5:$E$54,$R290))),MIN(INDEX('仕入先'!$F$5:$F$54,$R290),DAY(DATE(YEAR($S290),(MONTH($S290)+IF(INDEX('仕入先'!$D$5:$D$54,$R290)="末",0,IF(DAY($S290)&lt;=INDEX('仕入先'!$D$5:$D$54,$R290),0,1))+N(INDEX('仕入先'!$E$5:$E$54,$R290)))+1,0)))))))</f>
        <v/>
      </c>
      <c r="I290" s="26" t="n"/>
      <c r="J290" s="29">
        <f>IF($B290="","",IF(ISNUMBER($I290),$I290,$H290))</f>
        <v/>
      </c>
      <c r="K290" s="26" t="n"/>
      <c r="L290" s="27" t="n"/>
      <c r="M290" s="27" t="n"/>
      <c r="N290" s="28">
        <f>IF($B290="","",N($G290)-N($L290)-N($M290))</f>
        <v/>
      </c>
      <c r="O290" s="30">
        <f>IF($B290="","",IF(AND(OR(N($L290)&lt;&gt;0,N($M290)&lt;&gt;0),NOT(ISNUMBER($K290))),"支払日なし",IF($N290=0,IF(N($G290)=0,"請求額0","支払済"),IF($N290&lt;0,"払いすぎ",IF(N($L290)+N($M290)=0,"未払","一部支払")))))</f>
        <v/>
      </c>
      <c r="P290" s="30">
        <f>IF(OR($B290="",N($N290)&lt;=0,NOT(ISNUMBER($J290))),"",IF($J290&lt;'設定'!$B$7,"期日超過 "&amp;('設定'!$B$7-$J290)&amp;"日",IF($J290='設定'!$B$7,"今日","あと "&amp;($J290-'設定'!$B$7)&amp;"日")))</f>
        <v/>
      </c>
      <c r="Q290" s="56" t="n"/>
      <c r="R290" s="32">
        <f>IF($B290="","",IFERROR(MATCH($B290,'仕入先'!$B$5:$B$54,0),"なし"))</f>
        <v/>
      </c>
      <c r="S290" s="33">
        <f>IF($B290="","",IF(ISNUMBER($D290),$D290,IF(ISNUMBER($A290),$A290,"")))</f>
        <v/>
      </c>
      <c r="T290" s="34">
        <f>IF(OR($B290="",N($N290)&lt;=0),"",IF(ISNUMBER($J290),$J290,99999)+ROW()/1000000)</f>
        <v/>
      </c>
      <c r="U290" s="35">
        <f>IF(OR($B290="",$B290&lt;&gt;'買掛帳'!$B$3,NOT(ISNUMBER($S290))),"",IF(AND($S290&gt;='買掛帳'!$Q$3,$S290&lt;='買掛帳'!$Q$4),$S290+ROW()/10000000,""))</f>
        <v/>
      </c>
      <c r="V290" s="35">
        <f>IF(OR($B290="",$B290&lt;&gt;'買掛帳'!$B$3,NOT(ISNUMBER($K290)),N($L290)+N($M290)=0),"",IF(AND($K290&gt;='買掛帳'!$Q$3,$K290&lt;='買掛帳'!$Q$4),$K290+0.5+ROW()/10000000,""))</f>
        <v/>
      </c>
    </row>
    <row r="291" ht="18" customHeight="1">
      <c r="A291" s="26" t="n"/>
      <c r="B291" s="18" t="n"/>
      <c r="C291" s="20">
        <f>IF($B291="","",IF($R291="なし","※仕入先にないコード",INDEX('仕入先'!$C$5:$C$54,$R291)&amp;""))</f>
        <v/>
      </c>
      <c r="D291" s="26" t="n"/>
      <c r="E291" s="18" t="n"/>
      <c r="F291" s="19" t="n"/>
      <c r="G291" s="27" t="n"/>
      <c r="H291" s="29">
        <f>IF(OR($B291="",NOT(ISNUMBER($R291)),NOT(ISNUMBER($S291))),"",IF(OR(INDEX('仕入先'!$D$5:$D$54,$R291)="",INDEX('仕入先'!$E$5:$E$54,$R291)="",INDEX('仕入先'!$F$5:$F$54,$R291)=""),"",IF(INDEX('仕入先'!$F$5:$F$54,$R291)="末",DATE(YEAR($S291),(MONTH($S291)+IF(INDEX('仕入先'!$D$5:$D$54,$R291)="末",0,IF(DAY($S291)&lt;=INDEX('仕入先'!$D$5:$D$54,$R291),0,1))+N(INDEX('仕入先'!$E$5:$E$54,$R291)))+1,0),DATE(YEAR($S291),(MONTH($S291)+IF(INDEX('仕入先'!$D$5:$D$54,$R291)="末",0,IF(DAY($S291)&lt;=INDEX('仕入先'!$D$5:$D$54,$R291),0,1))+N(INDEX('仕入先'!$E$5:$E$54,$R291))),MIN(INDEX('仕入先'!$F$5:$F$54,$R291),DAY(DATE(YEAR($S291),(MONTH($S291)+IF(INDEX('仕入先'!$D$5:$D$54,$R291)="末",0,IF(DAY($S291)&lt;=INDEX('仕入先'!$D$5:$D$54,$R291),0,1))+N(INDEX('仕入先'!$E$5:$E$54,$R291)))+1,0)))))))</f>
        <v/>
      </c>
      <c r="I291" s="26" t="n"/>
      <c r="J291" s="29">
        <f>IF($B291="","",IF(ISNUMBER($I291),$I291,$H291))</f>
        <v/>
      </c>
      <c r="K291" s="26" t="n"/>
      <c r="L291" s="27" t="n"/>
      <c r="M291" s="27" t="n"/>
      <c r="N291" s="28">
        <f>IF($B291="","",N($G291)-N($L291)-N($M291))</f>
        <v/>
      </c>
      <c r="O291" s="30">
        <f>IF($B291="","",IF(AND(OR(N($L291)&lt;&gt;0,N($M291)&lt;&gt;0),NOT(ISNUMBER($K291))),"支払日なし",IF($N291=0,IF(N($G291)=0,"請求額0","支払済"),IF($N291&lt;0,"払いすぎ",IF(N($L291)+N($M291)=0,"未払","一部支払")))))</f>
        <v/>
      </c>
      <c r="P291" s="30">
        <f>IF(OR($B291="",N($N291)&lt;=0,NOT(ISNUMBER($J291))),"",IF($J291&lt;'設定'!$B$7,"期日超過 "&amp;('設定'!$B$7-$J291)&amp;"日",IF($J291='設定'!$B$7,"今日","あと "&amp;($J291-'設定'!$B$7)&amp;"日")))</f>
        <v/>
      </c>
      <c r="Q291" s="56" t="n"/>
      <c r="R291" s="32">
        <f>IF($B291="","",IFERROR(MATCH($B291,'仕入先'!$B$5:$B$54,0),"なし"))</f>
        <v/>
      </c>
      <c r="S291" s="33">
        <f>IF($B291="","",IF(ISNUMBER($D291),$D291,IF(ISNUMBER($A291),$A291,"")))</f>
        <v/>
      </c>
      <c r="T291" s="34">
        <f>IF(OR($B291="",N($N291)&lt;=0),"",IF(ISNUMBER($J291),$J291,99999)+ROW()/1000000)</f>
        <v/>
      </c>
      <c r="U291" s="35">
        <f>IF(OR($B291="",$B291&lt;&gt;'買掛帳'!$B$3,NOT(ISNUMBER($S291))),"",IF(AND($S291&gt;='買掛帳'!$Q$3,$S291&lt;='買掛帳'!$Q$4),$S291+ROW()/10000000,""))</f>
        <v/>
      </c>
      <c r="V291" s="35">
        <f>IF(OR($B291="",$B291&lt;&gt;'買掛帳'!$B$3,NOT(ISNUMBER($K291)),N($L291)+N($M291)=0),"",IF(AND($K291&gt;='買掛帳'!$Q$3,$K291&lt;='買掛帳'!$Q$4),$K291+0.5+ROW()/10000000,""))</f>
        <v/>
      </c>
    </row>
    <row r="292" ht="18" customHeight="1">
      <c r="A292" s="26" t="n"/>
      <c r="B292" s="18" t="n"/>
      <c r="C292" s="20">
        <f>IF($B292="","",IF($R292="なし","※仕入先にないコード",INDEX('仕入先'!$C$5:$C$54,$R292)&amp;""))</f>
        <v/>
      </c>
      <c r="D292" s="26" t="n"/>
      <c r="E292" s="18" t="n"/>
      <c r="F292" s="19" t="n"/>
      <c r="G292" s="27" t="n"/>
      <c r="H292" s="29">
        <f>IF(OR($B292="",NOT(ISNUMBER($R292)),NOT(ISNUMBER($S292))),"",IF(OR(INDEX('仕入先'!$D$5:$D$54,$R292)="",INDEX('仕入先'!$E$5:$E$54,$R292)="",INDEX('仕入先'!$F$5:$F$54,$R292)=""),"",IF(INDEX('仕入先'!$F$5:$F$54,$R292)="末",DATE(YEAR($S292),(MONTH($S292)+IF(INDEX('仕入先'!$D$5:$D$54,$R292)="末",0,IF(DAY($S292)&lt;=INDEX('仕入先'!$D$5:$D$54,$R292),0,1))+N(INDEX('仕入先'!$E$5:$E$54,$R292)))+1,0),DATE(YEAR($S292),(MONTH($S292)+IF(INDEX('仕入先'!$D$5:$D$54,$R292)="末",0,IF(DAY($S292)&lt;=INDEX('仕入先'!$D$5:$D$54,$R292),0,1))+N(INDEX('仕入先'!$E$5:$E$54,$R292))),MIN(INDEX('仕入先'!$F$5:$F$54,$R292),DAY(DATE(YEAR($S292),(MONTH($S292)+IF(INDEX('仕入先'!$D$5:$D$54,$R292)="末",0,IF(DAY($S292)&lt;=INDEX('仕入先'!$D$5:$D$54,$R292),0,1))+N(INDEX('仕入先'!$E$5:$E$54,$R292)))+1,0)))))))</f>
        <v/>
      </c>
      <c r="I292" s="26" t="n"/>
      <c r="J292" s="29">
        <f>IF($B292="","",IF(ISNUMBER($I292),$I292,$H292))</f>
        <v/>
      </c>
      <c r="K292" s="26" t="n"/>
      <c r="L292" s="27" t="n"/>
      <c r="M292" s="27" t="n"/>
      <c r="N292" s="28">
        <f>IF($B292="","",N($G292)-N($L292)-N($M292))</f>
        <v/>
      </c>
      <c r="O292" s="30">
        <f>IF($B292="","",IF(AND(OR(N($L292)&lt;&gt;0,N($M292)&lt;&gt;0),NOT(ISNUMBER($K292))),"支払日なし",IF($N292=0,IF(N($G292)=0,"請求額0","支払済"),IF($N292&lt;0,"払いすぎ",IF(N($L292)+N($M292)=0,"未払","一部支払")))))</f>
        <v/>
      </c>
      <c r="P292" s="30">
        <f>IF(OR($B292="",N($N292)&lt;=0,NOT(ISNUMBER($J292))),"",IF($J292&lt;'設定'!$B$7,"期日超過 "&amp;('設定'!$B$7-$J292)&amp;"日",IF($J292='設定'!$B$7,"今日","あと "&amp;($J292-'設定'!$B$7)&amp;"日")))</f>
        <v/>
      </c>
      <c r="Q292" s="56" t="n"/>
      <c r="R292" s="32">
        <f>IF($B292="","",IFERROR(MATCH($B292,'仕入先'!$B$5:$B$54,0),"なし"))</f>
        <v/>
      </c>
      <c r="S292" s="33">
        <f>IF($B292="","",IF(ISNUMBER($D292),$D292,IF(ISNUMBER($A292),$A292,"")))</f>
        <v/>
      </c>
      <c r="T292" s="34">
        <f>IF(OR($B292="",N($N292)&lt;=0),"",IF(ISNUMBER($J292),$J292,99999)+ROW()/1000000)</f>
        <v/>
      </c>
      <c r="U292" s="35">
        <f>IF(OR($B292="",$B292&lt;&gt;'買掛帳'!$B$3,NOT(ISNUMBER($S292))),"",IF(AND($S292&gt;='買掛帳'!$Q$3,$S292&lt;='買掛帳'!$Q$4),$S292+ROW()/10000000,""))</f>
        <v/>
      </c>
      <c r="V292" s="35">
        <f>IF(OR($B292="",$B292&lt;&gt;'買掛帳'!$B$3,NOT(ISNUMBER($K292)),N($L292)+N($M292)=0),"",IF(AND($K292&gt;='買掛帳'!$Q$3,$K292&lt;='買掛帳'!$Q$4),$K292+0.5+ROW()/10000000,""))</f>
        <v/>
      </c>
    </row>
    <row r="293" ht="18" customHeight="1">
      <c r="A293" s="26" t="n"/>
      <c r="B293" s="18" t="n"/>
      <c r="C293" s="20">
        <f>IF($B293="","",IF($R293="なし","※仕入先にないコード",INDEX('仕入先'!$C$5:$C$54,$R293)&amp;""))</f>
        <v/>
      </c>
      <c r="D293" s="26" t="n"/>
      <c r="E293" s="18" t="n"/>
      <c r="F293" s="19" t="n"/>
      <c r="G293" s="27" t="n"/>
      <c r="H293" s="29">
        <f>IF(OR($B293="",NOT(ISNUMBER($R293)),NOT(ISNUMBER($S293))),"",IF(OR(INDEX('仕入先'!$D$5:$D$54,$R293)="",INDEX('仕入先'!$E$5:$E$54,$R293)="",INDEX('仕入先'!$F$5:$F$54,$R293)=""),"",IF(INDEX('仕入先'!$F$5:$F$54,$R293)="末",DATE(YEAR($S293),(MONTH($S293)+IF(INDEX('仕入先'!$D$5:$D$54,$R293)="末",0,IF(DAY($S293)&lt;=INDEX('仕入先'!$D$5:$D$54,$R293),0,1))+N(INDEX('仕入先'!$E$5:$E$54,$R293)))+1,0),DATE(YEAR($S293),(MONTH($S293)+IF(INDEX('仕入先'!$D$5:$D$54,$R293)="末",0,IF(DAY($S293)&lt;=INDEX('仕入先'!$D$5:$D$54,$R293),0,1))+N(INDEX('仕入先'!$E$5:$E$54,$R293))),MIN(INDEX('仕入先'!$F$5:$F$54,$R293),DAY(DATE(YEAR($S293),(MONTH($S293)+IF(INDEX('仕入先'!$D$5:$D$54,$R293)="末",0,IF(DAY($S293)&lt;=INDEX('仕入先'!$D$5:$D$54,$R293),0,1))+N(INDEX('仕入先'!$E$5:$E$54,$R293)))+1,0)))))))</f>
        <v/>
      </c>
      <c r="I293" s="26" t="n"/>
      <c r="J293" s="29">
        <f>IF($B293="","",IF(ISNUMBER($I293),$I293,$H293))</f>
        <v/>
      </c>
      <c r="K293" s="26" t="n"/>
      <c r="L293" s="27" t="n"/>
      <c r="M293" s="27" t="n"/>
      <c r="N293" s="28">
        <f>IF($B293="","",N($G293)-N($L293)-N($M293))</f>
        <v/>
      </c>
      <c r="O293" s="30">
        <f>IF($B293="","",IF(AND(OR(N($L293)&lt;&gt;0,N($M293)&lt;&gt;0),NOT(ISNUMBER($K293))),"支払日なし",IF($N293=0,IF(N($G293)=0,"請求額0","支払済"),IF($N293&lt;0,"払いすぎ",IF(N($L293)+N($M293)=0,"未払","一部支払")))))</f>
        <v/>
      </c>
      <c r="P293" s="30">
        <f>IF(OR($B293="",N($N293)&lt;=0,NOT(ISNUMBER($J293))),"",IF($J293&lt;'設定'!$B$7,"期日超過 "&amp;('設定'!$B$7-$J293)&amp;"日",IF($J293='設定'!$B$7,"今日","あと "&amp;($J293-'設定'!$B$7)&amp;"日")))</f>
        <v/>
      </c>
      <c r="Q293" s="56" t="n"/>
      <c r="R293" s="32">
        <f>IF($B293="","",IFERROR(MATCH($B293,'仕入先'!$B$5:$B$54,0),"なし"))</f>
        <v/>
      </c>
      <c r="S293" s="33">
        <f>IF($B293="","",IF(ISNUMBER($D293),$D293,IF(ISNUMBER($A293),$A293,"")))</f>
        <v/>
      </c>
      <c r="T293" s="34">
        <f>IF(OR($B293="",N($N293)&lt;=0),"",IF(ISNUMBER($J293),$J293,99999)+ROW()/1000000)</f>
        <v/>
      </c>
      <c r="U293" s="35">
        <f>IF(OR($B293="",$B293&lt;&gt;'買掛帳'!$B$3,NOT(ISNUMBER($S293))),"",IF(AND($S293&gt;='買掛帳'!$Q$3,$S293&lt;='買掛帳'!$Q$4),$S293+ROW()/10000000,""))</f>
        <v/>
      </c>
      <c r="V293" s="35">
        <f>IF(OR($B293="",$B293&lt;&gt;'買掛帳'!$B$3,NOT(ISNUMBER($K293)),N($L293)+N($M293)=0),"",IF(AND($K293&gt;='買掛帳'!$Q$3,$K293&lt;='買掛帳'!$Q$4),$K293+0.5+ROW()/10000000,""))</f>
        <v/>
      </c>
    </row>
    <row r="294" ht="18" customHeight="1">
      <c r="A294" s="26" t="n"/>
      <c r="B294" s="18" t="n"/>
      <c r="C294" s="20">
        <f>IF($B294="","",IF($R294="なし","※仕入先にないコード",INDEX('仕入先'!$C$5:$C$54,$R294)&amp;""))</f>
        <v/>
      </c>
      <c r="D294" s="26" t="n"/>
      <c r="E294" s="18" t="n"/>
      <c r="F294" s="19" t="n"/>
      <c r="G294" s="27" t="n"/>
      <c r="H294" s="29">
        <f>IF(OR($B294="",NOT(ISNUMBER($R294)),NOT(ISNUMBER($S294))),"",IF(OR(INDEX('仕入先'!$D$5:$D$54,$R294)="",INDEX('仕入先'!$E$5:$E$54,$R294)="",INDEX('仕入先'!$F$5:$F$54,$R294)=""),"",IF(INDEX('仕入先'!$F$5:$F$54,$R294)="末",DATE(YEAR($S294),(MONTH($S294)+IF(INDEX('仕入先'!$D$5:$D$54,$R294)="末",0,IF(DAY($S294)&lt;=INDEX('仕入先'!$D$5:$D$54,$R294),0,1))+N(INDEX('仕入先'!$E$5:$E$54,$R294)))+1,0),DATE(YEAR($S294),(MONTH($S294)+IF(INDEX('仕入先'!$D$5:$D$54,$R294)="末",0,IF(DAY($S294)&lt;=INDEX('仕入先'!$D$5:$D$54,$R294),0,1))+N(INDEX('仕入先'!$E$5:$E$54,$R294))),MIN(INDEX('仕入先'!$F$5:$F$54,$R294),DAY(DATE(YEAR($S294),(MONTH($S294)+IF(INDEX('仕入先'!$D$5:$D$54,$R294)="末",0,IF(DAY($S294)&lt;=INDEX('仕入先'!$D$5:$D$54,$R294),0,1))+N(INDEX('仕入先'!$E$5:$E$54,$R294)))+1,0)))))))</f>
        <v/>
      </c>
      <c r="I294" s="26" t="n"/>
      <c r="J294" s="29">
        <f>IF($B294="","",IF(ISNUMBER($I294),$I294,$H294))</f>
        <v/>
      </c>
      <c r="K294" s="26" t="n"/>
      <c r="L294" s="27" t="n"/>
      <c r="M294" s="27" t="n"/>
      <c r="N294" s="28">
        <f>IF($B294="","",N($G294)-N($L294)-N($M294))</f>
        <v/>
      </c>
      <c r="O294" s="30">
        <f>IF($B294="","",IF(AND(OR(N($L294)&lt;&gt;0,N($M294)&lt;&gt;0),NOT(ISNUMBER($K294))),"支払日なし",IF($N294=0,IF(N($G294)=0,"請求額0","支払済"),IF($N294&lt;0,"払いすぎ",IF(N($L294)+N($M294)=0,"未払","一部支払")))))</f>
        <v/>
      </c>
      <c r="P294" s="30">
        <f>IF(OR($B294="",N($N294)&lt;=0,NOT(ISNUMBER($J294))),"",IF($J294&lt;'設定'!$B$7,"期日超過 "&amp;('設定'!$B$7-$J294)&amp;"日",IF($J294='設定'!$B$7,"今日","あと "&amp;($J294-'設定'!$B$7)&amp;"日")))</f>
        <v/>
      </c>
      <c r="Q294" s="56" t="n"/>
      <c r="R294" s="32">
        <f>IF($B294="","",IFERROR(MATCH($B294,'仕入先'!$B$5:$B$54,0),"なし"))</f>
        <v/>
      </c>
      <c r="S294" s="33">
        <f>IF($B294="","",IF(ISNUMBER($D294),$D294,IF(ISNUMBER($A294),$A294,"")))</f>
        <v/>
      </c>
      <c r="T294" s="34">
        <f>IF(OR($B294="",N($N294)&lt;=0),"",IF(ISNUMBER($J294),$J294,99999)+ROW()/1000000)</f>
        <v/>
      </c>
      <c r="U294" s="35">
        <f>IF(OR($B294="",$B294&lt;&gt;'買掛帳'!$B$3,NOT(ISNUMBER($S294))),"",IF(AND($S294&gt;='買掛帳'!$Q$3,$S294&lt;='買掛帳'!$Q$4),$S294+ROW()/10000000,""))</f>
        <v/>
      </c>
      <c r="V294" s="35">
        <f>IF(OR($B294="",$B294&lt;&gt;'買掛帳'!$B$3,NOT(ISNUMBER($K294)),N($L294)+N($M294)=0),"",IF(AND($K294&gt;='買掛帳'!$Q$3,$K294&lt;='買掛帳'!$Q$4),$K294+0.5+ROW()/10000000,""))</f>
        <v/>
      </c>
    </row>
    <row r="295" ht="18" customHeight="1">
      <c r="A295" s="26" t="n"/>
      <c r="B295" s="18" t="n"/>
      <c r="C295" s="20">
        <f>IF($B295="","",IF($R295="なし","※仕入先にないコード",INDEX('仕入先'!$C$5:$C$54,$R295)&amp;""))</f>
        <v/>
      </c>
      <c r="D295" s="26" t="n"/>
      <c r="E295" s="18" t="n"/>
      <c r="F295" s="19" t="n"/>
      <c r="G295" s="27" t="n"/>
      <c r="H295" s="29">
        <f>IF(OR($B295="",NOT(ISNUMBER($R295)),NOT(ISNUMBER($S295))),"",IF(OR(INDEX('仕入先'!$D$5:$D$54,$R295)="",INDEX('仕入先'!$E$5:$E$54,$R295)="",INDEX('仕入先'!$F$5:$F$54,$R295)=""),"",IF(INDEX('仕入先'!$F$5:$F$54,$R295)="末",DATE(YEAR($S295),(MONTH($S295)+IF(INDEX('仕入先'!$D$5:$D$54,$R295)="末",0,IF(DAY($S295)&lt;=INDEX('仕入先'!$D$5:$D$54,$R295),0,1))+N(INDEX('仕入先'!$E$5:$E$54,$R295)))+1,0),DATE(YEAR($S295),(MONTH($S295)+IF(INDEX('仕入先'!$D$5:$D$54,$R295)="末",0,IF(DAY($S295)&lt;=INDEX('仕入先'!$D$5:$D$54,$R295),0,1))+N(INDEX('仕入先'!$E$5:$E$54,$R295))),MIN(INDEX('仕入先'!$F$5:$F$54,$R295),DAY(DATE(YEAR($S295),(MONTH($S295)+IF(INDEX('仕入先'!$D$5:$D$54,$R295)="末",0,IF(DAY($S295)&lt;=INDEX('仕入先'!$D$5:$D$54,$R295),0,1))+N(INDEX('仕入先'!$E$5:$E$54,$R295)))+1,0)))))))</f>
        <v/>
      </c>
      <c r="I295" s="26" t="n"/>
      <c r="J295" s="29">
        <f>IF($B295="","",IF(ISNUMBER($I295),$I295,$H295))</f>
        <v/>
      </c>
      <c r="K295" s="26" t="n"/>
      <c r="L295" s="27" t="n"/>
      <c r="M295" s="27" t="n"/>
      <c r="N295" s="28">
        <f>IF($B295="","",N($G295)-N($L295)-N($M295))</f>
        <v/>
      </c>
      <c r="O295" s="30">
        <f>IF($B295="","",IF(AND(OR(N($L295)&lt;&gt;0,N($M295)&lt;&gt;0),NOT(ISNUMBER($K295))),"支払日なし",IF($N295=0,IF(N($G295)=0,"請求額0","支払済"),IF($N295&lt;0,"払いすぎ",IF(N($L295)+N($M295)=0,"未払","一部支払")))))</f>
        <v/>
      </c>
      <c r="P295" s="30">
        <f>IF(OR($B295="",N($N295)&lt;=0,NOT(ISNUMBER($J295))),"",IF($J295&lt;'設定'!$B$7,"期日超過 "&amp;('設定'!$B$7-$J295)&amp;"日",IF($J295='設定'!$B$7,"今日","あと "&amp;($J295-'設定'!$B$7)&amp;"日")))</f>
        <v/>
      </c>
      <c r="Q295" s="56" t="n"/>
      <c r="R295" s="32">
        <f>IF($B295="","",IFERROR(MATCH($B295,'仕入先'!$B$5:$B$54,0),"なし"))</f>
        <v/>
      </c>
      <c r="S295" s="33">
        <f>IF($B295="","",IF(ISNUMBER($D295),$D295,IF(ISNUMBER($A295),$A295,"")))</f>
        <v/>
      </c>
      <c r="T295" s="34">
        <f>IF(OR($B295="",N($N295)&lt;=0),"",IF(ISNUMBER($J295),$J295,99999)+ROW()/1000000)</f>
        <v/>
      </c>
      <c r="U295" s="35">
        <f>IF(OR($B295="",$B295&lt;&gt;'買掛帳'!$B$3,NOT(ISNUMBER($S295))),"",IF(AND($S295&gt;='買掛帳'!$Q$3,$S295&lt;='買掛帳'!$Q$4),$S295+ROW()/10000000,""))</f>
        <v/>
      </c>
      <c r="V295" s="35">
        <f>IF(OR($B295="",$B295&lt;&gt;'買掛帳'!$B$3,NOT(ISNUMBER($K295)),N($L295)+N($M295)=0),"",IF(AND($K295&gt;='買掛帳'!$Q$3,$K295&lt;='買掛帳'!$Q$4),$K295+0.5+ROW()/10000000,""))</f>
        <v/>
      </c>
    </row>
    <row r="296" ht="18" customHeight="1">
      <c r="A296" s="26" t="n"/>
      <c r="B296" s="18" t="n"/>
      <c r="C296" s="20">
        <f>IF($B296="","",IF($R296="なし","※仕入先にないコード",INDEX('仕入先'!$C$5:$C$54,$R296)&amp;""))</f>
        <v/>
      </c>
      <c r="D296" s="26" t="n"/>
      <c r="E296" s="18" t="n"/>
      <c r="F296" s="19" t="n"/>
      <c r="G296" s="27" t="n"/>
      <c r="H296" s="29">
        <f>IF(OR($B296="",NOT(ISNUMBER($R296)),NOT(ISNUMBER($S296))),"",IF(OR(INDEX('仕入先'!$D$5:$D$54,$R296)="",INDEX('仕入先'!$E$5:$E$54,$R296)="",INDEX('仕入先'!$F$5:$F$54,$R296)=""),"",IF(INDEX('仕入先'!$F$5:$F$54,$R296)="末",DATE(YEAR($S296),(MONTH($S296)+IF(INDEX('仕入先'!$D$5:$D$54,$R296)="末",0,IF(DAY($S296)&lt;=INDEX('仕入先'!$D$5:$D$54,$R296),0,1))+N(INDEX('仕入先'!$E$5:$E$54,$R296)))+1,0),DATE(YEAR($S296),(MONTH($S296)+IF(INDEX('仕入先'!$D$5:$D$54,$R296)="末",0,IF(DAY($S296)&lt;=INDEX('仕入先'!$D$5:$D$54,$R296),0,1))+N(INDEX('仕入先'!$E$5:$E$54,$R296))),MIN(INDEX('仕入先'!$F$5:$F$54,$R296),DAY(DATE(YEAR($S296),(MONTH($S296)+IF(INDEX('仕入先'!$D$5:$D$54,$R296)="末",0,IF(DAY($S296)&lt;=INDEX('仕入先'!$D$5:$D$54,$R296),0,1))+N(INDEX('仕入先'!$E$5:$E$54,$R296)))+1,0)))))))</f>
        <v/>
      </c>
      <c r="I296" s="26" t="n"/>
      <c r="J296" s="29">
        <f>IF($B296="","",IF(ISNUMBER($I296),$I296,$H296))</f>
        <v/>
      </c>
      <c r="K296" s="26" t="n"/>
      <c r="L296" s="27" t="n"/>
      <c r="M296" s="27" t="n"/>
      <c r="N296" s="28">
        <f>IF($B296="","",N($G296)-N($L296)-N($M296))</f>
        <v/>
      </c>
      <c r="O296" s="30">
        <f>IF($B296="","",IF(AND(OR(N($L296)&lt;&gt;0,N($M296)&lt;&gt;0),NOT(ISNUMBER($K296))),"支払日なし",IF($N296=0,IF(N($G296)=0,"請求額0","支払済"),IF($N296&lt;0,"払いすぎ",IF(N($L296)+N($M296)=0,"未払","一部支払")))))</f>
        <v/>
      </c>
      <c r="P296" s="30">
        <f>IF(OR($B296="",N($N296)&lt;=0,NOT(ISNUMBER($J296))),"",IF($J296&lt;'設定'!$B$7,"期日超過 "&amp;('設定'!$B$7-$J296)&amp;"日",IF($J296='設定'!$B$7,"今日","あと "&amp;($J296-'設定'!$B$7)&amp;"日")))</f>
        <v/>
      </c>
      <c r="Q296" s="56" t="n"/>
      <c r="R296" s="32">
        <f>IF($B296="","",IFERROR(MATCH($B296,'仕入先'!$B$5:$B$54,0),"なし"))</f>
        <v/>
      </c>
      <c r="S296" s="33">
        <f>IF($B296="","",IF(ISNUMBER($D296),$D296,IF(ISNUMBER($A296),$A296,"")))</f>
        <v/>
      </c>
      <c r="T296" s="34">
        <f>IF(OR($B296="",N($N296)&lt;=0),"",IF(ISNUMBER($J296),$J296,99999)+ROW()/1000000)</f>
        <v/>
      </c>
      <c r="U296" s="35">
        <f>IF(OR($B296="",$B296&lt;&gt;'買掛帳'!$B$3,NOT(ISNUMBER($S296))),"",IF(AND($S296&gt;='買掛帳'!$Q$3,$S296&lt;='買掛帳'!$Q$4),$S296+ROW()/10000000,""))</f>
        <v/>
      </c>
      <c r="V296" s="35">
        <f>IF(OR($B296="",$B296&lt;&gt;'買掛帳'!$B$3,NOT(ISNUMBER($K296)),N($L296)+N($M296)=0),"",IF(AND($K296&gt;='買掛帳'!$Q$3,$K296&lt;='買掛帳'!$Q$4),$K296+0.5+ROW()/10000000,""))</f>
        <v/>
      </c>
    </row>
    <row r="297" ht="18" customHeight="1">
      <c r="A297" s="26" t="n"/>
      <c r="B297" s="18" t="n"/>
      <c r="C297" s="20">
        <f>IF($B297="","",IF($R297="なし","※仕入先にないコード",INDEX('仕入先'!$C$5:$C$54,$R297)&amp;""))</f>
        <v/>
      </c>
      <c r="D297" s="26" t="n"/>
      <c r="E297" s="18" t="n"/>
      <c r="F297" s="19" t="n"/>
      <c r="G297" s="27" t="n"/>
      <c r="H297" s="29">
        <f>IF(OR($B297="",NOT(ISNUMBER($R297)),NOT(ISNUMBER($S297))),"",IF(OR(INDEX('仕入先'!$D$5:$D$54,$R297)="",INDEX('仕入先'!$E$5:$E$54,$R297)="",INDEX('仕入先'!$F$5:$F$54,$R297)=""),"",IF(INDEX('仕入先'!$F$5:$F$54,$R297)="末",DATE(YEAR($S297),(MONTH($S297)+IF(INDEX('仕入先'!$D$5:$D$54,$R297)="末",0,IF(DAY($S297)&lt;=INDEX('仕入先'!$D$5:$D$54,$R297),0,1))+N(INDEX('仕入先'!$E$5:$E$54,$R297)))+1,0),DATE(YEAR($S297),(MONTH($S297)+IF(INDEX('仕入先'!$D$5:$D$54,$R297)="末",0,IF(DAY($S297)&lt;=INDEX('仕入先'!$D$5:$D$54,$R297),0,1))+N(INDEX('仕入先'!$E$5:$E$54,$R297))),MIN(INDEX('仕入先'!$F$5:$F$54,$R297),DAY(DATE(YEAR($S297),(MONTH($S297)+IF(INDEX('仕入先'!$D$5:$D$54,$R297)="末",0,IF(DAY($S297)&lt;=INDEX('仕入先'!$D$5:$D$54,$R297),0,1))+N(INDEX('仕入先'!$E$5:$E$54,$R297)))+1,0)))))))</f>
        <v/>
      </c>
      <c r="I297" s="26" t="n"/>
      <c r="J297" s="29">
        <f>IF($B297="","",IF(ISNUMBER($I297),$I297,$H297))</f>
        <v/>
      </c>
      <c r="K297" s="26" t="n"/>
      <c r="L297" s="27" t="n"/>
      <c r="M297" s="27" t="n"/>
      <c r="N297" s="28">
        <f>IF($B297="","",N($G297)-N($L297)-N($M297))</f>
        <v/>
      </c>
      <c r="O297" s="30">
        <f>IF($B297="","",IF(AND(OR(N($L297)&lt;&gt;0,N($M297)&lt;&gt;0),NOT(ISNUMBER($K297))),"支払日なし",IF($N297=0,IF(N($G297)=0,"請求額0","支払済"),IF($N297&lt;0,"払いすぎ",IF(N($L297)+N($M297)=0,"未払","一部支払")))))</f>
        <v/>
      </c>
      <c r="P297" s="30">
        <f>IF(OR($B297="",N($N297)&lt;=0,NOT(ISNUMBER($J297))),"",IF($J297&lt;'設定'!$B$7,"期日超過 "&amp;('設定'!$B$7-$J297)&amp;"日",IF($J297='設定'!$B$7,"今日","あと "&amp;($J297-'設定'!$B$7)&amp;"日")))</f>
        <v/>
      </c>
      <c r="Q297" s="56" t="n"/>
      <c r="R297" s="32">
        <f>IF($B297="","",IFERROR(MATCH($B297,'仕入先'!$B$5:$B$54,0),"なし"))</f>
        <v/>
      </c>
      <c r="S297" s="33">
        <f>IF($B297="","",IF(ISNUMBER($D297),$D297,IF(ISNUMBER($A297),$A297,"")))</f>
        <v/>
      </c>
      <c r="T297" s="34">
        <f>IF(OR($B297="",N($N297)&lt;=0),"",IF(ISNUMBER($J297),$J297,99999)+ROW()/1000000)</f>
        <v/>
      </c>
      <c r="U297" s="35">
        <f>IF(OR($B297="",$B297&lt;&gt;'買掛帳'!$B$3,NOT(ISNUMBER($S297))),"",IF(AND($S297&gt;='買掛帳'!$Q$3,$S297&lt;='買掛帳'!$Q$4),$S297+ROW()/10000000,""))</f>
        <v/>
      </c>
      <c r="V297" s="35">
        <f>IF(OR($B297="",$B297&lt;&gt;'買掛帳'!$B$3,NOT(ISNUMBER($K297)),N($L297)+N($M297)=0),"",IF(AND($K297&gt;='買掛帳'!$Q$3,$K297&lt;='買掛帳'!$Q$4),$K297+0.5+ROW()/10000000,""))</f>
        <v/>
      </c>
    </row>
    <row r="298" ht="18" customHeight="1">
      <c r="A298" s="26" t="n"/>
      <c r="B298" s="18" t="n"/>
      <c r="C298" s="20">
        <f>IF($B298="","",IF($R298="なし","※仕入先にないコード",INDEX('仕入先'!$C$5:$C$54,$R298)&amp;""))</f>
        <v/>
      </c>
      <c r="D298" s="26" t="n"/>
      <c r="E298" s="18" t="n"/>
      <c r="F298" s="19" t="n"/>
      <c r="G298" s="27" t="n"/>
      <c r="H298" s="29">
        <f>IF(OR($B298="",NOT(ISNUMBER($R298)),NOT(ISNUMBER($S298))),"",IF(OR(INDEX('仕入先'!$D$5:$D$54,$R298)="",INDEX('仕入先'!$E$5:$E$54,$R298)="",INDEX('仕入先'!$F$5:$F$54,$R298)=""),"",IF(INDEX('仕入先'!$F$5:$F$54,$R298)="末",DATE(YEAR($S298),(MONTH($S298)+IF(INDEX('仕入先'!$D$5:$D$54,$R298)="末",0,IF(DAY($S298)&lt;=INDEX('仕入先'!$D$5:$D$54,$R298),0,1))+N(INDEX('仕入先'!$E$5:$E$54,$R298)))+1,0),DATE(YEAR($S298),(MONTH($S298)+IF(INDEX('仕入先'!$D$5:$D$54,$R298)="末",0,IF(DAY($S298)&lt;=INDEX('仕入先'!$D$5:$D$54,$R298),0,1))+N(INDEX('仕入先'!$E$5:$E$54,$R298))),MIN(INDEX('仕入先'!$F$5:$F$54,$R298),DAY(DATE(YEAR($S298),(MONTH($S298)+IF(INDEX('仕入先'!$D$5:$D$54,$R298)="末",0,IF(DAY($S298)&lt;=INDEX('仕入先'!$D$5:$D$54,$R298),0,1))+N(INDEX('仕入先'!$E$5:$E$54,$R298)))+1,0)))))))</f>
        <v/>
      </c>
      <c r="I298" s="26" t="n"/>
      <c r="J298" s="29">
        <f>IF($B298="","",IF(ISNUMBER($I298),$I298,$H298))</f>
        <v/>
      </c>
      <c r="K298" s="26" t="n"/>
      <c r="L298" s="27" t="n"/>
      <c r="M298" s="27" t="n"/>
      <c r="N298" s="28">
        <f>IF($B298="","",N($G298)-N($L298)-N($M298))</f>
        <v/>
      </c>
      <c r="O298" s="30">
        <f>IF($B298="","",IF(AND(OR(N($L298)&lt;&gt;0,N($M298)&lt;&gt;0),NOT(ISNUMBER($K298))),"支払日なし",IF($N298=0,IF(N($G298)=0,"請求額0","支払済"),IF($N298&lt;0,"払いすぎ",IF(N($L298)+N($M298)=0,"未払","一部支払")))))</f>
        <v/>
      </c>
      <c r="P298" s="30">
        <f>IF(OR($B298="",N($N298)&lt;=0,NOT(ISNUMBER($J298))),"",IF($J298&lt;'設定'!$B$7,"期日超過 "&amp;('設定'!$B$7-$J298)&amp;"日",IF($J298='設定'!$B$7,"今日","あと "&amp;($J298-'設定'!$B$7)&amp;"日")))</f>
        <v/>
      </c>
      <c r="Q298" s="56" t="n"/>
      <c r="R298" s="32">
        <f>IF($B298="","",IFERROR(MATCH($B298,'仕入先'!$B$5:$B$54,0),"なし"))</f>
        <v/>
      </c>
      <c r="S298" s="33">
        <f>IF($B298="","",IF(ISNUMBER($D298),$D298,IF(ISNUMBER($A298),$A298,"")))</f>
        <v/>
      </c>
      <c r="T298" s="34">
        <f>IF(OR($B298="",N($N298)&lt;=0),"",IF(ISNUMBER($J298),$J298,99999)+ROW()/1000000)</f>
        <v/>
      </c>
      <c r="U298" s="35">
        <f>IF(OR($B298="",$B298&lt;&gt;'買掛帳'!$B$3,NOT(ISNUMBER($S298))),"",IF(AND($S298&gt;='買掛帳'!$Q$3,$S298&lt;='買掛帳'!$Q$4),$S298+ROW()/10000000,""))</f>
        <v/>
      </c>
      <c r="V298" s="35">
        <f>IF(OR($B298="",$B298&lt;&gt;'買掛帳'!$B$3,NOT(ISNUMBER($K298)),N($L298)+N($M298)=0),"",IF(AND($K298&gt;='買掛帳'!$Q$3,$K298&lt;='買掛帳'!$Q$4),$K298+0.5+ROW()/10000000,""))</f>
        <v/>
      </c>
    </row>
    <row r="299" ht="18" customHeight="1">
      <c r="A299" s="26" t="n"/>
      <c r="B299" s="18" t="n"/>
      <c r="C299" s="20">
        <f>IF($B299="","",IF($R299="なし","※仕入先にないコード",INDEX('仕入先'!$C$5:$C$54,$R299)&amp;""))</f>
        <v/>
      </c>
      <c r="D299" s="26" t="n"/>
      <c r="E299" s="18" t="n"/>
      <c r="F299" s="19" t="n"/>
      <c r="G299" s="27" t="n"/>
      <c r="H299" s="29">
        <f>IF(OR($B299="",NOT(ISNUMBER($R299)),NOT(ISNUMBER($S299))),"",IF(OR(INDEX('仕入先'!$D$5:$D$54,$R299)="",INDEX('仕入先'!$E$5:$E$54,$R299)="",INDEX('仕入先'!$F$5:$F$54,$R299)=""),"",IF(INDEX('仕入先'!$F$5:$F$54,$R299)="末",DATE(YEAR($S299),(MONTH($S299)+IF(INDEX('仕入先'!$D$5:$D$54,$R299)="末",0,IF(DAY($S299)&lt;=INDEX('仕入先'!$D$5:$D$54,$R299),0,1))+N(INDEX('仕入先'!$E$5:$E$54,$R299)))+1,0),DATE(YEAR($S299),(MONTH($S299)+IF(INDEX('仕入先'!$D$5:$D$54,$R299)="末",0,IF(DAY($S299)&lt;=INDEX('仕入先'!$D$5:$D$54,$R299),0,1))+N(INDEX('仕入先'!$E$5:$E$54,$R299))),MIN(INDEX('仕入先'!$F$5:$F$54,$R299),DAY(DATE(YEAR($S299),(MONTH($S299)+IF(INDEX('仕入先'!$D$5:$D$54,$R299)="末",0,IF(DAY($S299)&lt;=INDEX('仕入先'!$D$5:$D$54,$R299),0,1))+N(INDEX('仕入先'!$E$5:$E$54,$R299)))+1,0)))))))</f>
        <v/>
      </c>
      <c r="I299" s="26" t="n"/>
      <c r="J299" s="29">
        <f>IF($B299="","",IF(ISNUMBER($I299),$I299,$H299))</f>
        <v/>
      </c>
      <c r="K299" s="26" t="n"/>
      <c r="L299" s="27" t="n"/>
      <c r="M299" s="27" t="n"/>
      <c r="N299" s="28">
        <f>IF($B299="","",N($G299)-N($L299)-N($M299))</f>
        <v/>
      </c>
      <c r="O299" s="30">
        <f>IF($B299="","",IF(AND(OR(N($L299)&lt;&gt;0,N($M299)&lt;&gt;0),NOT(ISNUMBER($K299))),"支払日なし",IF($N299=0,IF(N($G299)=0,"請求額0","支払済"),IF($N299&lt;0,"払いすぎ",IF(N($L299)+N($M299)=0,"未払","一部支払")))))</f>
        <v/>
      </c>
      <c r="P299" s="30">
        <f>IF(OR($B299="",N($N299)&lt;=0,NOT(ISNUMBER($J299))),"",IF($J299&lt;'設定'!$B$7,"期日超過 "&amp;('設定'!$B$7-$J299)&amp;"日",IF($J299='設定'!$B$7,"今日","あと "&amp;($J299-'設定'!$B$7)&amp;"日")))</f>
        <v/>
      </c>
      <c r="Q299" s="56" t="n"/>
      <c r="R299" s="32">
        <f>IF($B299="","",IFERROR(MATCH($B299,'仕入先'!$B$5:$B$54,0),"なし"))</f>
        <v/>
      </c>
      <c r="S299" s="33">
        <f>IF($B299="","",IF(ISNUMBER($D299),$D299,IF(ISNUMBER($A299),$A299,"")))</f>
        <v/>
      </c>
      <c r="T299" s="34">
        <f>IF(OR($B299="",N($N299)&lt;=0),"",IF(ISNUMBER($J299),$J299,99999)+ROW()/1000000)</f>
        <v/>
      </c>
      <c r="U299" s="35">
        <f>IF(OR($B299="",$B299&lt;&gt;'買掛帳'!$B$3,NOT(ISNUMBER($S299))),"",IF(AND($S299&gt;='買掛帳'!$Q$3,$S299&lt;='買掛帳'!$Q$4),$S299+ROW()/10000000,""))</f>
        <v/>
      </c>
      <c r="V299" s="35">
        <f>IF(OR($B299="",$B299&lt;&gt;'買掛帳'!$B$3,NOT(ISNUMBER($K299)),N($L299)+N($M299)=0),"",IF(AND($K299&gt;='買掛帳'!$Q$3,$K299&lt;='買掛帳'!$Q$4),$K299+0.5+ROW()/10000000,""))</f>
        <v/>
      </c>
    </row>
    <row r="300" ht="18" customHeight="1">
      <c r="A300" s="26" t="n"/>
      <c r="B300" s="18" t="n"/>
      <c r="C300" s="20">
        <f>IF($B300="","",IF($R300="なし","※仕入先にないコード",INDEX('仕入先'!$C$5:$C$54,$R300)&amp;""))</f>
        <v/>
      </c>
      <c r="D300" s="26" t="n"/>
      <c r="E300" s="18" t="n"/>
      <c r="F300" s="19" t="n"/>
      <c r="G300" s="27" t="n"/>
      <c r="H300" s="29">
        <f>IF(OR($B300="",NOT(ISNUMBER($R300)),NOT(ISNUMBER($S300))),"",IF(OR(INDEX('仕入先'!$D$5:$D$54,$R300)="",INDEX('仕入先'!$E$5:$E$54,$R300)="",INDEX('仕入先'!$F$5:$F$54,$R300)=""),"",IF(INDEX('仕入先'!$F$5:$F$54,$R300)="末",DATE(YEAR($S300),(MONTH($S300)+IF(INDEX('仕入先'!$D$5:$D$54,$R300)="末",0,IF(DAY($S300)&lt;=INDEX('仕入先'!$D$5:$D$54,$R300),0,1))+N(INDEX('仕入先'!$E$5:$E$54,$R300)))+1,0),DATE(YEAR($S300),(MONTH($S300)+IF(INDEX('仕入先'!$D$5:$D$54,$R300)="末",0,IF(DAY($S300)&lt;=INDEX('仕入先'!$D$5:$D$54,$R300),0,1))+N(INDEX('仕入先'!$E$5:$E$54,$R300))),MIN(INDEX('仕入先'!$F$5:$F$54,$R300),DAY(DATE(YEAR($S300),(MONTH($S300)+IF(INDEX('仕入先'!$D$5:$D$54,$R300)="末",0,IF(DAY($S300)&lt;=INDEX('仕入先'!$D$5:$D$54,$R300),0,1))+N(INDEX('仕入先'!$E$5:$E$54,$R300)))+1,0)))))))</f>
        <v/>
      </c>
      <c r="I300" s="26" t="n"/>
      <c r="J300" s="29">
        <f>IF($B300="","",IF(ISNUMBER($I300),$I300,$H300))</f>
        <v/>
      </c>
      <c r="K300" s="26" t="n"/>
      <c r="L300" s="27" t="n"/>
      <c r="M300" s="27" t="n"/>
      <c r="N300" s="28">
        <f>IF($B300="","",N($G300)-N($L300)-N($M300))</f>
        <v/>
      </c>
      <c r="O300" s="30">
        <f>IF($B300="","",IF(AND(OR(N($L300)&lt;&gt;0,N($M300)&lt;&gt;0),NOT(ISNUMBER($K300))),"支払日なし",IF($N300=0,IF(N($G300)=0,"請求額0","支払済"),IF($N300&lt;0,"払いすぎ",IF(N($L300)+N($M300)=0,"未払","一部支払")))))</f>
        <v/>
      </c>
      <c r="P300" s="30">
        <f>IF(OR($B300="",N($N300)&lt;=0,NOT(ISNUMBER($J300))),"",IF($J300&lt;'設定'!$B$7,"期日超過 "&amp;('設定'!$B$7-$J300)&amp;"日",IF($J300='設定'!$B$7,"今日","あと "&amp;($J300-'設定'!$B$7)&amp;"日")))</f>
        <v/>
      </c>
      <c r="Q300" s="56" t="n"/>
      <c r="R300" s="32">
        <f>IF($B300="","",IFERROR(MATCH($B300,'仕入先'!$B$5:$B$54,0),"なし"))</f>
        <v/>
      </c>
      <c r="S300" s="33">
        <f>IF($B300="","",IF(ISNUMBER($D300),$D300,IF(ISNUMBER($A300),$A300,"")))</f>
        <v/>
      </c>
      <c r="T300" s="34">
        <f>IF(OR($B300="",N($N300)&lt;=0),"",IF(ISNUMBER($J300),$J300,99999)+ROW()/1000000)</f>
        <v/>
      </c>
      <c r="U300" s="35">
        <f>IF(OR($B300="",$B300&lt;&gt;'買掛帳'!$B$3,NOT(ISNUMBER($S300))),"",IF(AND($S300&gt;='買掛帳'!$Q$3,$S300&lt;='買掛帳'!$Q$4),$S300+ROW()/10000000,""))</f>
        <v/>
      </c>
      <c r="V300" s="35">
        <f>IF(OR($B300="",$B300&lt;&gt;'買掛帳'!$B$3,NOT(ISNUMBER($K300)),N($L300)+N($M300)=0),"",IF(AND($K300&gt;='買掛帳'!$Q$3,$K300&lt;='買掛帳'!$Q$4),$K300+0.5+ROW()/10000000,""))</f>
        <v/>
      </c>
    </row>
    <row r="301" ht="18" customHeight="1">
      <c r="A301" s="26" t="n"/>
      <c r="B301" s="18" t="n"/>
      <c r="C301" s="20">
        <f>IF($B301="","",IF($R301="なし","※仕入先にないコード",INDEX('仕入先'!$C$5:$C$54,$R301)&amp;""))</f>
        <v/>
      </c>
      <c r="D301" s="26" t="n"/>
      <c r="E301" s="18" t="n"/>
      <c r="F301" s="19" t="n"/>
      <c r="G301" s="27" t="n"/>
      <c r="H301" s="29">
        <f>IF(OR($B301="",NOT(ISNUMBER($R301)),NOT(ISNUMBER($S301))),"",IF(OR(INDEX('仕入先'!$D$5:$D$54,$R301)="",INDEX('仕入先'!$E$5:$E$54,$R301)="",INDEX('仕入先'!$F$5:$F$54,$R301)=""),"",IF(INDEX('仕入先'!$F$5:$F$54,$R301)="末",DATE(YEAR($S301),(MONTH($S301)+IF(INDEX('仕入先'!$D$5:$D$54,$R301)="末",0,IF(DAY($S301)&lt;=INDEX('仕入先'!$D$5:$D$54,$R301),0,1))+N(INDEX('仕入先'!$E$5:$E$54,$R301)))+1,0),DATE(YEAR($S301),(MONTH($S301)+IF(INDEX('仕入先'!$D$5:$D$54,$R301)="末",0,IF(DAY($S301)&lt;=INDEX('仕入先'!$D$5:$D$54,$R301),0,1))+N(INDEX('仕入先'!$E$5:$E$54,$R301))),MIN(INDEX('仕入先'!$F$5:$F$54,$R301),DAY(DATE(YEAR($S301),(MONTH($S301)+IF(INDEX('仕入先'!$D$5:$D$54,$R301)="末",0,IF(DAY($S301)&lt;=INDEX('仕入先'!$D$5:$D$54,$R301),0,1))+N(INDEX('仕入先'!$E$5:$E$54,$R301)))+1,0)))))))</f>
        <v/>
      </c>
      <c r="I301" s="26" t="n"/>
      <c r="J301" s="29">
        <f>IF($B301="","",IF(ISNUMBER($I301),$I301,$H301))</f>
        <v/>
      </c>
      <c r="K301" s="26" t="n"/>
      <c r="L301" s="27" t="n"/>
      <c r="M301" s="27" t="n"/>
      <c r="N301" s="28">
        <f>IF($B301="","",N($G301)-N($L301)-N($M301))</f>
        <v/>
      </c>
      <c r="O301" s="30">
        <f>IF($B301="","",IF(AND(OR(N($L301)&lt;&gt;0,N($M301)&lt;&gt;0),NOT(ISNUMBER($K301))),"支払日なし",IF($N301=0,IF(N($G301)=0,"請求額0","支払済"),IF($N301&lt;0,"払いすぎ",IF(N($L301)+N($M301)=0,"未払","一部支払")))))</f>
        <v/>
      </c>
      <c r="P301" s="30">
        <f>IF(OR($B301="",N($N301)&lt;=0,NOT(ISNUMBER($J301))),"",IF($J301&lt;'設定'!$B$7,"期日超過 "&amp;('設定'!$B$7-$J301)&amp;"日",IF($J301='設定'!$B$7,"今日","あと "&amp;($J301-'設定'!$B$7)&amp;"日")))</f>
        <v/>
      </c>
      <c r="Q301" s="56" t="n"/>
      <c r="R301" s="32">
        <f>IF($B301="","",IFERROR(MATCH($B301,'仕入先'!$B$5:$B$54,0),"なし"))</f>
        <v/>
      </c>
      <c r="S301" s="33">
        <f>IF($B301="","",IF(ISNUMBER($D301),$D301,IF(ISNUMBER($A301),$A301,"")))</f>
        <v/>
      </c>
      <c r="T301" s="34">
        <f>IF(OR($B301="",N($N301)&lt;=0),"",IF(ISNUMBER($J301),$J301,99999)+ROW()/1000000)</f>
        <v/>
      </c>
      <c r="U301" s="35">
        <f>IF(OR($B301="",$B301&lt;&gt;'買掛帳'!$B$3,NOT(ISNUMBER($S301))),"",IF(AND($S301&gt;='買掛帳'!$Q$3,$S301&lt;='買掛帳'!$Q$4),$S301+ROW()/10000000,""))</f>
        <v/>
      </c>
      <c r="V301" s="35">
        <f>IF(OR($B301="",$B301&lt;&gt;'買掛帳'!$B$3,NOT(ISNUMBER($K301)),N($L301)+N($M301)=0),"",IF(AND($K301&gt;='買掛帳'!$Q$3,$K301&lt;='買掛帳'!$Q$4),$K301+0.5+ROW()/10000000,""))</f>
        <v/>
      </c>
    </row>
    <row r="302" ht="18" customHeight="1">
      <c r="A302" s="26" t="n"/>
      <c r="B302" s="18" t="n"/>
      <c r="C302" s="20">
        <f>IF($B302="","",IF($R302="なし","※仕入先にないコード",INDEX('仕入先'!$C$5:$C$54,$R302)&amp;""))</f>
        <v/>
      </c>
      <c r="D302" s="26" t="n"/>
      <c r="E302" s="18" t="n"/>
      <c r="F302" s="19" t="n"/>
      <c r="G302" s="27" t="n"/>
      <c r="H302" s="29">
        <f>IF(OR($B302="",NOT(ISNUMBER($R302)),NOT(ISNUMBER($S302))),"",IF(OR(INDEX('仕入先'!$D$5:$D$54,$R302)="",INDEX('仕入先'!$E$5:$E$54,$R302)="",INDEX('仕入先'!$F$5:$F$54,$R302)=""),"",IF(INDEX('仕入先'!$F$5:$F$54,$R302)="末",DATE(YEAR($S302),(MONTH($S302)+IF(INDEX('仕入先'!$D$5:$D$54,$R302)="末",0,IF(DAY($S302)&lt;=INDEX('仕入先'!$D$5:$D$54,$R302),0,1))+N(INDEX('仕入先'!$E$5:$E$54,$R302)))+1,0),DATE(YEAR($S302),(MONTH($S302)+IF(INDEX('仕入先'!$D$5:$D$54,$R302)="末",0,IF(DAY($S302)&lt;=INDEX('仕入先'!$D$5:$D$54,$R302),0,1))+N(INDEX('仕入先'!$E$5:$E$54,$R302))),MIN(INDEX('仕入先'!$F$5:$F$54,$R302),DAY(DATE(YEAR($S302),(MONTH($S302)+IF(INDEX('仕入先'!$D$5:$D$54,$R302)="末",0,IF(DAY($S302)&lt;=INDEX('仕入先'!$D$5:$D$54,$R302),0,1))+N(INDEX('仕入先'!$E$5:$E$54,$R302)))+1,0)))))))</f>
        <v/>
      </c>
      <c r="I302" s="26" t="n"/>
      <c r="J302" s="29">
        <f>IF($B302="","",IF(ISNUMBER($I302),$I302,$H302))</f>
        <v/>
      </c>
      <c r="K302" s="26" t="n"/>
      <c r="L302" s="27" t="n"/>
      <c r="M302" s="27" t="n"/>
      <c r="N302" s="28">
        <f>IF($B302="","",N($G302)-N($L302)-N($M302))</f>
        <v/>
      </c>
      <c r="O302" s="30">
        <f>IF($B302="","",IF(AND(OR(N($L302)&lt;&gt;0,N($M302)&lt;&gt;0),NOT(ISNUMBER($K302))),"支払日なし",IF($N302=0,IF(N($G302)=0,"請求額0","支払済"),IF($N302&lt;0,"払いすぎ",IF(N($L302)+N($M302)=0,"未払","一部支払")))))</f>
        <v/>
      </c>
      <c r="P302" s="30">
        <f>IF(OR($B302="",N($N302)&lt;=0,NOT(ISNUMBER($J302))),"",IF($J302&lt;'設定'!$B$7,"期日超過 "&amp;('設定'!$B$7-$J302)&amp;"日",IF($J302='設定'!$B$7,"今日","あと "&amp;($J302-'設定'!$B$7)&amp;"日")))</f>
        <v/>
      </c>
      <c r="Q302" s="56" t="n"/>
      <c r="R302" s="32">
        <f>IF($B302="","",IFERROR(MATCH($B302,'仕入先'!$B$5:$B$54,0),"なし"))</f>
        <v/>
      </c>
      <c r="S302" s="33">
        <f>IF($B302="","",IF(ISNUMBER($D302),$D302,IF(ISNUMBER($A302),$A302,"")))</f>
        <v/>
      </c>
      <c r="T302" s="34">
        <f>IF(OR($B302="",N($N302)&lt;=0),"",IF(ISNUMBER($J302),$J302,99999)+ROW()/1000000)</f>
        <v/>
      </c>
      <c r="U302" s="35">
        <f>IF(OR($B302="",$B302&lt;&gt;'買掛帳'!$B$3,NOT(ISNUMBER($S302))),"",IF(AND($S302&gt;='買掛帳'!$Q$3,$S302&lt;='買掛帳'!$Q$4),$S302+ROW()/10000000,""))</f>
        <v/>
      </c>
      <c r="V302" s="35">
        <f>IF(OR($B302="",$B302&lt;&gt;'買掛帳'!$B$3,NOT(ISNUMBER($K302)),N($L302)+N($M302)=0),"",IF(AND($K302&gt;='買掛帳'!$Q$3,$K302&lt;='買掛帳'!$Q$4),$K302+0.5+ROW()/10000000,""))</f>
        <v/>
      </c>
    </row>
    <row r="303" ht="18" customHeight="1">
      <c r="A303" s="26" t="n"/>
      <c r="B303" s="18" t="n"/>
      <c r="C303" s="20">
        <f>IF($B303="","",IF($R303="なし","※仕入先にないコード",INDEX('仕入先'!$C$5:$C$54,$R303)&amp;""))</f>
        <v/>
      </c>
      <c r="D303" s="26" t="n"/>
      <c r="E303" s="18" t="n"/>
      <c r="F303" s="19" t="n"/>
      <c r="G303" s="27" t="n"/>
      <c r="H303" s="29">
        <f>IF(OR($B303="",NOT(ISNUMBER($R303)),NOT(ISNUMBER($S303))),"",IF(OR(INDEX('仕入先'!$D$5:$D$54,$R303)="",INDEX('仕入先'!$E$5:$E$54,$R303)="",INDEX('仕入先'!$F$5:$F$54,$R303)=""),"",IF(INDEX('仕入先'!$F$5:$F$54,$R303)="末",DATE(YEAR($S303),(MONTH($S303)+IF(INDEX('仕入先'!$D$5:$D$54,$R303)="末",0,IF(DAY($S303)&lt;=INDEX('仕入先'!$D$5:$D$54,$R303),0,1))+N(INDEX('仕入先'!$E$5:$E$54,$R303)))+1,0),DATE(YEAR($S303),(MONTH($S303)+IF(INDEX('仕入先'!$D$5:$D$54,$R303)="末",0,IF(DAY($S303)&lt;=INDEX('仕入先'!$D$5:$D$54,$R303),0,1))+N(INDEX('仕入先'!$E$5:$E$54,$R303))),MIN(INDEX('仕入先'!$F$5:$F$54,$R303),DAY(DATE(YEAR($S303),(MONTH($S303)+IF(INDEX('仕入先'!$D$5:$D$54,$R303)="末",0,IF(DAY($S303)&lt;=INDEX('仕入先'!$D$5:$D$54,$R303),0,1))+N(INDEX('仕入先'!$E$5:$E$54,$R303)))+1,0)))))))</f>
        <v/>
      </c>
      <c r="I303" s="26" t="n"/>
      <c r="J303" s="29">
        <f>IF($B303="","",IF(ISNUMBER($I303),$I303,$H303))</f>
        <v/>
      </c>
      <c r="K303" s="26" t="n"/>
      <c r="L303" s="27" t="n"/>
      <c r="M303" s="27" t="n"/>
      <c r="N303" s="28">
        <f>IF($B303="","",N($G303)-N($L303)-N($M303))</f>
        <v/>
      </c>
      <c r="O303" s="30">
        <f>IF($B303="","",IF(AND(OR(N($L303)&lt;&gt;0,N($M303)&lt;&gt;0),NOT(ISNUMBER($K303))),"支払日なし",IF($N303=0,IF(N($G303)=0,"請求額0","支払済"),IF($N303&lt;0,"払いすぎ",IF(N($L303)+N($M303)=0,"未払","一部支払")))))</f>
        <v/>
      </c>
      <c r="P303" s="30">
        <f>IF(OR($B303="",N($N303)&lt;=0,NOT(ISNUMBER($J303))),"",IF($J303&lt;'設定'!$B$7,"期日超過 "&amp;('設定'!$B$7-$J303)&amp;"日",IF($J303='設定'!$B$7,"今日","あと "&amp;($J303-'設定'!$B$7)&amp;"日")))</f>
        <v/>
      </c>
      <c r="Q303" s="56" t="n"/>
      <c r="R303" s="32">
        <f>IF($B303="","",IFERROR(MATCH($B303,'仕入先'!$B$5:$B$54,0),"なし"))</f>
        <v/>
      </c>
      <c r="S303" s="33">
        <f>IF($B303="","",IF(ISNUMBER($D303),$D303,IF(ISNUMBER($A303),$A303,"")))</f>
        <v/>
      </c>
      <c r="T303" s="34">
        <f>IF(OR($B303="",N($N303)&lt;=0),"",IF(ISNUMBER($J303),$J303,99999)+ROW()/1000000)</f>
        <v/>
      </c>
      <c r="U303" s="35">
        <f>IF(OR($B303="",$B303&lt;&gt;'買掛帳'!$B$3,NOT(ISNUMBER($S303))),"",IF(AND($S303&gt;='買掛帳'!$Q$3,$S303&lt;='買掛帳'!$Q$4),$S303+ROW()/10000000,""))</f>
        <v/>
      </c>
      <c r="V303" s="35">
        <f>IF(OR($B303="",$B303&lt;&gt;'買掛帳'!$B$3,NOT(ISNUMBER($K303)),N($L303)+N($M303)=0),"",IF(AND($K303&gt;='買掛帳'!$Q$3,$K303&lt;='買掛帳'!$Q$4),$K303+0.5+ROW()/10000000,""))</f>
        <v/>
      </c>
    </row>
    <row r="304" ht="18" customHeight="1">
      <c r="A304" s="26" t="n"/>
      <c r="B304" s="18" t="n"/>
      <c r="C304" s="20">
        <f>IF($B304="","",IF($R304="なし","※仕入先にないコード",INDEX('仕入先'!$C$5:$C$54,$R304)&amp;""))</f>
        <v/>
      </c>
      <c r="D304" s="26" t="n"/>
      <c r="E304" s="18" t="n"/>
      <c r="F304" s="19" t="n"/>
      <c r="G304" s="27" t="n"/>
      <c r="H304" s="29">
        <f>IF(OR($B304="",NOT(ISNUMBER($R304)),NOT(ISNUMBER($S304))),"",IF(OR(INDEX('仕入先'!$D$5:$D$54,$R304)="",INDEX('仕入先'!$E$5:$E$54,$R304)="",INDEX('仕入先'!$F$5:$F$54,$R304)=""),"",IF(INDEX('仕入先'!$F$5:$F$54,$R304)="末",DATE(YEAR($S304),(MONTH($S304)+IF(INDEX('仕入先'!$D$5:$D$54,$R304)="末",0,IF(DAY($S304)&lt;=INDEX('仕入先'!$D$5:$D$54,$R304),0,1))+N(INDEX('仕入先'!$E$5:$E$54,$R304)))+1,0),DATE(YEAR($S304),(MONTH($S304)+IF(INDEX('仕入先'!$D$5:$D$54,$R304)="末",0,IF(DAY($S304)&lt;=INDEX('仕入先'!$D$5:$D$54,$R304),0,1))+N(INDEX('仕入先'!$E$5:$E$54,$R304))),MIN(INDEX('仕入先'!$F$5:$F$54,$R304),DAY(DATE(YEAR($S304),(MONTH($S304)+IF(INDEX('仕入先'!$D$5:$D$54,$R304)="末",0,IF(DAY($S304)&lt;=INDEX('仕入先'!$D$5:$D$54,$R304),0,1))+N(INDEX('仕入先'!$E$5:$E$54,$R304)))+1,0)))))))</f>
        <v/>
      </c>
      <c r="I304" s="26" t="n"/>
      <c r="J304" s="29">
        <f>IF($B304="","",IF(ISNUMBER($I304),$I304,$H304))</f>
        <v/>
      </c>
      <c r="K304" s="26" t="n"/>
      <c r="L304" s="27" t="n"/>
      <c r="M304" s="27" t="n"/>
      <c r="N304" s="28">
        <f>IF($B304="","",N($G304)-N($L304)-N($M304))</f>
        <v/>
      </c>
      <c r="O304" s="30">
        <f>IF($B304="","",IF(AND(OR(N($L304)&lt;&gt;0,N($M304)&lt;&gt;0),NOT(ISNUMBER($K304))),"支払日なし",IF($N304=0,IF(N($G304)=0,"請求額0","支払済"),IF($N304&lt;0,"払いすぎ",IF(N($L304)+N($M304)=0,"未払","一部支払")))))</f>
        <v/>
      </c>
      <c r="P304" s="30">
        <f>IF(OR($B304="",N($N304)&lt;=0,NOT(ISNUMBER($J304))),"",IF($J304&lt;'設定'!$B$7,"期日超過 "&amp;('設定'!$B$7-$J304)&amp;"日",IF($J304='設定'!$B$7,"今日","あと "&amp;($J304-'設定'!$B$7)&amp;"日")))</f>
        <v/>
      </c>
      <c r="Q304" s="56" t="n"/>
      <c r="R304" s="32">
        <f>IF($B304="","",IFERROR(MATCH($B304,'仕入先'!$B$5:$B$54,0),"なし"))</f>
        <v/>
      </c>
      <c r="S304" s="33">
        <f>IF($B304="","",IF(ISNUMBER($D304),$D304,IF(ISNUMBER($A304),$A304,"")))</f>
        <v/>
      </c>
      <c r="T304" s="34">
        <f>IF(OR($B304="",N($N304)&lt;=0),"",IF(ISNUMBER($J304),$J304,99999)+ROW()/1000000)</f>
        <v/>
      </c>
      <c r="U304" s="35">
        <f>IF(OR($B304="",$B304&lt;&gt;'買掛帳'!$B$3,NOT(ISNUMBER($S304))),"",IF(AND($S304&gt;='買掛帳'!$Q$3,$S304&lt;='買掛帳'!$Q$4),$S304+ROW()/10000000,""))</f>
        <v/>
      </c>
      <c r="V304" s="35">
        <f>IF(OR($B304="",$B304&lt;&gt;'買掛帳'!$B$3,NOT(ISNUMBER($K304)),N($L304)+N($M304)=0),"",IF(AND($K304&gt;='買掛帳'!$Q$3,$K304&lt;='買掛帳'!$Q$4),$K304+0.5+ROW()/10000000,""))</f>
        <v/>
      </c>
    </row>
    <row r="305" ht="18" customHeight="1">
      <c r="A305" s="26" t="n"/>
      <c r="B305" s="18" t="n"/>
      <c r="C305" s="20">
        <f>IF($B305="","",IF($R305="なし","※仕入先にないコード",INDEX('仕入先'!$C$5:$C$54,$R305)&amp;""))</f>
        <v/>
      </c>
      <c r="D305" s="26" t="n"/>
      <c r="E305" s="18" t="n"/>
      <c r="F305" s="19" t="n"/>
      <c r="G305" s="27" t="n"/>
      <c r="H305" s="29">
        <f>IF(OR($B305="",NOT(ISNUMBER($R305)),NOT(ISNUMBER($S305))),"",IF(OR(INDEX('仕入先'!$D$5:$D$54,$R305)="",INDEX('仕入先'!$E$5:$E$54,$R305)="",INDEX('仕入先'!$F$5:$F$54,$R305)=""),"",IF(INDEX('仕入先'!$F$5:$F$54,$R305)="末",DATE(YEAR($S305),(MONTH($S305)+IF(INDEX('仕入先'!$D$5:$D$54,$R305)="末",0,IF(DAY($S305)&lt;=INDEX('仕入先'!$D$5:$D$54,$R305),0,1))+N(INDEX('仕入先'!$E$5:$E$54,$R305)))+1,0),DATE(YEAR($S305),(MONTH($S305)+IF(INDEX('仕入先'!$D$5:$D$54,$R305)="末",0,IF(DAY($S305)&lt;=INDEX('仕入先'!$D$5:$D$54,$R305),0,1))+N(INDEX('仕入先'!$E$5:$E$54,$R305))),MIN(INDEX('仕入先'!$F$5:$F$54,$R305),DAY(DATE(YEAR($S305),(MONTH($S305)+IF(INDEX('仕入先'!$D$5:$D$54,$R305)="末",0,IF(DAY($S305)&lt;=INDEX('仕入先'!$D$5:$D$54,$R305),0,1))+N(INDEX('仕入先'!$E$5:$E$54,$R305)))+1,0)))))))</f>
        <v/>
      </c>
      <c r="I305" s="26" t="n"/>
      <c r="J305" s="29">
        <f>IF($B305="","",IF(ISNUMBER($I305),$I305,$H305))</f>
        <v/>
      </c>
      <c r="K305" s="26" t="n"/>
      <c r="L305" s="27" t="n"/>
      <c r="M305" s="27" t="n"/>
      <c r="N305" s="28">
        <f>IF($B305="","",N($G305)-N($L305)-N($M305))</f>
        <v/>
      </c>
      <c r="O305" s="30">
        <f>IF($B305="","",IF(AND(OR(N($L305)&lt;&gt;0,N($M305)&lt;&gt;0),NOT(ISNUMBER($K305))),"支払日なし",IF($N305=0,IF(N($G305)=0,"請求額0","支払済"),IF($N305&lt;0,"払いすぎ",IF(N($L305)+N($M305)=0,"未払","一部支払")))))</f>
        <v/>
      </c>
      <c r="P305" s="30">
        <f>IF(OR($B305="",N($N305)&lt;=0,NOT(ISNUMBER($J305))),"",IF($J305&lt;'設定'!$B$7,"期日超過 "&amp;('設定'!$B$7-$J305)&amp;"日",IF($J305='設定'!$B$7,"今日","あと "&amp;($J305-'設定'!$B$7)&amp;"日")))</f>
        <v/>
      </c>
      <c r="Q305" s="56" t="n"/>
      <c r="R305" s="32">
        <f>IF($B305="","",IFERROR(MATCH($B305,'仕入先'!$B$5:$B$54,0),"なし"))</f>
        <v/>
      </c>
      <c r="S305" s="33">
        <f>IF($B305="","",IF(ISNUMBER($D305),$D305,IF(ISNUMBER($A305),$A305,"")))</f>
        <v/>
      </c>
      <c r="T305" s="34">
        <f>IF(OR($B305="",N($N305)&lt;=0),"",IF(ISNUMBER($J305),$J305,99999)+ROW()/1000000)</f>
        <v/>
      </c>
      <c r="U305" s="35">
        <f>IF(OR($B305="",$B305&lt;&gt;'買掛帳'!$B$3,NOT(ISNUMBER($S305))),"",IF(AND($S305&gt;='買掛帳'!$Q$3,$S305&lt;='買掛帳'!$Q$4),$S305+ROW()/10000000,""))</f>
        <v/>
      </c>
      <c r="V305" s="35">
        <f>IF(OR($B305="",$B305&lt;&gt;'買掛帳'!$B$3,NOT(ISNUMBER($K305)),N($L305)+N($M305)=0),"",IF(AND($K305&gt;='買掛帳'!$Q$3,$K305&lt;='買掛帳'!$Q$4),$K305+0.5+ROW()/10000000,""))</f>
        <v/>
      </c>
    </row>
    <row r="306" ht="18" customHeight="1">
      <c r="A306" s="26" t="n"/>
      <c r="B306" s="18" t="n"/>
      <c r="C306" s="20">
        <f>IF($B306="","",IF($R306="なし","※仕入先にないコード",INDEX('仕入先'!$C$5:$C$54,$R306)&amp;""))</f>
        <v/>
      </c>
      <c r="D306" s="26" t="n"/>
      <c r="E306" s="18" t="n"/>
      <c r="F306" s="19" t="n"/>
      <c r="G306" s="27" t="n"/>
      <c r="H306" s="29">
        <f>IF(OR($B306="",NOT(ISNUMBER($R306)),NOT(ISNUMBER($S306))),"",IF(OR(INDEX('仕入先'!$D$5:$D$54,$R306)="",INDEX('仕入先'!$E$5:$E$54,$R306)="",INDEX('仕入先'!$F$5:$F$54,$R306)=""),"",IF(INDEX('仕入先'!$F$5:$F$54,$R306)="末",DATE(YEAR($S306),(MONTH($S306)+IF(INDEX('仕入先'!$D$5:$D$54,$R306)="末",0,IF(DAY($S306)&lt;=INDEX('仕入先'!$D$5:$D$54,$R306),0,1))+N(INDEX('仕入先'!$E$5:$E$54,$R306)))+1,0),DATE(YEAR($S306),(MONTH($S306)+IF(INDEX('仕入先'!$D$5:$D$54,$R306)="末",0,IF(DAY($S306)&lt;=INDEX('仕入先'!$D$5:$D$54,$R306),0,1))+N(INDEX('仕入先'!$E$5:$E$54,$R306))),MIN(INDEX('仕入先'!$F$5:$F$54,$R306),DAY(DATE(YEAR($S306),(MONTH($S306)+IF(INDEX('仕入先'!$D$5:$D$54,$R306)="末",0,IF(DAY($S306)&lt;=INDEX('仕入先'!$D$5:$D$54,$R306),0,1))+N(INDEX('仕入先'!$E$5:$E$54,$R306)))+1,0)))))))</f>
        <v/>
      </c>
      <c r="I306" s="26" t="n"/>
      <c r="J306" s="29">
        <f>IF($B306="","",IF(ISNUMBER($I306),$I306,$H306))</f>
        <v/>
      </c>
      <c r="K306" s="26" t="n"/>
      <c r="L306" s="27" t="n"/>
      <c r="M306" s="27" t="n"/>
      <c r="N306" s="28">
        <f>IF($B306="","",N($G306)-N($L306)-N($M306))</f>
        <v/>
      </c>
      <c r="O306" s="30">
        <f>IF($B306="","",IF(AND(OR(N($L306)&lt;&gt;0,N($M306)&lt;&gt;0),NOT(ISNUMBER($K306))),"支払日なし",IF($N306=0,IF(N($G306)=0,"請求額0","支払済"),IF($N306&lt;0,"払いすぎ",IF(N($L306)+N($M306)=0,"未払","一部支払")))))</f>
        <v/>
      </c>
      <c r="P306" s="30">
        <f>IF(OR($B306="",N($N306)&lt;=0,NOT(ISNUMBER($J306))),"",IF($J306&lt;'設定'!$B$7,"期日超過 "&amp;('設定'!$B$7-$J306)&amp;"日",IF($J306='設定'!$B$7,"今日","あと "&amp;($J306-'設定'!$B$7)&amp;"日")))</f>
        <v/>
      </c>
      <c r="Q306" s="56" t="n"/>
      <c r="R306" s="32">
        <f>IF($B306="","",IFERROR(MATCH($B306,'仕入先'!$B$5:$B$54,0),"なし"))</f>
        <v/>
      </c>
      <c r="S306" s="33">
        <f>IF($B306="","",IF(ISNUMBER($D306),$D306,IF(ISNUMBER($A306),$A306,"")))</f>
        <v/>
      </c>
      <c r="T306" s="34">
        <f>IF(OR($B306="",N($N306)&lt;=0),"",IF(ISNUMBER($J306),$J306,99999)+ROW()/1000000)</f>
        <v/>
      </c>
      <c r="U306" s="35">
        <f>IF(OR($B306="",$B306&lt;&gt;'買掛帳'!$B$3,NOT(ISNUMBER($S306))),"",IF(AND($S306&gt;='買掛帳'!$Q$3,$S306&lt;='買掛帳'!$Q$4),$S306+ROW()/10000000,""))</f>
        <v/>
      </c>
      <c r="V306" s="35">
        <f>IF(OR($B306="",$B306&lt;&gt;'買掛帳'!$B$3,NOT(ISNUMBER($K306)),N($L306)+N($M306)=0),"",IF(AND($K306&gt;='買掛帳'!$Q$3,$K306&lt;='買掛帳'!$Q$4),$K306+0.5+ROW()/10000000,""))</f>
        <v/>
      </c>
    </row>
    <row r="307" ht="18" customHeight="1">
      <c r="A307" s="26" t="n"/>
      <c r="B307" s="18" t="n"/>
      <c r="C307" s="20">
        <f>IF($B307="","",IF($R307="なし","※仕入先にないコード",INDEX('仕入先'!$C$5:$C$54,$R307)&amp;""))</f>
        <v/>
      </c>
      <c r="D307" s="26" t="n"/>
      <c r="E307" s="18" t="n"/>
      <c r="F307" s="19" t="n"/>
      <c r="G307" s="27" t="n"/>
      <c r="H307" s="29">
        <f>IF(OR($B307="",NOT(ISNUMBER($R307)),NOT(ISNUMBER($S307))),"",IF(OR(INDEX('仕入先'!$D$5:$D$54,$R307)="",INDEX('仕入先'!$E$5:$E$54,$R307)="",INDEX('仕入先'!$F$5:$F$54,$R307)=""),"",IF(INDEX('仕入先'!$F$5:$F$54,$R307)="末",DATE(YEAR($S307),(MONTH($S307)+IF(INDEX('仕入先'!$D$5:$D$54,$R307)="末",0,IF(DAY($S307)&lt;=INDEX('仕入先'!$D$5:$D$54,$R307),0,1))+N(INDEX('仕入先'!$E$5:$E$54,$R307)))+1,0),DATE(YEAR($S307),(MONTH($S307)+IF(INDEX('仕入先'!$D$5:$D$54,$R307)="末",0,IF(DAY($S307)&lt;=INDEX('仕入先'!$D$5:$D$54,$R307),0,1))+N(INDEX('仕入先'!$E$5:$E$54,$R307))),MIN(INDEX('仕入先'!$F$5:$F$54,$R307),DAY(DATE(YEAR($S307),(MONTH($S307)+IF(INDEX('仕入先'!$D$5:$D$54,$R307)="末",0,IF(DAY($S307)&lt;=INDEX('仕入先'!$D$5:$D$54,$R307),0,1))+N(INDEX('仕入先'!$E$5:$E$54,$R307)))+1,0)))))))</f>
        <v/>
      </c>
      <c r="I307" s="26" t="n"/>
      <c r="J307" s="29">
        <f>IF($B307="","",IF(ISNUMBER($I307),$I307,$H307))</f>
        <v/>
      </c>
      <c r="K307" s="26" t="n"/>
      <c r="L307" s="27" t="n"/>
      <c r="M307" s="27" t="n"/>
      <c r="N307" s="28">
        <f>IF($B307="","",N($G307)-N($L307)-N($M307))</f>
        <v/>
      </c>
      <c r="O307" s="30">
        <f>IF($B307="","",IF(AND(OR(N($L307)&lt;&gt;0,N($M307)&lt;&gt;0),NOT(ISNUMBER($K307))),"支払日なし",IF($N307=0,IF(N($G307)=0,"請求額0","支払済"),IF($N307&lt;0,"払いすぎ",IF(N($L307)+N($M307)=0,"未払","一部支払")))))</f>
        <v/>
      </c>
      <c r="P307" s="30">
        <f>IF(OR($B307="",N($N307)&lt;=0,NOT(ISNUMBER($J307))),"",IF($J307&lt;'設定'!$B$7,"期日超過 "&amp;('設定'!$B$7-$J307)&amp;"日",IF($J307='設定'!$B$7,"今日","あと "&amp;($J307-'設定'!$B$7)&amp;"日")))</f>
        <v/>
      </c>
      <c r="Q307" s="56" t="n"/>
      <c r="R307" s="32">
        <f>IF($B307="","",IFERROR(MATCH($B307,'仕入先'!$B$5:$B$54,0),"なし"))</f>
        <v/>
      </c>
      <c r="S307" s="33">
        <f>IF($B307="","",IF(ISNUMBER($D307),$D307,IF(ISNUMBER($A307),$A307,"")))</f>
        <v/>
      </c>
      <c r="T307" s="34">
        <f>IF(OR($B307="",N($N307)&lt;=0),"",IF(ISNUMBER($J307),$J307,99999)+ROW()/1000000)</f>
        <v/>
      </c>
      <c r="U307" s="35">
        <f>IF(OR($B307="",$B307&lt;&gt;'買掛帳'!$B$3,NOT(ISNUMBER($S307))),"",IF(AND($S307&gt;='買掛帳'!$Q$3,$S307&lt;='買掛帳'!$Q$4),$S307+ROW()/10000000,""))</f>
        <v/>
      </c>
      <c r="V307" s="35">
        <f>IF(OR($B307="",$B307&lt;&gt;'買掛帳'!$B$3,NOT(ISNUMBER($K307)),N($L307)+N($M307)=0),"",IF(AND($K307&gt;='買掛帳'!$Q$3,$K307&lt;='買掛帳'!$Q$4),$K307+0.5+ROW()/10000000,""))</f>
        <v/>
      </c>
    </row>
    <row r="308" ht="18" customHeight="1">
      <c r="A308" s="26" t="n"/>
      <c r="B308" s="18" t="n"/>
      <c r="C308" s="20">
        <f>IF($B308="","",IF($R308="なし","※仕入先にないコード",INDEX('仕入先'!$C$5:$C$54,$R308)&amp;""))</f>
        <v/>
      </c>
      <c r="D308" s="26" t="n"/>
      <c r="E308" s="18" t="n"/>
      <c r="F308" s="19" t="n"/>
      <c r="G308" s="27" t="n"/>
      <c r="H308" s="29">
        <f>IF(OR($B308="",NOT(ISNUMBER($R308)),NOT(ISNUMBER($S308))),"",IF(OR(INDEX('仕入先'!$D$5:$D$54,$R308)="",INDEX('仕入先'!$E$5:$E$54,$R308)="",INDEX('仕入先'!$F$5:$F$54,$R308)=""),"",IF(INDEX('仕入先'!$F$5:$F$54,$R308)="末",DATE(YEAR($S308),(MONTH($S308)+IF(INDEX('仕入先'!$D$5:$D$54,$R308)="末",0,IF(DAY($S308)&lt;=INDEX('仕入先'!$D$5:$D$54,$R308),0,1))+N(INDEX('仕入先'!$E$5:$E$54,$R308)))+1,0),DATE(YEAR($S308),(MONTH($S308)+IF(INDEX('仕入先'!$D$5:$D$54,$R308)="末",0,IF(DAY($S308)&lt;=INDEX('仕入先'!$D$5:$D$54,$R308),0,1))+N(INDEX('仕入先'!$E$5:$E$54,$R308))),MIN(INDEX('仕入先'!$F$5:$F$54,$R308),DAY(DATE(YEAR($S308),(MONTH($S308)+IF(INDEX('仕入先'!$D$5:$D$54,$R308)="末",0,IF(DAY($S308)&lt;=INDEX('仕入先'!$D$5:$D$54,$R308),0,1))+N(INDEX('仕入先'!$E$5:$E$54,$R308)))+1,0)))))))</f>
        <v/>
      </c>
      <c r="I308" s="26" t="n"/>
      <c r="J308" s="29">
        <f>IF($B308="","",IF(ISNUMBER($I308),$I308,$H308))</f>
        <v/>
      </c>
      <c r="K308" s="26" t="n"/>
      <c r="L308" s="27" t="n"/>
      <c r="M308" s="27" t="n"/>
      <c r="N308" s="28">
        <f>IF($B308="","",N($G308)-N($L308)-N($M308))</f>
        <v/>
      </c>
      <c r="O308" s="30">
        <f>IF($B308="","",IF(AND(OR(N($L308)&lt;&gt;0,N($M308)&lt;&gt;0),NOT(ISNUMBER($K308))),"支払日なし",IF($N308=0,IF(N($G308)=0,"請求額0","支払済"),IF($N308&lt;0,"払いすぎ",IF(N($L308)+N($M308)=0,"未払","一部支払")))))</f>
        <v/>
      </c>
      <c r="P308" s="30">
        <f>IF(OR($B308="",N($N308)&lt;=0,NOT(ISNUMBER($J308))),"",IF($J308&lt;'設定'!$B$7,"期日超過 "&amp;('設定'!$B$7-$J308)&amp;"日",IF($J308='設定'!$B$7,"今日","あと "&amp;($J308-'設定'!$B$7)&amp;"日")))</f>
        <v/>
      </c>
      <c r="Q308" s="56" t="n"/>
      <c r="R308" s="32">
        <f>IF($B308="","",IFERROR(MATCH($B308,'仕入先'!$B$5:$B$54,0),"なし"))</f>
        <v/>
      </c>
      <c r="S308" s="33">
        <f>IF($B308="","",IF(ISNUMBER($D308),$D308,IF(ISNUMBER($A308),$A308,"")))</f>
        <v/>
      </c>
      <c r="T308" s="34">
        <f>IF(OR($B308="",N($N308)&lt;=0),"",IF(ISNUMBER($J308),$J308,99999)+ROW()/1000000)</f>
        <v/>
      </c>
      <c r="U308" s="35">
        <f>IF(OR($B308="",$B308&lt;&gt;'買掛帳'!$B$3,NOT(ISNUMBER($S308))),"",IF(AND($S308&gt;='買掛帳'!$Q$3,$S308&lt;='買掛帳'!$Q$4),$S308+ROW()/10000000,""))</f>
        <v/>
      </c>
      <c r="V308" s="35">
        <f>IF(OR($B308="",$B308&lt;&gt;'買掛帳'!$B$3,NOT(ISNUMBER($K308)),N($L308)+N($M308)=0),"",IF(AND($K308&gt;='買掛帳'!$Q$3,$K308&lt;='買掛帳'!$Q$4),$K308+0.5+ROW()/10000000,""))</f>
        <v/>
      </c>
    </row>
    <row r="309" ht="18" customHeight="1">
      <c r="A309" s="26" t="n"/>
      <c r="B309" s="18" t="n"/>
      <c r="C309" s="20">
        <f>IF($B309="","",IF($R309="なし","※仕入先にないコード",INDEX('仕入先'!$C$5:$C$54,$R309)&amp;""))</f>
        <v/>
      </c>
      <c r="D309" s="26" t="n"/>
      <c r="E309" s="18" t="n"/>
      <c r="F309" s="19" t="n"/>
      <c r="G309" s="27" t="n"/>
      <c r="H309" s="29">
        <f>IF(OR($B309="",NOT(ISNUMBER($R309)),NOT(ISNUMBER($S309))),"",IF(OR(INDEX('仕入先'!$D$5:$D$54,$R309)="",INDEX('仕入先'!$E$5:$E$54,$R309)="",INDEX('仕入先'!$F$5:$F$54,$R309)=""),"",IF(INDEX('仕入先'!$F$5:$F$54,$R309)="末",DATE(YEAR($S309),(MONTH($S309)+IF(INDEX('仕入先'!$D$5:$D$54,$R309)="末",0,IF(DAY($S309)&lt;=INDEX('仕入先'!$D$5:$D$54,$R309),0,1))+N(INDEX('仕入先'!$E$5:$E$54,$R309)))+1,0),DATE(YEAR($S309),(MONTH($S309)+IF(INDEX('仕入先'!$D$5:$D$54,$R309)="末",0,IF(DAY($S309)&lt;=INDEX('仕入先'!$D$5:$D$54,$R309),0,1))+N(INDEX('仕入先'!$E$5:$E$54,$R309))),MIN(INDEX('仕入先'!$F$5:$F$54,$R309),DAY(DATE(YEAR($S309),(MONTH($S309)+IF(INDEX('仕入先'!$D$5:$D$54,$R309)="末",0,IF(DAY($S309)&lt;=INDEX('仕入先'!$D$5:$D$54,$R309),0,1))+N(INDEX('仕入先'!$E$5:$E$54,$R309)))+1,0)))))))</f>
        <v/>
      </c>
      <c r="I309" s="26" t="n"/>
      <c r="J309" s="29">
        <f>IF($B309="","",IF(ISNUMBER($I309),$I309,$H309))</f>
        <v/>
      </c>
      <c r="K309" s="26" t="n"/>
      <c r="L309" s="27" t="n"/>
      <c r="M309" s="27" t="n"/>
      <c r="N309" s="28">
        <f>IF($B309="","",N($G309)-N($L309)-N($M309))</f>
        <v/>
      </c>
      <c r="O309" s="30">
        <f>IF($B309="","",IF(AND(OR(N($L309)&lt;&gt;0,N($M309)&lt;&gt;0),NOT(ISNUMBER($K309))),"支払日なし",IF($N309=0,IF(N($G309)=0,"請求額0","支払済"),IF($N309&lt;0,"払いすぎ",IF(N($L309)+N($M309)=0,"未払","一部支払")))))</f>
        <v/>
      </c>
      <c r="P309" s="30">
        <f>IF(OR($B309="",N($N309)&lt;=0,NOT(ISNUMBER($J309))),"",IF($J309&lt;'設定'!$B$7,"期日超過 "&amp;('設定'!$B$7-$J309)&amp;"日",IF($J309='設定'!$B$7,"今日","あと "&amp;($J309-'設定'!$B$7)&amp;"日")))</f>
        <v/>
      </c>
      <c r="Q309" s="56" t="n"/>
      <c r="R309" s="32">
        <f>IF($B309="","",IFERROR(MATCH($B309,'仕入先'!$B$5:$B$54,0),"なし"))</f>
        <v/>
      </c>
      <c r="S309" s="33">
        <f>IF($B309="","",IF(ISNUMBER($D309),$D309,IF(ISNUMBER($A309),$A309,"")))</f>
        <v/>
      </c>
      <c r="T309" s="34">
        <f>IF(OR($B309="",N($N309)&lt;=0),"",IF(ISNUMBER($J309),$J309,99999)+ROW()/1000000)</f>
        <v/>
      </c>
      <c r="U309" s="35">
        <f>IF(OR($B309="",$B309&lt;&gt;'買掛帳'!$B$3,NOT(ISNUMBER($S309))),"",IF(AND($S309&gt;='買掛帳'!$Q$3,$S309&lt;='買掛帳'!$Q$4),$S309+ROW()/10000000,""))</f>
        <v/>
      </c>
      <c r="V309" s="35">
        <f>IF(OR($B309="",$B309&lt;&gt;'買掛帳'!$B$3,NOT(ISNUMBER($K309)),N($L309)+N($M309)=0),"",IF(AND($K309&gt;='買掛帳'!$Q$3,$K309&lt;='買掛帳'!$Q$4),$K309+0.5+ROW()/10000000,""))</f>
        <v/>
      </c>
    </row>
    <row r="310" ht="18" customHeight="1">
      <c r="A310" s="26" t="n"/>
      <c r="B310" s="18" t="n"/>
      <c r="C310" s="20">
        <f>IF($B310="","",IF($R310="なし","※仕入先にないコード",INDEX('仕入先'!$C$5:$C$54,$R310)&amp;""))</f>
        <v/>
      </c>
      <c r="D310" s="26" t="n"/>
      <c r="E310" s="18" t="n"/>
      <c r="F310" s="19" t="n"/>
      <c r="G310" s="27" t="n"/>
      <c r="H310" s="29">
        <f>IF(OR($B310="",NOT(ISNUMBER($R310)),NOT(ISNUMBER($S310))),"",IF(OR(INDEX('仕入先'!$D$5:$D$54,$R310)="",INDEX('仕入先'!$E$5:$E$54,$R310)="",INDEX('仕入先'!$F$5:$F$54,$R310)=""),"",IF(INDEX('仕入先'!$F$5:$F$54,$R310)="末",DATE(YEAR($S310),(MONTH($S310)+IF(INDEX('仕入先'!$D$5:$D$54,$R310)="末",0,IF(DAY($S310)&lt;=INDEX('仕入先'!$D$5:$D$54,$R310),0,1))+N(INDEX('仕入先'!$E$5:$E$54,$R310)))+1,0),DATE(YEAR($S310),(MONTH($S310)+IF(INDEX('仕入先'!$D$5:$D$54,$R310)="末",0,IF(DAY($S310)&lt;=INDEX('仕入先'!$D$5:$D$54,$R310),0,1))+N(INDEX('仕入先'!$E$5:$E$54,$R310))),MIN(INDEX('仕入先'!$F$5:$F$54,$R310),DAY(DATE(YEAR($S310),(MONTH($S310)+IF(INDEX('仕入先'!$D$5:$D$54,$R310)="末",0,IF(DAY($S310)&lt;=INDEX('仕入先'!$D$5:$D$54,$R310),0,1))+N(INDEX('仕入先'!$E$5:$E$54,$R310)))+1,0)))))))</f>
        <v/>
      </c>
      <c r="I310" s="26" t="n"/>
      <c r="J310" s="29">
        <f>IF($B310="","",IF(ISNUMBER($I310),$I310,$H310))</f>
        <v/>
      </c>
      <c r="K310" s="26" t="n"/>
      <c r="L310" s="27" t="n"/>
      <c r="M310" s="27" t="n"/>
      <c r="N310" s="28">
        <f>IF($B310="","",N($G310)-N($L310)-N($M310))</f>
        <v/>
      </c>
      <c r="O310" s="30">
        <f>IF($B310="","",IF(AND(OR(N($L310)&lt;&gt;0,N($M310)&lt;&gt;0),NOT(ISNUMBER($K310))),"支払日なし",IF($N310=0,IF(N($G310)=0,"請求額0","支払済"),IF($N310&lt;0,"払いすぎ",IF(N($L310)+N($M310)=0,"未払","一部支払")))))</f>
        <v/>
      </c>
      <c r="P310" s="30">
        <f>IF(OR($B310="",N($N310)&lt;=0,NOT(ISNUMBER($J310))),"",IF($J310&lt;'設定'!$B$7,"期日超過 "&amp;('設定'!$B$7-$J310)&amp;"日",IF($J310='設定'!$B$7,"今日","あと "&amp;($J310-'設定'!$B$7)&amp;"日")))</f>
        <v/>
      </c>
      <c r="Q310" s="56" t="n"/>
      <c r="R310" s="32">
        <f>IF($B310="","",IFERROR(MATCH($B310,'仕入先'!$B$5:$B$54,0),"なし"))</f>
        <v/>
      </c>
      <c r="S310" s="33">
        <f>IF($B310="","",IF(ISNUMBER($D310),$D310,IF(ISNUMBER($A310),$A310,"")))</f>
        <v/>
      </c>
      <c r="T310" s="34">
        <f>IF(OR($B310="",N($N310)&lt;=0),"",IF(ISNUMBER($J310),$J310,99999)+ROW()/1000000)</f>
        <v/>
      </c>
      <c r="U310" s="35">
        <f>IF(OR($B310="",$B310&lt;&gt;'買掛帳'!$B$3,NOT(ISNUMBER($S310))),"",IF(AND($S310&gt;='買掛帳'!$Q$3,$S310&lt;='買掛帳'!$Q$4),$S310+ROW()/10000000,""))</f>
        <v/>
      </c>
      <c r="V310" s="35">
        <f>IF(OR($B310="",$B310&lt;&gt;'買掛帳'!$B$3,NOT(ISNUMBER($K310)),N($L310)+N($M310)=0),"",IF(AND($K310&gt;='買掛帳'!$Q$3,$K310&lt;='買掛帳'!$Q$4),$K310+0.5+ROW()/10000000,""))</f>
        <v/>
      </c>
    </row>
    <row r="311" ht="18" customHeight="1">
      <c r="A311" s="26" t="n"/>
      <c r="B311" s="18" t="n"/>
      <c r="C311" s="20">
        <f>IF($B311="","",IF($R311="なし","※仕入先にないコード",INDEX('仕入先'!$C$5:$C$54,$R311)&amp;""))</f>
        <v/>
      </c>
      <c r="D311" s="26" t="n"/>
      <c r="E311" s="18" t="n"/>
      <c r="F311" s="19" t="n"/>
      <c r="G311" s="27" t="n"/>
      <c r="H311" s="29">
        <f>IF(OR($B311="",NOT(ISNUMBER($R311)),NOT(ISNUMBER($S311))),"",IF(OR(INDEX('仕入先'!$D$5:$D$54,$R311)="",INDEX('仕入先'!$E$5:$E$54,$R311)="",INDEX('仕入先'!$F$5:$F$54,$R311)=""),"",IF(INDEX('仕入先'!$F$5:$F$54,$R311)="末",DATE(YEAR($S311),(MONTH($S311)+IF(INDEX('仕入先'!$D$5:$D$54,$R311)="末",0,IF(DAY($S311)&lt;=INDEX('仕入先'!$D$5:$D$54,$R311),0,1))+N(INDEX('仕入先'!$E$5:$E$54,$R311)))+1,0),DATE(YEAR($S311),(MONTH($S311)+IF(INDEX('仕入先'!$D$5:$D$54,$R311)="末",0,IF(DAY($S311)&lt;=INDEX('仕入先'!$D$5:$D$54,$R311),0,1))+N(INDEX('仕入先'!$E$5:$E$54,$R311))),MIN(INDEX('仕入先'!$F$5:$F$54,$R311),DAY(DATE(YEAR($S311),(MONTH($S311)+IF(INDEX('仕入先'!$D$5:$D$54,$R311)="末",0,IF(DAY($S311)&lt;=INDEX('仕入先'!$D$5:$D$54,$R311),0,1))+N(INDEX('仕入先'!$E$5:$E$54,$R311)))+1,0)))))))</f>
        <v/>
      </c>
      <c r="I311" s="26" t="n"/>
      <c r="J311" s="29">
        <f>IF($B311="","",IF(ISNUMBER($I311),$I311,$H311))</f>
        <v/>
      </c>
      <c r="K311" s="26" t="n"/>
      <c r="L311" s="27" t="n"/>
      <c r="M311" s="27" t="n"/>
      <c r="N311" s="28">
        <f>IF($B311="","",N($G311)-N($L311)-N($M311))</f>
        <v/>
      </c>
      <c r="O311" s="30">
        <f>IF($B311="","",IF(AND(OR(N($L311)&lt;&gt;0,N($M311)&lt;&gt;0),NOT(ISNUMBER($K311))),"支払日なし",IF($N311=0,IF(N($G311)=0,"請求額0","支払済"),IF($N311&lt;0,"払いすぎ",IF(N($L311)+N($M311)=0,"未払","一部支払")))))</f>
        <v/>
      </c>
      <c r="P311" s="30">
        <f>IF(OR($B311="",N($N311)&lt;=0,NOT(ISNUMBER($J311))),"",IF($J311&lt;'設定'!$B$7,"期日超過 "&amp;('設定'!$B$7-$J311)&amp;"日",IF($J311='設定'!$B$7,"今日","あと "&amp;($J311-'設定'!$B$7)&amp;"日")))</f>
        <v/>
      </c>
      <c r="Q311" s="56" t="n"/>
      <c r="R311" s="32">
        <f>IF($B311="","",IFERROR(MATCH($B311,'仕入先'!$B$5:$B$54,0),"なし"))</f>
        <v/>
      </c>
      <c r="S311" s="33">
        <f>IF($B311="","",IF(ISNUMBER($D311),$D311,IF(ISNUMBER($A311),$A311,"")))</f>
        <v/>
      </c>
      <c r="T311" s="34">
        <f>IF(OR($B311="",N($N311)&lt;=0),"",IF(ISNUMBER($J311),$J311,99999)+ROW()/1000000)</f>
        <v/>
      </c>
      <c r="U311" s="35">
        <f>IF(OR($B311="",$B311&lt;&gt;'買掛帳'!$B$3,NOT(ISNUMBER($S311))),"",IF(AND($S311&gt;='買掛帳'!$Q$3,$S311&lt;='買掛帳'!$Q$4),$S311+ROW()/10000000,""))</f>
        <v/>
      </c>
      <c r="V311" s="35">
        <f>IF(OR($B311="",$B311&lt;&gt;'買掛帳'!$B$3,NOT(ISNUMBER($K311)),N($L311)+N($M311)=0),"",IF(AND($K311&gt;='買掛帳'!$Q$3,$K311&lt;='買掛帳'!$Q$4),$K311+0.5+ROW()/10000000,""))</f>
        <v/>
      </c>
    </row>
    <row r="312" ht="18" customHeight="1">
      <c r="A312" s="26" t="n"/>
      <c r="B312" s="18" t="n"/>
      <c r="C312" s="20">
        <f>IF($B312="","",IF($R312="なし","※仕入先にないコード",INDEX('仕入先'!$C$5:$C$54,$R312)&amp;""))</f>
        <v/>
      </c>
      <c r="D312" s="26" t="n"/>
      <c r="E312" s="18" t="n"/>
      <c r="F312" s="19" t="n"/>
      <c r="G312" s="27" t="n"/>
      <c r="H312" s="29">
        <f>IF(OR($B312="",NOT(ISNUMBER($R312)),NOT(ISNUMBER($S312))),"",IF(OR(INDEX('仕入先'!$D$5:$D$54,$R312)="",INDEX('仕入先'!$E$5:$E$54,$R312)="",INDEX('仕入先'!$F$5:$F$54,$R312)=""),"",IF(INDEX('仕入先'!$F$5:$F$54,$R312)="末",DATE(YEAR($S312),(MONTH($S312)+IF(INDEX('仕入先'!$D$5:$D$54,$R312)="末",0,IF(DAY($S312)&lt;=INDEX('仕入先'!$D$5:$D$54,$R312),0,1))+N(INDEX('仕入先'!$E$5:$E$54,$R312)))+1,0),DATE(YEAR($S312),(MONTH($S312)+IF(INDEX('仕入先'!$D$5:$D$54,$R312)="末",0,IF(DAY($S312)&lt;=INDEX('仕入先'!$D$5:$D$54,$R312),0,1))+N(INDEX('仕入先'!$E$5:$E$54,$R312))),MIN(INDEX('仕入先'!$F$5:$F$54,$R312),DAY(DATE(YEAR($S312),(MONTH($S312)+IF(INDEX('仕入先'!$D$5:$D$54,$R312)="末",0,IF(DAY($S312)&lt;=INDEX('仕入先'!$D$5:$D$54,$R312),0,1))+N(INDEX('仕入先'!$E$5:$E$54,$R312)))+1,0)))))))</f>
        <v/>
      </c>
      <c r="I312" s="26" t="n"/>
      <c r="J312" s="29">
        <f>IF($B312="","",IF(ISNUMBER($I312),$I312,$H312))</f>
        <v/>
      </c>
      <c r="K312" s="26" t="n"/>
      <c r="L312" s="27" t="n"/>
      <c r="M312" s="27" t="n"/>
      <c r="N312" s="28">
        <f>IF($B312="","",N($G312)-N($L312)-N($M312))</f>
        <v/>
      </c>
      <c r="O312" s="30">
        <f>IF($B312="","",IF(AND(OR(N($L312)&lt;&gt;0,N($M312)&lt;&gt;0),NOT(ISNUMBER($K312))),"支払日なし",IF($N312=0,IF(N($G312)=0,"請求額0","支払済"),IF($N312&lt;0,"払いすぎ",IF(N($L312)+N($M312)=0,"未払","一部支払")))))</f>
        <v/>
      </c>
      <c r="P312" s="30">
        <f>IF(OR($B312="",N($N312)&lt;=0,NOT(ISNUMBER($J312))),"",IF($J312&lt;'設定'!$B$7,"期日超過 "&amp;('設定'!$B$7-$J312)&amp;"日",IF($J312='設定'!$B$7,"今日","あと "&amp;($J312-'設定'!$B$7)&amp;"日")))</f>
        <v/>
      </c>
      <c r="Q312" s="56" t="n"/>
      <c r="R312" s="32">
        <f>IF($B312="","",IFERROR(MATCH($B312,'仕入先'!$B$5:$B$54,0),"なし"))</f>
        <v/>
      </c>
      <c r="S312" s="33">
        <f>IF($B312="","",IF(ISNUMBER($D312),$D312,IF(ISNUMBER($A312),$A312,"")))</f>
        <v/>
      </c>
      <c r="T312" s="34">
        <f>IF(OR($B312="",N($N312)&lt;=0),"",IF(ISNUMBER($J312),$J312,99999)+ROW()/1000000)</f>
        <v/>
      </c>
      <c r="U312" s="35">
        <f>IF(OR($B312="",$B312&lt;&gt;'買掛帳'!$B$3,NOT(ISNUMBER($S312))),"",IF(AND($S312&gt;='買掛帳'!$Q$3,$S312&lt;='買掛帳'!$Q$4),$S312+ROW()/10000000,""))</f>
        <v/>
      </c>
      <c r="V312" s="35">
        <f>IF(OR($B312="",$B312&lt;&gt;'買掛帳'!$B$3,NOT(ISNUMBER($K312)),N($L312)+N($M312)=0),"",IF(AND($K312&gt;='買掛帳'!$Q$3,$K312&lt;='買掛帳'!$Q$4),$K312+0.5+ROW()/10000000,""))</f>
        <v/>
      </c>
    </row>
    <row r="313" ht="18" customHeight="1">
      <c r="A313" s="26" t="n"/>
      <c r="B313" s="18" t="n"/>
      <c r="C313" s="20">
        <f>IF($B313="","",IF($R313="なし","※仕入先にないコード",INDEX('仕入先'!$C$5:$C$54,$R313)&amp;""))</f>
        <v/>
      </c>
      <c r="D313" s="26" t="n"/>
      <c r="E313" s="18" t="n"/>
      <c r="F313" s="19" t="n"/>
      <c r="G313" s="27" t="n"/>
      <c r="H313" s="29">
        <f>IF(OR($B313="",NOT(ISNUMBER($R313)),NOT(ISNUMBER($S313))),"",IF(OR(INDEX('仕入先'!$D$5:$D$54,$R313)="",INDEX('仕入先'!$E$5:$E$54,$R313)="",INDEX('仕入先'!$F$5:$F$54,$R313)=""),"",IF(INDEX('仕入先'!$F$5:$F$54,$R313)="末",DATE(YEAR($S313),(MONTH($S313)+IF(INDEX('仕入先'!$D$5:$D$54,$R313)="末",0,IF(DAY($S313)&lt;=INDEX('仕入先'!$D$5:$D$54,$R313),0,1))+N(INDEX('仕入先'!$E$5:$E$54,$R313)))+1,0),DATE(YEAR($S313),(MONTH($S313)+IF(INDEX('仕入先'!$D$5:$D$54,$R313)="末",0,IF(DAY($S313)&lt;=INDEX('仕入先'!$D$5:$D$54,$R313),0,1))+N(INDEX('仕入先'!$E$5:$E$54,$R313))),MIN(INDEX('仕入先'!$F$5:$F$54,$R313),DAY(DATE(YEAR($S313),(MONTH($S313)+IF(INDEX('仕入先'!$D$5:$D$54,$R313)="末",0,IF(DAY($S313)&lt;=INDEX('仕入先'!$D$5:$D$54,$R313),0,1))+N(INDEX('仕入先'!$E$5:$E$54,$R313)))+1,0)))))))</f>
        <v/>
      </c>
      <c r="I313" s="26" t="n"/>
      <c r="J313" s="29">
        <f>IF($B313="","",IF(ISNUMBER($I313),$I313,$H313))</f>
        <v/>
      </c>
      <c r="K313" s="26" t="n"/>
      <c r="L313" s="27" t="n"/>
      <c r="M313" s="27" t="n"/>
      <c r="N313" s="28">
        <f>IF($B313="","",N($G313)-N($L313)-N($M313))</f>
        <v/>
      </c>
      <c r="O313" s="30">
        <f>IF($B313="","",IF(AND(OR(N($L313)&lt;&gt;0,N($M313)&lt;&gt;0),NOT(ISNUMBER($K313))),"支払日なし",IF($N313=0,IF(N($G313)=0,"請求額0","支払済"),IF($N313&lt;0,"払いすぎ",IF(N($L313)+N($M313)=0,"未払","一部支払")))))</f>
        <v/>
      </c>
      <c r="P313" s="30">
        <f>IF(OR($B313="",N($N313)&lt;=0,NOT(ISNUMBER($J313))),"",IF($J313&lt;'設定'!$B$7,"期日超過 "&amp;('設定'!$B$7-$J313)&amp;"日",IF($J313='設定'!$B$7,"今日","あと "&amp;($J313-'設定'!$B$7)&amp;"日")))</f>
        <v/>
      </c>
      <c r="Q313" s="56" t="n"/>
      <c r="R313" s="32">
        <f>IF($B313="","",IFERROR(MATCH($B313,'仕入先'!$B$5:$B$54,0),"なし"))</f>
        <v/>
      </c>
      <c r="S313" s="33">
        <f>IF($B313="","",IF(ISNUMBER($D313),$D313,IF(ISNUMBER($A313),$A313,"")))</f>
        <v/>
      </c>
      <c r="T313" s="34">
        <f>IF(OR($B313="",N($N313)&lt;=0),"",IF(ISNUMBER($J313),$J313,99999)+ROW()/1000000)</f>
        <v/>
      </c>
      <c r="U313" s="35">
        <f>IF(OR($B313="",$B313&lt;&gt;'買掛帳'!$B$3,NOT(ISNUMBER($S313))),"",IF(AND($S313&gt;='買掛帳'!$Q$3,$S313&lt;='買掛帳'!$Q$4),$S313+ROW()/10000000,""))</f>
        <v/>
      </c>
      <c r="V313" s="35">
        <f>IF(OR($B313="",$B313&lt;&gt;'買掛帳'!$B$3,NOT(ISNUMBER($K313)),N($L313)+N($M313)=0),"",IF(AND($K313&gt;='買掛帳'!$Q$3,$K313&lt;='買掛帳'!$Q$4),$K313+0.5+ROW()/10000000,""))</f>
        <v/>
      </c>
    </row>
    <row r="314" ht="18" customHeight="1">
      <c r="A314" s="26" t="n"/>
      <c r="B314" s="18" t="n"/>
      <c r="C314" s="20">
        <f>IF($B314="","",IF($R314="なし","※仕入先にないコード",INDEX('仕入先'!$C$5:$C$54,$R314)&amp;""))</f>
        <v/>
      </c>
      <c r="D314" s="26" t="n"/>
      <c r="E314" s="18" t="n"/>
      <c r="F314" s="19" t="n"/>
      <c r="G314" s="27" t="n"/>
      <c r="H314" s="29">
        <f>IF(OR($B314="",NOT(ISNUMBER($R314)),NOT(ISNUMBER($S314))),"",IF(OR(INDEX('仕入先'!$D$5:$D$54,$R314)="",INDEX('仕入先'!$E$5:$E$54,$R314)="",INDEX('仕入先'!$F$5:$F$54,$R314)=""),"",IF(INDEX('仕入先'!$F$5:$F$54,$R314)="末",DATE(YEAR($S314),(MONTH($S314)+IF(INDEX('仕入先'!$D$5:$D$54,$R314)="末",0,IF(DAY($S314)&lt;=INDEX('仕入先'!$D$5:$D$54,$R314),0,1))+N(INDEX('仕入先'!$E$5:$E$54,$R314)))+1,0),DATE(YEAR($S314),(MONTH($S314)+IF(INDEX('仕入先'!$D$5:$D$54,$R314)="末",0,IF(DAY($S314)&lt;=INDEX('仕入先'!$D$5:$D$54,$R314),0,1))+N(INDEX('仕入先'!$E$5:$E$54,$R314))),MIN(INDEX('仕入先'!$F$5:$F$54,$R314),DAY(DATE(YEAR($S314),(MONTH($S314)+IF(INDEX('仕入先'!$D$5:$D$54,$R314)="末",0,IF(DAY($S314)&lt;=INDEX('仕入先'!$D$5:$D$54,$R314),0,1))+N(INDEX('仕入先'!$E$5:$E$54,$R314)))+1,0)))))))</f>
        <v/>
      </c>
      <c r="I314" s="26" t="n"/>
      <c r="J314" s="29">
        <f>IF($B314="","",IF(ISNUMBER($I314),$I314,$H314))</f>
        <v/>
      </c>
      <c r="K314" s="26" t="n"/>
      <c r="L314" s="27" t="n"/>
      <c r="M314" s="27" t="n"/>
      <c r="N314" s="28">
        <f>IF($B314="","",N($G314)-N($L314)-N($M314))</f>
        <v/>
      </c>
      <c r="O314" s="30">
        <f>IF($B314="","",IF(AND(OR(N($L314)&lt;&gt;0,N($M314)&lt;&gt;0),NOT(ISNUMBER($K314))),"支払日なし",IF($N314=0,IF(N($G314)=0,"請求額0","支払済"),IF($N314&lt;0,"払いすぎ",IF(N($L314)+N($M314)=0,"未払","一部支払")))))</f>
        <v/>
      </c>
      <c r="P314" s="30">
        <f>IF(OR($B314="",N($N314)&lt;=0,NOT(ISNUMBER($J314))),"",IF($J314&lt;'設定'!$B$7,"期日超過 "&amp;('設定'!$B$7-$J314)&amp;"日",IF($J314='設定'!$B$7,"今日","あと "&amp;($J314-'設定'!$B$7)&amp;"日")))</f>
        <v/>
      </c>
      <c r="Q314" s="56" t="n"/>
      <c r="R314" s="32">
        <f>IF($B314="","",IFERROR(MATCH($B314,'仕入先'!$B$5:$B$54,0),"なし"))</f>
        <v/>
      </c>
      <c r="S314" s="33">
        <f>IF($B314="","",IF(ISNUMBER($D314),$D314,IF(ISNUMBER($A314),$A314,"")))</f>
        <v/>
      </c>
      <c r="T314" s="34">
        <f>IF(OR($B314="",N($N314)&lt;=0),"",IF(ISNUMBER($J314),$J314,99999)+ROW()/1000000)</f>
        <v/>
      </c>
      <c r="U314" s="35">
        <f>IF(OR($B314="",$B314&lt;&gt;'買掛帳'!$B$3,NOT(ISNUMBER($S314))),"",IF(AND($S314&gt;='買掛帳'!$Q$3,$S314&lt;='買掛帳'!$Q$4),$S314+ROW()/10000000,""))</f>
        <v/>
      </c>
      <c r="V314" s="35">
        <f>IF(OR($B314="",$B314&lt;&gt;'買掛帳'!$B$3,NOT(ISNUMBER($K314)),N($L314)+N($M314)=0),"",IF(AND($K314&gt;='買掛帳'!$Q$3,$K314&lt;='買掛帳'!$Q$4),$K314+0.5+ROW()/10000000,""))</f>
        <v/>
      </c>
    </row>
    <row r="315" ht="18" customHeight="1">
      <c r="A315" s="26" t="n"/>
      <c r="B315" s="18" t="n"/>
      <c r="C315" s="20">
        <f>IF($B315="","",IF($R315="なし","※仕入先にないコード",INDEX('仕入先'!$C$5:$C$54,$R315)&amp;""))</f>
        <v/>
      </c>
      <c r="D315" s="26" t="n"/>
      <c r="E315" s="18" t="n"/>
      <c r="F315" s="19" t="n"/>
      <c r="G315" s="27" t="n"/>
      <c r="H315" s="29">
        <f>IF(OR($B315="",NOT(ISNUMBER($R315)),NOT(ISNUMBER($S315))),"",IF(OR(INDEX('仕入先'!$D$5:$D$54,$R315)="",INDEX('仕入先'!$E$5:$E$54,$R315)="",INDEX('仕入先'!$F$5:$F$54,$R315)=""),"",IF(INDEX('仕入先'!$F$5:$F$54,$R315)="末",DATE(YEAR($S315),(MONTH($S315)+IF(INDEX('仕入先'!$D$5:$D$54,$R315)="末",0,IF(DAY($S315)&lt;=INDEX('仕入先'!$D$5:$D$54,$R315),0,1))+N(INDEX('仕入先'!$E$5:$E$54,$R315)))+1,0),DATE(YEAR($S315),(MONTH($S315)+IF(INDEX('仕入先'!$D$5:$D$54,$R315)="末",0,IF(DAY($S315)&lt;=INDEX('仕入先'!$D$5:$D$54,$R315),0,1))+N(INDEX('仕入先'!$E$5:$E$54,$R315))),MIN(INDEX('仕入先'!$F$5:$F$54,$R315),DAY(DATE(YEAR($S315),(MONTH($S315)+IF(INDEX('仕入先'!$D$5:$D$54,$R315)="末",0,IF(DAY($S315)&lt;=INDEX('仕入先'!$D$5:$D$54,$R315),0,1))+N(INDEX('仕入先'!$E$5:$E$54,$R315)))+1,0)))))))</f>
        <v/>
      </c>
      <c r="I315" s="26" t="n"/>
      <c r="J315" s="29">
        <f>IF($B315="","",IF(ISNUMBER($I315),$I315,$H315))</f>
        <v/>
      </c>
      <c r="K315" s="26" t="n"/>
      <c r="L315" s="27" t="n"/>
      <c r="M315" s="27" t="n"/>
      <c r="N315" s="28">
        <f>IF($B315="","",N($G315)-N($L315)-N($M315))</f>
        <v/>
      </c>
      <c r="O315" s="30">
        <f>IF($B315="","",IF(AND(OR(N($L315)&lt;&gt;0,N($M315)&lt;&gt;0),NOT(ISNUMBER($K315))),"支払日なし",IF($N315=0,IF(N($G315)=0,"請求額0","支払済"),IF($N315&lt;0,"払いすぎ",IF(N($L315)+N($M315)=0,"未払","一部支払")))))</f>
        <v/>
      </c>
      <c r="P315" s="30">
        <f>IF(OR($B315="",N($N315)&lt;=0,NOT(ISNUMBER($J315))),"",IF($J315&lt;'設定'!$B$7,"期日超過 "&amp;('設定'!$B$7-$J315)&amp;"日",IF($J315='設定'!$B$7,"今日","あと "&amp;($J315-'設定'!$B$7)&amp;"日")))</f>
        <v/>
      </c>
      <c r="Q315" s="56" t="n"/>
      <c r="R315" s="32">
        <f>IF($B315="","",IFERROR(MATCH($B315,'仕入先'!$B$5:$B$54,0),"なし"))</f>
        <v/>
      </c>
      <c r="S315" s="33">
        <f>IF($B315="","",IF(ISNUMBER($D315),$D315,IF(ISNUMBER($A315),$A315,"")))</f>
        <v/>
      </c>
      <c r="T315" s="34">
        <f>IF(OR($B315="",N($N315)&lt;=0),"",IF(ISNUMBER($J315),$J315,99999)+ROW()/1000000)</f>
        <v/>
      </c>
      <c r="U315" s="35">
        <f>IF(OR($B315="",$B315&lt;&gt;'買掛帳'!$B$3,NOT(ISNUMBER($S315))),"",IF(AND($S315&gt;='買掛帳'!$Q$3,$S315&lt;='買掛帳'!$Q$4),$S315+ROW()/10000000,""))</f>
        <v/>
      </c>
      <c r="V315" s="35">
        <f>IF(OR($B315="",$B315&lt;&gt;'買掛帳'!$B$3,NOT(ISNUMBER($K315)),N($L315)+N($M315)=0),"",IF(AND($K315&gt;='買掛帳'!$Q$3,$K315&lt;='買掛帳'!$Q$4),$K315+0.5+ROW()/10000000,""))</f>
        <v/>
      </c>
    </row>
    <row r="316" ht="18" customHeight="1">
      <c r="A316" s="26" t="n"/>
      <c r="B316" s="18" t="n"/>
      <c r="C316" s="20">
        <f>IF($B316="","",IF($R316="なし","※仕入先にないコード",INDEX('仕入先'!$C$5:$C$54,$R316)&amp;""))</f>
        <v/>
      </c>
      <c r="D316" s="26" t="n"/>
      <c r="E316" s="18" t="n"/>
      <c r="F316" s="19" t="n"/>
      <c r="G316" s="27" t="n"/>
      <c r="H316" s="29">
        <f>IF(OR($B316="",NOT(ISNUMBER($R316)),NOT(ISNUMBER($S316))),"",IF(OR(INDEX('仕入先'!$D$5:$D$54,$R316)="",INDEX('仕入先'!$E$5:$E$54,$R316)="",INDEX('仕入先'!$F$5:$F$54,$R316)=""),"",IF(INDEX('仕入先'!$F$5:$F$54,$R316)="末",DATE(YEAR($S316),(MONTH($S316)+IF(INDEX('仕入先'!$D$5:$D$54,$R316)="末",0,IF(DAY($S316)&lt;=INDEX('仕入先'!$D$5:$D$54,$R316),0,1))+N(INDEX('仕入先'!$E$5:$E$54,$R316)))+1,0),DATE(YEAR($S316),(MONTH($S316)+IF(INDEX('仕入先'!$D$5:$D$54,$R316)="末",0,IF(DAY($S316)&lt;=INDEX('仕入先'!$D$5:$D$54,$R316),0,1))+N(INDEX('仕入先'!$E$5:$E$54,$R316))),MIN(INDEX('仕入先'!$F$5:$F$54,$R316),DAY(DATE(YEAR($S316),(MONTH($S316)+IF(INDEX('仕入先'!$D$5:$D$54,$R316)="末",0,IF(DAY($S316)&lt;=INDEX('仕入先'!$D$5:$D$54,$R316),0,1))+N(INDEX('仕入先'!$E$5:$E$54,$R316)))+1,0)))))))</f>
        <v/>
      </c>
      <c r="I316" s="26" t="n"/>
      <c r="J316" s="29">
        <f>IF($B316="","",IF(ISNUMBER($I316),$I316,$H316))</f>
        <v/>
      </c>
      <c r="K316" s="26" t="n"/>
      <c r="L316" s="27" t="n"/>
      <c r="M316" s="27" t="n"/>
      <c r="N316" s="28">
        <f>IF($B316="","",N($G316)-N($L316)-N($M316))</f>
        <v/>
      </c>
      <c r="O316" s="30">
        <f>IF($B316="","",IF(AND(OR(N($L316)&lt;&gt;0,N($M316)&lt;&gt;0),NOT(ISNUMBER($K316))),"支払日なし",IF($N316=0,IF(N($G316)=0,"請求額0","支払済"),IF($N316&lt;0,"払いすぎ",IF(N($L316)+N($M316)=0,"未払","一部支払")))))</f>
        <v/>
      </c>
      <c r="P316" s="30">
        <f>IF(OR($B316="",N($N316)&lt;=0,NOT(ISNUMBER($J316))),"",IF($J316&lt;'設定'!$B$7,"期日超過 "&amp;('設定'!$B$7-$J316)&amp;"日",IF($J316='設定'!$B$7,"今日","あと "&amp;($J316-'設定'!$B$7)&amp;"日")))</f>
        <v/>
      </c>
      <c r="Q316" s="56" t="n"/>
      <c r="R316" s="32">
        <f>IF($B316="","",IFERROR(MATCH($B316,'仕入先'!$B$5:$B$54,0),"なし"))</f>
        <v/>
      </c>
      <c r="S316" s="33">
        <f>IF($B316="","",IF(ISNUMBER($D316),$D316,IF(ISNUMBER($A316),$A316,"")))</f>
        <v/>
      </c>
      <c r="T316" s="34">
        <f>IF(OR($B316="",N($N316)&lt;=0),"",IF(ISNUMBER($J316),$J316,99999)+ROW()/1000000)</f>
        <v/>
      </c>
      <c r="U316" s="35">
        <f>IF(OR($B316="",$B316&lt;&gt;'買掛帳'!$B$3,NOT(ISNUMBER($S316))),"",IF(AND($S316&gt;='買掛帳'!$Q$3,$S316&lt;='買掛帳'!$Q$4),$S316+ROW()/10000000,""))</f>
        <v/>
      </c>
      <c r="V316" s="35">
        <f>IF(OR($B316="",$B316&lt;&gt;'買掛帳'!$B$3,NOT(ISNUMBER($K316)),N($L316)+N($M316)=0),"",IF(AND($K316&gt;='買掛帳'!$Q$3,$K316&lt;='買掛帳'!$Q$4),$K316+0.5+ROW()/10000000,""))</f>
        <v/>
      </c>
    </row>
    <row r="317" ht="18" customHeight="1">
      <c r="A317" s="26" t="n"/>
      <c r="B317" s="18" t="n"/>
      <c r="C317" s="20">
        <f>IF($B317="","",IF($R317="なし","※仕入先にないコード",INDEX('仕入先'!$C$5:$C$54,$R317)&amp;""))</f>
        <v/>
      </c>
      <c r="D317" s="26" t="n"/>
      <c r="E317" s="18" t="n"/>
      <c r="F317" s="19" t="n"/>
      <c r="G317" s="27" t="n"/>
      <c r="H317" s="29">
        <f>IF(OR($B317="",NOT(ISNUMBER($R317)),NOT(ISNUMBER($S317))),"",IF(OR(INDEX('仕入先'!$D$5:$D$54,$R317)="",INDEX('仕入先'!$E$5:$E$54,$R317)="",INDEX('仕入先'!$F$5:$F$54,$R317)=""),"",IF(INDEX('仕入先'!$F$5:$F$54,$R317)="末",DATE(YEAR($S317),(MONTH($S317)+IF(INDEX('仕入先'!$D$5:$D$54,$R317)="末",0,IF(DAY($S317)&lt;=INDEX('仕入先'!$D$5:$D$54,$R317),0,1))+N(INDEX('仕入先'!$E$5:$E$54,$R317)))+1,0),DATE(YEAR($S317),(MONTH($S317)+IF(INDEX('仕入先'!$D$5:$D$54,$R317)="末",0,IF(DAY($S317)&lt;=INDEX('仕入先'!$D$5:$D$54,$R317),0,1))+N(INDEX('仕入先'!$E$5:$E$54,$R317))),MIN(INDEX('仕入先'!$F$5:$F$54,$R317),DAY(DATE(YEAR($S317),(MONTH($S317)+IF(INDEX('仕入先'!$D$5:$D$54,$R317)="末",0,IF(DAY($S317)&lt;=INDEX('仕入先'!$D$5:$D$54,$R317),0,1))+N(INDEX('仕入先'!$E$5:$E$54,$R317)))+1,0)))))))</f>
        <v/>
      </c>
      <c r="I317" s="26" t="n"/>
      <c r="J317" s="29">
        <f>IF($B317="","",IF(ISNUMBER($I317),$I317,$H317))</f>
        <v/>
      </c>
      <c r="K317" s="26" t="n"/>
      <c r="L317" s="27" t="n"/>
      <c r="M317" s="27" t="n"/>
      <c r="N317" s="28">
        <f>IF($B317="","",N($G317)-N($L317)-N($M317))</f>
        <v/>
      </c>
      <c r="O317" s="30">
        <f>IF($B317="","",IF(AND(OR(N($L317)&lt;&gt;0,N($M317)&lt;&gt;0),NOT(ISNUMBER($K317))),"支払日なし",IF($N317=0,IF(N($G317)=0,"請求額0","支払済"),IF($N317&lt;0,"払いすぎ",IF(N($L317)+N($M317)=0,"未払","一部支払")))))</f>
        <v/>
      </c>
      <c r="P317" s="30">
        <f>IF(OR($B317="",N($N317)&lt;=0,NOT(ISNUMBER($J317))),"",IF($J317&lt;'設定'!$B$7,"期日超過 "&amp;('設定'!$B$7-$J317)&amp;"日",IF($J317='設定'!$B$7,"今日","あと "&amp;($J317-'設定'!$B$7)&amp;"日")))</f>
        <v/>
      </c>
      <c r="Q317" s="56" t="n"/>
      <c r="R317" s="32">
        <f>IF($B317="","",IFERROR(MATCH($B317,'仕入先'!$B$5:$B$54,0),"なし"))</f>
        <v/>
      </c>
      <c r="S317" s="33">
        <f>IF($B317="","",IF(ISNUMBER($D317),$D317,IF(ISNUMBER($A317),$A317,"")))</f>
        <v/>
      </c>
      <c r="T317" s="34">
        <f>IF(OR($B317="",N($N317)&lt;=0),"",IF(ISNUMBER($J317),$J317,99999)+ROW()/1000000)</f>
        <v/>
      </c>
      <c r="U317" s="35">
        <f>IF(OR($B317="",$B317&lt;&gt;'買掛帳'!$B$3,NOT(ISNUMBER($S317))),"",IF(AND($S317&gt;='買掛帳'!$Q$3,$S317&lt;='買掛帳'!$Q$4),$S317+ROW()/10000000,""))</f>
        <v/>
      </c>
      <c r="V317" s="35">
        <f>IF(OR($B317="",$B317&lt;&gt;'買掛帳'!$B$3,NOT(ISNUMBER($K317)),N($L317)+N($M317)=0),"",IF(AND($K317&gt;='買掛帳'!$Q$3,$K317&lt;='買掛帳'!$Q$4),$K317+0.5+ROW()/10000000,""))</f>
        <v/>
      </c>
    </row>
    <row r="318" ht="18" customHeight="1">
      <c r="A318" s="26" t="n"/>
      <c r="B318" s="18" t="n"/>
      <c r="C318" s="20">
        <f>IF($B318="","",IF($R318="なし","※仕入先にないコード",INDEX('仕入先'!$C$5:$C$54,$R318)&amp;""))</f>
        <v/>
      </c>
      <c r="D318" s="26" t="n"/>
      <c r="E318" s="18" t="n"/>
      <c r="F318" s="19" t="n"/>
      <c r="G318" s="27" t="n"/>
      <c r="H318" s="29">
        <f>IF(OR($B318="",NOT(ISNUMBER($R318)),NOT(ISNUMBER($S318))),"",IF(OR(INDEX('仕入先'!$D$5:$D$54,$R318)="",INDEX('仕入先'!$E$5:$E$54,$R318)="",INDEX('仕入先'!$F$5:$F$54,$R318)=""),"",IF(INDEX('仕入先'!$F$5:$F$54,$R318)="末",DATE(YEAR($S318),(MONTH($S318)+IF(INDEX('仕入先'!$D$5:$D$54,$R318)="末",0,IF(DAY($S318)&lt;=INDEX('仕入先'!$D$5:$D$54,$R318),0,1))+N(INDEX('仕入先'!$E$5:$E$54,$R318)))+1,0),DATE(YEAR($S318),(MONTH($S318)+IF(INDEX('仕入先'!$D$5:$D$54,$R318)="末",0,IF(DAY($S318)&lt;=INDEX('仕入先'!$D$5:$D$54,$R318),0,1))+N(INDEX('仕入先'!$E$5:$E$54,$R318))),MIN(INDEX('仕入先'!$F$5:$F$54,$R318),DAY(DATE(YEAR($S318),(MONTH($S318)+IF(INDEX('仕入先'!$D$5:$D$54,$R318)="末",0,IF(DAY($S318)&lt;=INDEX('仕入先'!$D$5:$D$54,$R318),0,1))+N(INDEX('仕入先'!$E$5:$E$54,$R318)))+1,0)))))))</f>
        <v/>
      </c>
      <c r="I318" s="26" t="n"/>
      <c r="J318" s="29">
        <f>IF($B318="","",IF(ISNUMBER($I318),$I318,$H318))</f>
        <v/>
      </c>
      <c r="K318" s="26" t="n"/>
      <c r="L318" s="27" t="n"/>
      <c r="M318" s="27" t="n"/>
      <c r="N318" s="28">
        <f>IF($B318="","",N($G318)-N($L318)-N($M318))</f>
        <v/>
      </c>
      <c r="O318" s="30">
        <f>IF($B318="","",IF(AND(OR(N($L318)&lt;&gt;0,N($M318)&lt;&gt;0),NOT(ISNUMBER($K318))),"支払日なし",IF($N318=0,IF(N($G318)=0,"請求額0","支払済"),IF($N318&lt;0,"払いすぎ",IF(N($L318)+N($M318)=0,"未払","一部支払")))))</f>
        <v/>
      </c>
      <c r="P318" s="30">
        <f>IF(OR($B318="",N($N318)&lt;=0,NOT(ISNUMBER($J318))),"",IF($J318&lt;'設定'!$B$7,"期日超過 "&amp;('設定'!$B$7-$J318)&amp;"日",IF($J318='設定'!$B$7,"今日","あと "&amp;($J318-'設定'!$B$7)&amp;"日")))</f>
        <v/>
      </c>
      <c r="Q318" s="56" t="n"/>
      <c r="R318" s="32">
        <f>IF($B318="","",IFERROR(MATCH($B318,'仕入先'!$B$5:$B$54,0),"なし"))</f>
        <v/>
      </c>
      <c r="S318" s="33">
        <f>IF($B318="","",IF(ISNUMBER($D318),$D318,IF(ISNUMBER($A318),$A318,"")))</f>
        <v/>
      </c>
      <c r="T318" s="34">
        <f>IF(OR($B318="",N($N318)&lt;=0),"",IF(ISNUMBER($J318),$J318,99999)+ROW()/1000000)</f>
        <v/>
      </c>
      <c r="U318" s="35">
        <f>IF(OR($B318="",$B318&lt;&gt;'買掛帳'!$B$3,NOT(ISNUMBER($S318))),"",IF(AND($S318&gt;='買掛帳'!$Q$3,$S318&lt;='買掛帳'!$Q$4),$S318+ROW()/10000000,""))</f>
        <v/>
      </c>
      <c r="V318" s="35">
        <f>IF(OR($B318="",$B318&lt;&gt;'買掛帳'!$B$3,NOT(ISNUMBER($K318)),N($L318)+N($M318)=0),"",IF(AND($K318&gt;='買掛帳'!$Q$3,$K318&lt;='買掛帳'!$Q$4),$K318+0.5+ROW()/10000000,""))</f>
        <v/>
      </c>
    </row>
    <row r="319" ht="18" customHeight="1">
      <c r="A319" s="26" t="n"/>
      <c r="B319" s="18" t="n"/>
      <c r="C319" s="20">
        <f>IF($B319="","",IF($R319="なし","※仕入先にないコード",INDEX('仕入先'!$C$5:$C$54,$R319)&amp;""))</f>
        <v/>
      </c>
      <c r="D319" s="26" t="n"/>
      <c r="E319" s="18" t="n"/>
      <c r="F319" s="19" t="n"/>
      <c r="G319" s="27" t="n"/>
      <c r="H319" s="29">
        <f>IF(OR($B319="",NOT(ISNUMBER($R319)),NOT(ISNUMBER($S319))),"",IF(OR(INDEX('仕入先'!$D$5:$D$54,$R319)="",INDEX('仕入先'!$E$5:$E$54,$R319)="",INDEX('仕入先'!$F$5:$F$54,$R319)=""),"",IF(INDEX('仕入先'!$F$5:$F$54,$R319)="末",DATE(YEAR($S319),(MONTH($S319)+IF(INDEX('仕入先'!$D$5:$D$54,$R319)="末",0,IF(DAY($S319)&lt;=INDEX('仕入先'!$D$5:$D$54,$R319),0,1))+N(INDEX('仕入先'!$E$5:$E$54,$R319)))+1,0),DATE(YEAR($S319),(MONTH($S319)+IF(INDEX('仕入先'!$D$5:$D$54,$R319)="末",0,IF(DAY($S319)&lt;=INDEX('仕入先'!$D$5:$D$54,$R319),0,1))+N(INDEX('仕入先'!$E$5:$E$54,$R319))),MIN(INDEX('仕入先'!$F$5:$F$54,$R319),DAY(DATE(YEAR($S319),(MONTH($S319)+IF(INDEX('仕入先'!$D$5:$D$54,$R319)="末",0,IF(DAY($S319)&lt;=INDEX('仕入先'!$D$5:$D$54,$R319),0,1))+N(INDEX('仕入先'!$E$5:$E$54,$R319)))+1,0)))))))</f>
        <v/>
      </c>
      <c r="I319" s="26" t="n"/>
      <c r="J319" s="29">
        <f>IF($B319="","",IF(ISNUMBER($I319),$I319,$H319))</f>
        <v/>
      </c>
      <c r="K319" s="26" t="n"/>
      <c r="L319" s="27" t="n"/>
      <c r="M319" s="27" t="n"/>
      <c r="N319" s="28">
        <f>IF($B319="","",N($G319)-N($L319)-N($M319))</f>
        <v/>
      </c>
      <c r="O319" s="30">
        <f>IF($B319="","",IF(AND(OR(N($L319)&lt;&gt;0,N($M319)&lt;&gt;0),NOT(ISNUMBER($K319))),"支払日なし",IF($N319=0,IF(N($G319)=0,"請求額0","支払済"),IF($N319&lt;0,"払いすぎ",IF(N($L319)+N($M319)=0,"未払","一部支払")))))</f>
        <v/>
      </c>
      <c r="P319" s="30">
        <f>IF(OR($B319="",N($N319)&lt;=0,NOT(ISNUMBER($J319))),"",IF($J319&lt;'設定'!$B$7,"期日超過 "&amp;('設定'!$B$7-$J319)&amp;"日",IF($J319='設定'!$B$7,"今日","あと "&amp;($J319-'設定'!$B$7)&amp;"日")))</f>
        <v/>
      </c>
      <c r="Q319" s="56" t="n"/>
      <c r="R319" s="32">
        <f>IF($B319="","",IFERROR(MATCH($B319,'仕入先'!$B$5:$B$54,0),"なし"))</f>
        <v/>
      </c>
      <c r="S319" s="33">
        <f>IF($B319="","",IF(ISNUMBER($D319),$D319,IF(ISNUMBER($A319),$A319,"")))</f>
        <v/>
      </c>
      <c r="T319" s="34">
        <f>IF(OR($B319="",N($N319)&lt;=0),"",IF(ISNUMBER($J319),$J319,99999)+ROW()/1000000)</f>
        <v/>
      </c>
      <c r="U319" s="35">
        <f>IF(OR($B319="",$B319&lt;&gt;'買掛帳'!$B$3,NOT(ISNUMBER($S319))),"",IF(AND($S319&gt;='買掛帳'!$Q$3,$S319&lt;='買掛帳'!$Q$4),$S319+ROW()/10000000,""))</f>
        <v/>
      </c>
      <c r="V319" s="35">
        <f>IF(OR($B319="",$B319&lt;&gt;'買掛帳'!$B$3,NOT(ISNUMBER($K319)),N($L319)+N($M319)=0),"",IF(AND($K319&gt;='買掛帳'!$Q$3,$K319&lt;='買掛帳'!$Q$4),$K319+0.5+ROW()/10000000,""))</f>
        <v/>
      </c>
    </row>
    <row r="320" ht="18" customHeight="1">
      <c r="A320" s="26" t="n"/>
      <c r="B320" s="18" t="n"/>
      <c r="C320" s="20">
        <f>IF($B320="","",IF($R320="なし","※仕入先にないコード",INDEX('仕入先'!$C$5:$C$54,$R320)&amp;""))</f>
        <v/>
      </c>
      <c r="D320" s="26" t="n"/>
      <c r="E320" s="18" t="n"/>
      <c r="F320" s="19" t="n"/>
      <c r="G320" s="27" t="n"/>
      <c r="H320" s="29">
        <f>IF(OR($B320="",NOT(ISNUMBER($R320)),NOT(ISNUMBER($S320))),"",IF(OR(INDEX('仕入先'!$D$5:$D$54,$R320)="",INDEX('仕入先'!$E$5:$E$54,$R320)="",INDEX('仕入先'!$F$5:$F$54,$R320)=""),"",IF(INDEX('仕入先'!$F$5:$F$54,$R320)="末",DATE(YEAR($S320),(MONTH($S320)+IF(INDEX('仕入先'!$D$5:$D$54,$R320)="末",0,IF(DAY($S320)&lt;=INDEX('仕入先'!$D$5:$D$54,$R320),0,1))+N(INDEX('仕入先'!$E$5:$E$54,$R320)))+1,0),DATE(YEAR($S320),(MONTH($S320)+IF(INDEX('仕入先'!$D$5:$D$54,$R320)="末",0,IF(DAY($S320)&lt;=INDEX('仕入先'!$D$5:$D$54,$R320),0,1))+N(INDEX('仕入先'!$E$5:$E$54,$R320))),MIN(INDEX('仕入先'!$F$5:$F$54,$R320),DAY(DATE(YEAR($S320),(MONTH($S320)+IF(INDEX('仕入先'!$D$5:$D$54,$R320)="末",0,IF(DAY($S320)&lt;=INDEX('仕入先'!$D$5:$D$54,$R320),0,1))+N(INDEX('仕入先'!$E$5:$E$54,$R320)))+1,0)))))))</f>
        <v/>
      </c>
      <c r="I320" s="26" t="n"/>
      <c r="J320" s="29">
        <f>IF($B320="","",IF(ISNUMBER($I320),$I320,$H320))</f>
        <v/>
      </c>
      <c r="K320" s="26" t="n"/>
      <c r="L320" s="27" t="n"/>
      <c r="M320" s="27" t="n"/>
      <c r="N320" s="28">
        <f>IF($B320="","",N($G320)-N($L320)-N($M320))</f>
        <v/>
      </c>
      <c r="O320" s="30">
        <f>IF($B320="","",IF(AND(OR(N($L320)&lt;&gt;0,N($M320)&lt;&gt;0),NOT(ISNUMBER($K320))),"支払日なし",IF($N320=0,IF(N($G320)=0,"請求額0","支払済"),IF($N320&lt;0,"払いすぎ",IF(N($L320)+N($M320)=0,"未払","一部支払")))))</f>
        <v/>
      </c>
      <c r="P320" s="30">
        <f>IF(OR($B320="",N($N320)&lt;=0,NOT(ISNUMBER($J320))),"",IF($J320&lt;'設定'!$B$7,"期日超過 "&amp;('設定'!$B$7-$J320)&amp;"日",IF($J320='設定'!$B$7,"今日","あと "&amp;($J320-'設定'!$B$7)&amp;"日")))</f>
        <v/>
      </c>
      <c r="Q320" s="56" t="n"/>
      <c r="R320" s="32">
        <f>IF($B320="","",IFERROR(MATCH($B320,'仕入先'!$B$5:$B$54,0),"なし"))</f>
        <v/>
      </c>
      <c r="S320" s="33">
        <f>IF($B320="","",IF(ISNUMBER($D320),$D320,IF(ISNUMBER($A320),$A320,"")))</f>
        <v/>
      </c>
      <c r="T320" s="34">
        <f>IF(OR($B320="",N($N320)&lt;=0),"",IF(ISNUMBER($J320),$J320,99999)+ROW()/1000000)</f>
        <v/>
      </c>
      <c r="U320" s="35">
        <f>IF(OR($B320="",$B320&lt;&gt;'買掛帳'!$B$3,NOT(ISNUMBER($S320))),"",IF(AND($S320&gt;='買掛帳'!$Q$3,$S320&lt;='買掛帳'!$Q$4),$S320+ROW()/10000000,""))</f>
        <v/>
      </c>
      <c r="V320" s="35">
        <f>IF(OR($B320="",$B320&lt;&gt;'買掛帳'!$B$3,NOT(ISNUMBER($K320)),N($L320)+N($M320)=0),"",IF(AND($K320&gt;='買掛帳'!$Q$3,$K320&lt;='買掛帳'!$Q$4),$K320+0.5+ROW()/10000000,""))</f>
        <v/>
      </c>
    </row>
    <row r="321" ht="18" customHeight="1">
      <c r="A321" s="26" t="n"/>
      <c r="B321" s="18" t="n"/>
      <c r="C321" s="20">
        <f>IF($B321="","",IF($R321="なし","※仕入先にないコード",INDEX('仕入先'!$C$5:$C$54,$R321)&amp;""))</f>
        <v/>
      </c>
      <c r="D321" s="26" t="n"/>
      <c r="E321" s="18" t="n"/>
      <c r="F321" s="19" t="n"/>
      <c r="G321" s="27" t="n"/>
      <c r="H321" s="29">
        <f>IF(OR($B321="",NOT(ISNUMBER($R321)),NOT(ISNUMBER($S321))),"",IF(OR(INDEX('仕入先'!$D$5:$D$54,$R321)="",INDEX('仕入先'!$E$5:$E$54,$R321)="",INDEX('仕入先'!$F$5:$F$54,$R321)=""),"",IF(INDEX('仕入先'!$F$5:$F$54,$R321)="末",DATE(YEAR($S321),(MONTH($S321)+IF(INDEX('仕入先'!$D$5:$D$54,$R321)="末",0,IF(DAY($S321)&lt;=INDEX('仕入先'!$D$5:$D$54,$R321),0,1))+N(INDEX('仕入先'!$E$5:$E$54,$R321)))+1,0),DATE(YEAR($S321),(MONTH($S321)+IF(INDEX('仕入先'!$D$5:$D$54,$R321)="末",0,IF(DAY($S321)&lt;=INDEX('仕入先'!$D$5:$D$54,$R321),0,1))+N(INDEX('仕入先'!$E$5:$E$54,$R321))),MIN(INDEX('仕入先'!$F$5:$F$54,$R321),DAY(DATE(YEAR($S321),(MONTH($S321)+IF(INDEX('仕入先'!$D$5:$D$54,$R321)="末",0,IF(DAY($S321)&lt;=INDEX('仕入先'!$D$5:$D$54,$R321),0,1))+N(INDEX('仕入先'!$E$5:$E$54,$R321)))+1,0)))))))</f>
        <v/>
      </c>
      <c r="I321" s="26" t="n"/>
      <c r="J321" s="29">
        <f>IF($B321="","",IF(ISNUMBER($I321),$I321,$H321))</f>
        <v/>
      </c>
      <c r="K321" s="26" t="n"/>
      <c r="L321" s="27" t="n"/>
      <c r="M321" s="27" t="n"/>
      <c r="N321" s="28">
        <f>IF($B321="","",N($G321)-N($L321)-N($M321))</f>
        <v/>
      </c>
      <c r="O321" s="30">
        <f>IF($B321="","",IF(AND(OR(N($L321)&lt;&gt;0,N($M321)&lt;&gt;0),NOT(ISNUMBER($K321))),"支払日なし",IF($N321=0,IF(N($G321)=0,"請求額0","支払済"),IF($N321&lt;0,"払いすぎ",IF(N($L321)+N($M321)=0,"未払","一部支払")))))</f>
        <v/>
      </c>
      <c r="P321" s="30">
        <f>IF(OR($B321="",N($N321)&lt;=0,NOT(ISNUMBER($J321))),"",IF($J321&lt;'設定'!$B$7,"期日超過 "&amp;('設定'!$B$7-$J321)&amp;"日",IF($J321='設定'!$B$7,"今日","あと "&amp;($J321-'設定'!$B$7)&amp;"日")))</f>
        <v/>
      </c>
      <c r="Q321" s="56" t="n"/>
      <c r="R321" s="32">
        <f>IF($B321="","",IFERROR(MATCH($B321,'仕入先'!$B$5:$B$54,0),"なし"))</f>
        <v/>
      </c>
      <c r="S321" s="33">
        <f>IF($B321="","",IF(ISNUMBER($D321),$D321,IF(ISNUMBER($A321),$A321,"")))</f>
        <v/>
      </c>
      <c r="T321" s="34">
        <f>IF(OR($B321="",N($N321)&lt;=0),"",IF(ISNUMBER($J321),$J321,99999)+ROW()/1000000)</f>
        <v/>
      </c>
      <c r="U321" s="35">
        <f>IF(OR($B321="",$B321&lt;&gt;'買掛帳'!$B$3,NOT(ISNUMBER($S321))),"",IF(AND($S321&gt;='買掛帳'!$Q$3,$S321&lt;='買掛帳'!$Q$4),$S321+ROW()/10000000,""))</f>
        <v/>
      </c>
      <c r="V321" s="35">
        <f>IF(OR($B321="",$B321&lt;&gt;'買掛帳'!$B$3,NOT(ISNUMBER($K321)),N($L321)+N($M321)=0),"",IF(AND($K321&gt;='買掛帳'!$Q$3,$K321&lt;='買掛帳'!$Q$4),$K321+0.5+ROW()/10000000,""))</f>
        <v/>
      </c>
    </row>
    <row r="322" ht="18" customHeight="1">
      <c r="A322" s="26" t="n"/>
      <c r="B322" s="18" t="n"/>
      <c r="C322" s="20">
        <f>IF($B322="","",IF($R322="なし","※仕入先にないコード",INDEX('仕入先'!$C$5:$C$54,$R322)&amp;""))</f>
        <v/>
      </c>
      <c r="D322" s="26" t="n"/>
      <c r="E322" s="18" t="n"/>
      <c r="F322" s="19" t="n"/>
      <c r="G322" s="27" t="n"/>
      <c r="H322" s="29">
        <f>IF(OR($B322="",NOT(ISNUMBER($R322)),NOT(ISNUMBER($S322))),"",IF(OR(INDEX('仕入先'!$D$5:$D$54,$R322)="",INDEX('仕入先'!$E$5:$E$54,$R322)="",INDEX('仕入先'!$F$5:$F$54,$R322)=""),"",IF(INDEX('仕入先'!$F$5:$F$54,$R322)="末",DATE(YEAR($S322),(MONTH($S322)+IF(INDEX('仕入先'!$D$5:$D$54,$R322)="末",0,IF(DAY($S322)&lt;=INDEX('仕入先'!$D$5:$D$54,$R322),0,1))+N(INDEX('仕入先'!$E$5:$E$54,$R322)))+1,0),DATE(YEAR($S322),(MONTH($S322)+IF(INDEX('仕入先'!$D$5:$D$54,$R322)="末",0,IF(DAY($S322)&lt;=INDEX('仕入先'!$D$5:$D$54,$R322),0,1))+N(INDEX('仕入先'!$E$5:$E$54,$R322))),MIN(INDEX('仕入先'!$F$5:$F$54,$R322),DAY(DATE(YEAR($S322),(MONTH($S322)+IF(INDEX('仕入先'!$D$5:$D$54,$R322)="末",0,IF(DAY($S322)&lt;=INDEX('仕入先'!$D$5:$D$54,$R322),0,1))+N(INDEX('仕入先'!$E$5:$E$54,$R322)))+1,0)))))))</f>
        <v/>
      </c>
      <c r="I322" s="26" t="n"/>
      <c r="J322" s="29">
        <f>IF($B322="","",IF(ISNUMBER($I322),$I322,$H322))</f>
        <v/>
      </c>
      <c r="K322" s="26" t="n"/>
      <c r="L322" s="27" t="n"/>
      <c r="M322" s="27" t="n"/>
      <c r="N322" s="28">
        <f>IF($B322="","",N($G322)-N($L322)-N($M322))</f>
        <v/>
      </c>
      <c r="O322" s="30">
        <f>IF($B322="","",IF(AND(OR(N($L322)&lt;&gt;0,N($M322)&lt;&gt;0),NOT(ISNUMBER($K322))),"支払日なし",IF($N322=0,IF(N($G322)=0,"請求額0","支払済"),IF($N322&lt;0,"払いすぎ",IF(N($L322)+N($M322)=0,"未払","一部支払")))))</f>
        <v/>
      </c>
      <c r="P322" s="30">
        <f>IF(OR($B322="",N($N322)&lt;=0,NOT(ISNUMBER($J322))),"",IF($J322&lt;'設定'!$B$7,"期日超過 "&amp;('設定'!$B$7-$J322)&amp;"日",IF($J322='設定'!$B$7,"今日","あと "&amp;($J322-'設定'!$B$7)&amp;"日")))</f>
        <v/>
      </c>
      <c r="Q322" s="56" t="n"/>
      <c r="R322" s="32">
        <f>IF($B322="","",IFERROR(MATCH($B322,'仕入先'!$B$5:$B$54,0),"なし"))</f>
        <v/>
      </c>
      <c r="S322" s="33">
        <f>IF($B322="","",IF(ISNUMBER($D322),$D322,IF(ISNUMBER($A322),$A322,"")))</f>
        <v/>
      </c>
      <c r="T322" s="34">
        <f>IF(OR($B322="",N($N322)&lt;=0),"",IF(ISNUMBER($J322),$J322,99999)+ROW()/1000000)</f>
        <v/>
      </c>
      <c r="U322" s="35">
        <f>IF(OR($B322="",$B322&lt;&gt;'買掛帳'!$B$3,NOT(ISNUMBER($S322))),"",IF(AND($S322&gt;='買掛帳'!$Q$3,$S322&lt;='買掛帳'!$Q$4),$S322+ROW()/10000000,""))</f>
        <v/>
      </c>
      <c r="V322" s="35">
        <f>IF(OR($B322="",$B322&lt;&gt;'買掛帳'!$B$3,NOT(ISNUMBER($K322)),N($L322)+N($M322)=0),"",IF(AND($K322&gt;='買掛帳'!$Q$3,$K322&lt;='買掛帳'!$Q$4),$K322+0.5+ROW()/10000000,""))</f>
        <v/>
      </c>
    </row>
    <row r="323" ht="18" customHeight="1">
      <c r="A323" s="26" t="n"/>
      <c r="B323" s="18" t="n"/>
      <c r="C323" s="20">
        <f>IF($B323="","",IF($R323="なし","※仕入先にないコード",INDEX('仕入先'!$C$5:$C$54,$R323)&amp;""))</f>
        <v/>
      </c>
      <c r="D323" s="26" t="n"/>
      <c r="E323" s="18" t="n"/>
      <c r="F323" s="19" t="n"/>
      <c r="G323" s="27" t="n"/>
      <c r="H323" s="29">
        <f>IF(OR($B323="",NOT(ISNUMBER($R323)),NOT(ISNUMBER($S323))),"",IF(OR(INDEX('仕入先'!$D$5:$D$54,$R323)="",INDEX('仕入先'!$E$5:$E$54,$R323)="",INDEX('仕入先'!$F$5:$F$54,$R323)=""),"",IF(INDEX('仕入先'!$F$5:$F$54,$R323)="末",DATE(YEAR($S323),(MONTH($S323)+IF(INDEX('仕入先'!$D$5:$D$54,$R323)="末",0,IF(DAY($S323)&lt;=INDEX('仕入先'!$D$5:$D$54,$R323),0,1))+N(INDEX('仕入先'!$E$5:$E$54,$R323)))+1,0),DATE(YEAR($S323),(MONTH($S323)+IF(INDEX('仕入先'!$D$5:$D$54,$R323)="末",0,IF(DAY($S323)&lt;=INDEX('仕入先'!$D$5:$D$54,$R323),0,1))+N(INDEX('仕入先'!$E$5:$E$54,$R323))),MIN(INDEX('仕入先'!$F$5:$F$54,$R323),DAY(DATE(YEAR($S323),(MONTH($S323)+IF(INDEX('仕入先'!$D$5:$D$54,$R323)="末",0,IF(DAY($S323)&lt;=INDEX('仕入先'!$D$5:$D$54,$R323),0,1))+N(INDEX('仕入先'!$E$5:$E$54,$R323)))+1,0)))))))</f>
        <v/>
      </c>
      <c r="I323" s="26" t="n"/>
      <c r="J323" s="29">
        <f>IF($B323="","",IF(ISNUMBER($I323),$I323,$H323))</f>
        <v/>
      </c>
      <c r="K323" s="26" t="n"/>
      <c r="L323" s="27" t="n"/>
      <c r="M323" s="27" t="n"/>
      <c r="N323" s="28">
        <f>IF($B323="","",N($G323)-N($L323)-N($M323))</f>
        <v/>
      </c>
      <c r="O323" s="30">
        <f>IF($B323="","",IF(AND(OR(N($L323)&lt;&gt;0,N($M323)&lt;&gt;0),NOT(ISNUMBER($K323))),"支払日なし",IF($N323=0,IF(N($G323)=0,"請求額0","支払済"),IF($N323&lt;0,"払いすぎ",IF(N($L323)+N($M323)=0,"未払","一部支払")))))</f>
        <v/>
      </c>
      <c r="P323" s="30">
        <f>IF(OR($B323="",N($N323)&lt;=0,NOT(ISNUMBER($J323))),"",IF($J323&lt;'設定'!$B$7,"期日超過 "&amp;('設定'!$B$7-$J323)&amp;"日",IF($J323='設定'!$B$7,"今日","あと "&amp;($J323-'設定'!$B$7)&amp;"日")))</f>
        <v/>
      </c>
      <c r="Q323" s="56" t="n"/>
      <c r="R323" s="32">
        <f>IF($B323="","",IFERROR(MATCH($B323,'仕入先'!$B$5:$B$54,0),"なし"))</f>
        <v/>
      </c>
      <c r="S323" s="33">
        <f>IF($B323="","",IF(ISNUMBER($D323),$D323,IF(ISNUMBER($A323),$A323,"")))</f>
        <v/>
      </c>
      <c r="T323" s="34">
        <f>IF(OR($B323="",N($N323)&lt;=0),"",IF(ISNUMBER($J323),$J323,99999)+ROW()/1000000)</f>
        <v/>
      </c>
      <c r="U323" s="35">
        <f>IF(OR($B323="",$B323&lt;&gt;'買掛帳'!$B$3,NOT(ISNUMBER($S323))),"",IF(AND($S323&gt;='買掛帳'!$Q$3,$S323&lt;='買掛帳'!$Q$4),$S323+ROW()/10000000,""))</f>
        <v/>
      </c>
      <c r="V323" s="35">
        <f>IF(OR($B323="",$B323&lt;&gt;'買掛帳'!$B$3,NOT(ISNUMBER($K323)),N($L323)+N($M323)=0),"",IF(AND($K323&gt;='買掛帳'!$Q$3,$K323&lt;='買掛帳'!$Q$4),$K323+0.5+ROW()/10000000,""))</f>
        <v/>
      </c>
    </row>
    <row r="324" ht="18" customHeight="1">
      <c r="A324" s="26" t="n"/>
      <c r="B324" s="18" t="n"/>
      <c r="C324" s="20">
        <f>IF($B324="","",IF($R324="なし","※仕入先にないコード",INDEX('仕入先'!$C$5:$C$54,$R324)&amp;""))</f>
        <v/>
      </c>
      <c r="D324" s="26" t="n"/>
      <c r="E324" s="18" t="n"/>
      <c r="F324" s="19" t="n"/>
      <c r="G324" s="27" t="n"/>
      <c r="H324" s="29">
        <f>IF(OR($B324="",NOT(ISNUMBER($R324)),NOT(ISNUMBER($S324))),"",IF(OR(INDEX('仕入先'!$D$5:$D$54,$R324)="",INDEX('仕入先'!$E$5:$E$54,$R324)="",INDEX('仕入先'!$F$5:$F$54,$R324)=""),"",IF(INDEX('仕入先'!$F$5:$F$54,$R324)="末",DATE(YEAR($S324),(MONTH($S324)+IF(INDEX('仕入先'!$D$5:$D$54,$R324)="末",0,IF(DAY($S324)&lt;=INDEX('仕入先'!$D$5:$D$54,$R324),0,1))+N(INDEX('仕入先'!$E$5:$E$54,$R324)))+1,0),DATE(YEAR($S324),(MONTH($S324)+IF(INDEX('仕入先'!$D$5:$D$54,$R324)="末",0,IF(DAY($S324)&lt;=INDEX('仕入先'!$D$5:$D$54,$R324),0,1))+N(INDEX('仕入先'!$E$5:$E$54,$R324))),MIN(INDEX('仕入先'!$F$5:$F$54,$R324),DAY(DATE(YEAR($S324),(MONTH($S324)+IF(INDEX('仕入先'!$D$5:$D$54,$R324)="末",0,IF(DAY($S324)&lt;=INDEX('仕入先'!$D$5:$D$54,$R324),0,1))+N(INDEX('仕入先'!$E$5:$E$54,$R324)))+1,0)))))))</f>
        <v/>
      </c>
      <c r="I324" s="26" t="n"/>
      <c r="J324" s="29">
        <f>IF($B324="","",IF(ISNUMBER($I324),$I324,$H324))</f>
        <v/>
      </c>
      <c r="K324" s="26" t="n"/>
      <c r="L324" s="27" t="n"/>
      <c r="M324" s="27" t="n"/>
      <c r="N324" s="28">
        <f>IF($B324="","",N($G324)-N($L324)-N($M324))</f>
        <v/>
      </c>
      <c r="O324" s="30">
        <f>IF($B324="","",IF(AND(OR(N($L324)&lt;&gt;0,N($M324)&lt;&gt;0),NOT(ISNUMBER($K324))),"支払日なし",IF($N324=0,IF(N($G324)=0,"請求額0","支払済"),IF($N324&lt;0,"払いすぎ",IF(N($L324)+N($M324)=0,"未払","一部支払")))))</f>
        <v/>
      </c>
      <c r="P324" s="30">
        <f>IF(OR($B324="",N($N324)&lt;=0,NOT(ISNUMBER($J324))),"",IF($J324&lt;'設定'!$B$7,"期日超過 "&amp;('設定'!$B$7-$J324)&amp;"日",IF($J324='設定'!$B$7,"今日","あと "&amp;($J324-'設定'!$B$7)&amp;"日")))</f>
        <v/>
      </c>
      <c r="Q324" s="56" t="n"/>
      <c r="R324" s="32">
        <f>IF($B324="","",IFERROR(MATCH($B324,'仕入先'!$B$5:$B$54,0),"なし"))</f>
        <v/>
      </c>
      <c r="S324" s="33">
        <f>IF($B324="","",IF(ISNUMBER($D324),$D324,IF(ISNUMBER($A324),$A324,"")))</f>
        <v/>
      </c>
      <c r="T324" s="34">
        <f>IF(OR($B324="",N($N324)&lt;=0),"",IF(ISNUMBER($J324),$J324,99999)+ROW()/1000000)</f>
        <v/>
      </c>
      <c r="U324" s="35">
        <f>IF(OR($B324="",$B324&lt;&gt;'買掛帳'!$B$3,NOT(ISNUMBER($S324))),"",IF(AND($S324&gt;='買掛帳'!$Q$3,$S324&lt;='買掛帳'!$Q$4),$S324+ROW()/10000000,""))</f>
        <v/>
      </c>
      <c r="V324" s="35">
        <f>IF(OR($B324="",$B324&lt;&gt;'買掛帳'!$B$3,NOT(ISNUMBER($K324)),N($L324)+N($M324)=0),"",IF(AND($K324&gt;='買掛帳'!$Q$3,$K324&lt;='買掛帳'!$Q$4),$K324+0.5+ROW()/10000000,""))</f>
        <v/>
      </c>
    </row>
    <row r="325" ht="18" customHeight="1">
      <c r="A325" s="26" t="n"/>
      <c r="B325" s="18" t="n"/>
      <c r="C325" s="20">
        <f>IF($B325="","",IF($R325="なし","※仕入先にないコード",INDEX('仕入先'!$C$5:$C$54,$R325)&amp;""))</f>
        <v/>
      </c>
      <c r="D325" s="26" t="n"/>
      <c r="E325" s="18" t="n"/>
      <c r="F325" s="19" t="n"/>
      <c r="G325" s="27" t="n"/>
      <c r="H325" s="29">
        <f>IF(OR($B325="",NOT(ISNUMBER($R325)),NOT(ISNUMBER($S325))),"",IF(OR(INDEX('仕入先'!$D$5:$D$54,$R325)="",INDEX('仕入先'!$E$5:$E$54,$R325)="",INDEX('仕入先'!$F$5:$F$54,$R325)=""),"",IF(INDEX('仕入先'!$F$5:$F$54,$R325)="末",DATE(YEAR($S325),(MONTH($S325)+IF(INDEX('仕入先'!$D$5:$D$54,$R325)="末",0,IF(DAY($S325)&lt;=INDEX('仕入先'!$D$5:$D$54,$R325),0,1))+N(INDEX('仕入先'!$E$5:$E$54,$R325)))+1,0),DATE(YEAR($S325),(MONTH($S325)+IF(INDEX('仕入先'!$D$5:$D$54,$R325)="末",0,IF(DAY($S325)&lt;=INDEX('仕入先'!$D$5:$D$54,$R325),0,1))+N(INDEX('仕入先'!$E$5:$E$54,$R325))),MIN(INDEX('仕入先'!$F$5:$F$54,$R325),DAY(DATE(YEAR($S325),(MONTH($S325)+IF(INDEX('仕入先'!$D$5:$D$54,$R325)="末",0,IF(DAY($S325)&lt;=INDEX('仕入先'!$D$5:$D$54,$R325),0,1))+N(INDEX('仕入先'!$E$5:$E$54,$R325)))+1,0)))))))</f>
        <v/>
      </c>
      <c r="I325" s="26" t="n"/>
      <c r="J325" s="29">
        <f>IF($B325="","",IF(ISNUMBER($I325),$I325,$H325))</f>
        <v/>
      </c>
      <c r="K325" s="26" t="n"/>
      <c r="L325" s="27" t="n"/>
      <c r="M325" s="27" t="n"/>
      <c r="N325" s="28">
        <f>IF($B325="","",N($G325)-N($L325)-N($M325))</f>
        <v/>
      </c>
      <c r="O325" s="30">
        <f>IF($B325="","",IF(AND(OR(N($L325)&lt;&gt;0,N($M325)&lt;&gt;0),NOT(ISNUMBER($K325))),"支払日なし",IF($N325=0,IF(N($G325)=0,"請求額0","支払済"),IF($N325&lt;0,"払いすぎ",IF(N($L325)+N($M325)=0,"未払","一部支払")))))</f>
        <v/>
      </c>
      <c r="P325" s="30">
        <f>IF(OR($B325="",N($N325)&lt;=0,NOT(ISNUMBER($J325))),"",IF($J325&lt;'設定'!$B$7,"期日超過 "&amp;('設定'!$B$7-$J325)&amp;"日",IF($J325='設定'!$B$7,"今日","あと "&amp;($J325-'設定'!$B$7)&amp;"日")))</f>
        <v/>
      </c>
      <c r="Q325" s="56" t="n"/>
      <c r="R325" s="32">
        <f>IF($B325="","",IFERROR(MATCH($B325,'仕入先'!$B$5:$B$54,0),"なし"))</f>
        <v/>
      </c>
      <c r="S325" s="33">
        <f>IF($B325="","",IF(ISNUMBER($D325),$D325,IF(ISNUMBER($A325),$A325,"")))</f>
        <v/>
      </c>
      <c r="T325" s="34">
        <f>IF(OR($B325="",N($N325)&lt;=0),"",IF(ISNUMBER($J325),$J325,99999)+ROW()/1000000)</f>
        <v/>
      </c>
      <c r="U325" s="35">
        <f>IF(OR($B325="",$B325&lt;&gt;'買掛帳'!$B$3,NOT(ISNUMBER($S325))),"",IF(AND($S325&gt;='買掛帳'!$Q$3,$S325&lt;='買掛帳'!$Q$4),$S325+ROW()/10000000,""))</f>
        <v/>
      </c>
      <c r="V325" s="35">
        <f>IF(OR($B325="",$B325&lt;&gt;'買掛帳'!$B$3,NOT(ISNUMBER($K325)),N($L325)+N($M325)=0),"",IF(AND($K325&gt;='買掛帳'!$Q$3,$K325&lt;='買掛帳'!$Q$4),$K325+0.5+ROW()/10000000,""))</f>
        <v/>
      </c>
    </row>
    <row r="326" ht="18" customHeight="1">
      <c r="A326" s="26" t="n"/>
      <c r="B326" s="18" t="n"/>
      <c r="C326" s="20">
        <f>IF($B326="","",IF($R326="なし","※仕入先にないコード",INDEX('仕入先'!$C$5:$C$54,$R326)&amp;""))</f>
        <v/>
      </c>
      <c r="D326" s="26" t="n"/>
      <c r="E326" s="18" t="n"/>
      <c r="F326" s="19" t="n"/>
      <c r="G326" s="27" t="n"/>
      <c r="H326" s="29">
        <f>IF(OR($B326="",NOT(ISNUMBER($R326)),NOT(ISNUMBER($S326))),"",IF(OR(INDEX('仕入先'!$D$5:$D$54,$R326)="",INDEX('仕入先'!$E$5:$E$54,$R326)="",INDEX('仕入先'!$F$5:$F$54,$R326)=""),"",IF(INDEX('仕入先'!$F$5:$F$54,$R326)="末",DATE(YEAR($S326),(MONTH($S326)+IF(INDEX('仕入先'!$D$5:$D$54,$R326)="末",0,IF(DAY($S326)&lt;=INDEX('仕入先'!$D$5:$D$54,$R326),0,1))+N(INDEX('仕入先'!$E$5:$E$54,$R326)))+1,0),DATE(YEAR($S326),(MONTH($S326)+IF(INDEX('仕入先'!$D$5:$D$54,$R326)="末",0,IF(DAY($S326)&lt;=INDEX('仕入先'!$D$5:$D$54,$R326),0,1))+N(INDEX('仕入先'!$E$5:$E$54,$R326))),MIN(INDEX('仕入先'!$F$5:$F$54,$R326),DAY(DATE(YEAR($S326),(MONTH($S326)+IF(INDEX('仕入先'!$D$5:$D$54,$R326)="末",0,IF(DAY($S326)&lt;=INDEX('仕入先'!$D$5:$D$54,$R326),0,1))+N(INDEX('仕入先'!$E$5:$E$54,$R326)))+1,0)))))))</f>
        <v/>
      </c>
      <c r="I326" s="26" t="n"/>
      <c r="J326" s="29">
        <f>IF($B326="","",IF(ISNUMBER($I326),$I326,$H326))</f>
        <v/>
      </c>
      <c r="K326" s="26" t="n"/>
      <c r="L326" s="27" t="n"/>
      <c r="M326" s="27" t="n"/>
      <c r="N326" s="28">
        <f>IF($B326="","",N($G326)-N($L326)-N($M326))</f>
        <v/>
      </c>
      <c r="O326" s="30">
        <f>IF($B326="","",IF(AND(OR(N($L326)&lt;&gt;0,N($M326)&lt;&gt;0),NOT(ISNUMBER($K326))),"支払日なし",IF($N326=0,IF(N($G326)=0,"請求額0","支払済"),IF($N326&lt;0,"払いすぎ",IF(N($L326)+N($M326)=0,"未払","一部支払")))))</f>
        <v/>
      </c>
      <c r="P326" s="30">
        <f>IF(OR($B326="",N($N326)&lt;=0,NOT(ISNUMBER($J326))),"",IF($J326&lt;'設定'!$B$7,"期日超過 "&amp;('設定'!$B$7-$J326)&amp;"日",IF($J326='設定'!$B$7,"今日","あと "&amp;($J326-'設定'!$B$7)&amp;"日")))</f>
        <v/>
      </c>
      <c r="Q326" s="56" t="n"/>
      <c r="R326" s="32">
        <f>IF($B326="","",IFERROR(MATCH($B326,'仕入先'!$B$5:$B$54,0),"なし"))</f>
        <v/>
      </c>
      <c r="S326" s="33">
        <f>IF($B326="","",IF(ISNUMBER($D326),$D326,IF(ISNUMBER($A326),$A326,"")))</f>
        <v/>
      </c>
      <c r="T326" s="34">
        <f>IF(OR($B326="",N($N326)&lt;=0),"",IF(ISNUMBER($J326),$J326,99999)+ROW()/1000000)</f>
        <v/>
      </c>
      <c r="U326" s="35">
        <f>IF(OR($B326="",$B326&lt;&gt;'買掛帳'!$B$3,NOT(ISNUMBER($S326))),"",IF(AND($S326&gt;='買掛帳'!$Q$3,$S326&lt;='買掛帳'!$Q$4),$S326+ROW()/10000000,""))</f>
        <v/>
      </c>
      <c r="V326" s="35">
        <f>IF(OR($B326="",$B326&lt;&gt;'買掛帳'!$B$3,NOT(ISNUMBER($K326)),N($L326)+N($M326)=0),"",IF(AND($K326&gt;='買掛帳'!$Q$3,$K326&lt;='買掛帳'!$Q$4),$K326+0.5+ROW()/10000000,""))</f>
        <v/>
      </c>
    </row>
    <row r="327" ht="18" customHeight="1">
      <c r="A327" s="26" t="n"/>
      <c r="B327" s="18" t="n"/>
      <c r="C327" s="20">
        <f>IF($B327="","",IF($R327="なし","※仕入先にないコード",INDEX('仕入先'!$C$5:$C$54,$R327)&amp;""))</f>
        <v/>
      </c>
      <c r="D327" s="26" t="n"/>
      <c r="E327" s="18" t="n"/>
      <c r="F327" s="19" t="n"/>
      <c r="G327" s="27" t="n"/>
      <c r="H327" s="29">
        <f>IF(OR($B327="",NOT(ISNUMBER($R327)),NOT(ISNUMBER($S327))),"",IF(OR(INDEX('仕入先'!$D$5:$D$54,$R327)="",INDEX('仕入先'!$E$5:$E$54,$R327)="",INDEX('仕入先'!$F$5:$F$54,$R327)=""),"",IF(INDEX('仕入先'!$F$5:$F$54,$R327)="末",DATE(YEAR($S327),(MONTH($S327)+IF(INDEX('仕入先'!$D$5:$D$54,$R327)="末",0,IF(DAY($S327)&lt;=INDEX('仕入先'!$D$5:$D$54,$R327),0,1))+N(INDEX('仕入先'!$E$5:$E$54,$R327)))+1,0),DATE(YEAR($S327),(MONTH($S327)+IF(INDEX('仕入先'!$D$5:$D$54,$R327)="末",0,IF(DAY($S327)&lt;=INDEX('仕入先'!$D$5:$D$54,$R327),0,1))+N(INDEX('仕入先'!$E$5:$E$54,$R327))),MIN(INDEX('仕入先'!$F$5:$F$54,$R327),DAY(DATE(YEAR($S327),(MONTH($S327)+IF(INDEX('仕入先'!$D$5:$D$54,$R327)="末",0,IF(DAY($S327)&lt;=INDEX('仕入先'!$D$5:$D$54,$R327),0,1))+N(INDEX('仕入先'!$E$5:$E$54,$R327)))+1,0)))))))</f>
        <v/>
      </c>
      <c r="I327" s="26" t="n"/>
      <c r="J327" s="29">
        <f>IF($B327="","",IF(ISNUMBER($I327),$I327,$H327))</f>
        <v/>
      </c>
      <c r="K327" s="26" t="n"/>
      <c r="L327" s="27" t="n"/>
      <c r="M327" s="27" t="n"/>
      <c r="N327" s="28">
        <f>IF($B327="","",N($G327)-N($L327)-N($M327))</f>
        <v/>
      </c>
      <c r="O327" s="30">
        <f>IF($B327="","",IF(AND(OR(N($L327)&lt;&gt;0,N($M327)&lt;&gt;0),NOT(ISNUMBER($K327))),"支払日なし",IF($N327=0,IF(N($G327)=0,"請求額0","支払済"),IF($N327&lt;0,"払いすぎ",IF(N($L327)+N($M327)=0,"未払","一部支払")))))</f>
        <v/>
      </c>
      <c r="P327" s="30">
        <f>IF(OR($B327="",N($N327)&lt;=0,NOT(ISNUMBER($J327))),"",IF($J327&lt;'設定'!$B$7,"期日超過 "&amp;('設定'!$B$7-$J327)&amp;"日",IF($J327='設定'!$B$7,"今日","あと "&amp;($J327-'設定'!$B$7)&amp;"日")))</f>
        <v/>
      </c>
      <c r="Q327" s="56" t="n"/>
      <c r="R327" s="32">
        <f>IF($B327="","",IFERROR(MATCH($B327,'仕入先'!$B$5:$B$54,0),"なし"))</f>
        <v/>
      </c>
      <c r="S327" s="33">
        <f>IF($B327="","",IF(ISNUMBER($D327),$D327,IF(ISNUMBER($A327),$A327,"")))</f>
        <v/>
      </c>
      <c r="T327" s="34">
        <f>IF(OR($B327="",N($N327)&lt;=0),"",IF(ISNUMBER($J327),$J327,99999)+ROW()/1000000)</f>
        <v/>
      </c>
      <c r="U327" s="35">
        <f>IF(OR($B327="",$B327&lt;&gt;'買掛帳'!$B$3,NOT(ISNUMBER($S327))),"",IF(AND($S327&gt;='買掛帳'!$Q$3,$S327&lt;='買掛帳'!$Q$4),$S327+ROW()/10000000,""))</f>
        <v/>
      </c>
      <c r="V327" s="35">
        <f>IF(OR($B327="",$B327&lt;&gt;'買掛帳'!$B$3,NOT(ISNUMBER($K327)),N($L327)+N($M327)=0),"",IF(AND($K327&gt;='買掛帳'!$Q$3,$K327&lt;='買掛帳'!$Q$4),$K327+0.5+ROW()/10000000,""))</f>
        <v/>
      </c>
    </row>
    <row r="328" ht="18" customHeight="1">
      <c r="A328" s="26" t="n"/>
      <c r="B328" s="18" t="n"/>
      <c r="C328" s="20">
        <f>IF($B328="","",IF($R328="なし","※仕入先にないコード",INDEX('仕入先'!$C$5:$C$54,$R328)&amp;""))</f>
        <v/>
      </c>
      <c r="D328" s="26" t="n"/>
      <c r="E328" s="18" t="n"/>
      <c r="F328" s="19" t="n"/>
      <c r="G328" s="27" t="n"/>
      <c r="H328" s="29">
        <f>IF(OR($B328="",NOT(ISNUMBER($R328)),NOT(ISNUMBER($S328))),"",IF(OR(INDEX('仕入先'!$D$5:$D$54,$R328)="",INDEX('仕入先'!$E$5:$E$54,$R328)="",INDEX('仕入先'!$F$5:$F$54,$R328)=""),"",IF(INDEX('仕入先'!$F$5:$F$54,$R328)="末",DATE(YEAR($S328),(MONTH($S328)+IF(INDEX('仕入先'!$D$5:$D$54,$R328)="末",0,IF(DAY($S328)&lt;=INDEX('仕入先'!$D$5:$D$54,$R328),0,1))+N(INDEX('仕入先'!$E$5:$E$54,$R328)))+1,0),DATE(YEAR($S328),(MONTH($S328)+IF(INDEX('仕入先'!$D$5:$D$54,$R328)="末",0,IF(DAY($S328)&lt;=INDEX('仕入先'!$D$5:$D$54,$R328),0,1))+N(INDEX('仕入先'!$E$5:$E$54,$R328))),MIN(INDEX('仕入先'!$F$5:$F$54,$R328),DAY(DATE(YEAR($S328),(MONTH($S328)+IF(INDEX('仕入先'!$D$5:$D$54,$R328)="末",0,IF(DAY($S328)&lt;=INDEX('仕入先'!$D$5:$D$54,$R328),0,1))+N(INDEX('仕入先'!$E$5:$E$54,$R328)))+1,0)))))))</f>
        <v/>
      </c>
      <c r="I328" s="26" t="n"/>
      <c r="J328" s="29">
        <f>IF($B328="","",IF(ISNUMBER($I328),$I328,$H328))</f>
        <v/>
      </c>
      <c r="K328" s="26" t="n"/>
      <c r="L328" s="27" t="n"/>
      <c r="M328" s="27" t="n"/>
      <c r="N328" s="28">
        <f>IF($B328="","",N($G328)-N($L328)-N($M328))</f>
        <v/>
      </c>
      <c r="O328" s="30">
        <f>IF($B328="","",IF(AND(OR(N($L328)&lt;&gt;0,N($M328)&lt;&gt;0),NOT(ISNUMBER($K328))),"支払日なし",IF($N328=0,IF(N($G328)=0,"請求額0","支払済"),IF($N328&lt;0,"払いすぎ",IF(N($L328)+N($M328)=0,"未払","一部支払")))))</f>
        <v/>
      </c>
      <c r="P328" s="30">
        <f>IF(OR($B328="",N($N328)&lt;=0,NOT(ISNUMBER($J328))),"",IF($J328&lt;'設定'!$B$7,"期日超過 "&amp;('設定'!$B$7-$J328)&amp;"日",IF($J328='設定'!$B$7,"今日","あと "&amp;($J328-'設定'!$B$7)&amp;"日")))</f>
        <v/>
      </c>
      <c r="Q328" s="56" t="n"/>
      <c r="R328" s="32">
        <f>IF($B328="","",IFERROR(MATCH($B328,'仕入先'!$B$5:$B$54,0),"なし"))</f>
        <v/>
      </c>
      <c r="S328" s="33">
        <f>IF($B328="","",IF(ISNUMBER($D328),$D328,IF(ISNUMBER($A328),$A328,"")))</f>
        <v/>
      </c>
      <c r="T328" s="34">
        <f>IF(OR($B328="",N($N328)&lt;=0),"",IF(ISNUMBER($J328),$J328,99999)+ROW()/1000000)</f>
        <v/>
      </c>
      <c r="U328" s="35">
        <f>IF(OR($B328="",$B328&lt;&gt;'買掛帳'!$B$3,NOT(ISNUMBER($S328))),"",IF(AND($S328&gt;='買掛帳'!$Q$3,$S328&lt;='買掛帳'!$Q$4),$S328+ROW()/10000000,""))</f>
        <v/>
      </c>
      <c r="V328" s="35">
        <f>IF(OR($B328="",$B328&lt;&gt;'買掛帳'!$B$3,NOT(ISNUMBER($K328)),N($L328)+N($M328)=0),"",IF(AND($K328&gt;='買掛帳'!$Q$3,$K328&lt;='買掛帳'!$Q$4),$K328+0.5+ROW()/10000000,""))</f>
        <v/>
      </c>
    </row>
    <row r="329" ht="18" customHeight="1">
      <c r="A329" s="26" t="n"/>
      <c r="B329" s="18" t="n"/>
      <c r="C329" s="20">
        <f>IF($B329="","",IF($R329="なし","※仕入先にないコード",INDEX('仕入先'!$C$5:$C$54,$R329)&amp;""))</f>
        <v/>
      </c>
      <c r="D329" s="26" t="n"/>
      <c r="E329" s="18" t="n"/>
      <c r="F329" s="19" t="n"/>
      <c r="G329" s="27" t="n"/>
      <c r="H329" s="29">
        <f>IF(OR($B329="",NOT(ISNUMBER($R329)),NOT(ISNUMBER($S329))),"",IF(OR(INDEX('仕入先'!$D$5:$D$54,$R329)="",INDEX('仕入先'!$E$5:$E$54,$R329)="",INDEX('仕入先'!$F$5:$F$54,$R329)=""),"",IF(INDEX('仕入先'!$F$5:$F$54,$R329)="末",DATE(YEAR($S329),(MONTH($S329)+IF(INDEX('仕入先'!$D$5:$D$54,$R329)="末",0,IF(DAY($S329)&lt;=INDEX('仕入先'!$D$5:$D$54,$R329),0,1))+N(INDEX('仕入先'!$E$5:$E$54,$R329)))+1,0),DATE(YEAR($S329),(MONTH($S329)+IF(INDEX('仕入先'!$D$5:$D$54,$R329)="末",0,IF(DAY($S329)&lt;=INDEX('仕入先'!$D$5:$D$54,$R329),0,1))+N(INDEX('仕入先'!$E$5:$E$54,$R329))),MIN(INDEX('仕入先'!$F$5:$F$54,$R329),DAY(DATE(YEAR($S329),(MONTH($S329)+IF(INDEX('仕入先'!$D$5:$D$54,$R329)="末",0,IF(DAY($S329)&lt;=INDEX('仕入先'!$D$5:$D$54,$R329),0,1))+N(INDEX('仕入先'!$E$5:$E$54,$R329)))+1,0)))))))</f>
        <v/>
      </c>
      <c r="I329" s="26" t="n"/>
      <c r="J329" s="29">
        <f>IF($B329="","",IF(ISNUMBER($I329),$I329,$H329))</f>
        <v/>
      </c>
      <c r="K329" s="26" t="n"/>
      <c r="L329" s="27" t="n"/>
      <c r="M329" s="27" t="n"/>
      <c r="N329" s="28">
        <f>IF($B329="","",N($G329)-N($L329)-N($M329))</f>
        <v/>
      </c>
      <c r="O329" s="30">
        <f>IF($B329="","",IF(AND(OR(N($L329)&lt;&gt;0,N($M329)&lt;&gt;0),NOT(ISNUMBER($K329))),"支払日なし",IF($N329=0,IF(N($G329)=0,"請求額0","支払済"),IF($N329&lt;0,"払いすぎ",IF(N($L329)+N($M329)=0,"未払","一部支払")))))</f>
        <v/>
      </c>
      <c r="P329" s="30">
        <f>IF(OR($B329="",N($N329)&lt;=0,NOT(ISNUMBER($J329))),"",IF($J329&lt;'設定'!$B$7,"期日超過 "&amp;('設定'!$B$7-$J329)&amp;"日",IF($J329='設定'!$B$7,"今日","あと "&amp;($J329-'設定'!$B$7)&amp;"日")))</f>
        <v/>
      </c>
      <c r="Q329" s="56" t="n"/>
      <c r="R329" s="32">
        <f>IF($B329="","",IFERROR(MATCH($B329,'仕入先'!$B$5:$B$54,0),"なし"))</f>
        <v/>
      </c>
      <c r="S329" s="33">
        <f>IF($B329="","",IF(ISNUMBER($D329),$D329,IF(ISNUMBER($A329),$A329,"")))</f>
        <v/>
      </c>
      <c r="T329" s="34">
        <f>IF(OR($B329="",N($N329)&lt;=0),"",IF(ISNUMBER($J329),$J329,99999)+ROW()/1000000)</f>
        <v/>
      </c>
      <c r="U329" s="35">
        <f>IF(OR($B329="",$B329&lt;&gt;'買掛帳'!$B$3,NOT(ISNUMBER($S329))),"",IF(AND($S329&gt;='買掛帳'!$Q$3,$S329&lt;='買掛帳'!$Q$4),$S329+ROW()/10000000,""))</f>
        <v/>
      </c>
      <c r="V329" s="35">
        <f>IF(OR($B329="",$B329&lt;&gt;'買掛帳'!$B$3,NOT(ISNUMBER($K329)),N($L329)+N($M329)=0),"",IF(AND($K329&gt;='買掛帳'!$Q$3,$K329&lt;='買掛帳'!$Q$4),$K329+0.5+ROW()/10000000,""))</f>
        <v/>
      </c>
    </row>
    <row r="330" ht="18" customHeight="1">
      <c r="A330" s="26" t="n"/>
      <c r="B330" s="18" t="n"/>
      <c r="C330" s="20">
        <f>IF($B330="","",IF($R330="なし","※仕入先にないコード",INDEX('仕入先'!$C$5:$C$54,$R330)&amp;""))</f>
        <v/>
      </c>
      <c r="D330" s="26" t="n"/>
      <c r="E330" s="18" t="n"/>
      <c r="F330" s="19" t="n"/>
      <c r="G330" s="27" t="n"/>
      <c r="H330" s="29">
        <f>IF(OR($B330="",NOT(ISNUMBER($R330)),NOT(ISNUMBER($S330))),"",IF(OR(INDEX('仕入先'!$D$5:$D$54,$R330)="",INDEX('仕入先'!$E$5:$E$54,$R330)="",INDEX('仕入先'!$F$5:$F$54,$R330)=""),"",IF(INDEX('仕入先'!$F$5:$F$54,$R330)="末",DATE(YEAR($S330),(MONTH($S330)+IF(INDEX('仕入先'!$D$5:$D$54,$R330)="末",0,IF(DAY($S330)&lt;=INDEX('仕入先'!$D$5:$D$54,$R330),0,1))+N(INDEX('仕入先'!$E$5:$E$54,$R330)))+1,0),DATE(YEAR($S330),(MONTH($S330)+IF(INDEX('仕入先'!$D$5:$D$54,$R330)="末",0,IF(DAY($S330)&lt;=INDEX('仕入先'!$D$5:$D$54,$R330),0,1))+N(INDEX('仕入先'!$E$5:$E$54,$R330))),MIN(INDEX('仕入先'!$F$5:$F$54,$R330),DAY(DATE(YEAR($S330),(MONTH($S330)+IF(INDEX('仕入先'!$D$5:$D$54,$R330)="末",0,IF(DAY($S330)&lt;=INDEX('仕入先'!$D$5:$D$54,$R330),0,1))+N(INDEX('仕入先'!$E$5:$E$54,$R330)))+1,0)))))))</f>
        <v/>
      </c>
      <c r="I330" s="26" t="n"/>
      <c r="J330" s="29">
        <f>IF($B330="","",IF(ISNUMBER($I330),$I330,$H330))</f>
        <v/>
      </c>
      <c r="K330" s="26" t="n"/>
      <c r="L330" s="27" t="n"/>
      <c r="M330" s="27" t="n"/>
      <c r="N330" s="28">
        <f>IF($B330="","",N($G330)-N($L330)-N($M330))</f>
        <v/>
      </c>
      <c r="O330" s="30">
        <f>IF($B330="","",IF(AND(OR(N($L330)&lt;&gt;0,N($M330)&lt;&gt;0),NOT(ISNUMBER($K330))),"支払日なし",IF($N330=0,IF(N($G330)=0,"請求額0","支払済"),IF($N330&lt;0,"払いすぎ",IF(N($L330)+N($M330)=0,"未払","一部支払")))))</f>
        <v/>
      </c>
      <c r="P330" s="30">
        <f>IF(OR($B330="",N($N330)&lt;=0,NOT(ISNUMBER($J330))),"",IF($J330&lt;'設定'!$B$7,"期日超過 "&amp;('設定'!$B$7-$J330)&amp;"日",IF($J330='設定'!$B$7,"今日","あと "&amp;($J330-'設定'!$B$7)&amp;"日")))</f>
        <v/>
      </c>
      <c r="Q330" s="56" t="n"/>
      <c r="R330" s="32">
        <f>IF($B330="","",IFERROR(MATCH($B330,'仕入先'!$B$5:$B$54,0),"なし"))</f>
        <v/>
      </c>
      <c r="S330" s="33">
        <f>IF($B330="","",IF(ISNUMBER($D330),$D330,IF(ISNUMBER($A330),$A330,"")))</f>
        <v/>
      </c>
      <c r="T330" s="34">
        <f>IF(OR($B330="",N($N330)&lt;=0),"",IF(ISNUMBER($J330),$J330,99999)+ROW()/1000000)</f>
        <v/>
      </c>
      <c r="U330" s="35">
        <f>IF(OR($B330="",$B330&lt;&gt;'買掛帳'!$B$3,NOT(ISNUMBER($S330))),"",IF(AND($S330&gt;='買掛帳'!$Q$3,$S330&lt;='買掛帳'!$Q$4),$S330+ROW()/10000000,""))</f>
        <v/>
      </c>
      <c r="V330" s="35">
        <f>IF(OR($B330="",$B330&lt;&gt;'買掛帳'!$B$3,NOT(ISNUMBER($K330)),N($L330)+N($M330)=0),"",IF(AND($K330&gt;='買掛帳'!$Q$3,$K330&lt;='買掛帳'!$Q$4),$K330+0.5+ROW()/10000000,""))</f>
        <v/>
      </c>
    </row>
    <row r="331" ht="18" customHeight="1">
      <c r="A331" s="26" t="n"/>
      <c r="B331" s="18" t="n"/>
      <c r="C331" s="20">
        <f>IF($B331="","",IF($R331="なし","※仕入先にないコード",INDEX('仕入先'!$C$5:$C$54,$R331)&amp;""))</f>
        <v/>
      </c>
      <c r="D331" s="26" t="n"/>
      <c r="E331" s="18" t="n"/>
      <c r="F331" s="19" t="n"/>
      <c r="G331" s="27" t="n"/>
      <c r="H331" s="29">
        <f>IF(OR($B331="",NOT(ISNUMBER($R331)),NOT(ISNUMBER($S331))),"",IF(OR(INDEX('仕入先'!$D$5:$D$54,$R331)="",INDEX('仕入先'!$E$5:$E$54,$R331)="",INDEX('仕入先'!$F$5:$F$54,$R331)=""),"",IF(INDEX('仕入先'!$F$5:$F$54,$R331)="末",DATE(YEAR($S331),(MONTH($S331)+IF(INDEX('仕入先'!$D$5:$D$54,$R331)="末",0,IF(DAY($S331)&lt;=INDEX('仕入先'!$D$5:$D$54,$R331),0,1))+N(INDEX('仕入先'!$E$5:$E$54,$R331)))+1,0),DATE(YEAR($S331),(MONTH($S331)+IF(INDEX('仕入先'!$D$5:$D$54,$R331)="末",0,IF(DAY($S331)&lt;=INDEX('仕入先'!$D$5:$D$54,$R331),0,1))+N(INDEX('仕入先'!$E$5:$E$54,$R331))),MIN(INDEX('仕入先'!$F$5:$F$54,$R331),DAY(DATE(YEAR($S331),(MONTH($S331)+IF(INDEX('仕入先'!$D$5:$D$54,$R331)="末",0,IF(DAY($S331)&lt;=INDEX('仕入先'!$D$5:$D$54,$R331),0,1))+N(INDEX('仕入先'!$E$5:$E$54,$R331)))+1,0)))))))</f>
        <v/>
      </c>
      <c r="I331" s="26" t="n"/>
      <c r="J331" s="29">
        <f>IF($B331="","",IF(ISNUMBER($I331),$I331,$H331))</f>
        <v/>
      </c>
      <c r="K331" s="26" t="n"/>
      <c r="L331" s="27" t="n"/>
      <c r="M331" s="27" t="n"/>
      <c r="N331" s="28">
        <f>IF($B331="","",N($G331)-N($L331)-N($M331))</f>
        <v/>
      </c>
      <c r="O331" s="30">
        <f>IF($B331="","",IF(AND(OR(N($L331)&lt;&gt;0,N($M331)&lt;&gt;0),NOT(ISNUMBER($K331))),"支払日なし",IF($N331=0,IF(N($G331)=0,"請求額0","支払済"),IF($N331&lt;0,"払いすぎ",IF(N($L331)+N($M331)=0,"未払","一部支払")))))</f>
        <v/>
      </c>
      <c r="P331" s="30">
        <f>IF(OR($B331="",N($N331)&lt;=0,NOT(ISNUMBER($J331))),"",IF($J331&lt;'設定'!$B$7,"期日超過 "&amp;('設定'!$B$7-$J331)&amp;"日",IF($J331='設定'!$B$7,"今日","あと "&amp;($J331-'設定'!$B$7)&amp;"日")))</f>
        <v/>
      </c>
      <c r="Q331" s="56" t="n"/>
      <c r="R331" s="32">
        <f>IF($B331="","",IFERROR(MATCH($B331,'仕入先'!$B$5:$B$54,0),"なし"))</f>
        <v/>
      </c>
      <c r="S331" s="33">
        <f>IF($B331="","",IF(ISNUMBER($D331),$D331,IF(ISNUMBER($A331),$A331,"")))</f>
        <v/>
      </c>
      <c r="T331" s="34">
        <f>IF(OR($B331="",N($N331)&lt;=0),"",IF(ISNUMBER($J331),$J331,99999)+ROW()/1000000)</f>
        <v/>
      </c>
      <c r="U331" s="35">
        <f>IF(OR($B331="",$B331&lt;&gt;'買掛帳'!$B$3,NOT(ISNUMBER($S331))),"",IF(AND($S331&gt;='買掛帳'!$Q$3,$S331&lt;='買掛帳'!$Q$4),$S331+ROW()/10000000,""))</f>
        <v/>
      </c>
      <c r="V331" s="35">
        <f>IF(OR($B331="",$B331&lt;&gt;'買掛帳'!$B$3,NOT(ISNUMBER($K331)),N($L331)+N($M331)=0),"",IF(AND($K331&gt;='買掛帳'!$Q$3,$K331&lt;='買掛帳'!$Q$4),$K331+0.5+ROW()/10000000,""))</f>
        <v/>
      </c>
    </row>
    <row r="332" ht="18" customHeight="1">
      <c r="A332" s="26" t="n"/>
      <c r="B332" s="18" t="n"/>
      <c r="C332" s="20">
        <f>IF($B332="","",IF($R332="なし","※仕入先にないコード",INDEX('仕入先'!$C$5:$C$54,$R332)&amp;""))</f>
        <v/>
      </c>
      <c r="D332" s="26" t="n"/>
      <c r="E332" s="18" t="n"/>
      <c r="F332" s="19" t="n"/>
      <c r="G332" s="27" t="n"/>
      <c r="H332" s="29">
        <f>IF(OR($B332="",NOT(ISNUMBER($R332)),NOT(ISNUMBER($S332))),"",IF(OR(INDEX('仕入先'!$D$5:$D$54,$R332)="",INDEX('仕入先'!$E$5:$E$54,$R332)="",INDEX('仕入先'!$F$5:$F$54,$R332)=""),"",IF(INDEX('仕入先'!$F$5:$F$54,$R332)="末",DATE(YEAR($S332),(MONTH($S332)+IF(INDEX('仕入先'!$D$5:$D$54,$R332)="末",0,IF(DAY($S332)&lt;=INDEX('仕入先'!$D$5:$D$54,$R332),0,1))+N(INDEX('仕入先'!$E$5:$E$54,$R332)))+1,0),DATE(YEAR($S332),(MONTH($S332)+IF(INDEX('仕入先'!$D$5:$D$54,$R332)="末",0,IF(DAY($S332)&lt;=INDEX('仕入先'!$D$5:$D$54,$R332),0,1))+N(INDEX('仕入先'!$E$5:$E$54,$R332))),MIN(INDEX('仕入先'!$F$5:$F$54,$R332),DAY(DATE(YEAR($S332),(MONTH($S332)+IF(INDEX('仕入先'!$D$5:$D$54,$R332)="末",0,IF(DAY($S332)&lt;=INDEX('仕入先'!$D$5:$D$54,$R332),0,1))+N(INDEX('仕入先'!$E$5:$E$54,$R332)))+1,0)))))))</f>
        <v/>
      </c>
      <c r="I332" s="26" t="n"/>
      <c r="J332" s="29">
        <f>IF($B332="","",IF(ISNUMBER($I332),$I332,$H332))</f>
        <v/>
      </c>
      <c r="K332" s="26" t="n"/>
      <c r="L332" s="27" t="n"/>
      <c r="M332" s="27" t="n"/>
      <c r="N332" s="28">
        <f>IF($B332="","",N($G332)-N($L332)-N($M332))</f>
        <v/>
      </c>
      <c r="O332" s="30">
        <f>IF($B332="","",IF(AND(OR(N($L332)&lt;&gt;0,N($M332)&lt;&gt;0),NOT(ISNUMBER($K332))),"支払日なし",IF($N332=0,IF(N($G332)=0,"請求額0","支払済"),IF($N332&lt;0,"払いすぎ",IF(N($L332)+N($M332)=0,"未払","一部支払")))))</f>
        <v/>
      </c>
      <c r="P332" s="30">
        <f>IF(OR($B332="",N($N332)&lt;=0,NOT(ISNUMBER($J332))),"",IF($J332&lt;'設定'!$B$7,"期日超過 "&amp;('設定'!$B$7-$J332)&amp;"日",IF($J332='設定'!$B$7,"今日","あと "&amp;($J332-'設定'!$B$7)&amp;"日")))</f>
        <v/>
      </c>
      <c r="Q332" s="56" t="n"/>
      <c r="R332" s="32">
        <f>IF($B332="","",IFERROR(MATCH($B332,'仕入先'!$B$5:$B$54,0),"なし"))</f>
        <v/>
      </c>
      <c r="S332" s="33">
        <f>IF($B332="","",IF(ISNUMBER($D332),$D332,IF(ISNUMBER($A332),$A332,"")))</f>
        <v/>
      </c>
      <c r="T332" s="34">
        <f>IF(OR($B332="",N($N332)&lt;=0),"",IF(ISNUMBER($J332),$J332,99999)+ROW()/1000000)</f>
        <v/>
      </c>
      <c r="U332" s="35">
        <f>IF(OR($B332="",$B332&lt;&gt;'買掛帳'!$B$3,NOT(ISNUMBER($S332))),"",IF(AND($S332&gt;='買掛帳'!$Q$3,$S332&lt;='買掛帳'!$Q$4),$S332+ROW()/10000000,""))</f>
        <v/>
      </c>
      <c r="V332" s="35">
        <f>IF(OR($B332="",$B332&lt;&gt;'買掛帳'!$B$3,NOT(ISNUMBER($K332)),N($L332)+N($M332)=0),"",IF(AND($K332&gt;='買掛帳'!$Q$3,$K332&lt;='買掛帳'!$Q$4),$K332+0.5+ROW()/10000000,""))</f>
        <v/>
      </c>
    </row>
    <row r="333" ht="18" customHeight="1">
      <c r="A333" s="26" t="n"/>
      <c r="B333" s="18" t="n"/>
      <c r="C333" s="20">
        <f>IF($B333="","",IF($R333="なし","※仕入先にないコード",INDEX('仕入先'!$C$5:$C$54,$R333)&amp;""))</f>
        <v/>
      </c>
      <c r="D333" s="26" t="n"/>
      <c r="E333" s="18" t="n"/>
      <c r="F333" s="19" t="n"/>
      <c r="G333" s="27" t="n"/>
      <c r="H333" s="29">
        <f>IF(OR($B333="",NOT(ISNUMBER($R333)),NOT(ISNUMBER($S333))),"",IF(OR(INDEX('仕入先'!$D$5:$D$54,$R333)="",INDEX('仕入先'!$E$5:$E$54,$R333)="",INDEX('仕入先'!$F$5:$F$54,$R333)=""),"",IF(INDEX('仕入先'!$F$5:$F$54,$R333)="末",DATE(YEAR($S333),(MONTH($S333)+IF(INDEX('仕入先'!$D$5:$D$54,$R333)="末",0,IF(DAY($S333)&lt;=INDEX('仕入先'!$D$5:$D$54,$R333),0,1))+N(INDEX('仕入先'!$E$5:$E$54,$R333)))+1,0),DATE(YEAR($S333),(MONTH($S333)+IF(INDEX('仕入先'!$D$5:$D$54,$R333)="末",0,IF(DAY($S333)&lt;=INDEX('仕入先'!$D$5:$D$54,$R333),0,1))+N(INDEX('仕入先'!$E$5:$E$54,$R333))),MIN(INDEX('仕入先'!$F$5:$F$54,$R333),DAY(DATE(YEAR($S333),(MONTH($S333)+IF(INDEX('仕入先'!$D$5:$D$54,$R333)="末",0,IF(DAY($S333)&lt;=INDEX('仕入先'!$D$5:$D$54,$R333),0,1))+N(INDEX('仕入先'!$E$5:$E$54,$R333)))+1,0)))))))</f>
        <v/>
      </c>
      <c r="I333" s="26" t="n"/>
      <c r="J333" s="29">
        <f>IF($B333="","",IF(ISNUMBER($I333),$I333,$H333))</f>
        <v/>
      </c>
      <c r="K333" s="26" t="n"/>
      <c r="L333" s="27" t="n"/>
      <c r="M333" s="27" t="n"/>
      <c r="N333" s="28">
        <f>IF($B333="","",N($G333)-N($L333)-N($M333))</f>
        <v/>
      </c>
      <c r="O333" s="30">
        <f>IF($B333="","",IF(AND(OR(N($L333)&lt;&gt;0,N($M333)&lt;&gt;0),NOT(ISNUMBER($K333))),"支払日なし",IF($N333=0,IF(N($G333)=0,"請求額0","支払済"),IF($N333&lt;0,"払いすぎ",IF(N($L333)+N($M333)=0,"未払","一部支払")))))</f>
        <v/>
      </c>
      <c r="P333" s="30">
        <f>IF(OR($B333="",N($N333)&lt;=0,NOT(ISNUMBER($J333))),"",IF($J333&lt;'設定'!$B$7,"期日超過 "&amp;('設定'!$B$7-$J333)&amp;"日",IF($J333='設定'!$B$7,"今日","あと "&amp;($J333-'設定'!$B$7)&amp;"日")))</f>
        <v/>
      </c>
      <c r="Q333" s="56" t="n"/>
      <c r="R333" s="32">
        <f>IF($B333="","",IFERROR(MATCH($B333,'仕入先'!$B$5:$B$54,0),"なし"))</f>
        <v/>
      </c>
      <c r="S333" s="33">
        <f>IF($B333="","",IF(ISNUMBER($D333),$D333,IF(ISNUMBER($A333),$A333,"")))</f>
        <v/>
      </c>
      <c r="T333" s="34">
        <f>IF(OR($B333="",N($N333)&lt;=0),"",IF(ISNUMBER($J333),$J333,99999)+ROW()/1000000)</f>
        <v/>
      </c>
      <c r="U333" s="35">
        <f>IF(OR($B333="",$B333&lt;&gt;'買掛帳'!$B$3,NOT(ISNUMBER($S333))),"",IF(AND($S333&gt;='買掛帳'!$Q$3,$S333&lt;='買掛帳'!$Q$4),$S333+ROW()/10000000,""))</f>
        <v/>
      </c>
      <c r="V333" s="35">
        <f>IF(OR($B333="",$B333&lt;&gt;'買掛帳'!$B$3,NOT(ISNUMBER($K333)),N($L333)+N($M333)=0),"",IF(AND($K333&gt;='買掛帳'!$Q$3,$K333&lt;='買掛帳'!$Q$4),$K333+0.5+ROW()/10000000,""))</f>
        <v/>
      </c>
    </row>
    <row r="334" ht="18" customHeight="1">
      <c r="A334" s="26" t="n"/>
      <c r="B334" s="18" t="n"/>
      <c r="C334" s="20">
        <f>IF($B334="","",IF($R334="なし","※仕入先にないコード",INDEX('仕入先'!$C$5:$C$54,$R334)&amp;""))</f>
        <v/>
      </c>
      <c r="D334" s="26" t="n"/>
      <c r="E334" s="18" t="n"/>
      <c r="F334" s="19" t="n"/>
      <c r="G334" s="27" t="n"/>
      <c r="H334" s="29">
        <f>IF(OR($B334="",NOT(ISNUMBER($R334)),NOT(ISNUMBER($S334))),"",IF(OR(INDEX('仕入先'!$D$5:$D$54,$R334)="",INDEX('仕入先'!$E$5:$E$54,$R334)="",INDEX('仕入先'!$F$5:$F$54,$R334)=""),"",IF(INDEX('仕入先'!$F$5:$F$54,$R334)="末",DATE(YEAR($S334),(MONTH($S334)+IF(INDEX('仕入先'!$D$5:$D$54,$R334)="末",0,IF(DAY($S334)&lt;=INDEX('仕入先'!$D$5:$D$54,$R334),0,1))+N(INDEX('仕入先'!$E$5:$E$54,$R334)))+1,0),DATE(YEAR($S334),(MONTH($S334)+IF(INDEX('仕入先'!$D$5:$D$54,$R334)="末",0,IF(DAY($S334)&lt;=INDEX('仕入先'!$D$5:$D$54,$R334),0,1))+N(INDEX('仕入先'!$E$5:$E$54,$R334))),MIN(INDEX('仕入先'!$F$5:$F$54,$R334),DAY(DATE(YEAR($S334),(MONTH($S334)+IF(INDEX('仕入先'!$D$5:$D$54,$R334)="末",0,IF(DAY($S334)&lt;=INDEX('仕入先'!$D$5:$D$54,$R334),0,1))+N(INDEX('仕入先'!$E$5:$E$54,$R334)))+1,0)))))))</f>
        <v/>
      </c>
      <c r="I334" s="26" t="n"/>
      <c r="J334" s="29">
        <f>IF($B334="","",IF(ISNUMBER($I334),$I334,$H334))</f>
        <v/>
      </c>
      <c r="K334" s="26" t="n"/>
      <c r="L334" s="27" t="n"/>
      <c r="M334" s="27" t="n"/>
      <c r="N334" s="28">
        <f>IF($B334="","",N($G334)-N($L334)-N($M334))</f>
        <v/>
      </c>
      <c r="O334" s="30">
        <f>IF($B334="","",IF(AND(OR(N($L334)&lt;&gt;0,N($M334)&lt;&gt;0),NOT(ISNUMBER($K334))),"支払日なし",IF($N334=0,IF(N($G334)=0,"請求額0","支払済"),IF($N334&lt;0,"払いすぎ",IF(N($L334)+N($M334)=0,"未払","一部支払")))))</f>
        <v/>
      </c>
      <c r="P334" s="30">
        <f>IF(OR($B334="",N($N334)&lt;=0,NOT(ISNUMBER($J334))),"",IF($J334&lt;'設定'!$B$7,"期日超過 "&amp;('設定'!$B$7-$J334)&amp;"日",IF($J334='設定'!$B$7,"今日","あと "&amp;($J334-'設定'!$B$7)&amp;"日")))</f>
        <v/>
      </c>
      <c r="Q334" s="56" t="n"/>
      <c r="R334" s="32">
        <f>IF($B334="","",IFERROR(MATCH($B334,'仕入先'!$B$5:$B$54,0),"なし"))</f>
        <v/>
      </c>
      <c r="S334" s="33">
        <f>IF($B334="","",IF(ISNUMBER($D334),$D334,IF(ISNUMBER($A334),$A334,"")))</f>
        <v/>
      </c>
      <c r="T334" s="34">
        <f>IF(OR($B334="",N($N334)&lt;=0),"",IF(ISNUMBER($J334),$J334,99999)+ROW()/1000000)</f>
        <v/>
      </c>
      <c r="U334" s="35">
        <f>IF(OR($B334="",$B334&lt;&gt;'買掛帳'!$B$3,NOT(ISNUMBER($S334))),"",IF(AND($S334&gt;='買掛帳'!$Q$3,$S334&lt;='買掛帳'!$Q$4),$S334+ROW()/10000000,""))</f>
        <v/>
      </c>
      <c r="V334" s="35">
        <f>IF(OR($B334="",$B334&lt;&gt;'買掛帳'!$B$3,NOT(ISNUMBER($K334)),N($L334)+N($M334)=0),"",IF(AND($K334&gt;='買掛帳'!$Q$3,$K334&lt;='買掛帳'!$Q$4),$K334+0.5+ROW()/10000000,""))</f>
        <v/>
      </c>
    </row>
    <row r="335" ht="18" customHeight="1">
      <c r="A335" s="26" t="n"/>
      <c r="B335" s="18" t="n"/>
      <c r="C335" s="20">
        <f>IF($B335="","",IF($R335="なし","※仕入先にないコード",INDEX('仕入先'!$C$5:$C$54,$R335)&amp;""))</f>
        <v/>
      </c>
      <c r="D335" s="26" t="n"/>
      <c r="E335" s="18" t="n"/>
      <c r="F335" s="19" t="n"/>
      <c r="G335" s="27" t="n"/>
      <c r="H335" s="29">
        <f>IF(OR($B335="",NOT(ISNUMBER($R335)),NOT(ISNUMBER($S335))),"",IF(OR(INDEX('仕入先'!$D$5:$D$54,$R335)="",INDEX('仕入先'!$E$5:$E$54,$R335)="",INDEX('仕入先'!$F$5:$F$54,$R335)=""),"",IF(INDEX('仕入先'!$F$5:$F$54,$R335)="末",DATE(YEAR($S335),(MONTH($S335)+IF(INDEX('仕入先'!$D$5:$D$54,$R335)="末",0,IF(DAY($S335)&lt;=INDEX('仕入先'!$D$5:$D$54,$R335),0,1))+N(INDEX('仕入先'!$E$5:$E$54,$R335)))+1,0),DATE(YEAR($S335),(MONTH($S335)+IF(INDEX('仕入先'!$D$5:$D$54,$R335)="末",0,IF(DAY($S335)&lt;=INDEX('仕入先'!$D$5:$D$54,$R335),0,1))+N(INDEX('仕入先'!$E$5:$E$54,$R335))),MIN(INDEX('仕入先'!$F$5:$F$54,$R335),DAY(DATE(YEAR($S335),(MONTH($S335)+IF(INDEX('仕入先'!$D$5:$D$54,$R335)="末",0,IF(DAY($S335)&lt;=INDEX('仕入先'!$D$5:$D$54,$R335),0,1))+N(INDEX('仕入先'!$E$5:$E$54,$R335)))+1,0)))))))</f>
        <v/>
      </c>
      <c r="I335" s="26" t="n"/>
      <c r="J335" s="29">
        <f>IF($B335="","",IF(ISNUMBER($I335),$I335,$H335))</f>
        <v/>
      </c>
      <c r="K335" s="26" t="n"/>
      <c r="L335" s="27" t="n"/>
      <c r="M335" s="27" t="n"/>
      <c r="N335" s="28">
        <f>IF($B335="","",N($G335)-N($L335)-N($M335))</f>
        <v/>
      </c>
      <c r="O335" s="30">
        <f>IF($B335="","",IF(AND(OR(N($L335)&lt;&gt;0,N($M335)&lt;&gt;0),NOT(ISNUMBER($K335))),"支払日なし",IF($N335=0,IF(N($G335)=0,"請求額0","支払済"),IF($N335&lt;0,"払いすぎ",IF(N($L335)+N($M335)=0,"未払","一部支払")))))</f>
        <v/>
      </c>
      <c r="P335" s="30">
        <f>IF(OR($B335="",N($N335)&lt;=0,NOT(ISNUMBER($J335))),"",IF($J335&lt;'設定'!$B$7,"期日超過 "&amp;('設定'!$B$7-$J335)&amp;"日",IF($J335='設定'!$B$7,"今日","あと "&amp;($J335-'設定'!$B$7)&amp;"日")))</f>
        <v/>
      </c>
      <c r="Q335" s="56" t="n"/>
      <c r="R335" s="32">
        <f>IF($B335="","",IFERROR(MATCH($B335,'仕入先'!$B$5:$B$54,0),"なし"))</f>
        <v/>
      </c>
      <c r="S335" s="33">
        <f>IF($B335="","",IF(ISNUMBER($D335),$D335,IF(ISNUMBER($A335),$A335,"")))</f>
        <v/>
      </c>
      <c r="T335" s="34">
        <f>IF(OR($B335="",N($N335)&lt;=0),"",IF(ISNUMBER($J335),$J335,99999)+ROW()/1000000)</f>
        <v/>
      </c>
      <c r="U335" s="35">
        <f>IF(OR($B335="",$B335&lt;&gt;'買掛帳'!$B$3,NOT(ISNUMBER($S335))),"",IF(AND($S335&gt;='買掛帳'!$Q$3,$S335&lt;='買掛帳'!$Q$4),$S335+ROW()/10000000,""))</f>
        <v/>
      </c>
      <c r="V335" s="35">
        <f>IF(OR($B335="",$B335&lt;&gt;'買掛帳'!$B$3,NOT(ISNUMBER($K335)),N($L335)+N($M335)=0),"",IF(AND($K335&gt;='買掛帳'!$Q$3,$K335&lt;='買掛帳'!$Q$4),$K335+0.5+ROW()/10000000,""))</f>
        <v/>
      </c>
    </row>
    <row r="336" ht="18" customHeight="1">
      <c r="A336" s="26" t="n"/>
      <c r="B336" s="18" t="n"/>
      <c r="C336" s="20">
        <f>IF($B336="","",IF($R336="なし","※仕入先にないコード",INDEX('仕入先'!$C$5:$C$54,$R336)&amp;""))</f>
        <v/>
      </c>
      <c r="D336" s="26" t="n"/>
      <c r="E336" s="18" t="n"/>
      <c r="F336" s="19" t="n"/>
      <c r="G336" s="27" t="n"/>
      <c r="H336" s="29">
        <f>IF(OR($B336="",NOT(ISNUMBER($R336)),NOT(ISNUMBER($S336))),"",IF(OR(INDEX('仕入先'!$D$5:$D$54,$R336)="",INDEX('仕入先'!$E$5:$E$54,$R336)="",INDEX('仕入先'!$F$5:$F$54,$R336)=""),"",IF(INDEX('仕入先'!$F$5:$F$54,$R336)="末",DATE(YEAR($S336),(MONTH($S336)+IF(INDEX('仕入先'!$D$5:$D$54,$R336)="末",0,IF(DAY($S336)&lt;=INDEX('仕入先'!$D$5:$D$54,$R336),0,1))+N(INDEX('仕入先'!$E$5:$E$54,$R336)))+1,0),DATE(YEAR($S336),(MONTH($S336)+IF(INDEX('仕入先'!$D$5:$D$54,$R336)="末",0,IF(DAY($S336)&lt;=INDEX('仕入先'!$D$5:$D$54,$R336),0,1))+N(INDEX('仕入先'!$E$5:$E$54,$R336))),MIN(INDEX('仕入先'!$F$5:$F$54,$R336),DAY(DATE(YEAR($S336),(MONTH($S336)+IF(INDEX('仕入先'!$D$5:$D$54,$R336)="末",0,IF(DAY($S336)&lt;=INDEX('仕入先'!$D$5:$D$54,$R336),0,1))+N(INDEX('仕入先'!$E$5:$E$54,$R336)))+1,0)))))))</f>
        <v/>
      </c>
      <c r="I336" s="26" t="n"/>
      <c r="J336" s="29">
        <f>IF($B336="","",IF(ISNUMBER($I336),$I336,$H336))</f>
        <v/>
      </c>
      <c r="K336" s="26" t="n"/>
      <c r="L336" s="27" t="n"/>
      <c r="M336" s="27" t="n"/>
      <c r="N336" s="28">
        <f>IF($B336="","",N($G336)-N($L336)-N($M336))</f>
        <v/>
      </c>
      <c r="O336" s="30">
        <f>IF($B336="","",IF(AND(OR(N($L336)&lt;&gt;0,N($M336)&lt;&gt;0),NOT(ISNUMBER($K336))),"支払日なし",IF($N336=0,IF(N($G336)=0,"請求額0","支払済"),IF($N336&lt;0,"払いすぎ",IF(N($L336)+N($M336)=0,"未払","一部支払")))))</f>
        <v/>
      </c>
      <c r="P336" s="30">
        <f>IF(OR($B336="",N($N336)&lt;=0,NOT(ISNUMBER($J336))),"",IF($J336&lt;'設定'!$B$7,"期日超過 "&amp;('設定'!$B$7-$J336)&amp;"日",IF($J336='設定'!$B$7,"今日","あと "&amp;($J336-'設定'!$B$7)&amp;"日")))</f>
        <v/>
      </c>
      <c r="Q336" s="56" t="n"/>
      <c r="R336" s="32">
        <f>IF($B336="","",IFERROR(MATCH($B336,'仕入先'!$B$5:$B$54,0),"なし"))</f>
        <v/>
      </c>
      <c r="S336" s="33">
        <f>IF($B336="","",IF(ISNUMBER($D336),$D336,IF(ISNUMBER($A336),$A336,"")))</f>
        <v/>
      </c>
      <c r="T336" s="34">
        <f>IF(OR($B336="",N($N336)&lt;=0),"",IF(ISNUMBER($J336),$J336,99999)+ROW()/1000000)</f>
        <v/>
      </c>
      <c r="U336" s="35">
        <f>IF(OR($B336="",$B336&lt;&gt;'買掛帳'!$B$3,NOT(ISNUMBER($S336))),"",IF(AND($S336&gt;='買掛帳'!$Q$3,$S336&lt;='買掛帳'!$Q$4),$S336+ROW()/10000000,""))</f>
        <v/>
      </c>
      <c r="V336" s="35">
        <f>IF(OR($B336="",$B336&lt;&gt;'買掛帳'!$B$3,NOT(ISNUMBER($K336)),N($L336)+N($M336)=0),"",IF(AND($K336&gt;='買掛帳'!$Q$3,$K336&lt;='買掛帳'!$Q$4),$K336+0.5+ROW()/10000000,""))</f>
        <v/>
      </c>
    </row>
    <row r="337" ht="18" customHeight="1">
      <c r="A337" s="26" t="n"/>
      <c r="B337" s="18" t="n"/>
      <c r="C337" s="20">
        <f>IF($B337="","",IF($R337="なし","※仕入先にないコード",INDEX('仕入先'!$C$5:$C$54,$R337)&amp;""))</f>
        <v/>
      </c>
      <c r="D337" s="26" t="n"/>
      <c r="E337" s="18" t="n"/>
      <c r="F337" s="19" t="n"/>
      <c r="G337" s="27" t="n"/>
      <c r="H337" s="29">
        <f>IF(OR($B337="",NOT(ISNUMBER($R337)),NOT(ISNUMBER($S337))),"",IF(OR(INDEX('仕入先'!$D$5:$D$54,$R337)="",INDEX('仕入先'!$E$5:$E$54,$R337)="",INDEX('仕入先'!$F$5:$F$54,$R337)=""),"",IF(INDEX('仕入先'!$F$5:$F$54,$R337)="末",DATE(YEAR($S337),(MONTH($S337)+IF(INDEX('仕入先'!$D$5:$D$54,$R337)="末",0,IF(DAY($S337)&lt;=INDEX('仕入先'!$D$5:$D$54,$R337),0,1))+N(INDEX('仕入先'!$E$5:$E$54,$R337)))+1,0),DATE(YEAR($S337),(MONTH($S337)+IF(INDEX('仕入先'!$D$5:$D$54,$R337)="末",0,IF(DAY($S337)&lt;=INDEX('仕入先'!$D$5:$D$54,$R337),0,1))+N(INDEX('仕入先'!$E$5:$E$54,$R337))),MIN(INDEX('仕入先'!$F$5:$F$54,$R337),DAY(DATE(YEAR($S337),(MONTH($S337)+IF(INDEX('仕入先'!$D$5:$D$54,$R337)="末",0,IF(DAY($S337)&lt;=INDEX('仕入先'!$D$5:$D$54,$R337),0,1))+N(INDEX('仕入先'!$E$5:$E$54,$R337)))+1,0)))))))</f>
        <v/>
      </c>
      <c r="I337" s="26" t="n"/>
      <c r="J337" s="29">
        <f>IF($B337="","",IF(ISNUMBER($I337),$I337,$H337))</f>
        <v/>
      </c>
      <c r="K337" s="26" t="n"/>
      <c r="L337" s="27" t="n"/>
      <c r="M337" s="27" t="n"/>
      <c r="N337" s="28">
        <f>IF($B337="","",N($G337)-N($L337)-N($M337))</f>
        <v/>
      </c>
      <c r="O337" s="30">
        <f>IF($B337="","",IF(AND(OR(N($L337)&lt;&gt;0,N($M337)&lt;&gt;0),NOT(ISNUMBER($K337))),"支払日なし",IF($N337=0,IF(N($G337)=0,"請求額0","支払済"),IF($N337&lt;0,"払いすぎ",IF(N($L337)+N($M337)=0,"未払","一部支払")))))</f>
        <v/>
      </c>
      <c r="P337" s="30">
        <f>IF(OR($B337="",N($N337)&lt;=0,NOT(ISNUMBER($J337))),"",IF($J337&lt;'設定'!$B$7,"期日超過 "&amp;('設定'!$B$7-$J337)&amp;"日",IF($J337='設定'!$B$7,"今日","あと "&amp;($J337-'設定'!$B$7)&amp;"日")))</f>
        <v/>
      </c>
      <c r="Q337" s="56" t="n"/>
      <c r="R337" s="32">
        <f>IF($B337="","",IFERROR(MATCH($B337,'仕入先'!$B$5:$B$54,0),"なし"))</f>
        <v/>
      </c>
      <c r="S337" s="33">
        <f>IF($B337="","",IF(ISNUMBER($D337),$D337,IF(ISNUMBER($A337),$A337,"")))</f>
        <v/>
      </c>
      <c r="T337" s="34">
        <f>IF(OR($B337="",N($N337)&lt;=0),"",IF(ISNUMBER($J337),$J337,99999)+ROW()/1000000)</f>
        <v/>
      </c>
      <c r="U337" s="35">
        <f>IF(OR($B337="",$B337&lt;&gt;'買掛帳'!$B$3,NOT(ISNUMBER($S337))),"",IF(AND($S337&gt;='買掛帳'!$Q$3,$S337&lt;='買掛帳'!$Q$4),$S337+ROW()/10000000,""))</f>
        <v/>
      </c>
      <c r="V337" s="35">
        <f>IF(OR($B337="",$B337&lt;&gt;'買掛帳'!$B$3,NOT(ISNUMBER($K337)),N($L337)+N($M337)=0),"",IF(AND($K337&gt;='買掛帳'!$Q$3,$K337&lt;='買掛帳'!$Q$4),$K337+0.5+ROW()/10000000,""))</f>
        <v/>
      </c>
    </row>
    <row r="338" ht="18" customHeight="1">
      <c r="A338" s="26" t="n"/>
      <c r="B338" s="18" t="n"/>
      <c r="C338" s="20">
        <f>IF($B338="","",IF($R338="なし","※仕入先にないコード",INDEX('仕入先'!$C$5:$C$54,$R338)&amp;""))</f>
        <v/>
      </c>
      <c r="D338" s="26" t="n"/>
      <c r="E338" s="18" t="n"/>
      <c r="F338" s="19" t="n"/>
      <c r="G338" s="27" t="n"/>
      <c r="H338" s="29">
        <f>IF(OR($B338="",NOT(ISNUMBER($R338)),NOT(ISNUMBER($S338))),"",IF(OR(INDEX('仕入先'!$D$5:$D$54,$R338)="",INDEX('仕入先'!$E$5:$E$54,$R338)="",INDEX('仕入先'!$F$5:$F$54,$R338)=""),"",IF(INDEX('仕入先'!$F$5:$F$54,$R338)="末",DATE(YEAR($S338),(MONTH($S338)+IF(INDEX('仕入先'!$D$5:$D$54,$R338)="末",0,IF(DAY($S338)&lt;=INDEX('仕入先'!$D$5:$D$54,$R338),0,1))+N(INDEX('仕入先'!$E$5:$E$54,$R338)))+1,0),DATE(YEAR($S338),(MONTH($S338)+IF(INDEX('仕入先'!$D$5:$D$54,$R338)="末",0,IF(DAY($S338)&lt;=INDEX('仕入先'!$D$5:$D$54,$R338),0,1))+N(INDEX('仕入先'!$E$5:$E$54,$R338))),MIN(INDEX('仕入先'!$F$5:$F$54,$R338),DAY(DATE(YEAR($S338),(MONTH($S338)+IF(INDEX('仕入先'!$D$5:$D$54,$R338)="末",0,IF(DAY($S338)&lt;=INDEX('仕入先'!$D$5:$D$54,$R338),0,1))+N(INDEX('仕入先'!$E$5:$E$54,$R338)))+1,0)))))))</f>
        <v/>
      </c>
      <c r="I338" s="26" t="n"/>
      <c r="J338" s="29">
        <f>IF($B338="","",IF(ISNUMBER($I338),$I338,$H338))</f>
        <v/>
      </c>
      <c r="K338" s="26" t="n"/>
      <c r="L338" s="27" t="n"/>
      <c r="M338" s="27" t="n"/>
      <c r="N338" s="28">
        <f>IF($B338="","",N($G338)-N($L338)-N($M338))</f>
        <v/>
      </c>
      <c r="O338" s="30">
        <f>IF($B338="","",IF(AND(OR(N($L338)&lt;&gt;0,N($M338)&lt;&gt;0),NOT(ISNUMBER($K338))),"支払日なし",IF($N338=0,IF(N($G338)=0,"請求額0","支払済"),IF($N338&lt;0,"払いすぎ",IF(N($L338)+N($M338)=0,"未払","一部支払")))))</f>
        <v/>
      </c>
      <c r="P338" s="30">
        <f>IF(OR($B338="",N($N338)&lt;=0,NOT(ISNUMBER($J338))),"",IF($J338&lt;'設定'!$B$7,"期日超過 "&amp;('設定'!$B$7-$J338)&amp;"日",IF($J338='設定'!$B$7,"今日","あと "&amp;($J338-'設定'!$B$7)&amp;"日")))</f>
        <v/>
      </c>
      <c r="Q338" s="56" t="n"/>
      <c r="R338" s="32">
        <f>IF($B338="","",IFERROR(MATCH($B338,'仕入先'!$B$5:$B$54,0),"なし"))</f>
        <v/>
      </c>
      <c r="S338" s="33">
        <f>IF($B338="","",IF(ISNUMBER($D338),$D338,IF(ISNUMBER($A338),$A338,"")))</f>
        <v/>
      </c>
      <c r="T338" s="34">
        <f>IF(OR($B338="",N($N338)&lt;=0),"",IF(ISNUMBER($J338),$J338,99999)+ROW()/1000000)</f>
        <v/>
      </c>
      <c r="U338" s="35">
        <f>IF(OR($B338="",$B338&lt;&gt;'買掛帳'!$B$3,NOT(ISNUMBER($S338))),"",IF(AND($S338&gt;='買掛帳'!$Q$3,$S338&lt;='買掛帳'!$Q$4),$S338+ROW()/10000000,""))</f>
        <v/>
      </c>
      <c r="V338" s="35">
        <f>IF(OR($B338="",$B338&lt;&gt;'買掛帳'!$B$3,NOT(ISNUMBER($K338)),N($L338)+N($M338)=0),"",IF(AND($K338&gt;='買掛帳'!$Q$3,$K338&lt;='買掛帳'!$Q$4),$K338+0.5+ROW()/10000000,""))</f>
        <v/>
      </c>
    </row>
    <row r="339" ht="18" customHeight="1">
      <c r="A339" s="26" t="n"/>
      <c r="B339" s="18" t="n"/>
      <c r="C339" s="20">
        <f>IF($B339="","",IF($R339="なし","※仕入先にないコード",INDEX('仕入先'!$C$5:$C$54,$R339)&amp;""))</f>
        <v/>
      </c>
      <c r="D339" s="26" t="n"/>
      <c r="E339" s="18" t="n"/>
      <c r="F339" s="19" t="n"/>
      <c r="G339" s="27" t="n"/>
      <c r="H339" s="29">
        <f>IF(OR($B339="",NOT(ISNUMBER($R339)),NOT(ISNUMBER($S339))),"",IF(OR(INDEX('仕入先'!$D$5:$D$54,$R339)="",INDEX('仕入先'!$E$5:$E$54,$R339)="",INDEX('仕入先'!$F$5:$F$54,$R339)=""),"",IF(INDEX('仕入先'!$F$5:$F$54,$R339)="末",DATE(YEAR($S339),(MONTH($S339)+IF(INDEX('仕入先'!$D$5:$D$54,$R339)="末",0,IF(DAY($S339)&lt;=INDEX('仕入先'!$D$5:$D$54,$R339),0,1))+N(INDEX('仕入先'!$E$5:$E$54,$R339)))+1,0),DATE(YEAR($S339),(MONTH($S339)+IF(INDEX('仕入先'!$D$5:$D$54,$R339)="末",0,IF(DAY($S339)&lt;=INDEX('仕入先'!$D$5:$D$54,$R339),0,1))+N(INDEX('仕入先'!$E$5:$E$54,$R339))),MIN(INDEX('仕入先'!$F$5:$F$54,$R339),DAY(DATE(YEAR($S339),(MONTH($S339)+IF(INDEX('仕入先'!$D$5:$D$54,$R339)="末",0,IF(DAY($S339)&lt;=INDEX('仕入先'!$D$5:$D$54,$R339),0,1))+N(INDEX('仕入先'!$E$5:$E$54,$R339)))+1,0)))))))</f>
        <v/>
      </c>
      <c r="I339" s="26" t="n"/>
      <c r="J339" s="29">
        <f>IF($B339="","",IF(ISNUMBER($I339),$I339,$H339))</f>
        <v/>
      </c>
      <c r="K339" s="26" t="n"/>
      <c r="L339" s="27" t="n"/>
      <c r="M339" s="27" t="n"/>
      <c r="N339" s="28">
        <f>IF($B339="","",N($G339)-N($L339)-N($M339))</f>
        <v/>
      </c>
      <c r="O339" s="30">
        <f>IF($B339="","",IF(AND(OR(N($L339)&lt;&gt;0,N($M339)&lt;&gt;0),NOT(ISNUMBER($K339))),"支払日なし",IF($N339=0,IF(N($G339)=0,"請求額0","支払済"),IF($N339&lt;0,"払いすぎ",IF(N($L339)+N($M339)=0,"未払","一部支払")))))</f>
        <v/>
      </c>
      <c r="P339" s="30">
        <f>IF(OR($B339="",N($N339)&lt;=0,NOT(ISNUMBER($J339))),"",IF($J339&lt;'設定'!$B$7,"期日超過 "&amp;('設定'!$B$7-$J339)&amp;"日",IF($J339='設定'!$B$7,"今日","あと "&amp;($J339-'設定'!$B$7)&amp;"日")))</f>
        <v/>
      </c>
      <c r="Q339" s="56" t="n"/>
      <c r="R339" s="32">
        <f>IF($B339="","",IFERROR(MATCH($B339,'仕入先'!$B$5:$B$54,0),"なし"))</f>
        <v/>
      </c>
      <c r="S339" s="33">
        <f>IF($B339="","",IF(ISNUMBER($D339),$D339,IF(ISNUMBER($A339),$A339,"")))</f>
        <v/>
      </c>
      <c r="T339" s="34">
        <f>IF(OR($B339="",N($N339)&lt;=0),"",IF(ISNUMBER($J339),$J339,99999)+ROW()/1000000)</f>
        <v/>
      </c>
      <c r="U339" s="35">
        <f>IF(OR($B339="",$B339&lt;&gt;'買掛帳'!$B$3,NOT(ISNUMBER($S339))),"",IF(AND($S339&gt;='買掛帳'!$Q$3,$S339&lt;='買掛帳'!$Q$4),$S339+ROW()/10000000,""))</f>
        <v/>
      </c>
      <c r="V339" s="35">
        <f>IF(OR($B339="",$B339&lt;&gt;'買掛帳'!$B$3,NOT(ISNUMBER($K339)),N($L339)+N($M339)=0),"",IF(AND($K339&gt;='買掛帳'!$Q$3,$K339&lt;='買掛帳'!$Q$4),$K339+0.5+ROW()/10000000,""))</f>
        <v/>
      </c>
    </row>
    <row r="340" ht="18" customHeight="1">
      <c r="A340" s="26" t="n"/>
      <c r="B340" s="18" t="n"/>
      <c r="C340" s="20">
        <f>IF($B340="","",IF($R340="なし","※仕入先にないコード",INDEX('仕入先'!$C$5:$C$54,$R340)&amp;""))</f>
        <v/>
      </c>
      <c r="D340" s="26" t="n"/>
      <c r="E340" s="18" t="n"/>
      <c r="F340" s="19" t="n"/>
      <c r="G340" s="27" t="n"/>
      <c r="H340" s="29">
        <f>IF(OR($B340="",NOT(ISNUMBER($R340)),NOT(ISNUMBER($S340))),"",IF(OR(INDEX('仕入先'!$D$5:$D$54,$R340)="",INDEX('仕入先'!$E$5:$E$54,$R340)="",INDEX('仕入先'!$F$5:$F$54,$R340)=""),"",IF(INDEX('仕入先'!$F$5:$F$54,$R340)="末",DATE(YEAR($S340),(MONTH($S340)+IF(INDEX('仕入先'!$D$5:$D$54,$R340)="末",0,IF(DAY($S340)&lt;=INDEX('仕入先'!$D$5:$D$54,$R340),0,1))+N(INDEX('仕入先'!$E$5:$E$54,$R340)))+1,0),DATE(YEAR($S340),(MONTH($S340)+IF(INDEX('仕入先'!$D$5:$D$54,$R340)="末",0,IF(DAY($S340)&lt;=INDEX('仕入先'!$D$5:$D$54,$R340),0,1))+N(INDEX('仕入先'!$E$5:$E$54,$R340))),MIN(INDEX('仕入先'!$F$5:$F$54,$R340),DAY(DATE(YEAR($S340),(MONTH($S340)+IF(INDEX('仕入先'!$D$5:$D$54,$R340)="末",0,IF(DAY($S340)&lt;=INDEX('仕入先'!$D$5:$D$54,$R340),0,1))+N(INDEX('仕入先'!$E$5:$E$54,$R340)))+1,0)))))))</f>
        <v/>
      </c>
      <c r="I340" s="26" t="n"/>
      <c r="J340" s="29">
        <f>IF($B340="","",IF(ISNUMBER($I340),$I340,$H340))</f>
        <v/>
      </c>
      <c r="K340" s="26" t="n"/>
      <c r="L340" s="27" t="n"/>
      <c r="M340" s="27" t="n"/>
      <c r="N340" s="28">
        <f>IF($B340="","",N($G340)-N($L340)-N($M340))</f>
        <v/>
      </c>
      <c r="O340" s="30">
        <f>IF($B340="","",IF(AND(OR(N($L340)&lt;&gt;0,N($M340)&lt;&gt;0),NOT(ISNUMBER($K340))),"支払日なし",IF($N340=0,IF(N($G340)=0,"請求額0","支払済"),IF($N340&lt;0,"払いすぎ",IF(N($L340)+N($M340)=0,"未払","一部支払")))))</f>
        <v/>
      </c>
      <c r="P340" s="30">
        <f>IF(OR($B340="",N($N340)&lt;=0,NOT(ISNUMBER($J340))),"",IF($J340&lt;'設定'!$B$7,"期日超過 "&amp;('設定'!$B$7-$J340)&amp;"日",IF($J340='設定'!$B$7,"今日","あと "&amp;($J340-'設定'!$B$7)&amp;"日")))</f>
        <v/>
      </c>
      <c r="Q340" s="56" t="n"/>
      <c r="R340" s="32">
        <f>IF($B340="","",IFERROR(MATCH($B340,'仕入先'!$B$5:$B$54,0),"なし"))</f>
        <v/>
      </c>
      <c r="S340" s="33">
        <f>IF($B340="","",IF(ISNUMBER($D340),$D340,IF(ISNUMBER($A340),$A340,"")))</f>
        <v/>
      </c>
      <c r="T340" s="34">
        <f>IF(OR($B340="",N($N340)&lt;=0),"",IF(ISNUMBER($J340),$J340,99999)+ROW()/1000000)</f>
        <v/>
      </c>
      <c r="U340" s="35">
        <f>IF(OR($B340="",$B340&lt;&gt;'買掛帳'!$B$3,NOT(ISNUMBER($S340))),"",IF(AND($S340&gt;='買掛帳'!$Q$3,$S340&lt;='買掛帳'!$Q$4),$S340+ROW()/10000000,""))</f>
        <v/>
      </c>
      <c r="V340" s="35">
        <f>IF(OR($B340="",$B340&lt;&gt;'買掛帳'!$B$3,NOT(ISNUMBER($K340)),N($L340)+N($M340)=0),"",IF(AND($K340&gt;='買掛帳'!$Q$3,$K340&lt;='買掛帳'!$Q$4),$K340+0.5+ROW()/10000000,""))</f>
        <v/>
      </c>
    </row>
    <row r="341" ht="18" customHeight="1">
      <c r="A341" s="26" t="n"/>
      <c r="B341" s="18" t="n"/>
      <c r="C341" s="20">
        <f>IF($B341="","",IF($R341="なし","※仕入先にないコード",INDEX('仕入先'!$C$5:$C$54,$R341)&amp;""))</f>
        <v/>
      </c>
      <c r="D341" s="26" t="n"/>
      <c r="E341" s="18" t="n"/>
      <c r="F341" s="19" t="n"/>
      <c r="G341" s="27" t="n"/>
      <c r="H341" s="29">
        <f>IF(OR($B341="",NOT(ISNUMBER($R341)),NOT(ISNUMBER($S341))),"",IF(OR(INDEX('仕入先'!$D$5:$D$54,$R341)="",INDEX('仕入先'!$E$5:$E$54,$R341)="",INDEX('仕入先'!$F$5:$F$54,$R341)=""),"",IF(INDEX('仕入先'!$F$5:$F$54,$R341)="末",DATE(YEAR($S341),(MONTH($S341)+IF(INDEX('仕入先'!$D$5:$D$54,$R341)="末",0,IF(DAY($S341)&lt;=INDEX('仕入先'!$D$5:$D$54,$R341),0,1))+N(INDEX('仕入先'!$E$5:$E$54,$R341)))+1,0),DATE(YEAR($S341),(MONTH($S341)+IF(INDEX('仕入先'!$D$5:$D$54,$R341)="末",0,IF(DAY($S341)&lt;=INDEX('仕入先'!$D$5:$D$54,$R341),0,1))+N(INDEX('仕入先'!$E$5:$E$54,$R341))),MIN(INDEX('仕入先'!$F$5:$F$54,$R341),DAY(DATE(YEAR($S341),(MONTH($S341)+IF(INDEX('仕入先'!$D$5:$D$54,$R341)="末",0,IF(DAY($S341)&lt;=INDEX('仕入先'!$D$5:$D$54,$R341),0,1))+N(INDEX('仕入先'!$E$5:$E$54,$R341)))+1,0)))))))</f>
        <v/>
      </c>
      <c r="I341" s="26" t="n"/>
      <c r="J341" s="29">
        <f>IF($B341="","",IF(ISNUMBER($I341),$I341,$H341))</f>
        <v/>
      </c>
      <c r="K341" s="26" t="n"/>
      <c r="L341" s="27" t="n"/>
      <c r="M341" s="27" t="n"/>
      <c r="N341" s="28">
        <f>IF($B341="","",N($G341)-N($L341)-N($M341))</f>
        <v/>
      </c>
      <c r="O341" s="30">
        <f>IF($B341="","",IF(AND(OR(N($L341)&lt;&gt;0,N($M341)&lt;&gt;0),NOT(ISNUMBER($K341))),"支払日なし",IF($N341=0,IF(N($G341)=0,"請求額0","支払済"),IF($N341&lt;0,"払いすぎ",IF(N($L341)+N($M341)=0,"未払","一部支払")))))</f>
        <v/>
      </c>
      <c r="P341" s="30">
        <f>IF(OR($B341="",N($N341)&lt;=0,NOT(ISNUMBER($J341))),"",IF($J341&lt;'設定'!$B$7,"期日超過 "&amp;('設定'!$B$7-$J341)&amp;"日",IF($J341='設定'!$B$7,"今日","あと "&amp;($J341-'設定'!$B$7)&amp;"日")))</f>
        <v/>
      </c>
      <c r="Q341" s="56" t="n"/>
      <c r="R341" s="32">
        <f>IF($B341="","",IFERROR(MATCH($B341,'仕入先'!$B$5:$B$54,0),"なし"))</f>
        <v/>
      </c>
      <c r="S341" s="33">
        <f>IF($B341="","",IF(ISNUMBER($D341),$D341,IF(ISNUMBER($A341),$A341,"")))</f>
        <v/>
      </c>
      <c r="T341" s="34">
        <f>IF(OR($B341="",N($N341)&lt;=0),"",IF(ISNUMBER($J341),$J341,99999)+ROW()/1000000)</f>
        <v/>
      </c>
      <c r="U341" s="35">
        <f>IF(OR($B341="",$B341&lt;&gt;'買掛帳'!$B$3,NOT(ISNUMBER($S341))),"",IF(AND($S341&gt;='買掛帳'!$Q$3,$S341&lt;='買掛帳'!$Q$4),$S341+ROW()/10000000,""))</f>
        <v/>
      </c>
      <c r="V341" s="35">
        <f>IF(OR($B341="",$B341&lt;&gt;'買掛帳'!$B$3,NOT(ISNUMBER($K341)),N($L341)+N($M341)=0),"",IF(AND($K341&gt;='買掛帳'!$Q$3,$K341&lt;='買掛帳'!$Q$4),$K341+0.5+ROW()/10000000,""))</f>
        <v/>
      </c>
    </row>
    <row r="342" ht="18" customHeight="1">
      <c r="A342" s="26" t="n"/>
      <c r="B342" s="18" t="n"/>
      <c r="C342" s="20">
        <f>IF($B342="","",IF($R342="なし","※仕入先にないコード",INDEX('仕入先'!$C$5:$C$54,$R342)&amp;""))</f>
        <v/>
      </c>
      <c r="D342" s="26" t="n"/>
      <c r="E342" s="18" t="n"/>
      <c r="F342" s="19" t="n"/>
      <c r="G342" s="27" t="n"/>
      <c r="H342" s="29">
        <f>IF(OR($B342="",NOT(ISNUMBER($R342)),NOT(ISNUMBER($S342))),"",IF(OR(INDEX('仕入先'!$D$5:$D$54,$R342)="",INDEX('仕入先'!$E$5:$E$54,$R342)="",INDEX('仕入先'!$F$5:$F$54,$R342)=""),"",IF(INDEX('仕入先'!$F$5:$F$54,$R342)="末",DATE(YEAR($S342),(MONTH($S342)+IF(INDEX('仕入先'!$D$5:$D$54,$R342)="末",0,IF(DAY($S342)&lt;=INDEX('仕入先'!$D$5:$D$54,$R342),0,1))+N(INDEX('仕入先'!$E$5:$E$54,$R342)))+1,0),DATE(YEAR($S342),(MONTH($S342)+IF(INDEX('仕入先'!$D$5:$D$54,$R342)="末",0,IF(DAY($S342)&lt;=INDEX('仕入先'!$D$5:$D$54,$R342),0,1))+N(INDEX('仕入先'!$E$5:$E$54,$R342))),MIN(INDEX('仕入先'!$F$5:$F$54,$R342),DAY(DATE(YEAR($S342),(MONTH($S342)+IF(INDEX('仕入先'!$D$5:$D$54,$R342)="末",0,IF(DAY($S342)&lt;=INDEX('仕入先'!$D$5:$D$54,$R342),0,1))+N(INDEX('仕入先'!$E$5:$E$54,$R342)))+1,0)))))))</f>
        <v/>
      </c>
      <c r="I342" s="26" t="n"/>
      <c r="J342" s="29">
        <f>IF($B342="","",IF(ISNUMBER($I342),$I342,$H342))</f>
        <v/>
      </c>
      <c r="K342" s="26" t="n"/>
      <c r="L342" s="27" t="n"/>
      <c r="M342" s="27" t="n"/>
      <c r="N342" s="28">
        <f>IF($B342="","",N($G342)-N($L342)-N($M342))</f>
        <v/>
      </c>
      <c r="O342" s="30">
        <f>IF($B342="","",IF(AND(OR(N($L342)&lt;&gt;0,N($M342)&lt;&gt;0),NOT(ISNUMBER($K342))),"支払日なし",IF($N342=0,IF(N($G342)=0,"請求額0","支払済"),IF($N342&lt;0,"払いすぎ",IF(N($L342)+N($M342)=0,"未払","一部支払")))))</f>
        <v/>
      </c>
      <c r="P342" s="30">
        <f>IF(OR($B342="",N($N342)&lt;=0,NOT(ISNUMBER($J342))),"",IF($J342&lt;'設定'!$B$7,"期日超過 "&amp;('設定'!$B$7-$J342)&amp;"日",IF($J342='設定'!$B$7,"今日","あと "&amp;($J342-'設定'!$B$7)&amp;"日")))</f>
        <v/>
      </c>
      <c r="Q342" s="56" t="n"/>
      <c r="R342" s="32">
        <f>IF($B342="","",IFERROR(MATCH($B342,'仕入先'!$B$5:$B$54,0),"なし"))</f>
        <v/>
      </c>
      <c r="S342" s="33">
        <f>IF($B342="","",IF(ISNUMBER($D342),$D342,IF(ISNUMBER($A342),$A342,"")))</f>
        <v/>
      </c>
      <c r="T342" s="34">
        <f>IF(OR($B342="",N($N342)&lt;=0),"",IF(ISNUMBER($J342),$J342,99999)+ROW()/1000000)</f>
        <v/>
      </c>
      <c r="U342" s="35">
        <f>IF(OR($B342="",$B342&lt;&gt;'買掛帳'!$B$3,NOT(ISNUMBER($S342))),"",IF(AND($S342&gt;='買掛帳'!$Q$3,$S342&lt;='買掛帳'!$Q$4),$S342+ROW()/10000000,""))</f>
        <v/>
      </c>
      <c r="V342" s="35">
        <f>IF(OR($B342="",$B342&lt;&gt;'買掛帳'!$B$3,NOT(ISNUMBER($K342)),N($L342)+N($M342)=0),"",IF(AND($K342&gt;='買掛帳'!$Q$3,$K342&lt;='買掛帳'!$Q$4),$K342+0.5+ROW()/10000000,""))</f>
        <v/>
      </c>
    </row>
    <row r="343" ht="18" customHeight="1">
      <c r="A343" s="26" t="n"/>
      <c r="B343" s="18" t="n"/>
      <c r="C343" s="20">
        <f>IF($B343="","",IF($R343="なし","※仕入先にないコード",INDEX('仕入先'!$C$5:$C$54,$R343)&amp;""))</f>
        <v/>
      </c>
      <c r="D343" s="26" t="n"/>
      <c r="E343" s="18" t="n"/>
      <c r="F343" s="19" t="n"/>
      <c r="G343" s="27" t="n"/>
      <c r="H343" s="29">
        <f>IF(OR($B343="",NOT(ISNUMBER($R343)),NOT(ISNUMBER($S343))),"",IF(OR(INDEX('仕入先'!$D$5:$D$54,$R343)="",INDEX('仕入先'!$E$5:$E$54,$R343)="",INDEX('仕入先'!$F$5:$F$54,$R343)=""),"",IF(INDEX('仕入先'!$F$5:$F$54,$R343)="末",DATE(YEAR($S343),(MONTH($S343)+IF(INDEX('仕入先'!$D$5:$D$54,$R343)="末",0,IF(DAY($S343)&lt;=INDEX('仕入先'!$D$5:$D$54,$R343),0,1))+N(INDEX('仕入先'!$E$5:$E$54,$R343)))+1,0),DATE(YEAR($S343),(MONTH($S343)+IF(INDEX('仕入先'!$D$5:$D$54,$R343)="末",0,IF(DAY($S343)&lt;=INDEX('仕入先'!$D$5:$D$54,$R343),0,1))+N(INDEX('仕入先'!$E$5:$E$54,$R343))),MIN(INDEX('仕入先'!$F$5:$F$54,$R343),DAY(DATE(YEAR($S343),(MONTH($S343)+IF(INDEX('仕入先'!$D$5:$D$54,$R343)="末",0,IF(DAY($S343)&lt;=INDEX('仕入先'!$D$5:$D$54,$R343),0,1))+N(INDEX('仕入先'!$E$5:$E$54,$R343)))+1,0)))))))</f>
        <v/>
      </c>
      <c r="I343" s="26" t="n"/>
      <c r="J343" s="29">
        <f>IF($B343="","",IF(ISNUMBER($I343),$I343,$H343))</f>
        <v/>
      </c>
      <c r="K343" s="26" t="n"/>
      <c r="L343" s="27" t="n"/>
      <c r="M343" s="27" t="n"/>
      <c r="N343" s="28">
        <f>IF($B343="","",N($G343)-N($L343)-N($M343))</f>
        <v/>
      </c>
      <c r="O343" s="30">
        <f>IF($B343="","",IF(AND(OR(N($L343)&lt;&gt;0,N($M343)&lt;&gt;0),NOT(ISNUMBER($K343))),"支払日なし",IF($N343=0,IF(N($G343)=0,"請求額0","支払済"),IF($N343&lt;0,"払いすぎ",IF(N($L343)+N($M343)=0,"未払","一部支払")))))</f>
        <v/>
      </c>
      <c r="P343" s="30">
        <f>IF(OR($B343="",N($N343)&lt;=0,NOT(ISNUMBER($J343))),"",IF($J343&lt;'設定'!$B$7,"期日超過 "&amp;('設定'!$B$7-$J343)&amp;"日",IF($J343='設定'!$B$7,"今日","あと "&amp;($J343-'設定'!$B$7)&amp;"日")))</f>
        <v/>
      </c>
      <c r="Q343" s="56" t="n"/>
      <c r="R343" s="32">
        <f>IF($B343="","",IFERROR(MATCH($B343,'仕入先'!$B$5:$B$54,0),"なし"))</f>
        <v/>
      </c>
      <c r="S343" s="33">
        <f>IF($B343="","",IF(ISNUMBER($D343),$D343,IF(ISNUMBER($A343),$A343,"")))</f>
        <v/>
      </c>
      <c r="T343" s="34">
        <f>IF(OR($B343="",N($N343)&lt;=0),"",IF(ISNUMBER($J343),$J343,99999)+ROW()/1000000)</f>
        <v/>
      </c>
      <c r="U343" s="35">
        <f>IF(OR($B343="",$B343&lt;&gt;'買掛帳'!$B$3,NOT(ISNUMBER($S343))),"",IF(AND($S343&gt;='買掛帳'!$Q$3,$S343&lt;='買掛帳'!$Q$4),$S343+ROW()/10000000,""))</f>
        <v/>
      </c>
      <c r="V343" s="35">
        <f>IF(OR($B343="",$B343&lt;&gt;'買掛帳'!$B$3,NOT(ISNUMBER($K343)),N($L343)+N($M343)=0),"",IF(AND($K343&gt;='買掛帳'!$Q$3,$K343&lt;='買掛帳'!$Q$4),$K343+0.5+ROW()/10000000,""))</f>
        <v/>
      </c>
    </row>
    <row r="344" ht="18" customHeight="1">
      <c r="A344" s="26" t="n"/>
      <c r="B344" s="18" t="n"/>
      <c r="C344" s="20">
        <f>IF($B344="","",IF($R344="なし","※仕入先にないコード",INDEX('仕入先'!$C$5:$C$54,$R344)&amp;""))</f>
        <v/>
      </c>
      <c r="D344" s="26" t="n"/>
      <c r="E344" s="18" t="n"/>
      <c r="F344" s="19" t="n"/>
      <c r="G344" s="27" t="n"/>
      <c r="H344" s="29">
        <f>IF(OR($B344="",NOT(ISNUMBER($R344)),NOT(ISNUMBER($S344))),"",IF(OR(INDEX('仕入先'!$D$5:$D$54,$R344)="",INDEX('仕入先'!$E$5:$E$54,$R344)="",INDEX('仕入先'!$F$5:$F$54,$R344)=""),"",IF(INDEX('仕入先'!$F$5:$F$54,$R344)="末",DATE(YEAR($S344),(MONTH($S344)+IF(INDEX('仕入先'!$D$5:$D$54,$R344)="末",0,IF(DAY($S344)&lt;=INDEX('仕入先'!$D$5:$D$54,$R344),0,1))+N(INDEX('仕入先'!$E$5:$E$54,$R344)))+1,0),DATE(YEAR($S344),(MONTH($S344)+IF(INDEX('仕入先'!$D$5:$D$54,$R344)="末",0,IF(DAY($S344)&lt;=INDEX('仕入先'!$D$5:$D$54,$R344),0,1))+N(INDEX('仕入先'!$E$5:$E$54,$R344))),MIN(INDEX('仕入先'!$F$5:$F$54,$R344),DAY(DATE(YEAR($S344),(MONTH($S344)+IF(INDEX('仕入先'!$D$5:$D$54,$R344)="末",0,IF(DAY($S344)&lt;=INDEX('仕入先'!$D$5:$D$54,$R344),0,1))+N(INDEX('仕入先'!$E$5:$E$54,$R344)))+1,0)))))))</f>
        <v/>
      </c>
      <c r="I344" s="26" t="n"/>
      <c r="J344" s="29">
        <f>IF($B344="","",IF(ISNUMBER($I344),$I344,$H344))</f>
        <v/>
      </c>
      <c r="K344" s="26" t="n"/>
      <c r="L344" s="27" t="n"/>
      <c r="M344" s="27" t="n"/>
      <c r="N344" s="28">
        <f>IF($B344="","",N($G344)-N($L344)-N($M344))</f>
        <v/>
      </c>
      <c r="O344" s="30">
        <f>IF($B344="","",IF(AND(OR(N($L344)&lt;&gt;0,N($M344)&lt;&gt;0),NOT(ISNUMBER($K344))),"支払日なし",IF($N344=0,IF(N($G344)=0,"請求額0","支払済"),IF($N344&lt;0,"払いすぎ",IF(N($L344)+N($M344)=0,"未払","一部支払")))))</f>
        <v/>
      </c>
      <c r="P344" s="30">
        <f>IF(OR($B344="",N($N344)&lt;=0,NOT(ISNUMBER($J344))),"",IF($J344&lt;'設定'!$B$7,"期日超過 "&amp;('設定'!$B$7-$J344)&amp;"日",IF($J344='設定'!$B$7,"今日","あと "&amp;($J344-'設定'!$B$7)&amp;"日")))</f>
        <v/>
      </c>
      <c r="Q344" s="56" t="n"/>
      <c r="R344" s="32">
        <f>IF($B344="","",IFERROR(MATCH($B344,'仕入先'!$B$5:$B$54,0),"なし"))</f>
        <v/>
      </c>
      <c r="S344" s="33">
        <f>IF($B344="","",IF(ISNUMBER($D344),$D344,IF(ISNUMBER($A344),$A344,"")))</f>
        <v/>
      </c>
      <c r="T344" s="34">
        <f>IF(OR($B344="",N($N344)&lt;=0),"",IF(ISNUMBER($J344),$J344,99999)+ROW()/1000000)</f>
        <v/>
      </c>
      <c r="U344" s="35">
        <f>IF(OR($B344="",$B344&lt;&gt;'買掛帳'!$B$3,NOT(ISNUMBER($S344))),"",IF(AND($S344&gt;='買掛帳'!$Q$3,$S344&lt;='買掛帳'!$Q$4),$S344+ROW()/10000000,""))</f>
        <v/>
      </c>
      <c r="V344" s="35">
        <f>IF(OR($B344="",$B344&lt;&gt;'買掛帳'!$B$3,NOT(ISNUMBER($K344)),N($L344)+N($M344)=0),"",IF(AND($K344&gt;='買掛帳'!$Q$3,$K344&lt;='買掛帳'!$Q$4),$K344+0.5+ROW()/10000000,""))</f>
        <v/>
      </c>
    </row>
    <row r="345" ht="18" customHeight="1">
      <c r="A345" s="26" t="n"/>
      <c r="B345" s="18" t="n"/>
      <c r="C345" s="20">
        <f>IF($B345="","",IF($R345="なし","※仕入先にないコード",INDEX('仕入先'!$C$5:$C$54,$R345)&amp;""))</f>
        <v/>
      </c>
      <c r="D345" s="26" t="n"/>
      <c r="E345" s="18" t="n"/>
      <c r="F345" s="19" t="n"/>
      <c r="G345" s="27" t="n"/>
      <c r="H345" s="29">
        <f>IF(OR($B345="",NOT(ISNUMBER($R345)),NOT(ISNUMBER($S345))),"",IF(OR(INDEX('仕入先'!$D$5:$D$54,$R345)="",INDEX('仕入先'!$E$5:$E$54,$R345)="",INDEX('仕入先'!$F$5:$F$54,$R345)=""),"",IF(INDEX('仕入先'!$F$5:$F$54,$R345)="末",DATE(YEAR($S345),(MONTH($S345)+IF(INDEX('仕入先'!$D$5:$D$54,$R345)="末",0,IF(DAY($S345)&lt;=INDEX('仕入先'!$D$5:$D$54,$R345),0,1))+N(INDEX('仕入先'!$E$5:$E$54,$R345)))+1,0),DATE(YEAR($S345),(MONTH($S345)+IF(INDEX('仕入先'!$D$5:$D$54,$R345)="末",0,IF(DAY($S345)&lt;=INDEX('仕入先'!$D$5:$D$54,$R345),0,1))+N(INDEX('仕入先'!$E$5:$E$54,$R345))),MIN(INDEX('仕入先'!$F$5:$F$54,$R345),DAY(DATE(YEAR($S345),(MONTH($S345)+IF(INDEX('仕入先'!$D$5:$D$54,$R345)="末",0,IF(DAY($S345)&lt;=INDEX('仕入先'!$D$5:$D$54,$R345),0,1))+N(INDEX('仕入先'!$E$5:$E$54,$R345)))+1,0)))))))</f>
        <v/>
      </c>
      <c r="I345" s="26" t="n"/>
      <c r="J345" s="29">
        <f>IF($B345="","",IF(ISNUMBER($I345),$I345,$H345))</f>
        <v/>
      </c>
      <c r="K345" s="26" t="n"/>
      <c r="L345" s="27" t="n"/>
      <c r="M345" s="27" t="n"/>
      <c r="N345" s="28">
        <f>IF($B345="","",N($G345)-N($L345)-N($M345))</f>
        <v/>
      </c>
      <c r="O345" s="30">
        <f>IF($B345="","",IF(AND(OR(N($L345)&lt;&gt;0,N($M345)&lt;&gt;0),NOT(ISNUMBER($K345))),"支払日なし",IF($N345=0,IF(N($G345)=0,"請求額0","支払済"),IF($N345&lt;0,"払いすぎ",IF(N($L345)+N($M345)=0,"未払","一部支払")))))</f>
        <v/>
      </c>
      <c r="P345" s="30">
        <f>IF(OR($B345="",N($N345)&lt;=0,NOT(ISNUMBER($J345))),"",IF($J345&lt;'設定'!$B$7,"期日超過 "&amp;('設定'!$B$7-$J345)&amp;"日",IF($J345='設定'!$B$7,"今日","あと "&amp;($J345-'設定'!$B$7)&amp;"日")))</f>
        <v/>
      </c>
      <c r="Q345" s="56" t="n"/>
      <c r="R345" s="32">
        <f>IF($B345="","",IFERROR(MATCH($B345,'仕入先'!$B$5:$B$54,0),"なし"))</f>
        <v/>
      </c>
      <c r="S345" s="33">
        <f>IF($B345="","",IF(ISNUMBER($D345),$D345,IF(ISNUMBER($A345),$A345,"")))</f>
        <v/>
      </c>
      <c r="T345" s="34">
        <f>IF(OR($B345="",N($N345)&lt;=0),"",IF(ISNUMBER($J345),$J345,99999)+ROW()/1000000)</f>
        <v/>
      </c>
      <c r="U345" s="35">
        <f>IF(OR($B345="",$B345&lt;&gt;'買掛帳'!$B$3,NOT(ISNUMBER($S345))),"",IF(AND($S345&gt;='買掛帳'!$Q$3,$S345&lt;='買掛帳'!$Q$4),$S345+ROW()/10000000,""))</f>
        <v/>
      </c>
      <c r="V345" s="35">
        <f>IF(OR($B345="",$B345&lt;&gt;'買掛帳'!$B$3,NOT(ISNUMBER($K345)),N($L345)+N($M345)=0),"",IF(AND($K345&gt;='買掛帳'!$Q$3,$K345&lt;='買掛帳'!$Q$4),$K345+0.5+ROW()/10000000,""))</f>
        <v/>
      </c>
    </row>
    <row r="346" ht="18" customHeight="1">
      <c r="A346" s="26" t="n"/>
      <c r="B346" s="18" t="n"/>
      <c r="C346" s="20">
        <f>IF($B346="","",IF($R346="なし","※仕入先にないコード",INDEX('仕入先'!$C$5:$C$54,$R346)&amp;""))</f>
        <v/>
      </c>
      <c r="D346" s="26" t="n"/>
      <c r="E346" s="18" t="n"/>
      <c r="F346" s="19" t="n"/>
      <c r="G346" s="27" t="n"/>
      <c r="H346" s="29">
        <f>IF(OR($B346="",NOT(ISNUMBER($R346)),NOT(ISNUMBER($S346))),"",IF(OR(INDEX('仕入先'!$D$5:$D$54,$R346)="",INDEX('仕入先'!$E$5:$E$54,$R346)="",INDEX('仕入先'!$F$5:$F$54,$R346)=""),"",IF(INDEX('仕入先'!$F$5:$F$54,$R346)="末",DATE(YEAR($S346),(MONTH($S346)+IF(INDEX('仕入先'!$D$5:$D$54,$R346)="末",0,IF(DAY($S346)&lt;=INDEX('仕入先'!$D$5:$D$54,$R346),0,1))+N(INDEX('仕入先'!$E$5:$E$54,$R346)))+1,0),DATE(YEAR($S346),(MONTH($S346)+IF(INDEX('仕入先'!$D$5:$D$54,$R346)="末",0,IF(DAY($S346)&lt;=INDEX('仕入先'!$D$5:$D$54,$R346),0,1))+N(INDEX('仕入先'!$E$5:$E$54,$R346))),MIN(INDEX('仕入先'!$F$5:$F$54,$R346),DAY(DATE(YEAR($S346),(MONTH($S346)+IF(INDEX('仕入先'!$D$5:$D$54,$R346)="末",0,IF(DAY($S346)&lt;=INDEX('仕入先'!$D$5:$D$54,$R346),0,1))+N(INDEX('仕入先'!$E$5:$E$54,$R346)))+1,0)))))))</f>
        <v/>
      </c>
      <c r="I346" s="26" t="n"/>
      <c r="J346" s="29">
        <f>IF($B346="","",IF(ISNUMBER($I346),$I346,$H346))</f>
        <v/>
      </c>
      <c r="K346" s="26" t="n"/>
      <c r="L346" s="27" t="n"/>
      <c r="M346" s="27" t="n"/>
      <c r="N346" s="28">
        <f>IF($B346="","",N($G346)-N($L346)-N($M346))</f>
        <v/>
      </c>
      <c r="O346" s="30">
        <f>IF($B346="","",IF(AND(OR(N($L346)&lt;&gt;0,N($M346)&lt;&gt;0),NOT(ISNUMBER($K346))),"支払日なし",IF($N346=0,IF(N($G346)=0,"請求額0","支払済"),IF($N346&lt;0,"払いすぎ",IF(N($L346)+N($M346)=0,"未払","一部支払")))))</f>
        <v/>
      </c>
      <c r="P346" s="30">
        <f>IF(OR($B346="",N($N346)&lt;=0,NOT(ISNUMBER($J346))),"",IF($J346&lt;'設定'!$B$7,"期日超過 "&amp;('設定'!$B$7-$J346)&amp;"日",IF($J346='設定'!$B$7,"今日","あと "&amp;($J346-'設定'!$B$7)&amp;"日")))</f>
        <v/>
      </c>
      <c r="Q346" s="56" t="n"/>
      <c r="R346" s="32">
        <f>IF($B346="","",IFERROR(MATCH($B346,'仕入先'!$B$5:$B$54,0),"なし"))</f>
        <v/>
      </c>
      <c r="S346" s="33">
        <f>IF($B346="","",IF(ISNUMBER($D346),$D346,IF(ISNUMBER($A346),$A346,"")))</f>
        <v/>
      </c>
      <c r="T346" s="34">
        <f>IF(OR($B346="",N($N346)&lt;=0),"",IF(ISNUMBER($J346),$J346,99999)+ROW()/1000000)</f>
        <v/>
      </c>
      <c r="U346" s="35">
        <f>IF(OR($B346="",$B346&lt;&gt;'買掛帳'!$B$3,NOT(ISNUMBER($S346))),"",IF(AND($S346&gt;='買掛帳'!$Q$3,$S346&lt;='買掛帳'!$Q$4),$S346+ROW()/10000000,""))</f>
        <v/>
      </c>
      <c r="V346" s="35">
        <f>IF(OR($B346="",$B346&lt;&gt;'買掛帳'!$B$3,NOT(ISNUMBER($K346)),N($L346)+N($M346)=0),"",IF(AND($K346&gt;='買掛帳'!$Q$3,$K346&lt;='買掛帳'!$Q$4),$K346+0.5+ROW()/10000000,""))</f>
        <v/>
      </c>
    </row>
    <row r="347" ht="18" customHeight="1">
      <c r="A347" s="26" t="n"/>
      <c r="B347" s="18" t="n"/>
      <c r="C347" s="20">
        <f>IF($B347="","",IF($R347="なし","※仕入先にないコード",INDEX('仕入先'!$C$5:$C$54,$R347)&amp;""))</f>
        <v/>
      </c>
      <c r="D347" s="26" t="n"/>
      <c r="E347" s="18" t="n"/>
      <c r="F347" s="19" t="n"/>
      <c r="G347" s="27" t="n"/>
      <c r="H347" s="29">
        <f>IF(OR($B347="",NOT(ISNUMBER($R347)),NOT(ISNUMBER($S347))),"",IF(OR(INDEX('仕入先'!$D$5:$D$54,$R347)="",INDEX('仕入先'!$E$5:$E$54,$R347)="",INDEX('仕入先'!$F$5:$F$54,$R347)=""),"",IF(INDEX('仕入先'!$F$5:$F$54,$R347)="末",DATE(YEAR($S347),(MONTH($S347)+IF(INDEX('仕入先'!$D$5:$D$54,$R347)="末",0,IF(DAY($S347)&lt;=INDEX('仕入先'!$D$5:$D$54,$R347),0,1))+N(INDEX('仕入先'!$E$5:$E$54,$R347)))+1,0),DATE(YEAR($S347),(MONTH($S347)+IF(INDEX('仕入先'!$D$5:$D$54,$R347)="末",0,IF(DAY($S347)&lt;=INDEX('仕入先'!$D$5:$D$54,$R347),0,1))+N(INDEX('仕入先'!$E$5:$E$54,$R347))),MIN(INDEX('仕入先'!$F$5:$F$54,$R347),DAY(DATE(YEAR($S347),(MONTH($S347)+IF(INDEX('仕入先'!$D$5:$D$54,$R347)="末",0,IF(DAY($S347)&lt;=INDEX('仕入先'!$D$5:$D$54,$R347),0,1))+N(INDEX('仕入先'!$E$5:$E$54,$R347)))+1,0)))))))</f>
        <v/>
      </c>
      <c r="I347" s="26" t="n"/>
      <c r="J347" s="29">
        <f>IF($B347="","",IF(ISNUMBER($I347),$I347,$H347))</f>
        <v/>
      </c>
      <c r="K347" s="26" t="n"/>
      <c r="L347" s="27" t="n"/>
      <c r="M347" s="27" t="n"/>
      <c r="N347" s="28">
        <f>IF($B347="","",N($G347)-N($L347)-N($M347))</f>
        <v/>
      </c>
      <c r="O347" s="30">
        <f>IF($B347="","",IF(AND(OR(N($L347)&lt;&gt;0,N($M347)&lt;&gt;0),NOT(ISNUMBER($K347))),"支払日なし",IF($N347=0,IF(N($G347)=0,"請求額0","支払済"),IF($N347&lt;0,"払いすぎ",IF(N($L347)+N($M347)=0,"未払","一部支払")))))</f>
        <v/>
      </c>
      <c r="P347" s="30">
        <f>IF(OR($B347="",N($N347)&lt;=0,NOT(ISNUMBER($J347))),"",IF($J347&lt;'設定'!$B$7,"期日超過 "&amp;('設定'!$B$7-$J347)&amp;"日",IF($J347='設定'!$B$7,"今日","あと "&amp;($J347-'設定'!$B$7)&amp;"日")))</f>
        <v/>
      </c>
      <c r="Q347" s="56" t="n"/>
      <c r="R347" s="32">
        <f>IF($B347="","",IFERROR(MATCH($B347,'仕入先'!$B$5:$B$54,0),"なし"))</f>
        <v/>
      </c>
      <c r="S347" s="33">
        <f>IF($B347="","",IF(ISNUMBER($D347),$D347,IF(ISNUMBER($A347),$A347,"")))</f>
        <v/>
      </c>
      <c r="T347" s="34">
        <f>IF(OR($B347="",N($N347)&lt;=0),"",IF(ISNUMBER($J347),$J347,99999)+ROW()/1000000)</f>
        <v/>
      </c>
      <c r="U347" s="35">
        <f>IF(OR($B347="",$B347&lt;&gt;'買掛帳'!$B$3,NOT(ISNUMBER($S347))),"",IF(AND($S347&gt;='買掛帳'!$Q$3,$S347&lt;='買掛帳'!$Q$4),$S347+ROW()/10000000,""))</f>
        <v/>
      </c>
      <c r="V347" s="35">
        <f>IF(OR($B347="",$B347&lt;&gt;'買掛帳'!$B$3,NOT(ISNUMBER($K347)),N($L347)+N($M347)=0),"",IF(AND($K347&gt;='買掛帳'!$Q$3,$K347&lt;='買掛帳'!$Q$4),$K347+0.5+ROW()/10000000,""))</f>
        <v/>
      </c>
    </row>
    <row r="348" ht="18" customHeight="1">
      <c r="A348" s="26" t="n"/>
      <c r="B348" s="18" t="n"/>
      <c r="C348" s="20">
        <f>IF($B348="","",IF($R348="なし","※仕入先にないコード",INDEX('仕入先'!$C$5:$C$54,$R348)&amp;""))</f>
        <v/>
      </c>
      <c r="D348" s="26" t="n"/>
      <c r="E348" s="18" t="n"/>
      <c r="F348" s="19" t="n"/>
      <c r="G348" s="27" t="n"/>
      <c r="H348" s="29">
        <f>IF(OR($B348="",NOT(ISNUMBER($R348)),NOT(ISNUMBER($S348))),"",IF(OR(INDEX('仕入先'!$D$5:$D$54,$R348)="",INDEX('仕入先'!$E$5:$E$54,$R348)="",INDEX('仕入先'!$F$5:$F$54,$R348)=""),"",IF(INDEX('仕入先'!$F$5:$F$54,$R348)="末",DATE(YEAR($S348),(MONTH($S348)+IF(INDEX('仕入先'!$D$5:$D$54,$R348)="末",0,IF(DAY($S348)&lt;=INDEX('仕入先'!$D$5:$D$54,$R348),0,1))+N(INDEX('仕入先'!$E$5:$E$54,$R348)))+1,0),DATE(YEAR($S348),(MONTH($S348)+IF(INDEX('仕入先'!$D$5:$D$54,$R348)="末",0,IF(DAY($S348)&lt;=INDEX('仕入先'!$D$5:$D$54,$R348),0,1))+N(INDEX('仕入先'!$E$5:$E$54,$R348))),MIN(INDEX('仕入先'!$F$5:$F$54,$R348),DAY(DATE(YEAR($S348),(MONTH($S348)+IF(INDEX('仕入先'!$D$5:$D$54,$R348)="末",0,IF(DAY($S348)&lt;=INDEX('仕入先'!$D$5:$D$54,$R348),0,1))+N(INDEX('仕入先'!$E$5:$E$54,$R348)))+1,0)))))))</f>
        <v/>
      </c>
      <c r="I348" s="26" t="n"/>
      <c r="J348" s="29">
        <f>IF($B348="","",IF(ISNUMBER($I348),$I348,$H348))</f>
        <v/>
      </c>
      <c r="K348" s="26" t="n"/>
      <c r="L348" s="27" t="n"/>
      <c r="M348" s="27" t="n"/>
      <c r="N348" s="28">
        <f>IF($B348="","",N($G348)-N($L348)-N($M348))</f>
        <v/>
      </c>
      <c r="O348" s="30">
        <f>IF($B348="","",IF(AND(OR(N($L348)&lt;&gt;0,N($M348)&lt;&gt;0),NOT(ISNUMBER($K348))),"支払日なし",IF($N348=0,IF(N($G348)=0,"請求額0","支払済"),IF($N348&lt;0,"払いすぎ",IF(N($L348)+N($M348)=0,"未払","一部支払")))))</f>
        <v/>
      </c>
      <c r="P348" s="30">
        <f>IF(OR($B348="",N($N348)&lt;=0,NOT(ISNUMBER($J348))),"",IF($J348&lt;'設定'!$B$7,"期日超過 "&amp;('設定'!$B$7-$J348)&amp;"日",IF($J348='設定'!$B$7,"今日","あと "&amp;($J348-'設定'!$B$7)&amp;"日")))</f>
        <v/>
      </c>
      <c r="Q348" s="56" t="n"/>
      <c r="R348" s="32">
        <f>IF($B348="","",IFERROR(MATCH($B348,'仕入先'!$B$5:$B$54,0),"なし"))</f>
        <v/>
      </c>
      <c r="S348" s="33">
        <f>IF($B348="","",IF(ISNUMBER($D348),$D348,IF(ISNUMBER($A348),$A348,"")))</f>
        <v/>
      </c>
      <c r="T348" s="34">
        <f>IF(OR($B348="",N($N348)&lt;=0),"",IF(ISNUMBER($J348),$J348,99999)+ROW()/1000000)</f>
        <v/>
      </c>
      <c r="U348" s="35">
        <f>IF(OR($B348="",$B348&lt;&gt;'買掛帳'!$B$3,NOT(ISNUMBER($S348))),"",IF(AND($S348&gt;='買掛帳'!$Q$3,$S348&lt;='買掛帳'!$Q$4),$S348+ROW()/10000000,""))</f>
        <v/>
      </c>
      <c r="V348" s="35">
        <f>IF(OR($B348="",$B348&lt;&gt;'買掛帳'!$B$3,NOT(ISNUMBER($K348)),N($L348)+N($M348)=0),"",IF(AND($K348&gt;='買掛帳'!$Q$3,$K348&lt;='買掛帳'!$Q$4),$K348+0.5+ROW()/10000000,""))</f>
        <v/>
      </c>
    </row>
    <row r="349" ht="18" customHeight="1">
      <c r="A349" s="26" t="n"/>
      <c r="B349" s="18" t="n"/>
      <c r="C349" s="20">
        <f>IF($B349="","",IF($R349="なし","※仕入先にないコード",INDEX('仕入先'!$C$5:$C$54,$R349)&amp;""))</f>
        <v/>
      </c>
      <c r="D349" s="26" t="n"/>
      <c r="E349" s="18" t="n"/>
      <c r="F349" s="19" t="n"/>
      <c r="G349" s="27" t="n"/>
      <c r="H349" s="29">
        <f>IF(OR($B349="",NOT(ISNUMBER($R349)),NOT(ISNUMBER($S349))),"",IF(OR(INDEX('仕入先'!$D$5:$D$54,$R349)="",INDEX('仕入先'!$E$5:$E$54,$R349)="",INDEX('仕入先'!$F$5:$F$54,$R349)=""),"",IF(INDEX('仕入先'!$F$5:$F$54,$R349)="末",DATE(YEAR($S349),(MONTH($S349)+IF(INDEX('仕入先'!$D$5:$D$54,$R349)="末",0,IF(DAY($S349)&lt;=INDEX('仕入先'!$D$5:$D$54,$R349),0,1))+N(INDEX('仕入先'!$E$5:$E$54,$R349)))+1,0),DATE(YEAR($S349),(MONTH($S349)+IF(INDEX('仕入先'!$D$5:$D$54,$R349)="末",0,IF(DAY($S349)&lt;=INDEX('仕入先'!$D$5:$D$54,$R349),0,1))+N(INDEX('仕入先'!$E$5:$E$54,$R349))),MIN(INDEX('仕入先'!$F$5:$F$54,$R349),DAY(DATE(YEAR($S349),(MONTH($S349)+IF(INDEX('仕入先'!$D$5:$D$54,$R349)="末",0,IF(DAY($S349)&lt;=INDEX('仕入先'!$D$5:$D$54,$R349),0,1))+N(INDEX('仕入先'!$E$5:$E$54,$R349)))+1,0)))))))</f>
        <v/>
      </c>
      <c r="I349" s="26" t="n"/>
      <c r="J349" s="29">
        <f>IF($B349="","",IF(ISNUMBER($I349),$I349,$H349))</f>
        <v/>
      </c>
      <c r="K349" s="26" t="n"/>
      <c r="L349" s="27" t="n"/>
      <c r="M349" s="27" t="n"/>
      <c r="N349" s="28">
        <f>IF($B349="","",N($G349)-N($L349)-N($M349))</f>
        <v/>
      </c>
      <c r="O349" s="30">
        <f>IF($B349="","",IF(AND(OR(N($L349)&lt;&gt;0,N($M349)&lt;&gt;0),NOT(ISNUMBER($K349))),"支払日なし",IF($N349=0,IF(N($G349)=0,"請求額0","支払済"),IF($N349&lt;0,"払いすぎ",IF(N($L349)+N($M349)=0,"未払","一部支払")))))</f>
        <v/>
      </c>
      <c r="P349" s="30">
        <f>IF(OR($B349="",N($N349)&lt;=0,NOT(ISNUMBER($J349))),"",IF($J349&lt;'設定'!$B$7,"期日超過 "&amp;('設定'!$B$7-$J349)&amp;"日",IF($J349='設定'!$B$7,"今日","あと "&amp;($J349-'設定'!$B$7)&amp;"日")))</f>
        <v/>
      </c>
      <c r="Q349" s="56" t="n"/>
      <c r="R349" s="32">
        <f>IF($B349="","",IFERROR(MATCH($B349,'仕入先'!$B$5:$B$54,0),"なし"))</f>
        <v/>
      </c>
      <c r="S349" s="33">
        <f>IF($B349="","",IF(ISNUMBER($D349),$D349,IF(ISNUMBER($A349),$A349,"")))</f>
        <v/>
      </c>
      <c r="T349" s="34">
        <f>IF(OR($B349="",N($N349)&lt;=0),"",IF(ISNUMBER($J349),$J349,99999)+ROW()/1000000)</f>
        <v/>
      </c>
      <c r="U349" s="35">
        <f>IF(OR($B349="",$B349&lt;&gt;'買掛帳'!$B$3,NOT(ISNUMBER($S349))),"",IF(AND($S349&gt;='買掛帳'!$Q$3,$S349&lt;='買掛帳'!$Q$4),$S349+ROW()/10000000,""))</f>
        <v/>
      </c>
      <c r="V349" s="35">
        <f>IF(OR($B349="",$B349&lt;&gt;'買掛帳'!$B$3,NOT(ISNUMBER($K349)),N($L349)+N($M349)=0),"",IF(AND($K349&gt;='買掛帳'!$Q$3,$K349&lt;='買掛帳'!$Q$4),$K349+0.5+ROW()/10000000,""))</f>
        <v/>
      </c>
    </row>
    <row r="350" ht="18" customHeight="1">
      <c r="A350" s="26" t="n"/>
      <c r="B350" s="18" t="n"/>
      <c r="C350" s="20">
        <f>IF($B350="","",IF($R350="なし","※仕入先にないコード",INDEX('仕入先'!$C$5:$C$54,$R350)&amp;""))</f>
        <v/>
      </c>
      <c r="D350" s="26" t="n"/>
      <c r="E350" s="18" t="n"/>
      <c r="F350" s="19" t="n"/>
      <c r="G350" s="27" t="n"/>
      <c r="H350" s="29">
        <f>IF(OR($B350="",NOT(ISNUMBER($R350)),NOT(ISNUMBER($S350))),"",IF(OR(INDEX('仕入先'!$D$5:$D$54,$R350)="",INDEX('仕入先'!$E$5:$E$54,$R350)="",INDEX('仕入先'!$F$5:$F$54,$R350)=""),"",IF(INDEX('仕入先'!$F$5:$F$54,$R350)="末",DATE(YEAR($S350),(MONTH($S350)+IF(INDEX('仕入先'!$D$5:$D$54,$R350)="末",0,IF(DAY($S350)&lt;=INDEX('仕入先'!$D$5:$D$54,$R350),0,1))+N(INDEX('仕入先'!$E$5:$E$54,$R350)))+1,0),DATE(YEAR($S350),(MONTH($S350)+IF(INDEX('仕入先'!$D$5:$D$54,$R350)="末",0,IF(DAY($S350)&lt;=INDEX('仕入先'!$D$5:$D$54,$R350),0,1))+N(INDEX('仕入先'!$E$5:$E$54,$R350))),MIN(INDEX('仕入先'!$F$5:$F$54,$R350),DAY(DATE(YEAR($S350),(MONTH($S350)+IF(INDEX('仕入先'!$D$5:$D$54,$R350)="末",0,IF(DAY($S350)&lt;=INDEX('仕入先'!$D$5:$D$54,$R350),0,1))+N(INDEX('仕入先'!$E$5:$E$54,$R350)))+1,0)))))))</f>
        <v/>
      </c>
      <c r="I350" s="26" t="n"/>
      <c r="J350" s="29">
        <f>IF($B350="","",IF(ISNUMBER($I350),$I350,$H350))</f>
        <v/>
      </c>
      <c r="K350" s="26" t="n"/>
      <c r="L350" s="27" t="n"/>
      <c r="M350" s="27" t="n"/>
      <c r="N350" s="28">
        <f>IF($B350="","",N($G350)-N($L350)-N($M350))</f>
        <v/>
      </c>
      <c r="O350" s="30">
        <f>IF($B350="","",IF(AND(OR(N($L350)&lt;&gt;0,N($M350)&lt;&gt;0),NOT(ISNUMBER($K350))),"支払日なし",IF($N350=0,IF(N($G350)=0,"請求額0","支払済"),IF($N350&lt;0,"払いすぎ",IF(N($L350)+N($M350)=0,"未払","一部支払")))))</f>
        <v/>
      </c>
      <c r="P350" s="30">
        <f>IF(OR($B350="",N($N350)&lt;=0,NOT(ISNUMBER($J350))),"",IF($J350&lt;'設定'!$B$7,"期日超過 "&amp;('設定'!$B$7-$J350)&amp;"日",IF($J350='設定'!$B$7,"今日","あと "&amp;($J350-'設定'!$B$7)&amp;"日")))</f>
        <v/>
      </c>
      <c r="Q350" s="56" t="n"/>
      <c r="R350" s="32">
        <f>IF($B350="","",IFERROR(MATCH($B350,'仕入先'!$B$5:$B$54,0),"なし"))</f>
        <v/>
      </c>
      <c r="S350" s="33">
        <f>IF($B350="","",IF(ISNUMBER($D350),$D350,IF(ISNUMBER($A350),$A350,"")))</f>
        <v/>
      </c>
      <c r="T350" s="34">
        <f>IF(OR($B350="",N($N350)&lt;=0),"",IF(ISNUMBER($J350),$J350,99999)+ROW()/1000000)</f>
        <v/>
      </c>
      <c r="U350" s="35">
        <f>IF(OR($B350="",$B350&lt;&gt;'買掛帳'!$B$3,NOT(ISNUMBER($S350))),"",IF(AND($S350&gt;='買掛帳'!$Q$3,$S350&lt;='買掛帳'!$Q$4),$S350+ROW()/10000000,""))</f>
        <v/>
      </c>
      <c r="V350" s="35">
        <f>IF(OR($B350="",$B350&lt;&gt;'買掛帳'!$B$3,NOT(ISNUMBER($K350)),N($L350)+N($M350)=0),"",IF(AND($K350&gt;='買掛帳'!$Q$3,$K350&lt;='買掛帳'!$Q$4),$K350+0.5+ROW()/10000000,""))</f>
        <v/>
      </c>
    </row>
    <row r="351" ht="18" customHeight="1">
      <c r="A351" s="26" t="n"/>
      <c r="B351" s="18" t="n"/>
      <c r="C351" s="20">
        <f>IF($B351="","",IF($R351="なし","※仕入先にないコード",INDEX('仕入先'!$C$5:$C$54,$R351)&amp;""))</f>
        <v/>
      </c>
      <c r="D351" s="26" t="n"/>
      <c r="E351" s="18" t="n"/>
      <c r="F351" s="19" t="n"/>
      <c r="G351" s="27" t="n"/>
      <c r="H351" s="29">
        <f>IF(OR($B351="",NOT(ISNUMBER($R351)),NOT(ISNUMBER($S351))),"",IF(OR(INDEX('仕入先'!$D$5:$D$54,$R351)="",INDEX('仕入先'!$E$5:$E$54,$R351)="",INDEX('仕入先'!$F$5:$F$54,$R351)=""),"",IF(INDEX('仕入先'!$F$5:$F$54,$R351)="末",DATE(YEAR($S351),(MONTH($S351)+IF(INDEX('仕入先'!$D$5:$D$54,$R351)="末",0,IF(DAY($S351)&lt;=INDEX('仕入先'!$D$5:$D$54,$R351),0,1))+N(INDEX('仕入先'!$E$5:$E$54,$R351)))+1,0),DATE(YEAR($S351),(MONTH($S351)+IF(INDEX('仕入先'!$D$5:$D$54,$R351)="末",0,IF(DAY($S351)&lt;=INDEX('仕入先'!$D$5:$D$54,$R351),0,1))+N(INDEX('仕入先'!$E$5:$E$54,$R351))),MIN(INDEX('仕入先'!$F$5:$F$54,$R351),DAY(DATE(YEAR($S351),(MONTH($S351)+IF(INDEX('仕入先'!$D$5:$D$54,$R351)="末",0,IF(DAY($S351)&lt;=INDEX('仕入先'!$D$5:$D$54,$R351),0,1))+N(INDEX('仕入先'!$E$5:$E$54,$R351)))+1,0)))))))</f>
        <v/>
      </c>
      <c r="I351" s="26" t="n"/>
      <c r="J351" s="29">
        <f>IF($B351="","",IF(ISNUMBER($I351),$I351,$H351))</f>
        <v/>
      </c>
      <c r="K351" s="26" t="n"/>
      <c r="L351" s="27" t="n"/>
      <c r="M351" s="27" t="n"/>
      <c r="N351" s="28">
        <f>IF($B351="","",N($G351)-N($L351)-N($M351))</f>
        <v/>
      </c>
      <c r="O351" s="30">
        <f>IF($B351="","",IF(AND(OR(N($L351)&lt;&gt;0,N($M351)&lt;&gt;0),NOT(ISNUMBER($K351))),"支払日なし",IF($N351=0,IF(N($G351)=0,"請求額0","支払済"),IF($N351&lt;0,"払いすぎ",IF(N($L351)+N($M351)=0,"未払","一部支払")))))</f>
        <v/>
      </c>
      <c r="P351" s="30">
        <f>IF(OR($B351="",N($N351)&lt;=0,NOT(ISNUMBER($J351))),"",IF($J351&lt;'設定'!$B$7,"期日超過 "&amp;('設定'!$B$7-$J351)&amp;"日",IF($J351='設定'!$B$7,"今日","あと "&amp;($J351-'設定'!$B$7)&amp;"日")))</f>
        <v/>
      </c>
      <c r="Q351" s="56" t="n"/>
      <c r="R351" s="32">
        <f>IF($B351="","",IFERROR(MATCH($B351,'仕入先'!$B$5:$B$54,0),"なし"))</f>
        <v/>
      </c>
      <c r="S351" s="33">
        <f>IF($B351="","",IF(ISNUMBER($D351),$D351,IF(ISNUMBER($A351),$A351,"")))</f>
        <v/>
      </c>
      <c r="T351" s="34">
        <f>IF(OR($B351="",N($N351)&lt;=0),"",IF(ISNUMBER($J351),$J351,99999)+ROW()/1000000)</f>
        <v/>
      </c>
      <c r="U351" s="35">
        <f>IF(OR($B351="",$B351&lt;&gt;'買掛帳'!$B$3,NOT(ISNUMBER($S351))),"",IF(AND($S351&gt;='買掛帳'!$Q$3,$S351&lt;='買掛帳'!$Q$4),$S351+ROW()/10000000,""))</f>
        <v/>
      </c>
      <c r="V351" s="35">
        <f>IF(OR($B351="",$B351&lt;&gt;'買掛帳'!$B$3,NOT(ISNUMBER($K351)),N($L351)+N($M351)=0),"",IF(AND($K351&gt;='買掛帳'!$Q$3,$K351&lt;='買掛帳'!$Q$4),$K351+0.5+ROW()/10000000,""))</f>
        <v/>
      </c>
    </row>
    <row r="352" ht="18" customHeight="1">
      <c r="A352" s="26" t="n"/>
      <c r="B352" s="18" t="n"/>
      <c r="C352" s="20">
        <f>IF($B352="","",IF($R352="なし","※仕入先にないコード",INDEX('仕入先'!$C$5:$C$54,$R352)&amp;""))</f>
        <v/>
      </c>
      <c r="D352" s="26" t="n"/>
      <c r="E352" s="18" t="n"/>
      <c r="F352" s="19" t="n"/>
      <c r="G352" s="27" t="n"/>
      <c r="H352" s="29">
        <f>IF(OR($B352="",NOT(ISNUMBER($R352)),NOT(ISNUMBER($S352))),"",IF(OR(INDEX('仕入先'!$D$5:$D$54,$R352)="",INDEX('仕入先'!$E$5:$E$54,$R352)="",INDEX('仕入先'!$F$5:$F$54,$R352)=""),"",IF(INDEX('仕入先'!$F$5:$F$54,$R352)="末",DATE(YEAR($S352),(MONTH($S352)+IF(INDEX('仕入先'!$D$5:$D$54,$R352)="末",0,IF(DAY($S352)&lt;=INDEX('仕入先'!$D$5:$D$54,$R352),0,1))+N(INDEX('仕入先'!$E$5:$E$54,$R352)))+1,0),DATE(YEAR($S352),(MONTH($S352)+IF(INDEX('仕入先'!$D$5:$D$54,$R352)="末",0,IF(DAY($S352)&lt;=INDEX('仕入先'!$D$5:$D$54,$R352),0,1))+N(INDEX('仕入先'!$E$5:$E$54,$R352))),MIN(INDEX('仕入先'!$F$5:$F$54,$R352),DAY(DATE(YEAR($S352),(MONTH($S352)+IF(INDEX('仕入先'!$D$5:$D$54,$R352)="末",0,IF(DAY($S352)&lt;=INDEX('仕入先'!$D$5:$D$54,$R352),0,1))+N(INDEX('仕入先'!$E$5:$E$54,$R352)))+1,0)))))))</f>
        <v/>
      </c>
      <c r="I352" s="26" t="n"/>
      <c r="J352" s="29">
        <f>IF($B352="","",IF(ISNUMBER($I352),$I352,$H352))</f>
        <v/>
      </c>
      <c r="K352" s="26" t="n"/>
      <c r="L352" s="27" t="n"/>
      <c r="M352" s="27" t="n"/>
      <c r="N352" s="28">
        <f>IF($B352="","",N($G352)-N($L352)-N($M352))</f>
        <v/>
      </c>
      <c r="O352" s="30">
        <f>IF($B352="","",IF(AND(OR(N($L352)&lt;&gt;0,N($M352)&lt;&gt;0),NOT(ISNUMBER($K352))),"支払日なし",IF($N352=0,IF(N($G352)=0,"請求額0","支払済"),IF($N352&lt;0,"払いすぎ",IF(N($L352)+N($M352)=0,"未払","一部支払")))))</f>
        <v/>
      </c>
      <c r="P352" s="30">
        <f>IF(OR($B352="",N($N352)&lt;=0,NOT(ISNUMBER($J352))),"",IF($J352&lt;'設定'!$B$7,"期日超過 "&amp;('設定'!$B$7-$J352)&amp;"日",IF($J352='設定'!$B$7,"今日","あと "&amp;($J352-'設定'!$B$7)&amp;"日")))</f>
        <v/>
      </c>
      <c r="Q352" s="56" t="n"/>
      <c r="R352" s="32">
        <f>IF($B352="","",IFERROR(MATCH($B352,'仕入先'!$B$5:$B$54,0),"なし"))</f>
        <v/>
      </c>
      <c r="S352" s="33">
        <f>IF($B352="","",IF(ISNUMBER($D352),$D352,IF(ISNUMBER($A352),$A352,"")))</f>
        <v/>
      </c>
      <c r="T352" s="34">
        <f>IF(OR($B352="",N($N352)&lt;=0),"",IF(ISNUMBER($J352),$J352,99999)+ROW()/1000000)</f>
        <v/>
      </c>
      <c r="U352" s="35">
        <f>IF(OR($B352="",$B352&lt;&gt;'買掛帳'!$B$3,NOT(ISNUMBER($S352))),"",IF(AND($S352&gt;='買掛帳'!$Q$3,$S352&lt;='買掛帳'!$Q$4),$S352+ROW()/10000000,""))</f>
        <v/>
      </c>
      <c r="V352" s="35">
        <f>IF(OR($B352="",$B352&lt;&gt;'買掛帳'!$B$3,NOT(ISNUMBER($K352)),N($L352)+N($M352)=0),"",IF(AND($K352&gt;='買掛帳'!$Q$3,$K352&lt;='買掛帳'!$Q$4),$K352+0.5+ROW()/10000000,""))</f>
        <v/>
      </c>
    </row>
    <row r="353" ht="18" customHeight="1">
      <c r="A353" s="26" t="n"/>
      <c r="B353" s="18" t="n"/>
      <c r="C353" s="20">
        <f>IF($B353="","",IF($R353="なし","※仕入先にないコード",INDEX('仕入先'!$C$5:$C$54,$R353)&amp;""))</f>
        <v/>
      </c>
      <c r="D353" s="26" t="n"/>
      <c r="E353" s="18" t="n"/>
      <c r="F353" s="19" t="n"/>
      <c r="G353" s="27" t="n"/>
      <c r="H353" s="29">
        <f>IF(OR($B353="",NOT(ISNUMBER($R353)),NOT(ISNUMBER($S353))),"",IF(OR(INDEX('仕入先'!$D$5:$D$54,$R353)="",INDEX('仕入先'!$E$5:$E$54,$R353)="",INDEX('仕入先'!$F$5:$F$54,$R353)=""),"",IF(INDEX('仕入先'!$F$5:$F$54,$R353)="末",DATE(YEAR($S353),(MONTH($S353)+IF(INDEX('仕入先'!$D$5:$D$54,$R353)="末",0,IF(DAY($S353)&lt;=INDEX('仕入先'!$D$5:$D$54,$R353),0,1))+N(INDEX('仕入先'!$E$5:$E$54,$R353)))+1,0),DATE(YEAR($S353),(MONTH($S353)+IF(INDEX('仕入先'!$D$5:$D$54,$R353)="末",0,IF(DAY($S353)&lt;=INDEX('仕入先'!$D$5:$D$54,$R353),0,1))+N(INDEX('仕入先'!$E$5:$E$54,$R353))),MIN(INDEX('仕入先'!$F$5:$F$54,$R353),DAY(DATE(YEAR($S353),(MONTH($S353)+IF(INDEX('仕入先'!$D$5:$D$54,$R353)="末",0,IF(DAY($S353)&lt;=INDEX('仕入先'!$D$5:$D$54,$R353),0,1))+N(INDEX('仕入先'!$E$5:$E$54,$R353)))+1,0)))))))</f>
        <v/>
      </c>
      <c r="I353" s="26" t="n"/>
      <c r="J353" s="29">
        <f>IF($B353="","",IF(ISNUMBER($I353),$I353,$H353))</f>
        <v/>
      </c>
      <c r="K353" s="26" t="n"/>
      <c r="L353" s="27" t="n"/>
      <c r="M353" s="27" t="n"/>
      <c r="N353" s="28">
        <f>IF($B353="","",N($G353)-N($L353)-N($M353))</f>
        <v/>
      </c>
      <c r="O353" s="30">
        <f>IF($B353="","",IF(AND(OR(N($L353)&lt;&gt;0,N($M353)&lt;&gt;0),NOT(ISNUMBER($K353))),"支払日なし",IF($N353=0,IF(N($G353)=0,"請求額0","支払済"),IF($N353&lt;0,"払いすぎ",IF(N($L353)+N($M353)=0,"未払","一部支払")))))</f>
        <v/>
      </c>
      <c r="P353" s="30">
        <f>IF(OR($B353="",N($N353)&lt;=0,NOT(ISNUMBER($J353))),"",IF($J353&lt;'設定'!$B$7,"期日超過 "&amp;('設定'!$B$7-$J353)&amp;"日",IF($J353='設定'!$B$7,"今日","あと "&amp;($J353-'設定'!$B$7)&amp;"日")))</f>
        <v/>
      </c>
      <c r="Q353" s="56" t="n"/>
      <c r="R353" s="32">
        <f>IF($B353="","",IFERROR(MATCH($B353,'仕入先'!$B$5:$B$54,0),"なし"))</f>
        <v/>
      </c>
      <c r="S353" s="33">
        <f>IF($B353="","",IF(ISNUMBER($D353),$D353,IF(ISNUMBER($A353),$A353,"")))</f>
        <v/>
      </c>
      <c r="T353" s="34">
        <f>IF(OR($B353="",N($N353)&lt;=0),"",IF(ISNUMBER($J353),$J353,99999)+ROW()/1000000)</f>
        <v/>
      </c>
      <c r="U353" s="35">
        <f>IF(OR($B353="",$B353&lt;&gt;'買掛帳'!$B$3,NOT(ISNUMBER($S353))),"",IF(AND($S353&gt;='買掛帳'!$Q$3,$S353&lt;='買掛帳'!$Q$4),$S353+ROW()/10000000,""))</f>
        <v/>
      </c>
      <c r="V353" s="35">
        <f>IF(OR($B353="",$B353&lt;&gt;'買掛帳'!$B$3,NOT(ISNUMBER($K353)),N($L353)+N($M353)=0),"",IF(AND($K353&gt;='買掛帳'!$Q$3,$K353&lt;='買掛帳'!$Q$4),$K353+0.5+ROW()/10000000,""))</f>
        <v/>
      </c>
    </row>
    <row r="354" ht="18" customHeight="1">
      <c r="A354" s="26" t="n"/>
      <c r="B354" s="18" t="n"/>
      <c r="C354" s="20">
        <f>IF($B354="","",IF($R354="なし","※仕入先にないコード",INDEX('仕入先'!$C$5:$C$54,$R354)&amp;""))</f>
        <v/>
      </c>
      <c r="D354" s="26" t="n"/>
      <c r="E354" s="18" t="n"/>
      <c r="F354" s="19" t="n"/>
      <c r="G354" s="27" t="n"/>
      <c r="H354" s="29">
        <f>IF(OR($B354="",NOT(ISNUMBER($R354)),NOT(ISNUMBER($S354))),"",IF(OR(INDEX('仕入先'!$D$5:$D$54,$R354)="",INDEX('仕入先'!$E$5:$E$54,$R354)="",INDEX('仕入先'!$F$5:$F$54,$R354)=""),"",IF(INDEX('仕入先'!$F$5:$F$54,$R354)="末",DATE(YEAR($S354),(MONTH($S354)+IF(INDEX('仕入先'!$D$5:$D$54,$R354)="末",0,IF(DAY($S354)&lt;=INDEX('仕入先'!$D$5:$D$54,$R354),0,1))+N(INDEX('仕入先'!$E$5:$E$54,$R354)))+1,0),DATE(YEAR($S354),(MONTH($S354)+IF(INDEX('仕入先'!$D$5:$D$54,$R354)="末",0,IF(DAY($S354)&lt;=INDEX('仕入先'!$D$5:$D$54,$R354),0,1))+N(INDEX('仕入先'!$E$5:$E$54,$R354))),MIN(INDEX('仕入先'!$F$5:$F$54,$R354),DAY(DATE(YEAR($S354),(MONTH($S354)+IF(INDEX('仕入先'!$D$5:$D$54,$R354)="末",0,IF(DAY($S354)&lt;=INDEX('仕入先'!$D$5:$D$54,$R354),0,1))+N(INDEX('仕入先'!$E$5:$E$54,$R354)))+1,0)))))))</f>
        <v/>
      </c>
      <c r="I354" s="26" t="n"/>
      <c r="J354" s="29">
        <f>IF($B354="","",IF(ISNUMBER($I354),$I354,$H354))</f>
        <v/>
      </c>
      <c r="K354" s="26" t="n"/>
      <c r="L354" s="27" t="n"/>
      <c r="M354" s="27" t="n"/>
      <c r="N354" s="28">
        <f>IF($B354="","",N($G354)-N($L354)-N($M354))</f>
        <v/>
      </c>
      <c r="O354" s="30">
        <f>IF($B354="","",IF(AND(OR(N($L354)&lt;&gt;0,N($M354)&lt;&gt;0),NOT(ISNUMBER($K354))),"支払日なし",IF($N354=0,IF(N($G354)=0,"請求額0","支払済"),IF($N354&lt;0,"払いすぎ",IF(N($L354)+N($M354)=0,"未払","一部支払")))))</f>
        <v/>
      </c>
      <c r="P354" s="30">
        <f>IF(OR($B354="",N($N354)&lt;=0,NOT(ISNUMBER($J354))),"",IF($J354&lt;'設定'!$B$7,"期日超過 "&amp;('設定'!$B$7-$J354)&amp;"日",IF($J354='設定'!$B$7,"今日","あと "&amp;($J354-'設定'!$B$7)&amp;"日")))</f>
        <v/>
      </c>
      <c r="Q354" s="56" t="n"/>
      <c r="R354" s="32">
        <f>IF($B354="","",IFERROR(MATCH($B354,'仕入先'!$B$5:$B$54,0),"なし"))</f>
        <v/>
      </c>
      <c r="S354" s="33">
        <f>IF($B354="","",IF(ISNUMBER($D354),$D354,IF(ISNUMBER($A354),$A354,"")))</f>
        <v/>
      </c>
      <c r="T354" s="34">
        <f>IF(OR($B354="",N($N354)&lt;=0),"",IF(ISNUMBER($J354),$J354,99999)+ROW()/1000000)</f>
        <v/>
      </c>
      <c r="U354" s="35">
        <f>IF(OR($B354="",$B354&lt;&gt;'買掛帳'!$B$3,NOT(ISNUMBER($S354))),"",IF(AND($S354&gt;='買掛帳'!$Q$3,$S354&lt;='買掛帳'!$Q$4),$S354+ROW()/10000000,""))</f>
        <v/>
      </c>
      <c r="V354" s="35">
        <f>IF(OR($B354="",$B354&lt;&gt;'買掛帳'!$B$3,NOT(ISNUMBER($K354)),N($L354)+N($M354)=0),"",IF(AND($K354&gt;='買掛帳'!$Q$3,$K354&lt;='買掛帳'!$Q$4),$K354+0.5+ROW()/10000000,""))</f>
        <v/>
      </c>
    </row>
    <row r="355" ht="18" customHeight="1">
      <c r="A355" s="26" t="n"/>
      <c r="B355" s="18" t="n"/>
      <c r="C355" s="20">
        <f>IF($B355="","",IF($R355="なし","※仕入先にないコード",INDEX('仕入先'!$C$5:$C$54,$R355)&amp;""))</f>
        <v/>
      </c>
      <c r="D355" s="26" t="n"/>
      <c r="E355" s="18" t="n"/>
      <c r="F355" s="19" t="n"/>
      <c r="G355" s="27" t="n"/>
      <c r="H355" s="29">
        <f>IF(OR($B355="",NOT(ISNUMBER($R355)),NOT(ISNUMBER($S355))),"",IF(OR(INDEX('仕入先'!$D$5:$D$54,$R355)="",INDEX('仕入先'!$E$5:$E$54,$R355)="",INDEX('仕入先'!$F$5:$F$54,$R355)=""),"",IF(INDEX('仕入先'!$F$5:$F$54,$R355)="末",DATE(YEAR($S355),(MONTH($S355)+IF(INDEX('仕入先'!$D$5:$D$54,$R355)="末",0,IF(DAY($S355)&lt;=INDEX('仕入先'!$D$5:$D$54,$R355),0,1))+N(INDEX('仕入先'!$E$5:$E$54,$R355)))+1,0),DATE(YEAR($S355),(MONTH($S355)+IF(INDEX('仕入先'!$D$5:$D$54,$R355)="末",0,IF(DAY($S355)&lt;=INDEX('仕入先'!$D$5:$D$54,$R355),0,1))+N(INDEX('仕入先'!$E$5:$E$54,$R355))),MIN(INDEX('仕入先'!$F$5:$F$54,$R355),DAY(DATE(YEAR($S355),(MONTH($S355)+IF(INDEX('仕入先'!$D$5:$D$54,$R355)="末",0,IF(DAY($S355)&lt;=INDEX('仕入先'!$D$5:$D$54,$R355),0,1))+N(INDEX('仕入先'!$E$5:$E$54,$R355)))+1,0)))))))</f>
        <v/>
      </c>
      <c r="I355" s="26" t="n"/>
      <c r="J355" s="29">
        <f>IF($B355="","",IF(ISNUMBER($I355),$I355,$H355))</f>
        <v/>
      </c>
      <c r="K355" s="26" t="n"/>
      <c r="L355" s="27" t="n"/>
      <c r="M355" s="27" t="n"/>
      <c r="N355" s="28">
        <f>IF($B355="","",N($G355)-N($L355)-N($M355))</f>
        <v/>
      </c>
      <c r="O355" s="30">
        <f>IF($B355="","",IF(AND(OR(N($L355)&lt;&gt;0,N($M355)&lt;&gt;0),NOT(ISNUMBER($K355))),"支払日なし",IF($N355=0,IF(N($G355)=0,"請求額0","支払済"),IF($N355&lt;0,"払いすぎ",IF(N($L355)+N($M355)=0,"未払","一部支払")))))</f>
        <v/>
      </c>
      <c r="P355" s="30">
        <f>IF(OR($B355="",N($N355)&lt;=0,NOT(ISNUMBER($J355))),"",IF($J355&lt;'設定'!$B$7,"期日超過 "&amp;('設定'!$B$7-$J355)&amp;"日",IF($J355='設定'!$B$7,"今日","あと "&amp;($J355-'設定'!$B$7)&amp;"日")))</f>
        <v/>
      </c>
      <c r="Q355" s="56" t="n"/>
      <c r="R355" s="32">
        <f>IF($B355="","",IFERROR(MATCH($B355,'仕入先'!$B$5:$B$54,0),"なし"))</f>
        <v/>
      </c>
      <c r="S355" s="33">
        <f>IF($B355="","",IF(ISNUMBER($D355),$D355,IF(ISNUMBER($A355),$A355,"")))</f>
        <v/>
      </c>
      <c r="T355" s="34">
        <f>IF(OR($B355="",N($N355)&lt;=0),"",IF(ISNUMBER($J355),$J355,99999)+ROW()/1000000)</f>
        <v/>
      </c>
      <c r="U355" s="35">
        <f>IF(OR($B355="",$B355&lt;&gt;'買掛帳'!$B$3,NOT(ISNUMBER($S355))),"",IF(AND($S355&gt;='買掛帳'!$Q$3,$S355&lt;='買掛帳'!$Q$4),$S355+ROW()/10000000,""))</f>
        <v/>
      </c>
      <c r="V355" s="35">
        <f>IF(OR($B355="",$B355&lt;&gt;'買掛帳'!$B$3,NOT(ISNUMBER($K355)),N($L355)+N($M355)=0),"",IF(AND($K355&gt;='買掛帳'!$Q$3,$K355&lt;='買掛帳'!$Q$4),$K355+0.5+ROW()/10000000,""))</f>
        <v/>
      </c>
    </row>
    <row r="356" ht="18" customHeight="1">
      <c r="A356" s="26" t="n"/>
      <c r="B356" s="18" t="n"/>
      <c r="C356" s="20">
        <f>IF($B356="","",IF($R356="なし","※仕入先にないコード",INDEX('仕入先'!$C$5:$C$54,$R356)&amp;""))</f>
        <v/>
      </c>
      <c r="D356" s="26" t="n"/>
      <c r="E356" s="18" t="n"/>
      <c r="F356" s="19" t="n"/>
      <c r="G356" s="27" t="n"/>
      <c r="H356" s="29">
        <f>IF(OR($B356="",NOT(ISNUMBER($R356)),NOT(ISNUMBER($S356))),"",IF(OR(INDEX('仕入先'!$D$5:$D$54,$R356)="",INDEX('仕入先'!$E$5:$E$54,$R356)="",INDEX('仕入先'!$F$5:$F$54,$R356)=""),"",IF(INDEX('仕入先'!$F$5:$F$54,$R356)="末",DATE(YEAR($S356),(MONTH($S356)+IF(INDEX('仕入先'!$D$5:$D$54,$R356)="末",0,IF(DAY($S356)&lt;=INDEX('仕入先'!$D$5:$D$54,$R356),0,1))+N(INDEX('仕入先'!$E$5:$E$54,$R356)))+1,0),DATE(YEAR($S356),(MONTH($S356)+IF(INDEX('仕入先'!$D$5:$D$54,$R356)="末",0,IF(DAY($S356)&lt;=INDEX('仕入先'!$D$5:$D$54,$R356),0,1))+N(INDEX('仕入先'!$E$5:$E$54,$R356))),MIN(INDEX('仕入先'!$F$5:$F$54,$R356),DAY(DATE(YEAR($S356),(MONTH($S356)+IF(INDEX('仕入先'!$D$5:$D$54,$R356)="末",0,IF(DAY($S356)&lt;=INDEX('仕入先'!$D$5:$D$54,$R356),0,1))+N(INDEX('仕入先'!$E$5:$E$54,$R356)))+1,0)))))))</f>
        <v/>
      </c>
      <c r="I356" s="26" t="n"/>
      <c r="J356" s="29">
        <f>IF($B356="","",IF(ISNUMBER($I356),$I356,$H356))</f>
        <v/>
      </c>
      <c r="K356" s="26" t="n"/>
      <c r="L356" s="27" t="n"/>
      <c r="M356" s="27" t="n"/>
      <c r="N356" s="28">
        <f>IF($B356="","",N($G356)-N($L356)-N($M356))</f>
        <v/>
      </c>
      <c r="O356" s="30">
        <f>IF($B356="","",IF(AND(OR(N($L356)&lt;&gt;0,N($M356)&lt;&gt;0),NOT(ISNUMBER($K356))),"支払日なし",IF($N356=0,IF(N($G356)=0,"請求額0","支払済"),IF($N356&lt;0,"払いすぎ",IF(N($L356)+N($M356)=0,"未払","一部支払")))))</f>
        <v/>
      </c>
      <c r="P356" s="30">
        <f>IF(OR($B356="",N($N356)&lt;=0,NOT(ISNUMBER($J356))),"",IF($J356&lt;'設定'!$B$7,"期日超過 "&amp;('設定'!$B$7-$J356)&amp;"日",IF($J356='設定'!$B$7,"今日","あと "&amp;($J356-'設定'!$B$7)&amp;"日")))</f>
        <v/>
      </c>
      <c r="Q356" s="56" t="n"/>
      <c r="R356" s="32">
        <f>IF($B356="","",IFERROR(MATCH($B356,'仕入先'!$B$5:$B$54,0),"なし"))</f>
        <v/>
      </c>
      <c r="S356" s="33">
        <f>IF($B356="","",IF(ISNUMBER($D356),$D356,IF(ISNUMBER($A356),$A356,"")))</f>
        <v/>
      </c>
      <c r="T356" s="34">
        <f>IF(OR($B356="",N($N356)&lt;=0),"",IF(ISNUMBER($J356),$J356,99999)+ROW()/1000000)</f>
        <v/>
      </c>
      <c r="U356" s="35">
        <f>IF(OR($B356="",$B356&lt;&gt;'買掛帳'!$B$3,NOT(ISNUMBER($S356))),"",IF(AND($S356&gt;='買掛帳'!$Q$3,$S356&lt;='買掛帳'!$Q$4),$S356+ROW()/10000000,""))</f>
        <v/>
      </c>
      <c r="V356" s="35">
        <f>IF(OR($B356="",$B356&lt;&gt;'買掛帳'!$B$3,NOT(ISNUMBER($K356)),N($L356)+N($M356)=0),"",IF(AND($K356&gt;='買掛帳'!$Q$3,$K356&lt;='買掛帳'!$Q$4),$K356+0.5+ROW()/10000000,""))</f>
        <v/>
      </c>
    </row>
    <row r="357" ht="18" customHeight="1">
      <c r="A357" s="26" t="n"/>
      <c r="B357" s="18" t="n"/>
      <c r="C357" s="20">
        <f>IF($B357="","",IF($R357="なし","※仕入先にないコード",INDEX('仕入先'!$C$5:$C$54,$R357)&amp;""))</f>
        <v/>
      </c>
      <c r="D357" s="26" t="n"/>
      <c r="E357" s="18" t="n"/>
      <c r="F357" s="19" t="n"/>
      <c r="G357" s="27" t="n"/>
      <c r="H357" s="29">
        <f>IF(OR($B357="",NOT(ISNUMBER($R357)),NOT(ISNUMBER($S357))),"",IF(OR(INDEX('仕入先'!$D$5:$D$54,$R357)="",INDEX('仕入先'!$E$5:$E$54,$R357)="",INDEX('仕入先'!$F$5:$F$54,$R357)=""),"",IF(INDEX('仕入先'!$F$5:$F$54,$R357)="末",DATE(YEAR($S357),(MONTH($S357)+IF(INDEX('仕入先'!$D$5:$D$54,$R357)="末",0,IF(DAY($S357)&lt;=INDEX('仕入先'!$D$5:$D$54,$R357),0,1))+N(INDEX('仕入先'!$E$5:$E$54,$R357)))+1,0),DATE(YEAR($S357),(MONTH($S357)+IF(INDEX('仕入先'!$D$5:$D$54,$R357)="末",0,IF(DAY($S357)&lt;=INDEX('仕入先'!$D$5:$D$54,$R357),0,1))+N(INDEX('仕入先'!$E$5:$E$54,$R357))),MIN(INDEX('仕入先'!$F$5:$F$54,$R357),DAY(DATE(YEAR($S357),(MONTH($S357)+IF(INDEX('仕入先'!$D$5:$D$54,$R357)="末",0,IF(DAY($S357)&lt;=INDEX('仕入先'!$D$5:$D$54,$R357),0,1))+N(INDEX('仕入先'!$E$5:$E$54,$R357)))+1,0)))))))</f>
        <v/>
      </c>
      <c r="I357" s="26" t="n"/>
      <c r="J357" s="29">
        <f>IF($B357="","",IF(ISNUMBER($I357),$I357,$H357))</f>
        <v/>
      </c>
      <c r="K357" s="26" t="n"/>
      <c r="L357" s="27" t="n"/>
      <c r="M357" s="27" t="n"/>
      <c r="N357" s="28">
        <f>IF($B357="","",N($G357)-N($L357)-N($M357))</f>
        <v/>
      </c>
      <c r="O357" s="30">
        <f>IF($B357="","",IF(AND(OR(N($L357)&lt;&gt;0,N($M357)&lt;&gt;0),NOT(ISNUMBER($K357))),"支払日なし",IF($N357=0,IF(N($G357)=0,"請求額0","支払済"),IF($N357&lt;0,"払いすぎ",IF(N($L357)+N($M357)=0,"未払","一部支払")))))</f>
        <v/>
      </c>
      <c r="P357" s="30">
        <f>IF(OR($B357="",N($N357)&lt;=0,NOT(ISNUMBER($J357))),"",IF($J357&lt;'設定'!$B$7,"期日超過 "&amp;('設定'!$B$7-$J357)&amp;"日",IF($J357='設定'!$B$7,"今日","あと "&amp;($J357-'設定'!$B$7)&amp;"日")))</f>
        <v/>
      </c>
      <c r="Q357" s="56" t="n"/>
      <c r="R357" s="32">
        <f>IF($B357="","",IFERROR(MATCH($B357,'仕入先'!$B$5:$B$54,0),"なし"))</f>
        <v/>
      </c>
      <c r="S357" s="33">
        <f>IF($B357="","",IF(ISNUMBER($D357),$D357,IF(ISNUMBER($A357),$A357,"")))</f>
        <v/>
      </c>
      <c r="T357" s="34">
        <f>IF(OR($B357="",N($N357)&lt;=0),"",IF(ISNUMBER($J357),$J357,99999)+ROW()/1000000)</f>
        <v/>
      </c>
      <c r="U357" s="35">
        <f>IF(OR($B357="",$B357&lt;&gt;'買掛帳'!$B$3,NOT(ISNUMBER($S357))),"",IF(AND($S357&gt;='買掛帳'!$Q$3,$S357&lt;='買掛帳'!$Q$4),$S357+ROW()/10000000,""))</f>
        <v/>
      </c>
      <c r="V357" s="35">
        <f>IF(OR($B357="",$B357&lt;&gt;'買掛帳'!$B$3,NOT(ISNUMBER($K357)),N($L357)+N($M357)=0),"",IF(AND($K357&gt;='買掛帳'!$Q$3,$K357&lt;='買掛帳'!$Q$4),$K357+0.5+ROW()/10000000,""))</f>
        <v/>
      </c>
    </row>
    <row r="358" ht="18" customHeight="1">
      <c r="A358" s="26" t="n"/>
      <c r="B358" s="18" t="n"/>
      <c r="C358" s="20">
        <f>IF($B358="","",IF($R358="なし","※仕入先にないコード",INDEX('仕入先'!$C$5:$C$54,$R358)&amp;""))</f>
        <v/>
      </c>
      <c r="D358" s="26" t="n"/>
      <c r="E358" s="18" t="n"/>
      <c r="F358" s="19" t="n"/>
      <c r="G358" s="27" t="n"/>
      <c r="H358" s="29">
        <f>IF(OR($B358="",NOT(ISNUMBER($R358)),NOT(ISNUMBER($S358))),"",IF(OR(INDEX('仕入先'!$D$5:$D$54,$R358)="",INDEX('仕入先'!$E$5:$E$54,$R358)="",INDEX('仕入先'!$F$5:$F$54,$R358)=""),"",IF(INDEX('仕入先'!$F$5:$F$54,$R358)="末",DATE(YEAR($S358),(MONTH($S358)+IF(INDEX('仕入先'!$D$5:$D$54,$R358)="末",0,IF(DAY($S358)&lt;=INDEX('仕入先'!$D$5:$D$54,$R358),0,1))+N(INDEX('仕入先'!$E$5:$E$54,$R358)))+1,0),DATE(YEAR($S358),(MONTH($S358)+IF(INDEX('仕入先'!$D$5:$D$54,$R358)="末",0,IF(DAY($S358)&lt;=INDEX('仕入先'!$D$5:$D$54,$R358),0,1))+N(INDEX('仕入先'!$E$5:$E$54,$R358))),MIN(INDEX('仕入先'!$F$5:$F$54,$R358),DAY(DATE(YEAR($S358),(MONTH($S358)+IF(INDEX('仕入先'!$D$5:$D$54,$R358)="末",0,IF(DAY($S358)&lt;=INDEX('仕入先'!$D$5:$D$54,$R358),0,1))+N(INDEX('仕入先'!$E$5:$E$54,$R358)))+1,0)))))))</f>
        <v/>
      </c>
      <c r="I358" s="26" t="n"/>
      <c r="J358" s="29">
        <f>IF($B358="","",IF(ISNUMBER($I358),$I358,$H358))</f>
        <v/>
      </c>
      <c r="K358" s="26" t="n"/>
      <c r="L358" s="27" t="n"/>
      <c r="M358" s="27" t="n"/>
      <c r="N358" s="28">
        <f>IF($B358="","",N($G358)-N($L358)-N($M358))</f>
        <v/>
      </c>
      <c r="O358" s="30">
        <f>IF($B358="","",IF(AND(OR(N($L358)&lt;&gt;0,N($M358)&lt;&gt;0),NOT(ISNUMBER($K358))),"支払日なし",IF($N358=0,IF(N($G358)=0,"請求額0","支払済"),IF($N358&lt;0,"払いすぎ",IF(N($L358)+N($M358)=0,"未払","一部支払")))))</f>
        <v/>
      </c>
      <c r="P358" s="30">
        <f>IF(OR($B358="",N($N358)&lt;=0,NOT(ISNUMBER($J358))),"",IF($J358&lt;'設定'!$B$7,"期日超過 "&amp;('設定'!$B$7-$J358)&amp;"日",IF($J358='設定'!$B$7,"今日","あと "&amp;($J358-'設定'!$B$7)&amp;"日")))</f>
        <v/>
      </c>
      <c r="Q358" s="56" t="n"/>
      <c r="R358" s="32">
        <f>IF($B358="","",IFERROR(MATCH($B358,'仕入先'!$B$5:$B$54,0),"なし"))</f>
        <v/>
      </c>
      <c r="S358" s="33">
        <f>IF($B358="","",IF(ISNUMBER($D358),$D358,IF(ISNUMBER($A358),$A358,"")))</f>
        <v/>
      </c>
      <c r="T358" s="34">
        <f>IF(OR($B358="",N($N358)&lt;=0),"",IF(ISNUMBER($J358),$J358,99999)+ROW()/1000000)</f>
        <v/>
      </c>
      <c r="U358" s="35">
        <f>IF(OR($B358="",$B358&lt;&gt;'買掛帳'!$B$3,NOT(ISNUMBER($S358))),"",IF(AND($S358&gt;='買掛帳'!$Q$3,$S358&lt;='買掛帳'!$Q$4),$S358+ROW()/10000000,""))</f>
        <v/>
      </c>
      <c r="V358" s="35">
        <f>IF(OR($B358="",$B358&lt;&gt;'買掛帳'!$B$3,NOT(ISNUMBER($K358)),N($L358)+N($M358)=0),"",IF(AND($K358&gt;='買掛帳'!$Q$3,$K358&lt;='買掛帳'!$Q$4),$K358+0.5+ROW()/10000000,""))</f>
        <v/>
      </c>
    </row>
    <row r="359" ht="18" customHeight="1">
      <c r="A359" s="26" t="n"/>
      <c r="B359" s="18" t="n"/>
      <c r="C359" s="20">
        <f>IF($B359="","",IF($R359="なし","※仕入先にないコード",INDEX('仕入先'!$C$5:$C$54,$R359)&amp;""))</f>
        <v/>
      </c>
      <c r="D359" s="26" t="n"/>
      <c r="E359" s="18" t="n"/>
      <c r="F359" s="19" t="n"/>
      <c r="G359" s="27" t="n"/>
      <c r="H359" s="29">
        <f>IF(OR($B359="",NOT(ISNUMBER($R359)),NOT(ISNUMBER($S359))),"",IF(OR(INDEX('仕入先'!$D$5:$D$54,$R359)="",INDEX('仕入先'!$E$5:$E$54,$R359)="",INDEX('仕入先'!$F$5:$F$54,$R359)=""),"",IF(INDEX('仕入先'!$F$5:$F$54,$R359)="末",DATE(YEAR($S359),(MONTH($S359)+IF(INDEX('仕入先'!$D$5:$D$54,$R359)="末",0,IF(DAY($S359)&lt;=INDEX('仕入先'!$D$5:$D$54,$R359),0,1))+N(INDEX('仕入先'!$E$5:$E$54,$R359)))+1,0),DATE(YEAR($S359),(MONTH($S359)+IF(INDEX('仕入先'!$D$5:$D$54,$R359)="末",0,IF(DAY($S359)&lt;=INDEX('仕入先'!$D$5:$D$54,$R359),0,1))+N(INDEX('仕入先'!$E$5:$E$54,$R359))),MIN(INDEX('仕入先'!$F$5:$F$54,$R359),DAY(DATE(YEAR($S359),(MONTH($S359)+IF(INDEX('仕入先'!$D$5:$D$54,$R359)="末",0,IF(DAY($S359)&lt;=INDEX('仕入先'!$D$5:$D$54,$R359),0,1))+N(INDEX('仕入先'!$E$5:$E$54,$R359)))+1,0)))))))</f>
        <v/>
      </c>
      <c r="I359" s="26" t="n"/>
      <c r="J359" s="29">
        <f>IF($B359="","",IF(ISNUMBER($I359),$I359,$H359))</f>
        <v/>
      </c>
      <c r="K359" s="26" t="n"/>
      <c r="L359" s="27" t="n"/>
      <c r="M359" s="27" t="n"/>
      <c r="N359" s="28">
        <f>IF($B359="","",N($G359)-N($L359)-N($M359))</f>
        <v/>
      </c>
      <c r="O359" s="30">
        <f>IF($B359="","",IF(AND(OR(N($L359)&lt;&gt;0,N($M359)&lt;&gt;0),NOT(ISNUMBER($K359))),"支払日なし",IF($N359=0,IF(N($G359)=0,"請求額0","支払済"),IF($N359&lt;0,"払いすぎ",IF(N($L359)+N($M359)=0,"未払","一部支払")))))</f>
        <v/>
      </c>
      <c r="P359" s="30">
        <f>IF(OR($B359="",N($N359)&lt;=0,NOT(ISNUMBER($J359))),"",IF($J359&lt;'設定'!$B$7,"期日超過 "&amp;('設定'!$B$7-$J359)&amp;"日",IF($J359='設定'!$B$7,"今日","あと "&amp;($J359-'設定'!$B$7)&amp;"日")))</f>
        <v/>
      </c>
      <c r="Q359" s="56" t="n"/>
      <c r="R359" s="32">
        <f>IF($B359="","",IFERROR(MATCH($B359,'仕入先'!$B$5:$B$54,0),"なし"))</f>
        <v/>
      </c>
      <c r="S359" s="33">
        <f>IF($B359="","",IF(ISNUMBER($D359),$D359,IF(ISNUMBER($A359),$A359,"")))</f>
        <v/>
      </c>
      <c r="T359" s="34">
        <f>IF(OR($B359="",N($N359)&lt;=0),"",IF(ISNUMBER($J359),$J359,99999)+ROW()/1000000)</f>
        <v/>
      </c>
      <c r="U359" s="35">
        <f>IF(OR($B359="",$B359&lt;&gt;'買掛帳'!$B$3,NOT(ISNUMBER($S359))),"",IF(AND($S359&gt;='買掛帳'!$Q$3,$S359&lt;='買掛帳'!$Q$4),$S359+ROW()/10000000,""))</f>
        <v/>
      </c>
      <c r="V359" s="35">
        <f>IF(OR($B359="",$B359&lt;&gt;'買掛帳'!$B$3,NOT(ISNUMBER($K359)),N($L359)+N($M359)=0),"",IF(AND($K359&gt;='買掛帳'!$Q$3,$K359&lt;='買掛帳'!$Q$4),$K359+0.5+ROW()/10000000,""))</f>
        <v/>
      </c>
    </row>
    <row r="360" ht="18" customHeight="1">
      <c r="A360" s="26" t="n"/>
      <c r="B360" s="18" t="n"/>
      <c r="C360" s="20">
        <f>IF($B360="","",IF($R360="なし","※仕入先にないコード",INDEX('仕入先'!$C$5:$C$54,$R360)&amp;""))</f>
        <v/>
      </c>
      <c r="D360" s="26" t="n"/>
      <c r="E360" s="18" t="n"/>
      <c r="F360" s="19" t="n"/>
      <c r="G360" s="27" t="n"/>
      <c r="H360" s="29">
        <f>IF(OR($B360="",NOT(ISNUMBER($R360)),NOT(ISNUMBER($S360))),"",IF(OR(INDEX('仕入先'!$D$5:$D$54,$R360)="",INDEX('仕入先'!$E$5:$E$54,$R360)="",INDEX('仕入先'!$F$5:$F$54,$R360)=""),"",IF(INDEX('仕入先'!$F$5:$F$54,$R360)="末",DATE(YEAR($S360),(MONTH($S360)+IF(INDEX('仕入先'!$D$5:$D$54,$R360)="末",0,IF(DAY($S360)&lt;=INDEX('仕入先'!$D$5:$D$54,$R360),0,1))+N(INDEX('仕入先'!$E$5:$E$54,$R360)))+1,0),DATE(YEAR($S360),(MONTH($S360)+IF(INDEX('仕入先'!$D$5:$D$54,$R360)="末",0,IF(DAY($S360)&lt;=INDEX('仕入先'!$D$5:$D$54,$R360),0,1))+N(INDEX('仕入先'!$E$5:$E$54,$R360))),MIN(INDEX('仕入先'!$F$5:$F$54,$R360),DAY(DATE(YEAR($S360),(MONTH($S360)+IF(INDEX('仕入先'!$D$5:$D$54,$R360)="末",0,IF(DAY($S360)&lt;=INDEX('仕入先'!$D$5:$D$54,$R360),0,1))+N(INDEX('仕入先'!$E$5:$E$54,$R360)))+1,0)))))))</f>
        <v/>
      </c>
      <c r="I360" s="26" t="n"/>
      <c r="J360" s="29">
        <f>IF($B360="","",IF(ISNUMBER($I360),$I360,$H360))</f>
        <v/>
      </c>
      <c r="K360" s="26" t="n"/>
      <c r="L360" s="27" t="n"/>
      <c r="M360" s="27" t="n"/>
      <c r="N360" s="28">
        <f>IF($B360="","",N($G360)-N($L360)-N($M360))</f>
        <v/>
      </c>
      <c r="O360" s="30">
        <f>IF($B360="","",IF(AND(OR(N($L360)&lt;&gt;0,N($M360)&lt;&gt;0),NOT(ISNUMBER($K360))),"支払日なし",IF($N360=0,IF(N($G360)=0,"請求額0","支払済"),IF($N360&lt;0,"払いすぎ",IF(N($L360)+N($M360)=0,"未払","一部支払")))))</f>
        <v/>
      </c>
      <c r="P360" s="30">
        <f>IF(OR($B360="",N($N360)&lt;=0,NOT(ISNUMBER($J360))),"",IF($J360&lt;'設定'!$B$7,"期日超過 "&amp;('設定'!$B$7-$J360)&amp;"日",IF($J360='設定'!$B$7,"今日","あと "&amp;($J360-'設定'!$B$7)&amp;"日")))</f>
        <v/>
      </c>
      <c r="Q360" s="56" t="n"/>
      <c r="R360" s="32">
        <f>IF($B360="","",IFERROR(MATCH($B360,'仕入先'!$B$5:$B$54,0),"なし"))</f>
        <v/>
      </c>
      <c r="S360" s="33">
        <f>IF($B360="","",IF(ISNUMBER($D360),$D360,IF(ISNUMBER($A360),$A360,"")))</f>
        <v/>
      </c>
      <c r="T360" s="34">
        <f>IF(OR($B360="",N($N360)&lt;=0),"",IF(ISNUMBER($J360),$J360,99999)+ROW()/1000000)</f>
        <v/>
      </c>
      <c r="U360" s="35">
        <f>IF(OR($B360="",$B360&lt;&gt;'買掛帳'!$B$3,NOT(ISNUMBER($S360))),"",IF(AND($S360&gt;='買掛帳'!$Q$3,$S360&lt;='買掛帳'!$Q$4),$S360+ROW()/10000000,""))</f>
        <v/>
      </c>
      <c r="V360" s="35">
        <f>IF(OR($B360="",$B360&lt;&gt;'買掛帳'!$B$3,NOT(ISNUMBER($K360)),N($L360)+N($M360)=0),"",IF(AND($K360&gt;='買掛帳'!$Q$3,$K360&lt;='買掛帳'!$Q$4),$K360+0.5+ROW()/10000000,""))</f>
        <v/>
      </c>
    </row>
    <row r="361" ht="18" customHeight="1">
      <c r="A361" s="26" t="n"/>
      <c r="B361" s="18" t="n"/>
      <c r="C361" s="20">
        <f>IF($B361="","",IF($R361="なし","※仕入先にないコード",INDEX('仕入先'!$C$5:$C$54,$R361)&amp;""))</f>
        <v/>
      </c>
      <c r="D361" s="26" t="n"/>
      <c r="E361" s="18" t="n"/>
      <c r="F361" s="19" t="n"/>
      <c r="G361" s="27" t="n"/>
      <c r="H361" s="29">
        <f>IF(OR($B361="",NOT(ISNUMBER($R361)),NOT(ISNUMBER($S361))),"",IF(OR(INDEX('仕入先'!$D$5:$D$54,$R361)="",INDEX('仕入先'!$E$5:$E$54,$R361)="",INDEX('仕入先'!$F$5:$F$54,$R361)=""),"",IF(INDEX('仕入先'!$F$5:$F$54,$R361)="末",DATE(YEAR($S361),(MONTH($S361)+IF(INDEX('仕入先'!$D$5:$D$54,$R361)="末",0,IF(DAY($S361)&lt;=INDEX('仕入先'!$D$5:$D$54,$R361),0,1))+N(INDEX('仕入先'!$E$5:$E$54,$R361)))+1,0),DATE(YEAR($S361),(MONTH($S361)+IF(INDEX('仕入先'!$D$5:$D$54,$R361)="末",0,IF(DAY($S361)&lt;=INDEX('仕入先'!$D$5:$D$54,$R361),0,1))+N(INDEX('仕入先'!$E$5:$E$54,$R361))),MIN(INDEX('仕入先'!$F$5:$F$54,$R361),DAY(DATE(YEAR($S361),(MONTH($S361)+IF(INDEX('仕入先'!$D$5:$D$54,$R361)="末",0,IF(DAY($S361)&lt;=INDEX('仕入先'!$D$5:$D$54,$R361),0,1))+N(INDEX('仕入先'!$E$5:$E$54,$R361)))+1,0)))))))</f>
        <v/>
      </c>
      <c r="I361" s="26" t="n"/>
      <c r="J361" s="29">
        <f>IF($B361="","",IF(ISNUMBER($I361),$I361,$H361))</f>
        <v/>
      </c>
      <c r="K361" s="26" t="n"/>
      <c r="L361" s="27" t="n"/>
      <c r="M361" s="27" t="n"/>
      <c r="N361" s="28">
        <f>IF($B361="","",N($G361)-N($L361)-N($M361))</f>
        <v/>
      </c>
      <c r="O361" s="30">
        <f>IF($B361="","",IF(AND(OR(N($L361)&lt;&gt;0,N($M361)&lt;&gt;0),NOT(ISNUMBER($K361))),"支払日なし",IF($N361=0,IF(N($G361)=0,"請求額0","支払済"),IF($N361&lt;0,"払いすぎ",IF(N($L361)+N($M361)=0,"未払","一部支払")))))</f>
        <v/>
      </c>
      <c r="P361" s="30">
        <f>IF(OR($B361="",N($N361)&lt;=0,NOT(ISNUMBER($J361))),"",IF($J361&lt;'設定'!$B$7,"期日超過 "&amp;('設定'!$B$7-$J361)&amp;"日",IF($J361='設定'!$B$7,"今日","あと "&amp;($J361-'設定'!$B$7)&amp;"日")))</f>
        <v/>
      </c>
      <c r="Q361" s="56" t="n"/>
      <c r="R361" s="32">
        <f>IF($B361="","",IFERROR(MATCH($B361,'仕入先'!$B$5:$B$54,0),"なし"))</f>
        <v/>
      </c>
      <c r="S361" s="33">
        <f>IF($B361="","",IF(ISNUMBER($D361),$D361,IF(ISNUMBER($A361),$A361,"")))</f>
        <v/>
      </c>
      <c r="T361" s="34">
        <f>IF(OR($B361="",N($N361)&lt;=0),"",IF(ISNUMBER($J361),$J361,99999)+ROW()/1000000)</f>
        <v/>
      </c>
      <c r="U361" s="35">
        <f>IF(OR($B361="",$B361&lt;&gt;'買掛帳'!$B$3,NOT(ISNUMBER($S361))),"",IF(AND($S361&gt;='買掛帳'!$Q$3,$S361&lt;='買掛帳'!$Q$4),$S361+ROW()/10000000,""))</f>
        <v/>
      </c>
      <c r="V361" s="35">
        <f>IF(OR($B361="",$B361&lt;&gt;'買掛帳'!$B$3,NOT(ISNUMBER($K361)),N($L361)+N($M361)=0),"",IF(AND($K361&gt;='買掛帳'!$Q$3,$K361&lt;='買掛帳'!$Q$4),$K361+0.5+ROW()/10000000,""))</f>
        <v/>
      </c>
    </row>
    <row r="362" ht="18" customHeight="1">
      <c r="A362" s="26" t="n"/>
      <c r="B362" s="18" t="n"/>
      <c r="C362" s="20">
        <f>IF($B362="","",IF($R362="なし","※仕入先にないコード",INDEX('仕入先'!$C$5:$C$54,$R362)&amp;""))</f>
        <v/>
      </c>
      <c r="D362" s="26" t="n"/>
      <c r="E362" s="18" t="n"/>
      <c r="F362" s="19" t="n"/>
      <c r="G362" s="27" t="n"/>
      <c r="H362" s="29">
        <f>IF(OR($B362="",NOT(ISNUMBER($R362)),NOT(ISNUMBER($S362))),"",IF(OR(INDEX('仕入先'!$D$5:$D$54,$R362)="",INDEX('仕入先'!$E$5:$E$54,$R362)="",INDEX('仕入先'!$F$5:$F$54,$R362)=""),"",IF(INDEX('仕入先'!$F$5:$F$54,$R362)="末",DATE(YEAR($S362),(MONTH($S362)+IF(INDEX('仕入先'!$D$5:$D$54,$R362)="末",0,IF(DAY($S362)&lt;=INDEX('仕入先'!$D$5:$D$54,$R362),0,1))+N(INDEX('仕入先'!$E$5:$E$54,$R362)))+1,0),DATE(YEAR($S362),(MONTH($S362)+IF(INDEX('仕入先'!$D$5:$D$54,$R362)="末",0,IF(DAY($S362)&lt;=INDEX('仕入先'!$D$5:$D$54,$R362),0,1))+N(INDEX('仕入先'!$E$5:$E$54,$R362))),MIN(INDEX('仕入先'!$F$5:$F$54,$R362),DAY(DATE(YEAR($S362),(MONTH($S362)+IF(INDEX('仕入先'!$D$5:$D$54,$R362)="末",0,IF(DAY($S362)&lt;=INDEX('仕入先'!$D$5:$D$54,$R362),0,1))+N(INDEX('仕入先'!$E$5:$E$54,$R362)))+1,0)))))))</f>
        <v/>
      </c>
      <c r="I362" s="26" t="n"/>
      <c r="J362" s="29">
        <f>IF($B362="","",IF(ISNUMBER($I362),$I362,$H362))</f>
        <v/>
      </c>
      <c r="K362" s="26" t="n"/>
      <c r="L362" s="27" t="n"/>
      <c r="M362" s="27" t="n"/>
      <c r="N362" s="28">
        <f>IF($B362="","",N($G362)-N($L362)-N($M362))</f>
        <v/>
      </c>
      <c r="O362" s="30">
        <f>IF($B362="","",IF(AND(OR(N($L362)&lt;&gt;0,N($M362)&lt;&gt;0),NOT(ISNUMBER($K362))),"支払日なし",IF($N362=0,IF(N($G362)=0,"請求額0","支払済"),IF($N362&lt;0,"払いすぎ",IF(N($L362)+N($M362)=0,"未払","一部支払")))))</f>
        <v/>
      </c>
      <c r="P362" s="30">
        <f>IF(OR($B362="",N($N362)&lt;=0,NOT(ISNUMBER($J362))),"",IF($J362&lt;'設定'!$B$7,"期日超過 "&amp;('設定'!$B$7-$J362)&amp;"日",IF($J362='設定'!$B$7,"今日","あと "&amp;($J362-'設定'!$B$7)&amp;"日")))</f>
        <v/>
      </c>
      <c r="Q362" s="56" t="n"/>
      <c r="R362" s="32">
        <f>IF($B362="","",IFERROR(MATCH($B362,'仕入先'!$B$5:$B$54,0),"なし"))</f>
        <v/>
      </c>
      <c r="S362" s="33">
        <f>IF($B362="","",IF(ISNUMBER($D362),$D362,IF(ISNUMBER($A362),$A362,"")))</f>
        <v/>
      </c>
      <c r="T362" s="34">
        <f>IF(OR($B362="",N($N362)&lt;=0),"",IF(ISNUMBER($J362),$J362,99999)+ROW()/1000000)</f>
        <v/>
      </c>
      <c r="U362" s="35">
        <f>IF(OR($B362="",$B362&lt;&gt;'買掛帳'!$B$3,NOT(ISNUMBER($S362))),"",IF(AND($S362&gt;='買掛帳'!$Q$3,$S362&lt;='買掛帳'!$Q$4),$S362+ROW()/10000000,""))</f>
        <v/>
      </c>
      <c r="V362" s="35">
        <f>IF(OR($B362="",$B362&lt;&gt;'買掛帳'!$B$3,NOT(ISNUMBER($K362)),N($L362)+N($M362)=0),"",IF(AND($K362&gt;='買掛帳'!$Q$3,$K362&lt;='買掛帳'!$Q$4),$K362+0.5+ROW()/10000000,""))</f>
        <v/>
      </c>
    </row>
    <row r="363" ht="18" customHeight="1">
      <c r="A363" s="26" t="n"/>
      <c r="B363" s="18" t="n"/>
      <c r="C363" s="20">
        <f>IF($B363="","",IF($R363="なし","※仕入先にないコード",INDEX('仕入先'!$C$5:$C$54,$R363)&amp;""))</f>
        <v/>
      </c>
      <c r="D363" s="26" t="n"/>
      <c r="E363" s="18" t="n"/>
      <c r="F363" s="19" t="n"/>
      <c r="G363" s="27" t="n"/>
      <c r="H363" s="29">
        <f>IF(OR($B363="",NOT(ISNUMBER($R363)),NOT(ISNUMBER($S363))),"",IF(OR(INDEX('仕入先'!$D$5:$D$54,$R363)="",INDEX('仕入先'!$E$5:$E$54,$R363)="",INDEX('仕入先'!$F$5:$F$54,$R363)=""),"",IF(INDEX('仕入先'!$F$5:$F$54,$R363)="末",DATE(YEAR($S363),(MONTH($S363)+IF(INDEX('仕入先'!$D$5:$D$54,$R363)="末",0,IF(DAY($S363)&lt;=INDEX('仕入先'!$D$5:$D$54,$R363),0,1))+N(INDEX('仕入先'!$E$5:$E$54,$R363)))+1,0),DATE(YEAR($S363),(MONTH($S363)+IF(INDEX('仕入先'!$D$5:$D$54,$R363)="末",0,IF(DAY($S363)&lt;=INDEX('仕入先'!$D$5:$D$54,$R363),0,1))+N(INDEX('仕入先'!$E$5:$E$54,$R363))),MIN(INDEX('仕入先'!$F$5:$F$54,$R363),DAY(DATE(YEAR($S363),(MONTH($S363)+IF(INDEX('仕入先'!$D$5:$D$54,$R363)="末",0,IF(DAY($S363)&lt;=INDEX('仕入先'!$D$5:$D$54,$R363),0,1))+N(INDEX('仕入先'!$E$5:$E$54,$R363)))+1,0)))))))</f>
        <v/>
      </c>
      <c r="I363" s="26" t="n"/>
      <c r="J363" s="29">
        <f>IF($B363="","",IF(ISNUMBER($I363),$I363,$H363))</f>
        <v/>
      </c>
      <c r="K363" s="26" t="n"/>
      <c r="L363" s="27" t="n"/>
      <c r="M363" s="27" t="n"/>
      <c r="N363" s="28">
        <f>IF($B363="","",N($G363)-N($L363)-N($M363))</f>
        <v/>
      </c>
      <c r="O363" s="30">
        <f>IF($B363="","",IF(AND(OR(N($L363)&lt;&gt;0,N($M363)&lt;&gt;0),NOT(ISNUMBER($K363))),"支払日なし",IF($N363=0,IF(N($G363)=0,"請求額0","支払済"),IF($N363&lt;0,"払いすぎ",IF(N($L363)+N($M363)=0,"未払","一部支払")))))</f>
        <v/>
      </c>
      <c r="P363" s="30">
        <f>IF(OR($B363="",N($N363)&lt;=0,NOT(ISNUMBER($J363))),"",IF($J363&lt;'設定'!$B$7,"期日超過 "&amp;('設定'!$B$7-$J363)&amp;"日",IF($J363='設定'!$B$7,"今日","あと "&amp;($J363-'設定'!$B$7)&amp;"日")))</f>
        <v/>
      </c>
      <c r="Q363" s="56" t="n"/>
      <c r="R363" s="32">
        <f>IF($B363="","",IFERROR(MATCH($B363,'仕入先'!$B$5:$B$54,0),"なし"))</f>
        <v/>
      </c>
      <c r="S363" s="33">
        <f>IF($B363="","",IF(ISNUMBER($D363),$D363,IF(ISNUMBER($A363),$A363,"")))</f>
        <v/>
      </c>
      <c r="T363" s="34">
        <f>IF(OR($B363="",N($N363)&lt;=0),"",IF(ISNUMBER($J363),$J363,99999)+ROW()/1000000)</f>
        <v/>
      </c>
      <c r="U363" s="35">
        <f>IF(OR($B363="",$B363&lt;&gt;'買掛帳'!$B$3,NOT(ISNUMBER($S363))),"",IF(AND($S363&gt;='買掛帳'!$Q$3,$S363&lt;='買掛帳'!$Q$4),$S363+ROW()/10000000,""))</f>
        <v/>
      </c>
      <c r="V363" s="35">
        <f>IF(OR($B363="",$B363&lt;&gt;'買掛帳'!$B$3,NOT(ISNUMBER($K363)),N($L363)+N($M363)=0),"",IF(AND($K363&gt;='買掛帳'!$Q$3,$K363&lt;='買掛帳'!$Q$4),$K363+0.5+ROW()/10000000,""))</f>
        <v/>
      </c>
    </row>
    <row r="364" ht="18" customHeight="1">
      <c r="A364" s="26" t="n"/>
      <c r="B364" s="18" t="n"/>
      <c r="C364" s="20">
        <f>IF($B364="","",IF($R364="なし","※仕入先にないコード",INDEX('仕入先'!$C$5:$C$54,$R364)&amp;""))</f>
        <v/>
      </c>
      <c r="D364" s="26" t="n"/>
      <c r="E364" s="18" t="n"/>
      <c r="F364" s="19" t="n"/>
      <c r="G364" s="27" t="n"/>
      <c r="H364" s="29">
        <f>IF(OR($B364="",NOT(ISNUMBER($R364)),NOT(ISNUMBER($S364))),"",IF(OR(INDEX('仕入先'!$D$5:$D$54,$R364)="",INDEX('仕入先'!$E$5:$E$54,$R364)="",INDEX('仕入先'!$F$5:$F$54,$R364)=""),"",IF(INDEX('仕入先'!$F$5:$F$54,$R364)="末",DATE(YEAR($S364),(MONTH($S364)+IF(INDEX('仕入先'!$D$5:$D$54,$R364)="末",0,IF(DAY($S364)&lt;=INDEX('仕入先'!$D$5:$D$54,$R364),0,1))+N(INDEX('仕入先'!$E$5:$E$54,$R364)))+1,0),DATE(YEAR($S364),(MONTH($S364)+IF(INDEX('仕入先'!$D$5:$D$54,$R364)="末",0,IF(DAY($S364)&lt;=INDEX('仕入先'!$D$5:$D$54,$R364),0,1))+N(INDEX('仕入先'!$E$5:$E$54,$R364))),MIN(INDEX('仕入先'!$F$5:$F$54,$R364),DAY(DATE(YEAR($S364),(MONTH($S364)+IF(INDEX('仕入先'!$D$5:$D$54,$R364)="末",0,IF(DAY($S364)&lt;=INDEX('仕入先'!$D$5:$D$54,$R364),0,1))+N(INDEX('仕入先'!$E$5:$E$54,$R364)))+1,0)))))))</f>
        <v/>
      </c>
      <c r="I364" s="26" t="n"/>
      <c r="J364" s="29">
        <f>IF($B364="","",IF(ISNUMBER($I364),$I364,$H364))</f>
        <v/>
      </c>
      <c r="K364" s="26" t="n"/>
      <c r="L364" s="27" t="n"/>
      <c r="M364" s="27" t="n"/>
      <c r="N364" s="28">
        <f>IF($B364="","",N($G364)-N($L364)-N($M364))</f>
        <v/>
      </c>
      <c r="O364" s="30">
        <f>IF($B364="","",IF(AND(OR(N($L364)&lt;&gt;0,N($M364)&lt;&gt;0),NOT(ISNUMBER($K364))),"支払日なし",IF($N364=0,IF(N($G364)=0,"請求額0","支払済"),IF($N364&lt;0,"払いすぎ",IF(N($L364)+N($M364)=0,"未払","一部支払")))))</f>
        <v/>
      </c>
      <c r="P364" s="30">
        <f>IF(OR($B364="",N($N364)&lt;=0,NOT(ISNUMBER($J364))),"",IF($J364&lt;'設定'!$B$7,"期日超過 "&amp;('設定'!$B$7-$J364)&amp;"日",IF($J364='設定'!$B$7,"今日","あと "&amp;($J364-'設定'!$B$7)&amp;"日")))</f>
        <v/>
      </c>
      <c r="Q364" s="56" t="n"/>
      <c r="R364" s="32">
        <f>IF($B364="","",IFERROR(MATCH($B364,'仕入先'!$B$5:$B$54,0),"なし"))</f>
        <v/>
      </c>
      <c r="S364" s="33">
        <f>IF($B364="","",IF(ISNUMBER($D364),$D364,IF(ISNUMBER($A364),$A364,"")))</f>
        <v/>
      </c>
      <c r="T364" s="34">
        <f>IF(OR($B364="",N($N364)&lt;=0),"",IF(ISNUMBER($J364),$J364,99999)+ROW()/1000000)</f>
        <v/>
      </c>
      <c r="U364" s="35">
        <f>IF(OR($B364="",$B364&lt;&gt;'買掛帳'!$B$3,NOT(ISNUMBER($S364))),"",IF(AND($S364&gt;='買掛帳'!$Q$3,$S364&lt;='買掛帳'!$Q$4),$S364+ROW()/10000000,""))</f>
        <v/>
      </c>
      <c r="V364" s="35">
        <f>IF(OR($B364="",$B364&lt;&gt;'買掛帳'!$B$3,NOT(ISNUMBER($K364)),N($L364)+N($M364)=0),"",IF(AND($K364&gt;='買掛帳'!$Q$3,$K364&lt;='買掛帳'!$Q$4),$K364+0.5+ROW()/10000000,""))</f>
        <v/>
      </c>
    </row>
    <row r="365" ht="18" customHeight="1">
      <c r="A365" s="26" t="n"/>
      <c r="B365" s="18" t="n"/>
      <c r="C365" s="20">
        <f>IF($B365="","",IF($R365="なし","※仕入先にないコード",INDEX('仕入先'!$C$5:$C$54,$R365)&amp;""))</f>
        <v/>
      </c>
      <c r="D365" s="26" t="n"/>
      <c r="E365" s="18" t="n"/>
      <c r="F365" s="19" t="n"/>
      <c r="G365" s="27" t="n"/>
      <c r="H365" s="29">
        <f>IF(OR($B365="",NOT(ISNUMBER($R365)),NOT(ISNUMBER($S365))),"",IF(OR(INDEX('仕入先'!$D$5:$D$54,$R365)="",INDEX('仕入先'!$E$5:$E$54,$R365)="",INDEX('仕入先'!$F$5:$F$54,$R365)=""),"",IF(INDEX('仕入先'!$F$5:$F$54,$R365)="末",DATE(YEAR($S365),(MONTH($S365)+IF(INDEX('仕入先'!$D$5:$D$54,$R365)="末",0,IF(DAY($S365)&lt;=INDEX('仕入先'!$D$5:$D$54,$R365),0,1))+N(INDEX('仕入先'!$E$5:$E$54,$R365)))+1,0),DATE(YEAR($S365),(MONTH($S365)+IF(INDEX('仕入先'!$D$5:$D$54,$R365)="末",0,IF(DAY($S365)&lt;=INDEX('仕入先'!$D$5:$D$54,$R365),0,1))+N(INDEX('仕入先'!$E$5:$E$54,$R365))),MIN(INDEX('仕入先'!$F$5:$F$54,$R365),DAY(DATE(YEAR($S365),(MONTH($S365)+IF(INDEX('仕入先'!$D$5:$D$54,$R365)="末",0,IF(DAY($S365)&lt;=INDEX('仕入先'!$D$5:$D$54,$R365),0,1))+N(INDEX('仕入先'!$E$5:$E$54,$R365)))+1,0)))))))</f>
        <v/>
      </c>
      <c r="I365" s="26" t="n"/>
      <c r="J365" s="29">
        <f>IF($B365="","",IF(ISNUMBER($I365),$I365,$H365))</f>
        <v/>
      </c>
      <c r="K365" s="26" t="n"/>
      <c r="L365" s="27" t="n"/>
      <c r="M365" s="27" t="n"/>
      <c r="N365" s="28">
        <f>IF($B365="","",N($G365)-N($L365)-N($M365))</f>
        <v/>
      </c>
      <c r="O365" s="30">
        <f>IF($B365="","",IF(AND(OR(N($L365)&lt;&gt;0,N($M365)&lt;&gt;0),NOT(ISNUMBER($K365))),"支払日なし",IF($N365=0,IF(N($G365)=0,"請求額0","支払済"),IF($N365&lt;0,"払いすぎ",IF(N($L365)+N($M365)=0,"未払","一部支払")))))</f>
        <v/>
      </c>
      <c r="P365" s="30">
        <f>IF(OR($B365="",N($N365)&lt;=0,NOT(ISNUMBER($J365))),"",IF($J365&lt;'設定'!$B$7,"期日超過 "&amp;('設定'!$B$7-$J365)&amp;"日",IF($J365='設定'!$B$7,"今日","あと "&amp;($J365-'設定'!$B$7)&amp;"日")))</f>
        <v/>
      </c>
      <c r="Q365" s="56" t="n"/>
      <c r="R365" s="32">
        <f>IF($B365="","",IFERROR(MATCH($B365,'仕入先'!$B$5:$B$54,0),"なし"))</f>
        <v/>
      </c>
      <c r="S365" s="33">
        <f>IF($B365="","",IF(ISNUMBER($D365),$D365,IF(ISNUMBER($A365),$A365,"")))</f>
        <v/>
      </c>
      <c r="T365" s="34">
        <f>IF(OR($B365="",N($N365)&lt;=0),"",IF(ISNUMBER($J365),$J365,99999)+ROW()/1000000)</f>
        <v/>
      </c>
      <c r="U365" s="35">
        <f>IF(OR($B365="",$B365&lt;&gt;'買掛帳'!$B$3,NOT(ISNUMBER($S365))),"",IF(AND($S365&gt;='買掛帳'!$Q$3,$S365&lt;='買掛帳'!$Q$4),$S365+ROW()/10000000,""))</f>
        <v/>
      </c>
      <c r="V365" s="35">
        <f>IF(OR($B365="",$B365&lt;&gt;'買掛帳'!$B$3,NOT(ISNUMBER($K365)),N($L365)+N($M365)=0),"",IF(AND($K365&gt;='買掛帳'!$Q$3,$K365&lt;='買掛帳'!$Q$4),$K365+0.5+ROW()/10000000,""))</f>
        <v/>
      </c>
    </row>
    <row r="366" ht="18" customHeight="1">
      <c r="A366" s="26" t="n"/>
      <c r="B366" s="18" t="n"/>
      <c r="C366" s="20">
        <f>IF($B366="","",IF($R366="なし","※仕入先にないコード",INDEX('仕入先'!$C$5:$C$54,$R366)&amp;""))</f>
        <v/>
      </c>
      <c r="D366" s="26" t="n"/>
      <c r="E366" s="18" t="n"/>
      <c r="F366" s="19" t="n"/>
      <c r="G366" s="27" t="n"/>
      <c r="H366" s="29">
        <f>IF(OR($B366="",NOT(ISNUMBER($R366)),NOT(ISNUMBER($S366))),"",IF(OR(INDEX('仕入先'!$D$5:$D$54,$R366)="",INDEX('仕入先'!$E$5:$E$54,$R366)="",INDEX('仕入先'!$F$5:$F$54,$R366)=""),"",IF(INDEX('仕入先'!$F$5:$F$54,$R366)="末",DATE(YEAR($S366),(MONTH($S366)+IF(INDEX('仕入先'!$D$5:$D$54,$R366)="末",0,IF(DAY($S366)&lt;=INDEX('仕入先'!$D$5:$D$54,$R366),0,1))+N(INDEX('仕入先'!$E$5:$E$54,$R366)))+1,0),DATE(YEAR($S366),(MONTH($S366)+IF(INDEX('仕入先'!$D$5:$D$54,$R366)="末",0,IF(DAY($S366)&lt;=INDEX('仕入先'!$D$5:$D$54,$R366),0,1))+N(INDEX('仕入先'!$E$5:$E$54,$R366))),MIN(INDEX('仕入先'!$F$5:$F$54,$R366),DAY(DATE(YEAR($S366),(MONTH($S366)+IF(INDEX('仕入先'!$D$5:$D$54,$R366)="末",0,IF(DAY($S366)&lt;=INDEX('仕入先'!$D$5:$D$54,$R366),0,1))+N(INDEX('仕入先'!$E$5:$E$54,$R366)))+1,0)))))))</f>
        <v/>
      </c>
      <c r="I366" s="26" t="n"/>
      <c r="J366" s="29">
        <f>IF($B366="","",IF(ISNUMBER($I366),$I366,$H366))</f>
        <v/>
      </c>
      <c r="K366" s="26" t="n"/>
      <c r="L366" s="27" t="n"/>
      <c r="M366" s="27" t="n"/>
      <c r="N366" s="28">
        <f>IF($B366="","",N($G366)-N($L366)-N($M366))</f>
        <v/>
      </c>
      <c r="O366" s="30">
        <f>IF($B366="","",IF(AND(OR(N($L366)&lt;&gt;0,N($M366)&lt;&gt;0),NOT(ISNUMBER($K366))),"支払日なし",IF($N366=0,IF(N($G366)=0,"請求額0","支払済"),IF($N366&lt;0,"払いすぎ",IF(N($L366)+N($M366)=0,"未払","一部支払")))))</f>
        <v/>
      </c>
      <c r="P366" s="30">
        <f>IF(OR($B366="",N($N366)&lt;=0,NOT(ISNUMBER($J366))),"",IF($J366&lt;'設定'!$B$7,"期日超過 "&amp;('設定'!$B$7-$J366)&amp;"日",IF($J366='設定'!$B$7,"今日","あと "&amp;($J366-'設定'!$B$7)&amp;"日")))</f>
        <v/>
      </c>
      <c r="Q366" s="56" t="n"/>
      <c r="R366" s="32">
        <f>IF($B366="","",IFERROR(MATCH($B366,'仕入先'!$B$5:$B$54,0),"なし"))</f>
        <v/>
      </c>
      <c r="S366" s="33">
        <f>IF($B366="","",IF(ISNUMBER($D366),$D366,IF(ISNUMBER($A366),$A366,"")))</f>
        <v/>
      </c>
      <c r="T366" s="34">
        <f>IF(OR($B366="",N($N366)&lt;=0),"",IF(ISNUMBER($J366),$J366,99999)+ROW()/1000000)</f>
        <v/>
      </c>
      <c r="U366" s="35">
        <f>IF(OR($B366="",$B366&lt;&gt;'買掛帳'!$B$3,NOT(ISNUMBER($S366))),"",IF(AND($S366&gt;='買掛帳'!$Q$3,$S366&lt;='買掛帳'!$Q$4),$S366+ROW()/10000000,""))</f>
        <v/>
      </c>
      <c r="V366" s="35">
        <f>IF(OR($B366="",$B366&lt;&gt;'買掛帳'!$B$3,NOT(ISNUMBER($K366)),N($L366)+N($M366)=0),"",IF(AND($K366&gt;='買掛帳'!$Q$3,$K366&lt;='買掛帳'!$Q$4),$K366+0.5+ROW()/10000000,""))</f>
        <v/>
      </c>
    </row>
    <row r="367" ht="18" customHeight="1">
      <c r="A367" s="26" t="n"/>
      <c r="B367" s="18" t="n"/>
      <c r="C367" s="20">
        <f>IF($B367="","",IF($R367="なし","※仕入先にないコード",INDEX('仕入先'!$C$5:$C$54,$R367)&amp;""))</f>
        <v/>
      </c>
      <c r="D367" s="26" t="n"/>
      <c r="E367" s="18" t="n"/>
      <c r="F367" s="19" t="n"/>
      <c r="G367" s="27" t="n"/>
      <c r="H367" s="29">
        <f>IF(OR($B367="",NOT(ISNUMBER($R367)),NOT(ISNUMBER($S367))),"",IF(OR(INDEX('仕入先'!$D$5:$D$54,$R367)="",INDEX('仕入先'!$E$5:$E$54,$R367)="",INDEX('仕入先'!$F$5:$F$54,$R367)=""),"",IF(INDEX('仕入先'!$F$5:$F$54,$R367)="末",DATE(YEAR($S367),(MONTH($S367)+IF(INDEX('仕入先'!$D$5:$D$54,$R367)="末",0,IF(DAY($S367)&lt;=INDEX('仕入先'!$D$5:$D$54,$R367),0,1))+N(INDEX('仕入先'!$E$5:$E$54,$R367)))+1,0),DATE(YEAR($S367),(MONTH($S367)+IF(INDEX('仕入先'!$D$5:$D$54,$R367)="末",0,IF(DAY($S367)&lt;=INDEX('仕入先'!$D$5:$D$54,$R367),0,1))+N(INDEX('仕入先'!$E$5:$E$54,$R367))),MIN(INDEX('仕入先'!$F$5:$F$54,$R367),DAY(DATE(YEAR($S367),(MONTH($S367)+IF(INDEX('仕入先'!$D$5:$D$54,$R367)="末",0,IF(DAY($S367)&lt;=INDEX('仕入先'!$D$5:$D$54,$R367),0,1))+N(INDEX('仕入先'!$E$5:$E$54,$R367)))+1,0)))))))</f>
        <v/>
      </c>
      <c r="I367" s="26" t="n"/>
      <c r="J367" s="29">
        <f>IF($B367="","",IF(ISNUMBER($I367),$I367,$H367))</f>
        <v/>
      </c>
      <c r="K367" s="26" t="n"/>
      <c r="L367" s="27" t="n"/>
      <c r="M367" s="27" t="n"/>
      <c r="N367" s="28">
        <f>IF($B367="","",N($G367)-N($L367)-N($M367))</f>
        <v/>
      </c>
      <c r="O367" s="30">
        <f>IF($B367="","",IF(AND(OR(N($L367)&lt;&gt;0,N($M367)&lt;&gt;0),NOT(ISNUMBER($K367))),"支払日なし",IF($N367=0,IF(N($G367)=0,"請求額0","支払済"),IF($N367&lt;0,"払いすぎ",IF(N($L367)+N($M367)=0,"未払","一部支払")))))</f>
        <v/>
      </c>
      <c r="P367" s="30">
        <f>IF(OR($B367="",N($N367)&lt;=0,NOT(ISNUMBER($J367))),"",IF($J367&lt;'設定'!$B$7,"期日超過 "&amp;('設定'!$B$7-$J367)&amp;"日",IF($J367='設定'!$B$7,"今日","あと "&amp;($J367-'設定'!$B$7)&amp;"日")))</f>
        <v/>
      </c>
      <c r="Q367" s="56" t="n"/>
      <c r="R367" s="32">
        <f>IF($B367="","",IFERROR(MATCH($B367,'仕入先'!$B$5:$B$54,0),"なし"))</f>
        <v/>
      </c>
      <c r="S367" s="33">
        <f>IF($B367="","",IF(ISNUMBER($D367),$D367,IF(ISNUMBER($A367),$A367,"")))</f>
        <v/>
      </c>
      <c r="T367" s="34">
        <f>IF(OR($B367="",N($N367)&lt;=0),"",IF(ISNUMBER($J367),$J367,99999)+ROW()/1000000)</f>
        <v/>
      </c>
      <c r="U367" s="35">
        <f>IF(OR($B367="",$B367&lt;&gt;'買掛帳'!$B$3,NOT(ISNUMBER($S367))),"",IF(AND($S367&gt;='買掛帳'!$Q$3,$S367&lt;='買掛帳'!$Q$4),$S367+ROW()/10000000,""))</f>
        <v/>
      </c>
      <c r="V367" s="35">
        <f>IF(OR($B367="",$B367&lt;&gt;'買掛帳'!$B$3,NOT(ISNUMBER($K367)),N($L367)+N($M367)=0),"",IF(AND($K367&gt;='買掛帳'!$Q$3,$K367&lt;='買掛帳'!$Q$4),$K367+0.5+ROW()/10000000,""))</f>
        <v/>
      </c>
    </row>
    <row r="368" ht="18" customHeight="1">
      <c r="A368" s="26" t="n"/>
      <c r="B368" s="18" t="n"/>
      <c r="C368" s="20">
        <f>IF($B368="","",IF($R368="なし","※仕入先にないコード",INDEX('仕入先'!$C$5:$C$54,$R368)&amp;""))</f>
        <v/>
      </c>
      <c r="D368" s="26" t="n"/>
      <c r="E368" s="18" t="n"/>
      <c r="F368" s="19" t="n"/>
      <c r="G368" s="27" t="n"/>
      <c r="H368" s="29">
        <f>IF(OR($B368="",NOT(ISNUMBER($R368)),NOT(ISNUMBER($S368))),"",IF(OR(INDEX('仕入先'!$D$5:$D$54,$R368)="",INDEX('仕入先'!$E$5:$E$54,$R368)="",INDEX('仕入先'!$F$5:$F$54,$R368)=""),"",IF(INDEX('仕入先'!$F$5:$F$54,$R368)="末",DATE(YEAR($S368),(MONTH($S368)+IF(INDEX('仕入先'!$D$5:$D$54,$R368)="末",0,IF(DAY($S368)&lt;=INDEX('仕入先'!$D$5:$D$54,$R368),0,1))+N(INDEX('仕入先'!$E$5:$E$54,$R368)))+1,0),DATE(YEAR($S368),(MONTH($S368)+IF(INDEX('仕入先'!$D$5:$D$54,$R368)="末",0,IF(DAY($S368)&lt;=INDEX('仕入先'!$D$5:$D$54,$R368),0,1))+N(INDEX('仕入先'!$E$5:$E$54,$R368))),MIN(INDEX('仕入先'!$F$5:$F$54,$R368),DAY(DATE(YEAR($S368),(MONTH($S368)+IF(INDEX('仕入先'!$D$5:$D$54,$R368)="末",0,IF(DAY($S368)&lt;=INDEX('仕入先'!$D$5:$D$54,$R368),0,1))+N(INDEX('仕入先'!$E$5:$E$54,$R368)))+1,0)))))))</f>
        <v/>
      </c>
      <c r="I368" s="26" t="n"/>
      <c r="J368" s="29">
        <f>IF($B368="","",IF(ISNUMBER($I368),$I368,$H368))</f>
        <v/>
      </c>
      <c r="K368" s="26" t="n"/>
      <c r="L368" s="27" t="n"/>
      <c r="M368" s="27" t="n"/>
      <c r="N368" s="28">
        <f>IF($B368="","",N($G368)-N($L368)-N($M368))</f>
        <v/>
      </c>
      <c r="O368" s="30">
        <f>IF($B368="","",IF(AND(OR(N($L368)&lt;&gt;0,N($M368)&lt;&gt;0),NOT(ISNUMBER($K368))),"支払日なし",IF($N368=0,IF(N($G368)=0,"請求額0","支払済"),IF($N368&lt;0,"払いすぎ",IF(N($L368)+N($M368)=0,"未払","一部支払")))))</f>
        <v/>
      </c>
      <c r="P368" s="30">
        <f>IF(OR($B368="",N($N368)&lt;=0,NOT(ISNUMBER($J368))),"",IF($J368&lt;'設定'!$B$7,"期日超過 "&amp;('設定'!$B$7-$J368)&amp;"日",IF($J368='設定'!$B$7,"今日","あと "&amp;($J368-'設定'!$B$7)&amp;"日")))</f>
        <v/>
      </c>
      <c r="Q368" s="56" t="n"/>
      <c r="R368" s="32">
        <f>IF($B368="","",IFERROR(MATCH($B368,'仕入先'!$B$5:$B$54,0),"なし"))</f>
        <v/>
      </c>
      <c r="S368" s="33">
        <f>IF($B368="","",IF(ISNUMBER($D368),$D368,IF(ISNUMBER($A368),$A368,"")))</f>
        <v/>
      </c>
      <c r="T368" s="34">
        <f>IF(OR($B368="",N($N368)&lt;=0),"",IF(ISNUMBER($J368),$J368,99999)+ROW()/1000000)</f>
        <v/>
      </c>
      <c r="U368" s="35">
        <f>IF(OR($B368="",$B368&lt;&gt;'買掛帳'!$B$3,NOT(ISNUMBER($S368))),"",IF(AND($S368&gt;='買掛帳'!$Q$3,$S368&lt;='買掛帳'!$Q$4),$S368+ROW()/10000000,""))</f>
        <v/>
      </c>
      <c r="V368" s="35">
        <f>IF(OR($B368="",$B368&lt;&gt;'買掛帳'!$B$3,NOT(ISNUMBER($K368)),N($L368)+N($M368)=0),"",IF(AND($K368&gt;='買掛帳'!$Q$3,$K368&lt;='買掛帳'!$Q$4),$K368+0.5+ROW()/10000000,""))</f>
        <v/>
      </c>
    </row>
    <row r="369" ht="18" customHeight="1">
      <c r="A369" s="26" t="n"/>
      <c r="B369" s="18" t="n"/>
      <c r="C369" s="20">
        <f>IF($B369="","",IF($R369="なし","※仕入先にないコード",INDEX('仕入先'!$C$5:$C$54,$R369)&amp;""))</f>
        <v/>
      </c>
      <c r="D369" s="26" t="n"/>
      <c r="E369" s="18" t="n"/>
      <c r="F369" s="19" t="n"/>
      <c r="G369" s="27" t="n"/>
      <c r="H369" s="29">
        <f>IF(OR($B369="",NOT(ISNUMBER($R369)),NOT(ISNUMBER($S369))),"",IF(OR(INDEX('仕入先'!$D$5:$D$54,$R369)="",INDEX('仕入先'!$E$5:$E$54,$R369)="",INDEX('仕入先'!$F$5:$F$54,$R369)=""),"",IF(INDEX('仕入先'!$F$5:$F$54,$R369)="末",DATE(YEAR($S369),(MONTH($S369)+IF(INDEX('仕入先'!$D$5:$D$54,$R369)="末",0,IF(DAY($S369)&lt;=INDEX('仕入先'!$D$5:$D$54,$R369),0,1))+N(INDEX('仕入先'!$E$5:$E$54,$R369)))+1,0),DATE(YEAR($S369),(MONTH($S369)+IF(INDEX('仕入先'!$D$5:$D$54,$R369)="末",0,IF(DAY($S369)&lt;=INDEX('仕入先'!$D$5:$D$54,$R369),0,1))+N(INDEX('仕入先'!$E$5:$E$54,$R369))),MIN(INDEX('仕入先'!$F$5:$F$54,$R369),DAY(DATE(YEAR($S369),(MONTH($S369)+IF(INDEX('仕入先'!$D$5:$D$54,$R369)="末",0,IF(DAY($S369)&lt;=INDEX('仕入先'!$D$5:$D$54,$R369),0,1))+N(INDEX('仕入先'!$E$5:$E$54,$R369)))+1,0)))))))</f>
        <v/>
      </c>
      <c r="I369" s="26" t="n"/>
      <c r="J369" s="29">
        <f>IF($B369="","",IF(ISNUMBER($I369),$I369,$H369))</f>
        <v/>
      </c>
      <c r="K369" s="26" t="n"/>
      <c r="L369" s="27" t="n"/>
      <c r="M369" s="27" t="n"/>
      <c r="N369" s="28">
        <f>IF($B369="","",N($G369)-N($L369)-N($M369))</f>
        <v/>
      </c>
      <c r="O369" s="30">
        <f>IF($B369="","",IF(AND(OR(N($L369)&lt;&gt;0,N($M369)&lt;&gt;0),NOT(ISNUMBER($K369))),"支払日なし",IF($N369=0,IF(N($G369)=0,"請求額0","支払済"),IF($N369&lt;0,"払いすぎ",IF(N($L369)+N($M369)=0,"未払","一部支払")))))</f>
        <v/>
      </c>
      <c r="P369" s="30">
        <f>IF(OR($B369="",N($N369)&lt;=0,NOT(ISNUMBER($J369))),"",IF($J369&lt;'設定'!$B$7,"期日超過 "&amp;('設定'!$B$7-$J369)&amp;"日",IF($J369='設定'!$B$7,"今日","あと "&amp;($J369-'設定'!$B$7)&amp;"日")))</f>
        <v/>
      </c>
      <c r="Q369" s="56" t="n"/>
      <c r="R369" s="32">
        <f>IF($B369="","",IFERROR(MATCH($B369,'仕入先'!$B$5:$B$54,0),"なし"))</f>
        <v/>
      </c>
      <c r="S369" s="33">
        <f>IF($B369="","",IF(ISNUMBER($D369),$D369,IF(ISNUMBER($A369),$A369,"")))</f>
        <v/>
      </c>
      <c r="T369" s="34">
        <f>IF(OR($B369="",N($N369)&lt;=0),"",IF(ISNUMBER($J369),$J369,99999)+ROW()/1000000)</f>
        <v/>
      </c>
      <c r="U369" s="35">
        <f>IF(OR($B369="",$B369&lt;&gt;'買掛帳'!$B$3,NOT(ISNUMBER($S369))),"",IF(AND($S369&gt;='買掛帳'!$Q$3,$S369&lt;='買掛帳'!$Q$4),$S369+ROW()/10000000,""))</f>
        <v/>
      </c>
      <c r="V369" s="35">
        <f>IF(OR($B369="",$B369&lt;&gt;'買掛帳'!$B$3,NOT(ISNUMBER($K369)),N($L369)+N($M369)=0),"",IF(AND($K369&gt;='買掛帳'!$Q$3,$K369&lt;='買掛帳'!$Q$4),$K369+0.5+ROW()/10000000,""))</f>
        <v/>
      </c>
    </row>
    <row r="370" ht="18" customHeight="1">
      <c r="A370" s="26" t="n"/>
      <c r="B370" s="18" t="n"/>
      <c r="C370" s="20">
        <f>IF($B370="","",IF($R370="なし","※仕入先にないコード",INDEX('仕入先'!$C$5:$C$54,$R370)&amp;""))</f>
        <v/>
      </c>
      <c r="D370" s="26" t="n"/>
      <c r="E370" s="18" t="n"/>
      <c r="F370" s="19" t="n"/>
      <c r="G370" s="27" t="n"/>
      <c r="H370" s="29">
        <f>IF(OR($B370="",NOT(ISNUMBER($R370)),NOT(ISNUMBER($S370))),"",IF(OR(INDEX('仕入先'!$D$5:$D$54,$R370)="",INDEX('仕入先'!$E$5:$E$54,$R370)="",INDEX('仕入先'!$F$5:$F$54,$R370)=""),"",IF(INDEX('仕入先'!$F$5:$F$54,$R370)="末",DATE(YEAR($S370),(MONTH($S370)+IF(INDEX('仕入先'!$D$5:$D$54,$R370)="末",0,IF(DAY($S370)&lt;=INDEX('仕入先'!$D$5:$D$54,$R370),0,1))+N(INDEX('仕入先'!$E$5:$E$54,$R370)))+1,0),DATE(YEAR($S370),(MONTH($S370)+IF(INDEX('仕入先'!$D$5:$D$54,$R370)="末",0,IF(DAY($S370)&lt;=INDEX('仕入先'!$D$5:$D$54,$R370),0,1))+N(INDEX('仕入先'!$E$5:$E$54,$R370))),MIN(INDEX('仕入先'!$F$5:$F$54,$R370),DAY(DATE(YEAR($S370),(MONTH($S370)+IF(INDEX('仕入先'!$D$5:$D$54,$R370)="末",0,IF(DAY($S370)&lt;=INDEX('仕入先'!$D$5:$D$54,$R370),0,1))+N(INDEX('仕入先'!$E$5:$E$54,$R370)))+1,0)))))))</f>
        <v/>
      </c>
      <c r="I370" s="26" t="n"/>
      <c r="J370" s="29">
        <f>IF($B370="","",IF(ISNUMBER($I370),$I370,$H370))</f>
        <v/>
      </c>
      <c r="K370" s="26" t="n"/>
      <c r="L370" s="27" t="n"/>
      <c r="M370" s="27" t="n"/>
      <c r="N370" s="28">
        <f>IF($B370="","",N($G370)-N($L370)-N($M370))</f>
        <v/>
      </c>
      <c r="O370" s="30">
        <f>IF($B370="","",IF(AND(OR(N($L370)&lt;&gt;0,N($M370)&lt;&gt;0),NOT(ISNUMBER($K370))),"支払日なし",IF($N370=0,IF(N($G370)=0,"請求額0","支払済"),IF($N370&lt;0,"払いすぎ",IF(N($L370)+N($M370)=0,"未払","一部支払")))))</f>
        <v/>
      </c>
      <c r="P370" s="30">
        <f>IF(OR($B370="",N($N370)&lt;=0,NOT(ISNUMBER($J370))),"",IF($J370&lt;'設定'!$B$7,"期日超過 "&amp;('設定'!$B$7-$J370)&amp;"日",IF($J370='設定'!$B$7,"今日","あと "&amp;($J370-'設定'!$B$7)&amp;"日")))</f>
        <v/>
      </c>
      <c r="Q370" s="56" t="n"/>
      <c r="R370" s="32">
        <f>IF($B370="","",IFERROR(MATCH($B370,'仕入先'!$B$5:$B$54,0),"なし"))</f>
        <v/>
      </c>
      <c r="S370" s="33">
        <f>IF($B370="","",IF(ISNUMBER($D370),$D370,IF(ISNUMBER($A370),$A370,"")))</f>
        <v/>
      </c>
      <c r="T370" s="34">
        <f>IF(OR($B370="",N($N370)&lt;=0),"",IF(ISNUMBER($J370),$J370,99999)+ROW()/1000000)</f>
        <v/>
      </c>
      <c r="U370" s="35">
        <f>IF(OR($B370="",$B370&lt;&gt;'買掛帳'!$B$3,NOT(ISNUMBER($S370))),"",IF(AND($S370&gt;='買掛帳'!$Q$3,$S370&lt;='買掛帳'!$Q$4),$S370+ROW()/10000000,""))</f>
        <v/>
      </c>
      <c r="V370" s="35">
        <f>IF(OR($B370="",$B370&lt;&gt;'買掛帳'!$B$3,NOT(ISNUMBER($K370)),N($L370)+N($M370)=0),"",IF(AND($K370&gt;='買掛帳'!$Q$3,$K370&lt;='買掛帳'!$Q$4),$K370+0.5+ROW()/10000000,""))</f>
        <v/>
      </c>
    </row>
    <row r="371" ht="18" customHeight="1">
      <c r="A371" s="26" t="n"/>
      <c r="B371" s="18" t="n"/>
      <c r="C371" s="20">
        <f>IF($B371="","",IF($R371="なし","※仕入先にないコード",INDEX('仕入先'!$C$5:$C$54,$R371)&amp;""))</f>
        <v/>
      </c>
      <c r="D371" s="26" t="n"/>
      <c r="E371" s="18" t="n"/>
      <c r="F371" s="19" t="n"/>
      <c r="G371" s="27" t="n"/>
      <c r="H371" s="29">
        <f>IF(OR($B371="",NOT(ISNUMBER($R371)),NOT(ISNUMBER($S371))),"",IF(OR(INDEX('仕入先'!$D$5:$D$54,$R371)="",INDEX('仕入先'!$E$5:$E$54,$R371)="",INDEX('仕入先'!$F$5:$F$54,$R371)=""),"",IF(INDEX('仕入先'!$F$5:$F$54,$R371)="末",DATE(YEAR($S371),(MONTH($S371)+IF(INDEX('仕入先'!$D$5:$D$54,$R371)="末",0,IF(DAY($S371)&lt;=INDEX('仕入先'!$D$5:$D$54,$R371),0,1))+N(INDEX('仕入先'!$E$5:$E$54,$R371)))+1,0),DATE(YEAR($S371),(MONTH($S371)+IF(INDEX('仕入先'!$D$5:$D$54,$R371)="末",0,IF(DAY($S371)&lt;=INDEX('仕入先'!$D$5:$D$54,$R371),0,1))+N(INDEX('仕入先'!$E$5:$E$54,$R371))),MIN(INDEX('仕入先'!$F$5:$F$54,$R371),DAY(DATE(YEAR($S371),(MONTH($S371)+IF(INDEX('仕入先'!$D$5:$D$54,$R371)="末",0,IF(DAY($S371)&lt;=INDEX('仕入先'!$D$5:$D$54,$R371),0,1))+N(INDEX('仕入先'!$E$5:$E$54,$R371)))+1,0)))))))</f>
        <v/>
      </c>
      <c r="I371" s="26" t="n"/>
      <c r="J371" s="29">
        <f>IF($B371="","",IF(ISNUMBER($I371),$I371,$H371))</f>
        <v/>
      </c>
      <c r="K371" s="26" t="n"/>
      <c r="L371" s="27" t="n"/>
      <c r="M371" s="27" t="n"/>
      <c r="N371" s="28">
        <f>IF($B371="","",N($G371)-N($L371)-N($M371))</f>
        <v/>
      </c>
      <c r="O371" s="30">
        <f>IF($B371="","",IF(AND(OR(N($L371)&lt;&gt;0,N($M371)&lt;&gt;0),NOT(ISNUMBER($K371))),"支払日なし",IF($N371=0,IF(N($G371)=0,"請求額0","支払済"),IF($N371&lt;0,"払いすぎ",IF(N($L371)+N($M371)=0,"未払","一部支払")))))</f>
        <v/>
      </c>
      <c r="P371" s="30">
        <f>IF(OR($B371="",N($N371)&lt;=0,NOT(ISNUMBER($J371))),"",IF($J371&lt;'設定'!$B$7,"期日超過 "&amp;('設定'!$B$7-$J371)&amp;"日",IF($J371='設定'!$B$7,"今日","あと "&amp;($J371-'設定'!$B$7)&amp;"日")))</f>
        <v/>
      </c>
      <c r="Q371" s="56" t="n"/>
      <c r="R371" s="32">
        <f>IF($B371="","",IFERROR(MATCH($B371,'仕入先'!$B$5:$B$54,0),"なし"))</f>
        <v/>
      </c>
      <c r="S371" s="33">
        <f>IF($B371="","",IF(ISNUMBER($D371),$D371,IF(ISNUMBER($A371),$A371,"")))</f>
        <v/>
      </c>
      <c r="T371" s="34">
        <f>IF(OR($B371="",N($N371)&lt;=0),"",IF(ISNUMBER($J371),$J371,99999)+ROW()/1000000)</f>
        <v/>
      </c>
      <c r="U371" s="35">
        <f>IF(OR($B371="",$B371&lt;&gt;'買掛帳'!$B$3,NOT(ISNUMBER($S371))),"",IF(AND($S371&gt;='買掛帳'!$Q$3,$S371&lt;='買掛帳'!$Q$4),$S371+ROW()/10000000,""))</f>
        <v/>
      </c>
      <c r="V371" s="35">
        <f>IF(OR($B371="",$B371&lt;&gt;'買掛帳'!$B$3,NOT(ISNUMBER($K371)),N($L371)+N($M371)=0),"",IF(AND($K371&gt;='買掛帳'!$Q$3,$K371&lt;='買掛帳'!$Q$4),$K371+0.5+ROW()/10000000,""))</f>
        <v/>
      </c>
    </row>
    <row r="372" ht="18" customHeight="1">
      <c r="A372" s="26" t="n"/>
      <c r="B372" s="18" t="n"/>
      <c r="C372" s="20">
        <f>IF($B372="","",IF($R372="なし","※仕入先にないコード",INDEX('仕入先'!$C$5:$C$54,$R372)&amp;""))</f>
        <v/>
      </c>
      <c r="D372" s="26" t="n"/>
      <c r="E372" s="18" t="n"/>
      <c r="F372" s="19" t="n"/>
      <c r="G372" s="27" t="n"/>
      <c r="H372" s="29">
        <f>IF(OR($B372="",NOT(ISNUMBER($R372)),NOT(ISNUMBER($S372))),"",IF(OR(INDEX('仕入先'!$D$5:$D$54,$R372)="",INDEX('仕入先'!$E$5:$E$54,$R372)="",INDEX('仕入先'!$F$5:$F$54,$R372)=""),"",IF(INDEX('仕入先'!$F$5:$F$54,$R372)="末",DATE(YEAR($S372),(MONTH($S372)+IF(INDEX('仕入先'!$D$5:$D$54,$R372)="末",0,IF(DAY($S372)&lt;=INDEX('仕入先'!$D$5:$D$54,$R372),0,1))+N(INDEX('仕入先'!$E$5:$E$54,$R372)))+1,0),DATE(YEAR($S372),(MONTH($S372)+IF(INDEX('仕入先'!$D$5:$D$54,$R372)="末",0,IF(DAY($S372)&lt;=INDEX('仕入先'!$D$5:$D$54,$R372),0,1))+N(INDEX('仕入先'!$E$5:$E$54,$R372))),MIN(INDEX('仕入先'!$F$5:$F$54,$R372),DAY(DATE(YEAR($S372),(MONTH($S372)+IF(INDEX('仕入先'!$D$5:$D$54,$R372)="末",0,IF(DAY($S372)&lt;=INDEX('仕入先'!$D$5:$D$54,$R372),0,1))+N(INDEX('仕入先'!$E$5:$E$54,$R372)))+1,0)))))))</f>
        <v/>
      </c>
      <c r="I372" s="26" t="n"/>
      <c r="J372" s="29">
        <f>IF($B372="","",IF(ISNUMBER($I372),$I372,$H372))</f>
        <v/>
      </c>
      <c r="K372" s="26" t="n"/>
      <c r="L372" s="27" t="n"/>
      <c r="M372" s="27" t="n"/>
      <c r="N372" s="28">
        <f>IF($B372="","",N($G372)-N($L372)-N($M372))</f>
        <v/>
      </c>
      <c r="O372" s="30">
        <f>IF($B372="","",IF(AND(OR(N($L372)&lt;&gt;0,N($M372)&lt;&gt;0),NOT(ISNUMBER($K372))),"支払日なし",IF($N372=0,IF(N($G372)=0,"請求額0","支払済"),IF($N372&lt;0,"払いすぎ",IF(N($L372)+N($M372)=0,"未払","一部支払")))))</f>
        <v/>
      </c>
      <c r="P372" s="30">
        <f>IF(OR($B372="",N($N372)&lt;=0,NOT(ISNUMBER($J372))),"",IF($J372&lt;'設定'!$B$7,"期日超過 "&amp;('設定'!$B$7-$J372)&amp;"日",IF($J372='設定'!$B$7,"今日","あと "&amp;($J372-'設定'!$B$7)&amp;"日")))</f>
        <v/>
      </c>
      <c r="Q372" s="56" t="n"/>
      <c r="R372" s="32">
        <f>IF($B372="","",IFERROR(MATCH($B372,'仕入先'!$B$5:$B$54,0),"なし"))</f>
        <v/>
      </c>
      <c r="S372" s="33">
        <f>IF($B372="","",IF(ISNUMBER($D372),$D372,IF(ISNUMBER($A372),$A372,"")))</f>
        <v/>
      </c>
      <c r="T372" s="34">
        <f>IF(OR($B372="",N($N372)&lt;=0),"",IF(ISNUMBER($J372),$J372,99999)+ROW()/1000000)</f>
        <v/>
      </c>
      <c r="U372" s="35">
        <f>IF(OR($B372="",$B372&lt;&gt;'買掛帳'!$B$3,NOT(ISNUMBER($S372))),"",IF(AND($S372&gt;='買掛帳'!$Q$3,$S372&lt;='買掛帳'!$Q$4),$S372+ROW()/10000000,""))</f>
        <v/>
      </c>
      <c r="V372" s="35">
        <f>IF(OR($B372="",$B372&lt;&gt;'買掛帳'!$B$3,NOT(ISNUMBER($K372)),N($L372)+N($M372)=0),"",IF(AND($K372&gt;='買掛帳'!$Q$3,$K372&lt;='買掛帳'!$Q$4),$K372+0.5+ROW()/10000000,""))</f>
        <v/>
      </c>
    </row>
    <row r="373" ht="18" customHeight="1">
      <c r="A373" s="26" t="n"/>
      <c r="B373" s="18" t="n"/>
      <c r="C373" s="20">
        <f>IF($B373="","",IF($R373="なし","※仕入先にないコード",INDEX('仕入先'!$C$5:$C$54,$R373)&amp;""))</f>
        <v/>
      </c>
      <c r="D373" s="26" t="n"/>
      <c r="E373" s="18" t="n"/>
      <c r="F373" s="19" t="n"/>
      <c r="G373" s="27" t="n"/>
      <c r="H373" s="29">
        <f>IF(OR($B373="",NOT(ISNUMBER($R373)),NOT(ISNUMBER($S373))),"",IF(OR(INDEX('仕入先'!$D$5:$D$54,$R373)="",INDEX('仕入先'!$E$5:$E$54,$R373)="",INDEX('仕入先'!$F$5:$F$54,$R373)=""),"",IF(INDEX('仕入先'!$F$5:$F$54,$R373)="末",DATE(YEAR($S373),(MONTH($S373)+IF(INDEX('仕入先'!$D$5:$D$54,$R373)="末",0,IF(DAY($S373)&lt;=INDEX('仕入先'!$D$5:$D$54,$R373),0,1))+N(INDEX('仕入先'!$E$5:$E$54,$R373)))+1,0),DATE(YEAR($S373),(MONTH($S373)+IF(INDEX('仕入先'!$D$5:$D$54,$R373)="末",0,IF(DAY($S373)&lt;=INDEX('仕入先'!$D$5:$D$54,$R373),0,1))+N(INDEX('仕入先'!$E$5:$E$54,$R373))),MIN(INDEX('仕入先'!$F$5:$F$54,$R373),DAY(DATE(YEAR($S373),(MONTH($S373)+IF(INDEX('仕入先'!$D$5:$D$54,$R373)="末",0,IF(DAY($S373)&lt;=INDEX('仕入先'!$D$5:$D$54,$R373),0,1))+N(INDEX('仕入先'!$E$5:$E$54,$R373)))+1,0)))))))</f>
        <v/>
      </c>
      <c r="I373" s="26" t="n"/>
      <c r="J373" s="29">
        <f>IF($B373="","",IF(ISNUMBER($I373),$I373,$H373))</f>
        <v/>
      </c>
      <c r="K373" s="26" t="n"/>
      <c r="L373" s="27" t="n"/>
      <c r="M373" s="27" t="n"/>
      <c r="N373" s="28">
        <f>IF($B373="","",N($G373)-N($L373)-N($M373))</f>
        <v/>
      </c>
      <c r="O373" s="30">
        <f>IF($B373="","",IF(AND(OR(N($L373)&lt;&gt;0,N($M373)&lt;&gt;0),NOT(ISNUMBER($K373))),"支払日なし",IF($N373=0,IF(N($G373)=0,"請求額0","支払済"),IF($N373&lt;0,"払いすぎ",IF(N($L373)+N($M373)=0,"未払","一部支払")))))</f>
        <v/>
      </c>
      <c r="P373" s="30">
        <f>IF(OR($B373="",N($N373)&lt;=0,NOT(ISNUMBER($J373))),"",IF($J373&lt;'設定'!$B$7,"期日超過 "&amp;('設定'!$B$7-$J373)&amp;"日",IF($J373='設定'!$B$7,"今日","あと "&amp;($J373-'設定'!$B$7)&amp;"日")))</f>
        <v/>
      </c>
      <c r="Q373" s="56" t="n"/>
      <c r="R373" s="32">
        <f>IF($B373="","",IFERROR(MATCH($B373,'仕入先'!$B$5:$B$54,0),"なし"))</f>
        <v/>
      </c>
      <c r="S373" s="33">
        <f>IF($B373="","",IF(ISNUMBER($D373),$D373,IF(ISNUMBER($A373),$A373,"")))</f>
        <v/>
      </c>
      <c r="T373" s="34">
        <f>IF(OR($B373="",N($N373)&lt;=0),"",IF(ISNUMBER($J373),$J373,99999)+ROW()/1000000)</f>
        <v/>
      </c>
      <c r="U373" s="35">
        <f>IF(OR($B373="",$B373&lt;&gt;'買掛帳'!$B$3,NOT(ISNUMBER($S373))),"",IF(AND($S373&gt;='買掛帳'!$Q$3,$S373&lt;='買掛帳'!$Q$4),$S373+ROW()/10000000,""))</f>
        <v/>
      </c>
      <c r="V373" s="35">
        <f>IF(OR($B373="",$B373&lt;&gt;'買掛帳'!$B$3,NOT(ISNUMBER($K373)),N($L373)+N($M373)=0),"",IF(AND($K373&gt;='買掛帳'!$Q$3,$K373&lt;='買掛帳'!$Q$4),$K373+0.5+ROW()/10000000,""))</f>
        <v/>
      </c>
    </row>
    <row r="374" ht="18" customHeight="1">
      <c r="A374" s="26" t="n"/>
      <c r="B374" s="18" t="n"/>
      <c r="C374" s="20">
        <f>IF($B374="","",IF($R374="なし","※仕入先にないコード",INDEX('仕入先'!$C$5:$C$54,$R374)&amp;""))</f>
        <v/>
      </c>
      <c r="D374" s="26" t="n"/>
      <c r="E374" s="18" t="n"/>
      <c r="F374" s="19" t="n"/>
      <c r="G374" s="27" t="n"/>
      <c r="H374" s="29">
        <f>IF(OR($B374="",NOT(ISNUMBER($R374)),NOT(ISNUMBER($S374))),"",IF(OR(INDEX('仕入先'!$D$5:$D$54,$R374)="",INDEX('仕入先'!$E$5:$E$54,$R374)="",INDEX('仕入先'!$F$5:$F$54,$R374)=""),"",IF(INDEX('仕入先'!$F$5:$F$54,$R374)="末",DATE(YEAR($S374),(MONTH($S374)+IF(INDEX('仕入先'!$D$5:$D$54,$R374)="末",0,IF(DAY($S374)&lt;=INDEX('仕入先'!$D$5:$D$54,$R374),0,1))+N(INDEX('仕入先'!$E$5:$E$54,$R374)))+1,0),DATE(YEAR($S374),(MONTH($S374)+IF(INDEX('仕入先'!$D$5:$D$54,$R374)="末",0,IF(DAY($S374)&lt;=INDEX('仕入先'!$D$5:$D$54,$R374),0,1))+N(INDEX('仕入先'!$E$5:$E$54,$R374))),MIN(INDEX('仕入先'!$F$5:$F$54,$R374),DAY(DATE(YEAR($S374),(MONTH($S374)+IF(INDEX('仕入先'!$D$5:$D$54,$R374)="末",0,IF(DAY($S374)&lt;=INDEX('仕入先'!$D$5:$D$54,$R374),0,1))+N(INDEX('仕入先'!$E$5:$E$54,$R374)))+1,0)))))))</f>
        <v/>
      </c>
      <c r="I374" s="26" t="n"/>
      <c r="J374" s="29">
        <f>IF($B374="","",IF(ISNUMBER($I374),$I374,$H374))</f>
        <v/>
      </c>
      <c r="K374" s="26" t="n"/>
      <c r="L374" s="27" t="n"/>
      <c r="M374" s="27" t="n"/>
      <c r="N374" s="28">
        <f>IF($B374="","",N($G374)-N($L374)-N($M374))</f>
        <v/>
      </c>
      <c r="O374" s="30">
        <f>IF($B374="","",IF(AND(OR(N($L374)&lt;&gt;0,N($M374)&lt;&gt;0),NOT(ISNUMBER($K374))),"支払日なし",IF($N374=0,IF(N($G374)=0,"請求額0","支払済"),IF($N374&lt;0,"払いすぎ",IF(N($L374)+N($M374)=0,"未払","一部支払")))))</f>
        <v/>
      </c>
      <c r="P374" s="30">
        <f>IF(OR($B374="",N($N374)&lt;=0,NOT(ISNUMBER($J374))),"",IF($J374&lt;'設定'!$B$7,"期日超過 "&amp;('設定'!$B$7-$J374)&amp;"日",IF($J374='設定'!$B$7,"今日","あと "&amp;($J374-'設定'!$B$7)&amp;"日")))</f>
        <v/>
      </c>
      <c r="Q374" s="56" t="n"/>
      <c r="R374" s="32">
        <f>IF($B374="","",IFERROR(MATCH($B374,'仕入先'!$B$5:$B$54,0),"なし"))</f>
        <v/>
      </c>
      <c r="S374" s="33">
        <f>IF($B374="","",IF(ISNUMBER($D374),$D374,IF(ISNUMBER($A374),$A374,"")))</f>
        <v/>
      </c>
      <c r="T374" s="34">
        <f>IF(OR($B374="",N($N374)&lt;=0),"",IF(ISNUMBER($J374),$J374,99999)+ROW()/1000000)</f>
        <v/>
      </c>
      <c r="U374" s="35">
        <f>IF(OR($B374="",$B374&lt;&gt;'買掛帳'!$B$3,NOT(ISNUMBER($S374))),"",IF(AND($S374&gt;='買掛帳'!$Q$3,$S374&lt;='買掛帳'!$Q$4),$S374+ROW()/10000000,""))</f>
        <v/>
      </c>
      <c r="V374" s="35">
        <f>IF(OR($B374="",$B374&lt;&gt;'買掛帳'!$B$3,NOT(ISNUMBER($K374)),N($L374)+N($M374)=0),"",IF(AND($K374&gt;='買掛帳'!$Q$3,$K374&lt;='買掛帳'!$Q$4),$K374+0.5+ROW()/10000000,""))</f>
        <v/>
      </c>
    </row>
    <row r="375" ht="18" customHeight="1">
      <c r="A375" s="26" t="n"/>
      <c r="B375" s="18" t="n"/>
      <c r="C375" s="20">
        <f>IF($B375="","",IF($R375="なし","※仕入先にないコード",INDEX('仕入先'!$C$5:$C$54,$R375)&amp;""))</f>
        <v/>
      </c>
      <c r="D375" s="26" t="n"/>
      <c r="E375" s="18" t="n"/>
      <c r="F375" s="19" t="n"/>
      <c r="G375" s="27" t="n"/>
      <c r="H375" s="29">
        <f>IF(OR($B375="",NOT(ISNUMBER($R375)),NOT(ISNUMBER($S375))),"",IF(OR(INDEX('仕入先'!$D$5:$D$54,$R375)="",INDEX('仕入先'!$E$5:$E$54,$R375)="",INDEX('仕入先'!$F$5:$F$54,$R375)=""),"",IF(INDEX('仕入先'!$F$5:$F$54,$R375)="末",DATE(YEAR($S375),(MONTH($S375)+IF(INDEX('仕入先'!$D$5:$D$54,$R375)="末",0,IF(DAY($S375)&lt;=INDEX('仕入先'!$D$5:$D$54,$R375),0,1))+N(INDEX('仕入先'!$E$5:$E$54,$R375)))+1,0),DATE(YEAR($S375),(MONTH($S375)+IF(INDEX('仕入先'!$D$5:$D$54,$R375)="末",0,IF(DAY($S375)&lt;=INDEX('仕入先'!$D$5:$D$54,$R375),0,1))+N(INDEX('仕入先'!$E$5:$E$54,$R375))),MIN(INDEX('仕入先'!$F$5:$F$54,$R375),DAY(DATE(YEAR($S375),(MONTH($S375)+IF(INDEX('仕入先'!$D$5:$D$54,$R375)="末",0,IF(DAY($S375)&lt;=INDEX('仕入先'!$D$5:$D$54,$R375),0,1))+N(INDEX('仕入先'!$E$5:$E$54,$R375)))+1,0)))))))</f>
        <v/>
      </c>
      <c r="I375" s="26" t="n"/>
      <c r="J375" s="29">
        <f>IF($B375="","",IF(ISNUMBER($I375),$I375,$H375))</f>
        <v/>
      </c>
      <c r="K375" s="26" t="n"/>
      <c r="L375" s="27" t="n"/>
      <c r="M375" s="27" t="n"/>
      <c r="N375" s="28">
        <f>IF($B375="","",N($G375)-N($L375)-N($M375))</f>
        <v/>
      </c>
      <c r="O375" s="30">
        <f>IF($B375="","",IF(AND(OR(N($L375)&lt;&gt;0,N($M375)&lt;&gt;0),NOT(ISNUMBER($K375))),"支払日なし",IF($N375=0,IF(N($G375)=0,"請求額0","支払済"),IF($N375&lt;0,"払いすぎ",IF(N($L375)+N($M375)=0,"未払","一部支払")))))</f>
        <v/>
      </c>
      <c r="P375" s="30">
        <f>IF(OR($B375="",N($N375)&lt;=0,NOT(ISNUMBER($J375))),"",IF($J375&lt;'設定'!$B$7,"期日超過 "&amp;('設定'!$B$7-$J375)&amp;"日",IF($J375='設定'!$B$7,"今日","あと "&amp;($J375-'設定'!$B$7)&amp;"日")))</f>
        <v/>
      </c>
      <c r="Q375" s="56" t="n"/>
      <c r="R375" s="32">
        <f>IF($B375="","",IFERROR(MATCH($B375,'仕入先'!$B$5:$B$54,0),"なし"))</f>
        <v/>
      </c>
      <c r="S375" s="33">
        <f>IF($B375="","",IF(ISNUMBER($D375),$D375,IF(ISNUMBER($A375),$A375,"")))</f>
        <v/>
      </c>
      <c r="T375" s="34">
        <f>IF(OR($B375="",N($N375)&lt;=0),"",IF(ISNUMBER($J375),$J375,99999)+ROW()/1000000)</f>
        <v/>
      </c>
      <c r="U375" s="35">
        <f>IF(OR($B375="",$B375&lt;&gt;'買掛帳'!$B$3,NOT(ISNUMBER($S375))),"",IF(AND($S375&gt;='買掛帳'!$Q$3,$S375&lt;='買掛帳'!$Q$4),$S375+ROW()/10000000,""))</f>
        <v/>
      </c>
      <c r="V375" s="35">
        <f>IF(OR($B375="",$B375&lt;&gt;'買掛帳'!$B$3,NOT(ISNUMBER($K375)),N($L375)+N($M375)=0),"",IF(AND($K375&gt;='買掛帳'!$Q$3,$K375&lt;='買掛帳'!$Q$4),$K375+0.5+ROW()/10000000,""))</f>
        <v/>
      </c>
    </row>
    <row r="376" ht="18" customHeight="1">
      <c r="A376" s="26" t="n"/>
      <c r="B376" s="18" t="n"/>
      <c r="C376" s="20">
        <f>IF($B376="","",IF($R376="なし","※仕入先にないコード",INDEX('仕入先'!$C$5:$C$54,$R376)&amp;""))</f>
        <v/>
      </c>
      <c r="D376" s="26" t="n"/>
      <c r="E376" s="18" t="n"/>
      <c r="F376" s="19" t="n"/>
      <c r="G376" s="27" t="n"/>
      <c r="H376" s="29">
        <f>IF(OR($B376="",NOT(ISNUMBER($R376)),NOT(ISNUMBER($S376))),"",IF(OR(INDEX('仕入先'!$D$5:$D$54,$R376)="",INDEX('仕入先'!$E$5:$E$54,$R376)="",INDEX('仕入先'!$F$5:$F$54,$R376)=""),"",IF(INDEX('仕入先'!$F$5:$F$54,$R376)="末",DATE(YEAR($S376),(MONTH($S376)+IF(INDEX('仕入先'!$D$5:$D$54,$R376)="末",0,IF(DAY($S376)&lt;=INDEX('仕入先'!$D$5:$D$54,$R376),0,1))+N(INDEX('仕入先'!$E$5:$E$54,$R376)))+1,0),DATE(YEAR($S376),(MONTH($S376)+IF(INDEX('仕入先'!$D$5:$D$54,$R376)="末",0,IF(DAY($S376)&lt;=INDEX('仕入先'!$D$5:$D$54,$R376),0,1))+N(INDEX('仕入先'!$E$5:$E$54,$R376))),MIN(INDEX('仕入先'!$F$5:$F$54,$R376),DAY(DATE(YEAR($S376),(MONTH($S376)+IF(INDEX('仕入先'!$D$5:$D$54,$R376)="末",0,IF(DAY($S376)&lt;=INDEX('仕入先'!$D$5:$D$54,$R376),0,1))+N(INDEX('仕入先'!$E$5:$E$54,$R376)))+1,0)))))))</f>
        <v/>
      </c>
      <c r="I376" s="26" t="n"/>
      <c r="J376" s="29">
        <f>IF($B376="","",IF(ISNUMBER($I376),$I376,$H376))</f>
        <v/>
      </c>
      <c r="K376" s="26" t="n"/>
      <c r="L376" s="27" t="n"/>
      <c r="M376" s="27" t="n"/>
      <c r="N376" s="28">
        <f>IF($B376="","",N($G376)-N($L376)-N($M376))</f>
        <v/>
      </c>
      <c r="O376" s="30">
        <f>IF($B376="","",IF(AND(OR(N($L376)&lt;&gt;0,N($M376)&lt;&gt;0),NOT(ISNUMBER($K376))),"支払日なし",IF($N376=0,IF(N($G376)=0,"請求額0","支払済"),IF($N376&lt;0,"払いすぎ",IF(N($L376)+N($M376)=0,"未払","一部支払")))))</f>
        <v/>
      </c>
      <c r="P376" s="30">
        <f>IF(OR($B376="",N($N376)&lt;=0,NOT(ISNUMBER($J376))),"",IF($J376&lt;'設定'!$B$7,"期日超過 "&amp;('設定'!$B$7-$J376)&amp;"日",IF($J376='設定'!$B$7,"今日","あと "&amp;($J376-'設定'!$B$7)&amp;"日")))</f>
        <v/>
      </c>
      <c r="Q376" s="56" t="n"/>
      <c r="R376" s="32">
        <f>IF($B376="","",IFERROR(MATCH($B376,'仕入先'!$B$5:$B$54,0),"なし"))</f>
        <v/>
      </c>
      <c r="S376" s="33">
        <f>IF($B376="","",IF(ISNUMBER($D376),$D376,IF(ISNUMBER($A376),$A376,"")))</f>
        <v/>
      </c>
      <c r="T376" s="34">
        <f>IF(OR($B376="",N($N376)&lt;=0),"",IF(ISNUMBER($J376),$J376,99999)+ROW()/1000000)</f>
        <v/>
      </c>
      <c r="U376" s="35">
        <f>IF(OR($B376="",$B376&lt;&gt;'買掛帳'!$B$3,NOT(ISNUMBER($S376))),"",IF(AND($S376&gt;='買掛帳'!$Q$3,$S376&lt;='買掛帳'!$Q$4),$S376+ROW()/10000000,""))</f>
        <v/>
      </c>
      <c r="V376" s="35">
        <f>IF(OR($B376="",$B376&lt;&gt;'買掛帳'!$B$3,NOT(ISNUMBER($K376)),N($L376)+N($M376)=0),"",IF(AND($K376&gt;='買掛帳'!$Q$3,$K376&lt;='買掛帳'!$Q$4),$K376+0.5+ROW()/10000000,""))</f>
        <v/>
      </c>
    </row>
    <row r="377" ht="18" customHeight="1">
      <c r="A377" s="26" t="n"/>
      <c r="B377" s="18" t="n"/>
      <c r="C377" s="20">
        <f>IF($B377="","",IF($R377="なし","※仕入先にないコード",INDEX('仕入先'!$C$5:$C$54,$R377)&amp;""))</f>
        <v/>
      </c>
      <c r="D377" s="26" t="n"/>
      <c r="E377" s="18" t="n"/>
      <c r="F377" s="19" t="n"/>
      <c r="G377" s="27" t="n"/>
      <c r="H377" s="29">
        <f>IF(OR($B377="",NOT(ISNUMBER($R377)),NOT(ISNUMBER($S377))),"",IF(OR(INDEX('仕入先'!$D$5:$D$54,$R377)="",INDEX('仕入先'!$E$5:$E$54,$R377)="",INDEX('仕入先'!$F$5:$F$54,$R377)=""),"",IF(INDEX('仕入先'!$F$5:$F$54,$R377)="末",DATE(YEAR($S377),(MONTH($S377)+IF(INDEX('仕入先'!$D$5:$D$54,$R377)="末",0,IF(DAY($S377)&lt;=INDEX('仕入先'!$D$5:$D$54,$R377),0,1))+N(INDEX('仕入先'!$E$5:$E$54,$R377)))+1,0),DATE(YEAR($S377),(MONTH($S377)+IF(INDEX('仕入先'!$D$5:$D$54,$R377)="末",0,IF(DAY($S377)&lt;=INDEX('仕入先'!$D$5:$D$54,$R377),0,1))+N(INDEX('仕入先'!$E$5:$E$54,$R377))),MIN(INDEX('仕入先'!$F$5:$F$54,$R377),DAY(DATE(YEAR($S377),(MONTH($S377)+IF(INDEX('仕入先'!$D$5:$D$54,$R377)="末",0,IF(DAY($S377)&lt;=INDEX('仕入先'!$D$5:$D$54,$R377),0,1))+N(INDEX('仕入先'!$E$5:$E$54,$R377)))+1,0)))))))</f>
        <v/>
      </c>
      <c r="I377" s="26" t="n"/>
      <c r="J377" s="29">
        <f>IF($B377="","",IF(ISNUMBER($I377),$I377,$H377))</f>
        <v/>
      </c>
      <c r="K377" s="26" t="n"/>
      <c r="L377" s="27" t="n"/>
      <c r="M377" s="27" t="n"/>
      <c r="N377" s="28">
        <f>IF($B377="","",N($G377)-N($L377)-N($M377))</f>
        <v/>
      </c>
      <c r="O377" s="30">
        <f>IF($B377="","",IF(AND(OR(N($L377)&lt;&gt;0,N($M377)&lt;&gt;0),NOT(ISNUMBER($K377))),"支払日なし",IF($N377=0,IF(N($G377)=0,"請求額0","支払済"),IF($N377&lt;0,"払いすぎ",IF(N($L377)+N($M377)=0,"未払","一部支払")))))</f>
        <v/>
      </c>
      <c r="P377" s="30">
        <f>IF(OR($B377="",N($N377)&lt;=0,NOT(ISNUMBER($J377))),"",IF($J377&lt;'設定'!$B$7,"期日超過 "&amp;('設定'!$B$7-$J377)&amp;"日",IF($J377='設定'!$B$7,"今日","あと "&amp;($J377-'設定'!$B$7)&amp;"日")))</f>
        <v/>
      </c>
      <c r="Q377" s="56" t="n"/>
      <c r="R377" s="32">
        <f>IF($B377="","",IFERROR(MATCH($B377,'仕入先'!$B$5:$B$54,0),"なし"))</f>
        <v/>
      </c>
      <c r="S377" s="33">
        <f>IF($B377="","",IF(ISNUMBER($D377),$D377,IF(ISNUMBER($A377),$A377,"")))</f>
        <v/>
      </c>
      <c r="T377" s="34">
        <f>IF(OR($B377="",N($N377)&lt;=0),"",IF(ISNUMBER($J377),$J377,99999)+ROW()/1000000)</f>
        <v/>
      </c>
      <c r="U377" s="35">
        <f>IF(OR($B377="",$B377&lt;&gt;'買掛帳'!$B$3,NOT(ISNUMBER($S377))),"",IF(AND($S377&gt;='買掛帳'!$Q$3,$S377&lt;='買掛帳'!$Q$4),$S377+ROW()/10000000,""))</f>
        <v/>
      </c>
      <c r="V377" s="35">
        <f>IF(OR($B377="",$B377&lt;&gt;'買掛帳'!$B$3,NOT(ISNUMBER($K377)),N($L377)+N($M377)=0),"",IF(AND($K377&gt;='買掛帳'!$Q$3,$K377&lt;='買掛帳'!$Q$4),$K377+0.5+ROW()/10000000,""))</f>
        <v/>
      </c>
    </row>
    <row r="378" ht="18" customHeight="1">
      <c r="A378" s="26" t="n"/>
      <c r="B378" s="18" t="n"/>
      <c r="C378" s="20">
        <f>IF($B378="","",IF($R378="なし","※仕入先にないコード",INDEX('仕入先'!$C$5:$C$54,$R378)&amp;""))</f>
        <v/>
      </c>
      <c r="D378" s="26" t="n"/>
      <c r="E378" s="18" t="n"/>
      <c r="F378" s="19" t="n"/>
      <c r="G378" s="27" t="n"/>
      <c r="H378" s="29">
        <f>IF(OR($B378="",NOT(ISNUMBER($R378)),NOT(ISNUMBER($S378))),"",IF(OR(INDEX('仕入先'!$D$5:$D$54,$R378)="",INDEX('仕入先'!$E$5:$E$54,$R378)="",INDEX('仕入先'!$F$5:$F$54,$R378)=""),"",IF(INDEX('仕入先'!$F$5:$F$54,$R378)="末",DATE(YEAR($S378),(MONTH($S378)+IF(INDEX('仕入先'!$D$5:$D$54,$R378)="末",0,IF(DAY($S378)&lt;=INDEX('仕入先'!$D$5:$D$54,$R378),0,1))+N(INDEX('仕入先'!$E$5:$E$54,$R378)))+1,0),DATE(YEAR($S378),(MONTH($S378)+IF(INDEX('仕入先'!$D$5:$D$54,$R378)="末",0,IF(DAY($S378)&lt;=INDEX('仕入先'!$D$5:$D$54,$R378),0,1))+N(INDEX('仕入先'!$E$5:$E$54,$R378))),MIN(INDEX('仕入先'!$F$5:$F$54,$R378),DAY(DATE(YEAR($S378),(MONTH($S378)+IF(INDEX('仕入先'!$D$5:$D$54,$R378)="末",0,IF(DAY($S378)&lt;=INDEX('仕入先'!$D$5:$D$54,$R378),0,1))+N(INDEX('仕入先'!$E$5:$E$54,$R378)))+1,0)))))))</f>
        <v/>
      </c>
      <c r="I378" s="26" t="n"/>
      <c r="J378" s="29">
        <f>IF($B378="","",IF(ISNUMBER($I378),$I378,$H378))</f>
        <v/>
      </c>
      <c r="K378" s="26" t="n"/>
      <c r="L378" s="27" t="n"/>
      <c r="M378" s="27" t="n"/>
      <c r="N378" s="28">
        <f>IF($B378="","",N($G378)-N($L378)-N($M378))</f>
        <v/>
      </c>
      <c r="O378" s="30">
        <f>IF($B378="","",IF(AND(OR(N($L378)&lt;&gt;0,N($M378)&lt;&gt;0),NOT(ISNUMBER($K378))),"支払日なし",IF($N378=0,IF(N($G378)=0,"請求額0","支払済"),IF($N378&lt;0,"払いすぎ",IF(N($L378)+N($M378)=0,"未払","一部支払")))))</f>
        <v/>
      </c>
      <c r="P378" s="30">
        <f>IF(OR($B378="",N($N378)&lt;=0,NOT(ISNUMBER($J378))),"",IF($J378&lt;'設定'!$B$7,"期日超過 "&amp;('設定'!$B$7-$J378)&amp;"日",IF($J378='設定'!$B$7,"今日","あと "&amp;($J378-'設定'!$B$7)&amp;"日")))</f>
        <v/>
      </c>
      <c r="Q378" s="56" t="n"/>
      <c r="R378" s="32">
        <f>IF($B378="","",IFERROR(MATCH($B378,'仕入先'!$B$5:$B$54,0),"なし"))</f>
        <v/>
      </c>
      <c r="S378" s="33">
        <f>IF($B378="","",IF(ISNUMBER($D378),$D378,IF(ISNUMBER($A378),$A378,"")))</f>
        <v/>
      </c>
      <c r="T378" s="34">
        <f>IF(OR($B378="",N($N378)&lt;=0),"",IF(ISNUMBER($J378),$J378,99999)+ROW()/1000000)</f>
        <v/>
      </c>
      <c r="U378" s="35">
        <f>IF(OR($B378="",$B378&lt;&gt;'買掛帳'!$B$3,NOT(ISNUMBER($S378))),"",IF(AND($S378&gt;='買掛帳'!$Q$3,$S378&lt;='買掛帳'!$Q$4),$S378+ROW()/10000000,""))</f>
        <v/>
      </c>
      <c r="V378" s="35">
        <f>IF(OR($B378="",$B378&lt;&gt;'買掛帳'!$B$3,NOT(ISNUMBER($K378)),N($L378)+N($M378)=0),"",IF(AND($K378&gt;='買掛帳'!$Q$3,$K378&lt;='買掛帳'!$Q$4),$K378+0.5+ROW()/10000000,""))</f>
        <v/>
      </c>
    </row>
    <row r="379" ht="18" customHeight="1">
      <c r="A379" s="26" t="n"/>
      <c r="B379" s="18" t="n"/>
      <c r="C379" s="20">
        <f>IF($B379="","",IF($R379="なし","※仕入先にないコード",INDEX('仕入先'!$C$5:$C$54,$R379)&amp;""))</f>
        <v/>
      </c>
      <c r="D379" s="26" t="n"/>
      <c r="E379" s="18" t="n"/>
      <c r="F379" s="19" t="n"/>
      <c r="G379" s="27" t="n"/>
      <c r="H379" s="29">
        <f>IF(OR($B379="",NOT(ISNUMBER($R379)),NOT(ISNUMBER($S379))),"",IF(OR(INDEX('仕入先'!$D$5:$D$54,$R379)="",INDEX('仕入先'!$E$5:$E$54,$R379)="",INDEX('仕入先'!$F$5:$F$54,$R379)=""),"",IF(INDEX('仕入先'!$F$5:$F$54,$R379)="末",DATE(YEAR($S379),(MONTH($S379)+IF(INDEX('仕入先'!$D$5:$D$54,$R379)="末",0,IF(DAY($S379)&lt;=INDEX('仕入先'!$D$5:$D$54,$R379),0,1))+N(INDEX('仕入先'!$E$5:$E$54,$R379)))+1,0),DATE(YEAR($S379),(MONTH($S379)+IF(INDEX('仕入先'!$D$5:$D$54,$R379)="末",0,IF(DAY($S379)&lt;=INDEX('仕入先'!$D$5:$D$54,$R379),0,1))+N(INDEX('仕入先'!$E$5:$E$54,$R379))),MIN(INDEX('仕入先'!$F$5:$F$54,$R379),DAY(DATE(YEAR($S379),(MONTH($S379)+IF(INDEX('仕入先'!$D$5:$D$54,$R379)="末",0,IF(DAY($S379)&lt;=INDEX('仕入先'!$D$5:$D$54,$R379),0,1))+N(INDEX('仕入先'!$E$5:$E$54,$R379)))+1,0)))))))</f>
        <v/>
      </c>
      <c r="I379" s="26" t="n"/>
      <c r="J379" s="29">
        <f>IF($B379="","",IF(ISNUMBER($I379),$I379,$H379))</f>
        <v/>
      </c>
      <c r="K379" s="26" t="n"/>
      <c r="L379" s="27" t="n"/>
      <c r="M379" s="27" t="n"/>
      <c r="N379" s="28">
        <f>IF($B379="","",N($G379)-N($L379)-N($M379))</f>
        <v/>
      </c>
      <c r="O379" s="30">
        <f>IF($B379="","",IF(AND(OR(N($L379)&lt;&gt;0,N($M379)&lt;&gt;0),NOT(ISNUMBER($K379))),"支払日なし",IF($N379=0,IF(N($G379)=0,"請求額0","支払済"),IF($N379&lt;0,"払いすぎ",IF(N($L379)+N($M379)=0,"未払","一部支払")))))</f>
        <v/>
      </c>
      <c r="P379" s="30">
        <f>IF(OR($B379="",N($N379)&lt;=0,NOT(ISNUMBER($J379))),"",IF($J379&lt;'設定'!$B$7,"期日超過 "&amp;('設定'!$B$7-$J379)&amp;"日",IF($J379='設定'!$B$7,"今日","あと "&amp;($J379-'設定'!$B$7)&amp;"日")))</f>
        <v/>
      </c>
      <c r="Q379" s="56" t="n"/>
      <c r="R379" s="32">
        <f>IF($B379="","",IFERROR(MATCH($B379,'仕入先'!$B$5:$B$54,0),"なし"))</f>
        <v/>
      </c>
      <c r="S379" s="33">
        <f>IF($B379="","",IF(ISNUMBER($D379),$D379,IF(ISNUMBER($A379),$A379,"")))</f>
        <v/>
      </c>
      <c r="T379" s="34">
        <f>IF(OR($B379="",N($N379)&lt;=0),"",IF(ISNUMBER($J379),$J379,99999)+ROW()/1000000)</f>
        <v/>
      </c>
      <c r="U379" s="35">
        <f>IF(OR($B379="",$B379&lt;&gt;'買掛帳'!$B$3,NOT(ISNUMBER($S379))),"",IF(AND($S379&gt;='買掛帳'!$Q$3,$S379&lt;='買掛帳'!$Q$4),$S379+ROW()/10000000,""))</f>
        <v/>
      </c>
      <c r="V379" s="35">
        <f>IF(OR($B379="",$B379&lt;&gt;'買掛帳'!$B$3,NOT(ISNUMBER($K379)),N($L379)+N($M379)=0),"",IF(AND($K379&gt;='買掛帳'!$Q$3,$K379&lt;='買掛帳'!$Q$4),$K379+0.5+ROW()/10000000,""))</f>
        <v/>
      </c>
    </row>
    <row r="380" ht="18" customHeight="1">
      <c r="A380" s="26" t="n"/>
      <c r="B380" s="18" t="n"/>
      <c r="C380" s="20">
        <f>IF($B380="","",IF($R380="なし","※仕入先にないコード",INDEX('仕入先'!$C$5:$C$54,$R380)&amp;""))</f>
        <v/>
      </c>
      <c r="D380" s="26" t="n"/>
      <c r="E380" s="18" t="n"/>
      <c r="F380" s="19" t="n"/>
      <c r="G380" s="27" t="n"/>
      <c r="H380" s="29">
        <f>IF(OR($B380="",NOT(ISNUMBER($R380)),NOT(ISNUMBER($S380))),"",IF(OR(INDEX('仕入先'!$D$5:$D$54,$R380)="",INDEX('仕入先'!$E$5:$E$54,$R380)="",INDEX('仕入先'!$F$5:$F$54,$R380)=""),"",IF(INDEX('仕入先'!$F$5:$F$54,$R380)="末",DATE(YEAR($S380),(MONTH($S380)+IF(INDEX('仕入先'!$D$5:$D$54,$R380)="末",0,IF(DAY($S380)&lt;=INDEX('仕入先'!$D$5:$D$54,$R380),0,1))+N(INDEX('仕入先'!$E$5:$E$54,$R380)))+1,0),DATE(YEAR($S380),(MONTH($S380)+IF(INDEX('仕入先'!$D$5:$D$54,$R380)="末",0,IF(DAY($S380)&lt;=INDEX('仕入先'!$D$5:$D$54,$R380),0,1))+N(INDEX('仕入先'!$E$5:$E$54,$R380))),MIN(INDEX('仕入先'!$F$5:$F$54,$R380),DAY(DATE(YEAR($S380),(MONTH($S380)+IF(INDEX('仕入先'!$D$5:$D$54,$R380)="末",0,IF(DAY($S380)&lt;=INDEX('仕入先'!$D$5:$D$54,$R380),0,1))+N(INDEX('仕入先'!$E$5:$E$54,$R380)))+1,0)))))))</f>
        <v/>
      </c>
      <c r="I380" s="26" t="n"/>
      <c r="J380" s="29">
        <f>IF($B380="","",IF(ISNUMBER($I380),$I380,$H380))</f>
        <v/>
      </c>
      <c r="K380" s="26" t="n"/>
      <c r="L380" s="27" t="n"/>
      <c r="M380" s="27" t="n"/>
      <c r="N380" s="28">
        <f>IF($B380="","",N($G380)-N($L380)-N($M380))</f>
        <v/>
      </c>
      <c r="O380" s="30">
        <f>IF($B380="","",IF(AND(OR(N($L380)&lt;&gt;0,N($M380)&lt;&gt;0),NOT(ISNUMBER($K380))),"支払日なし",IF($N380=0,IF(N($G380)=0,"請求額0","支払済"),IF($N380&lt;0,"払いすぎ",IF(N($L380)+N($M380)=0,"未払","一部支払")))))</f>
        <v/>
      </c>
      <c r="P380" s="30">
        <f>IF(OR($B380="",N($N380)&lt;=0,NOT(ISNUMBER($J380))),"",IF($J380&lt;'設定'!$B$7,"期日超過 "&amp;('設定'!$B$7-$J380)&amp;"日",IF($J380='設定'!$B$7,"今日","あと "&amp;($J380-'設定'!$B$7)&amp;"日")))</f>
        <v/>
      </c>
      <c r="Q380" s="56" t="n"/>
      <c r="R380" s="32">
        <f>IF($B380="","",IFERROR(MATCH($B380,'仕入先'!$B$5:$B$54,0),"なし"))</f>
        <v/>
      </c>
      <c r="S380" s="33">
        <f>IF($B380="","",IF(ISNUMBER($D380),$D380,IF(ISNUMBER($A380),$A380,"")))</f>
        <v/>
      </c>
      <c r="T380" s="34">
        <f>IF(OR($B380="",N($N380)&lt;=0),"",IF(ISNUMBER($J380),$J380,99999)+ROW()/1000000)</f>
        <v/>
      </c>
      <c r="U380" s="35">
        <f>IF(OR($B380="",$B380&lt;&gt;'買掛帳'!$B$3,NOT(ISNUMBER($S380))),"",IF(AND($S380&gt;='買掛帳'!$Q$3,$S380&lt;='買掛帳'!$Q$4),$S380+ROW()/10000000,""))</f>
        <v/>
      </c>
      <c r="V380" s="35">
        <f>IF(OR($B380="",$B380&lt;&gt;'買掛帳'!$B$3,NOT(ISNUMBER($K380)),N($L380)+N($M380)=0),"",IF(AND($K380&gt;='買掛帳'!$Q$3,$K380&lt;='買掛帳'!$Q$4),$K380+0.5+ROW()/10000000,""))</f>
        <v/>
      </c>
    </row>
    <row r="381" ht="18" customHeight="1">
      <c r="A381" s="26" t="n"/>
      <c r="B381" s="18" t="n"/>
      <c r="C381" s="20">
        <f>IF($B381="","",IF($R381="なし","※仕入先にないコード",INDEX('仕入先'!$C$5:$C$54,$R381)&amp;""))</f>
        <v/>
      </c>
      <c r="D381" s="26" t="n"/>
      <c r="E381" s="18" t="n"/>
      <c r="F381" s="19" t="n"/>
      <c r="G381" s="27" t="n"/>
      <c r="H381" s="29">
        <f>IF(OR($B381="",NOT(ISNUMBER($R381)),NOT(ISNUMBER($S381))),"",IF(OR(INDEX('仕入先'!$D$5:$D$54,$R381)="",INDEX('仕入先'!$E$5:$E$54,$R381)="",INDEX('仕入先'!$F$5:$F$54,$R381)=""),"",IF(INDEX('仕入先'!$F$5:$F$54,$R381)="末",DATE(YEAR($S381),(MONTH($S381)+IF(INDEX('仕入先'!$D$5:$D$54,$R381)="末",0,IF(DAY($S381)&lt;=INDEX('仕入先'!$D$5:$D$54,$R381),0,1))+N(INDEX('仕入先'!$E$5:$E$54,$R381)))+1,0),DATE(YEAR($S381),(MONTH($S381)+IF(INDEX('仕入先'!$D$5:$D$54,$R381)="末",0,IF(DAY($S381)&lt;=INDEX('仕入先'!$D$5:$D$54,$R381),0,1))+N(INDEX('仕入先'!$E$5:$E$54,$R381))),MIN(INDEX('仕入先'!$F$5:$F$54,$R381),DAY(DATE(YEAR($S381),(MONTH($S381)+IF(INDEX('仕入先'!$D$5:$D$54,$R381)="末",0,IF(DAY($S381)&lt;=INDEX('仕入先'!$D$5:$D$54,$R381),0,1))+N(INDEX('仕入先'!$E$5:$E$54,$R381)))+1,0)))))))</f>
        <v/>
      </c>
      <c r="I381" s="26" t="n"/>
      <c r="J381" s="29">
        <f>IF($B381="","",IF(ISNUMBER($I381),$I381,$H381))</f>
        <v/>
      </c>
      <c r="K381" s="26" t="n"/>
      <c r="L381" s="27" t="n"/>
      <c r="M381" s="27" t="n"/>
      <c r="N381" s="28">
        <f>IF($B381="","",N($G381)-N($L381)-N($M381))</f>
        <v/>
      </c>
      <c r="O381" s="30">
        <f>IF($B381="","",IF(AND(OR(N($L381)&lt;&gt;0,N($M381)&lt;&gt;0),NOT(ISNUMBER($K381))),"支払日なし",IF($N381=0,IF(N($G381)=0,"請求額0","支払済"),IF($N381&lt;0,"払いすぎ",IF(N($L381)+N($M381)=0,"未払","一部支払")))))</f>
        <v/>
      </c>
      <c r="P381" s="30">
        <f>IF(OR($B381="",N($N381)&lt;=0,NOT(ISNUMBER($J381))),"",IF($J381&lt;'設定'!$B$7,"期日超過 "&amp;('設定'!$B$7-$J381)&amp;"日",IF($J381='設定'!$B$7,"今日","あと "&amp;($J381-'設定'!$B$7)&amp;"日")))</f>
        <v/>
      </c>
      <c r="Q381" s="56" t="n"/>
      <c r="R381" s="32">
        <f>IF($B381="","",IFERROR(MATCH($B381,'仕入先'!$B$5:$B$54,0),"なし"))</f>
        <v/>
      </c>
      <c r="S381" s="33">
        <f>IF($B381="","",IF(ISNUMBER($D381),$D381,IF(ISNUMBER($A381),$A381,"")))</f>
        <v/>
      </c>
      <c r="T381" s="34">
        <f>IF(OR($B381="",N($N381)&lt;=0),"",IF(ISNUMBER($J381),$J381,99999)+ROW()/1000000)</f>
        <v/>
      </c>
      <c r="U381" s="35">
        <f>IF(OR($B381="",$B381&lt;&gt;'買掛帳'!$B$3,NOT(ISNUMBER($S381))),"",IF(AND($S381&gt;='買掛帳'!$Q$3,$S381&lt;='買掛帳'!$Q$4),$S381+ROW()/10000000,""))</f>
        <v/>
      </c>
      <c r="V381" s="35">
        <f>IF(OR($B381="",$B381&lt;&gt;'買掛帳'!$B$3,NOT(ISNUMBER($K381)),N($L381)+N($M381)=0),"",IF(AND($K381&gt;='買掛帳'!$Q$3,$K381&lt;='買掛帳'!$Q$4),$K381+0.5+ROW()/10000000,""))</f>
        <v/>
      </c>
    </row>
    <row r="382" ht="18" customHeight="1">
      <c r="A382" s="26" t="n"/>
      <c r="B382" s="18" t="n"/>
      <c r="C382" s="20">
        <f>IF($B382="","",IF($R382="なし","※仕入先にないコード",INDEX('仕入先'!$C$5:$C$54,$R382)&amp;""))</f>
        <v/>
      </c>
      <c r="D382" s="26" t="n"/>
      <c r="E382" s="18" t="n"/>
      <c r="F382" s="19" t="n"/>
      <c r="G382" s="27" t="n"/>
      <c r="H382" s="29">
        <f>IF(OR($B382="",NOT(ISNUMBER($R382)),NOT(ISNUMBER($S382))),"",IF(OR(INDEX('仕入先'!$D$5:$D$54,$R382)="",INDEX('仕入先'!$E$5:$E$54,$R382)="",INDEX('仕入先'!$F$5:$F$54,$R382)=""),"",IF(INDEX('仕入先'!$F$5:$F$54,$R382)="末",DATE(YEAR($S382),(MONTH($S382)+IF(INDEX('仕入先'!$D$5:$D$54,$R382)="末",0,IF(DAY($S382)&lt;=INDEX('仕入先'!$D$5:$D$54,$R382),0,1))+N(INDEX('仕入先'!$E$5:$E$54,$R382)))+1,0),DATE(YEAR($S382),(MONTH($S382)+IF(INDEX('仕入先'!$D$5:$D$54,$R382)="末",0,IF(DAY($S382)&lt;=INDEX('仕入先'!$D$5:$D$54,$R382),0,1))+N(INDEX('仕入先'!$E$5:$E$54,$R382))),MIN(INDEX('仕入先'!$F$5:$F$54,$R382),DAY(DATE(YEAR($S382),(MONTH($S382)+IF(INDEX('仕入先'!$D$5:$D$54,$R382)="末",0,IF(DAY($S382)&lt;=INDEX('仕入先'!$D$5:$D$54,$R382),0,1))+N(INDEX('仕入先'!$E$5:$E$54,$R382)))+1,0)))))))</f>
        <v/>
      </c>
      <c r="I382" s="26" t="n"/>
      <c r="J382" s="29">
        <f>IF($B382="","",IF(ISNUMBER($I382),$I382,$H382))</f>
        <v/>
      </c>
      <c r="K382" s="26" t="n"/>
      <c r="L382" s="27" t="n"/>
      <c r="M382" s="27" t="n"/>
      <c r="N382" s="28">
        <f>IF($B382="","",N($G382)-N($L382)-N($M382))</f>
        <v/>
      </c>
      <c r="O382" s="30">
        <f>IF($B382="","",IF(AND(OR(N($L382)&lt;&gt;0,N($M382)&lt;&gt;0),NOT(ISNUMBER($K382))),"支払日なし",IF($N382=0,IF(N($G382)=0,"請求額0","支払済"),IF($N382&lt;0,"払いすぎ",IF(N($L382)+N($M382)=0,"未払","一部支払")))))</f>
        <v/>
      </c>
      <c r="P382" s="30">
        <f>IF(OR($B382="",N($N382)&lt;=0,NOT(ISNUMBER($J382))),"",IF($J382&lt;'設定'!$B$7,"期日超過 "&amp;('設定'!$B$7-$J382)&amp;"日",IF($J382='設定'!$B$7,"今日","あと "&amp;($J382-'設定'!$B$7)&amp;"日")))</f>
        <v/>
      </c>
      <c r="Q382" s="56" t="n"/>
      <c r="R382" s="32">
        <f>IF($B382="","",IFERROR(MATCH($B382,'仕入先'!$B$5:$B$54,0),"なし"))</f>
        <v/>
      </c>
      <c r="S382" s="33">
        <f>IF($B382="","",IF(ISNUMBER($D382),$D382,IF(ISNUMBER($A382),$A382,"")))</f>
        <v/>
      </c>
      <c r="T382" s="34">
        <f>IF(OR($B382="",N($N382)&lt;=0),"",IF(ISNUMBER($J382),$J382,99999)+ROW()/1000000)</f>
        <v/>
      </c>
      <c r="U382" s="35">
        <f>IF(OR($B382="",$B382&lt;&gt;'買掛帳'!$B$3,NOT(ISNUMBER($S382))),"",IF(AND($S382&gt;='買掛帳'!$Q$3,$S382&lt;='買掛帳'!$Q$4),$S382+ROW()/10000000,""))</f>
        <v/>
      </c>
      <c r="V382" s="35">
        <f>IF(OR($B382="",$B382&lt;&gt;'買掛帳'!$B$3,NOT(ISNUMBER($K382)),N($L382)+N($M382)=0),"",IF(AND($K382&gt;='買掛帳'!$Q$3,$K382&lt;='買掛帳'!$Q$4),$K382+0.5+ROW()/10000000,""))</f>
        <v/>
      </c>
    </row>
    <row r="383" ht="18" customHeight="1">
      <c r="A383" s="26" t="n"/>
      <c r="B383" s="18" t="n"/>
      <c r="C383" s="20">
        <f>IF($B383="","",IF($R383="なし","※仕入先にないコード",INDEX('仕入先'!$C$5:$C$54,$R383)&amp;""))</f>
        <v/>
      </c>
      <c r="D383" s="26" t="n"/>
      <c r="E383" s="18" t="n"/>
      <c r="F383" s="19" t="n"/>
      <c r="G383" s="27" t="n"/>
      <c r="H383" s="29">
        <f>IF(OR($B383="",NOT(ISNUMBER($R383)),NOT(ISNUMBER($S383))),"",IF(OR(INDEX('仕入先'!$D$5:$D$54,$R383)="",INDEX('仕入先'!$E$5:$E$54,$R383)="",INDEX('仕入先'!$F$5:$F$54,$R383)=""),"",IF(INDEX('仕入先'!$F$5:$F$54,$R383)="末",DATE(YEAR($S383),(MONTH($S383)+IF(INDEX('仕入先'!$D$5:$D$54,$R383)="末",0,IF(DAY($S383)&lt;=INDEX('仕入先'!$D$5:$D$54,$R383),0,1))+N(INDEX('仕入先'!$E$5:$E$54,$R383)))+1,0),DATE(YEAR($S383),(MONTH($S383)+IF(INDEX('仕入先'!$D$5:$D$54,$R383)="末",0,IF(DAY($S383)&lt;=INDEX('仕入先'!$D$5:$D$54,$R383),0,1))+N(INDEX('仕入先'!$E$5:$E$54,$R383))),MIN(INDEX('仕入先'!$F$5:$F$54,$R383),DAY(DATE(YEAR($S383),(MONTH($S383)+IF(INDEX('仕入先'!$D$5:$D$54,$R383)="末",0,IF(DAY($S383)&lt;=INDEX('仕入先'!$D$5:$D$54,$R383),0,1))+N(INDEX('仕入先'!$E$5:$E$54,$R383)))+1,0)))))))</f>
        <v/>
      </c>
      <c r="I383" s="26" t="n"/>
      <c r="J383" s="29">
        <f>IF($B383="","",IF(ISNUMBER($I383),$I383,$H383))</f>
        <v/>
      </c>
      <c r="K383" s="26" t="n"/>
      <c r="L383" s="27" t="n"/>
      <c r="M383" s="27" t="n"/>
      <c r="N383" s="28">
        <f>IF($B383="","",N($G383)-N($L383)-N($M383))</f>
        <v/>
      </c>
      <c r="O383" s="30">
        <f>IF($B383="","",IF(AND(OR(N($L383)&lt;&gt;0,N($M383)&lt;&gt;0),NOT(ISNUMBER($K383))),"支払日なし",IF($N383=0,IF(N($G383)=0,"請求額0","支払済"),IF($N383&lt;0,"払いすぎ",IF(N($L383)+N($M383)=0,"未払","一部支払")))))</f>
        <v/>
      </c>
      <c r="P383" s="30">
        <f>IF(OR($B383="",N($N383)&lt;=0,NOT(ISNUMBER($J383))),"",IF($J383&lt;'設定'!$B$7,"期日超過 "&amp;('設定'!$B$7-$J383)&amp;"日",IF($J383='設定'!$B$7,"今日","あと "&amp;($J383-'設定'!$B$7)&amp;"日")))</f>
        <v/>
      </c>
      <c r="Q383" s="56" t="n"/>
      <c r="R383" s="32">
        <f>IF($B383="","",IFERROR(MATCH($B383,'仕入先'!$B$5:$B$54,0),"なし"))</f>
        <v/>
      </c>
      <c r="S383" s="33">
        <f>IF($B383="","",IF(ISNUMBER($D383),$D383,IF(ISNUMBER($A383),$A383,"")))</f>
        <v/>
      </c>
      <c r="T383" s="34">
        <f>IF(OR($B383="",N($N383)&lt;=0),"",IF(ISNUMBER($J383),$J383,99999)+ROW()/1000000)</f>
        <v/>
      </c>
      <c r="U383" s="35">
        <f>IF(OR($B383="",$B383&lt;&gt;'買掛帳'!$B$3,NOT(ISNUMBER($S383))),"",IF(AND($S383&gt;='買掛帳'!$Q$3,$S383&lt;='買掛帳'!$Q$4),$S383+ROW()/10000000,""))</f>
        <v/>
      </c>
      <c r="V383" s="35">
        <f>IF(OR($B383="",$B383&lt;&gt;'買掛帳'!$B$3,NOT(ISNUMBER($K383)),N($L383)+N($M383)=0),"",IF(AND($K383&gt;='買掛帳'!$Q$3,$K383&lt;='買掛帳'!$Q$4),$K383+0.5+ROW()/10000000,""))</f>
        <v/>
      </c>
    </row>
    <row r="384" ht="18" customHeight="1">
      <c r="A384" s="26" t="n"/>
      <c r="B384" s="18" t="n"/>
      <c r="C384" s="20">
        <f>IF($B384="","",IF($R384="なし","※仕入先にないコード",INDEX('仕入先'!$C$5:$C$54,$R384)&amp;""))</f>
        <v/>
      </c>
      <c r="D384" s="26" t="n"/>
      <c r="E384" s="18" t="n"/>
      <c r="F384" s="19" t="n"/>
      <c r="G384" s="27" t="n"/>
      <c r="H384" s="29">
        <f>IF(OR($B384="",NOT(ISNUMBER($R384)),NOT(ISNUMBER($S384))),"",IF(OR(INDEX('仕入先'!$D$5:$D$54,$R384)="",INDEX('仕入先'!$E$5:$E$54,$R384)="",INDEX('仕入先'!$F$5:$F$54,$R384)=""),"",IF(INDEX('仕入先'!$F$5:$F$54,$R384)="末",DATE(YEAR($S384),(MONTH($S384)+IF(INDEX('仕入先'!$D$5:$D$54,$R384)="末",0,IF(DAY($S384)&lt;=INDEX('仕入先'!$D$5:$D$54,$R384),0,1))+N(INDEX('仕入先'!$E$5:$E$54,$R384)))+1,0),DATE(YEAR($S384),(MONTH($S384)+IF(INDEX('仕入先'!$D$5:$D$54,$R384)="末",0,IF(DAY($S384)&lt;=INDEX('仕入先'!$D$5:$D$54,$R384),0,1))+N(INDEX('仕入先'!$E$5:$E$54,$R384))),MIN(INDEX('仕入先'!$F$5:$F$54,$R384),DAY(DATE(YEAR($S384),(MONTH($S384)+IF(INDEX('仕入先'!$D$5:$D$54,$R384)="末",0,IF(DAY($S384)&lt;=INDEX('仕入先'!$D$5:$D$54,$R384),0,1))+N(INDEX('仕入先'!$E$5:$E$54,$R384)))+1,0)))))))</f>
        <v/>
      </c>
      <c r="I384" s="26" t="n"/>
      <c r="J384" s="29">
        <f>IF($B384="","",IF(ISNUMBER($I384),$I384,$H384))</f>
        <v/>
      </c>
      <c r="K384" s="26" t="n"/>
      <c r="L384" s="27" t="n"/>
      <c r="M384" s="27" t="n"/>
      <c r="N384" s="28">
        <f>IF($B384="","",N($G384)-N($L384)-N($M384))</f>
        <v/>
      </c>
      <c r="O384" s="30">
        <f>IF($B384="","",IF(AND(OR(N($L384)&lt;&gt;0,N($M384)&lt;&gt;0),NOT(ISNUMBER($K384))),"支払日なし",IF($N384=0,IF(N($G384)=0,"請求額0","支払済"),IF($N384&lt;0,"払いすぎ",IF(N($L384)+N($M384)=0,"未払","一部支払")))))</f>
        <v/>
      </c>
      <c r="P384" s="30">
        <f>IF(OR($B384="",N($N384)&lt;=0,NOT(ISNUMBER($J384))),"",IF($J384&lt;'設定'!$B$7,"期日超過 "&amp;('設定'!$B$7-$J384)&amp;"日",IF($J384='設定'!$B$7,"今日","あと "&amp;($J384-'設定'!$B$7)&amp;"日")))</f>
        <v/>
      </c>
      <c r="Q384" s="56" t="n"/>
      <c r="R384" s="32">
        <f>IF($B384="","",IFERROR(MATCH($B384,'仕入先'!$B$5:$B$54,0),"なし"))</f>
        <v/>
      </c>
      <c r="S384" s="33">
        <f>IF($B384="","",IF(ISNUMBER($D384),$D384,IF(ISNUMBER($A384),$A384,"")))</f>
        <v/>
      </c>
      <c r="T384" s="34">
        <f>IF(OR($B384="",N($N384)&lt;=0),"",IF(ISNUMBER($J384),$J384,99999)+ROW()/1000000)</f>
        <v/>
      </c>
      <c r="U384" s="35">
        <f>IF(OR($B384="",$B384&lt;&gt;'買掛帳'!$B$3,NOT(ISNUMBER($S384))),"",IF(AND($S384&gt;='買掛帳'!$Q$3,$S384&lt;='買掛帳'!$Q$4),$S384+ROW()/10000000,""))</f>
        <v/>
      </c>
      <c r="V384" s="35">
        <f>IF(OR($B384="",$B384&lt;&gt;'買掛帳'!$B$3,NOT(ISNUMBER($K384)),N($L384)+N($M384)=0),"",IF(AND($K384&gt;='買掛帳'!$Q$3,$K384&lt;='買掛帳'!$Q$4),$K384+0.5+ROW()/10000000,""))</f>
        <v/>
      </c>
    </row>
    <row r="385" ht="18" customHeight="1">
      <c r="A385" s="26" t="n"/>
      <c r="B385" s="18" t="n"/>
      <c r="C385" s="20">
        <f>IF($B385="","",IF($R385="なし","※仕入先にないコード",INDEX('仕入先'!$C$5:$C$54,$R385)&amp;""))</f>
        <v/>
      </c>
      <c r="D385" s="26" t="n"/>
      <c r="E385" s="18" t="n"/>
      <c r="F385" s="19" t="n"/>
      <c r="G385" s="27" t="n"/>
      <c r="H385" s="29">
        <f>IF(OR($B385="",NOT(ISNUMBER($R385)),NOT(ISNUMBER($S385))),"",IF(OR(INDEX('仕入先'!$D$5:$D$54,$R385)="",INDEX('仕入先'!$E$5:$E$54,$R385)="",INDEX('仕入先'!$F$5:$F$54,$R385)=""),"",IF(INDEX('仕入先'!$F$5:$F$54,$R385)="末",DATE(YEAR($S385),(MONTH($S385)+IF(INDEX('仕入先'!$D$5:$D$54,$R385)="末",0,IF(DAY($S385)&lt;=INDEX('仕入先'!$D$5:$D$54,$R385),0,1))+N(INDEX('仕入先'!$E$5:$E$54,$R385)))+1,0),DATE(YEAR($S385),(MONTH($S385)+IF(INDEX('仕入先'!$D$5:$D$54,$R385)="末",0,IF(DAY($S385)&lt;=INDEX('仕入先'!$D$5:$D$54,$R385),0,1))+N(INDEX('仕入先'!$E$5:$E$54,$R385))),MIN(INDEX('仕入先'!$F$5:$F$54,$R385),DAY(DATE(YEAR($S385),(MONTH($S385)+IF(INDEX('仕入先'!$D$5:$D$54,$R385)="末",0,IF(DAY($S385)&lt;=INDEX('仕入先'!$D$5:$D$54,$R385),0,1))+N(INDEX('仕入先'!$E$5:$E$54,$R385)))+1,0)))))))</f>
        <v/>
      </c>
      <c r="I385" s="26" t="n"/>
      <c r="J385" s="29">
        <f>IF($B385="","",IF(ISNUMBER($I385),$I385,$H385))</f>
        <v/>
      </c>
      <c r="K385" s="26" t="n"/>
      <c r="L385" s="27" t="n"/>
      <c r="M385" s="27" t="n"/>
      <c r="N385" s="28">
        <f>IF($B385="","",N($G385)-N($L385)-N($M385))</f>
        <v/>
      </c>
      <c r="O385" s="30">
        <f>IF($B385="","",IF(AND(OR(N($L385)&lt;&gt;0,N($M385)&lt;&gt;0),NOT(ISNUMBER($K385))),"支払日なし",IF($N385=0,IF(N($G385)=0,"請求額0","支払済"),IF($N385&lt;0,"払いすぎ",IF(N($L385)+N($M385)=0,"未払","一部支払")))))</f>
        <v/>
      </c>
      <c r="P385" s="30">
        <f>IF(OR($B385="",N($N385)&lt;=0,NOT(ISNUMBER($J385))),"",IF($J385&lt;'設定'!$B$7,"期日超過 "&amp;('設定'!$B$7-$J385)&amp;"日",IF($J385='設定'!$B$7,"今日","あと "&amp;($J385-'設定'!$B$7)&amp;"日")))</f>
        <v/>
      </c>
      <c r="Q385" s="56" t="n"/>
      <c r="R385" s="32">
        <f>IF($B385="","",IFERROR(MATCH($B385,'仕入先'!$B$5:$B$54,0),"なし"))</f>
        <v/>
      </c>
      <c r="S385" s="33">
        <f>IF($B385="","",IF(ISNUMBER($D385),$D385,IF(ISNUMBER($A385),$A385,"")))</f>
        <v/>
      </c>
      <c r="T385" s="34">
        <f>IF(OR($B385="",N($N385)&lt;=0),"",IF(ISNUMBER($J385),$J385,99999)+ROW()/1000000)</f>
        <v/>
      </c>
      <c r="U385" s="35">
        <f>IF(OR($B385="",$B385&lt;&gt;'買掛帳'!$B$3,NOT(ISNUMBER($S385))),"",IF(AND($S385&gt;='買掛帳'!$Q$3,$S385&lt;='買掛帳'!$Q$4),$S385+ROW()/10000000,""))</f>
        <v/>
      </c>
      <c r="V385" s="35">
        <f>IF(OR($B385="",$B385&lt;&gt;'買掛帳'!$B$3,NOT(ISNUMBER($K385)),N($L385)+N($M385)=0),"",IF(AND($K385&gt;='買掛帳'!$Q$3,$K385&lt;='買掛帳'!$Q$4),$K385+0.5+ROW()/10000000,""))</f>
        <v/>
      </c>
    </row>
    <row r="386" ht="18" customHeight="1">
      <c r="A386" s="26" t="n"/>
      <c r="B386" s="18" t="n"/>
      <c r="C386" s="20">
        <f>IF($B386="","",IF($R386="なし","※仕入先にないコード",INDEX('仕入先'!$C$5:$C$54,$R386)&amp;""))</f>
        <v/>
      </c>
      <c r="D386" s="26" t="n"/>
      <c r="E386" s="18" t="n"/>
      <c r="F386" s="19" t="n"/>
      <c r="G386" s="27" t="n"/>
      <c r="H386" s="29">
        <f>IF(OR($B386="",NOT(ISNUMBER($R386)),NOT(ISNUMBER($S386))),"",IF(OR(INDEX('仕入先'!$D$5:$D$54,$R386)="",INDEX('仕入先'!$E$5:$E$54,$R386)="",INDEX('仕入先'!$F$5:$F$54,$R386)=""),"",IF(INDEX('仕入先'!$F$5:$F$54,$R386)="末",DATE(YEAR($S386),(MONTH($S386)+IF(INDEX('仕入先'!$D$5:$D$54,$R386)="末",0,IF(DAY($S386)&lt;=INDEX('仕入先'!$D$5:$D$54,$R386),0,1))+N(INDEX('仕入先'!$E$5:$E$54,$R386)))+1,0),DATE(YEAR($S386),(MONTH($S386)+IF(INDEX('仕入先'!$D$5:$D$54,$R386)="末",0,IF(DAY($S386)&lt;=INDEX('仕入先'!$D$5:$D$54,$R386),0,1))+N(INDEX('仕入先'!$E$5:$E$54,$R386))),MIN(INDEX('仕入先'!$F$5:$F$54,$R386),DAY(DATE(YEAR($S386),(MONTH($S386)+IF(INDEX('仕入先'!$D$5:$D$54,$R386)="末",0,IF(DAY($S386)&lt;=INDEX('仕入先'!$D$5:$D$54,$R386),0,1))+N(INDEX('仕入先'!$E$5:$E$54,$R386)))+1,0)))))))</f>
        <v/>
      </c>
      <c r="I386" s="26" t="n"/>
      <c r="J386" s="29">
        <f>IF($B386="","",IF(ISNUMBER($I386),$I386,$H386))</f>
        <v/>
      </c>
      <c r="K386" s="26" t="n"/>
      <c r="L386" s="27" t="n"/>
      <c r="M386" s="27" t="n"/>
      <c r="N386" s="28">
        <f>IF($B386="","",N($G386)-N($L386)-N($M386))</f>
        <v/>
      </c>
      <c r="O386" s="30">
        <f>IF($B386="","",IF(AND(OR(N($L386)&lt;&gt;0,N($M386)&lt;&gt;0),NOT(ISNUMBER($K386))),"支払日なし",IF($N386=0,IF(N($G386)=0,"請求額0","支払済"),IF($N386&lt;0,"払いすぎ",IF(N($L386)+N($M386)=0,"未払","一部支払")))))</f>
        <v/>
      </c>
      <c r="P386" s="30">
        <f>IF(OR($B386="",N($N386)&lt;=0,NOT(ISNUMBER($J386))),"",IF($J386&lt;'設定'!$B$7,"期日超過 "&amp;('設定'!$B$7-$J386)&amp;"日",IF($J386='設定'!$B$7,"今日","あと "&amp;($J386-'設定'!$B$7)&amp;"日")))</f>
        <v/>
      </c>
      <c r="Q386" s="56" t="n"/>
      <c r="R386" s="32">
        <f>IF($B386="","",IFERROR(MATCH($B386,'仕入先'!$B$5:$B$54,0),"なし"))</f>
        <v/>
      </c>
      <c r="S386" s="33">
        <f>IF($B386="","",IF(ISNUMBER($D386),$D386,IF(ISNUMBER($A386),$A386,"")))</f>
        <v/>
      </c>
      <c r="T386" s="34">
        <f>IF(OR($B386="",N($N386)&lt;=0),"",IF(ISNUMBER($J386),$J386,99999)+ROW()/1000000)</f>
        <v/>
      </c>
      <c r="U386" s="35">
        <f>IF(OR($B386="",$B386&lt;&gt;'買掛帳'!$B$3,NOT(ISNUMBER($S386))),"",IF(AND($S386&gt;='買掛帳'!$Q$3,$S386&lt;='買掛帳'!$Q$4),$S386+ROW()/10000000,""))</f>
        <v/>
      </c>
      <c r="V386" s="35">
        <f>IF(OR($B386="",$B386&lt;&gt;'買掛帳'!$B$3,NOT(ISNUMBER($K386)),N($L386)+N($M386)=0),"",IF(AND($K386&gt;='買掛帳'!$Q$3,$K386&lt;='買掛帳'!$Q$4),$K386+0.5+ROW()/10000000,""))</f>
        <v/>
      </c>
    </row>
    <row r="387" ht="18" customHeight="1">
      <c r="A387" s="26" t="n"/>
      <c r="B387" s="18" t="n"/>
      <c r="C387" s="20">
        <f>IF($B387="","",IF($R387="なし","※仕入先にないコード",INDEX('仕入先'!$C$5:$C$54,$R387)&amp;""))</f>
        <v/>
      </c>
      <c r="D387" s="26" t="n"/>
      <c r="E387" s="18" t="n"/>
      <c r="F387" s="19" t="n"/>
      <c r="G387" s="27" t="n"/>
      <c r="H387" s="29">
        <f>IF(OR($B387="",NOT(ISNUMBER($R387)),NOT(ISNUMBER($S387))),"",IF(OR(INDEX('仕入先'!$D$5:$D$54,$R387)="",INDEX('仕入先'!$E$5:$E$54,$R387)="",INDEX('仕入先'!$F$5:$F$54,$R387)=""),"",IF(INDEX('仕入先'!$F$5:$F$54,$R387)="末",DATE(YEAR($S387),(MONTH($S387)+IF(INDEX('仕入先'!$D$5:$D$54,$R387)="末",0,IF(DAY($S387)&lt;=INDEX('仕入先'!$D$5:$D$54,$R387),0,1))+N(INDEX('仕入先'!$E$5:$E$54,$R387)))+1,0),DATE(YEAR($S387),(MONTH($S387)+IF(INDEX('仕入先'!$D$5:$D$54,$R387)="末",0,IF(DAY($S387)&lt;=INDEX('仕入先'!$D$5:$D$54,$R387),0,1))+N(INDEX('仕入先'!$E$5:$E$54,$R387))),MIN(INDEX('仕入先'!$F$5:$F$54,$R387),DAY(DATE(YEAR($S387),(MONTH($S387)+IF(INDEX('仕入先'!$D$5:$D$54,$R387)="末",0,IF(DAY($S387)&lt;=INDEX('仕入先'!$D$5:$D$54,$R387),0,1))+N(INDEX('仕入先'!$E$5:$E$54,$R387)))+1,0)))))))</f>
        <v/>
      </c>
      <c r="I387" s="26" t="n"/>
      <c r="J387" s="29">
        <f>IF($B387="","",IF(ISNUMBER($I387),$I387,$H387))</f>
        <v/>
      </c>
      <c r="K387" s="26" t="n"/>
      <c r="L387" s="27" t="n"/>
      <c r="M387" s="27" t="n"/>
      <c r="N387" s="28">
        <f>IF($B387="","",N($G387)-N($L387)-N($M387))</f>
        <v/>
      </c>
      <c r="O387" s="30">
        <f>IF($B387="","",IF(AND(OR(N($L387)&lt;&gt;0,N($M387)&lt;&gt;0),NOT(ISNUMBER($K387))),"支払日なし",IF($N387=0,IF(N($G387)=0,"請求額0","支払済"),IF($N387&lt;0,"払いすぎ",IF(N($L387)+N($M387)=0,"未払","一部支払")))))</f>
        <v/>
      </c>
      <c r="P387" s="30">
        <f>IF(OR($B387="",N($N387)&lt;=0,NOT(ISNUMBER($J387))),"",IF($J387&lt;'設定'!$B$7,"期日超過 "&amp;('設定'!$B$7-$J387)&amp;"日",IF($J387='設定'!$B$7,"今日","あと "&amp;($J387-'設定'!$B$7)&amp;"日")))</f>
        <v/>
      </c>
      <c r="Q387" s="56" t="n"/>
      <c r="R387" s="32">
        <f>IF($B387="","",IFERROR(MATCH($B387,'仕入先'!$B$5:$B$54,0),"なし"))</f>
        <v/>
      </c>
      <c r="S387" s="33">
        <f>IF($B387="","",IF(ISNUMBER($D387),$D387,IF(ISNUMBER($A387),$A387,"")))</f>
        <v/>
      </c>
      <c r="T387" s="34">
        <f>IF(OR($B387="",N($N387)&lt;=0),"",IF(ISNUMBER($J387),$J387,99999)+ROW()/1000000)</f>
        <v/>
      </c>
      <c r="U387" s="35">
        <f>IF(OR($B387="",$B387&lt;&gt;'買掛帳'!$B$3,NOT(ISNUMBER($S387))),"",IF(AND($S387&gt;='買掛帳'!$Q$3,$S387&lt;='買掛帳'!$Q$4),$S387+ROW()/10000000,""))</f>
        <v/>
      </c>
      <c r="V387" s="35">
        <f>IF(OR($B387="",$B387&lt;&gt;'買掛帳'!$B$3,NOT(ISNUMBER($K387)),N($L387)+N($M387)=0),"",IF(AND($K387&gt;='買掛帳'!$Q$3,$K387&lt;='買掛帳'!$Q$4),$K387+0.5+ROW()/10000000,""))</f>
        <v/>
      </c>
    </row>
    <row r="388" ht="18" customHeight="1">
      <c r="A388" s="26" t="n"/>
      <c r="B388" s="18" t="n"/>
      <c r="C388" s="20">
        <f>IF($B388="","",IF($R388="なし","※仕入先にないコード",INDEX('仕入先'!$C$5:$C$54,$R388)&amp;""))</f>
        <v/>
      </c>
      <c r="D388" s="26" t="n"/>
      <c r="E388" s="18" t="n"/>
      <c r="F388" s="19" t="n"/>
      <c r="G388" s="27" t="n"/>
      <c r="H388" s="29">
        <f>IF(OR($B388="",NOT(ISNUMBER($R388)),NOT(ISNUMBER($S388))),"",IF(OR(INDEX('仕入先'!$D$5:$D$54,$R388)="",INDEX('仕入先'!$E$5:$E$54,$R388)="",INDEX('仕入先'!$F$5:$F$54,$R388)=""),"",IF(INDEX('仕入先'!$F$5:$F$54,$R388)="末",DATE(YEAR($S388),(MONTH($S388)+IF(INDEX('仕入先'!$D$5:$D$54,$R388)="末",0,IF(DAY($S388)&lt;=INDEX('仕入先'!$D$5:$D$54,$R388),0,1))+N(INDEX('仕入先'!$E$5:$E$54,$R388)))+1,0),DATE(YEAR($S388),(MONTH($S388)+IF(INDEX('仕入先'!$D$5:$D$54,$R388)="末",0,IF(DAY($S388)&lt;=INDEX('仕入先'!$D$5:$D$54,$R388),0,1))+N(INDEX('仕入先'!$E$5:$E$54,$R388))),MIN(INDEX('仕入先'!$F$5:$F$54,$R388),DAY(DATE(YEAR($S388),(MONTH($S388)+IF(INDEX('仕入先'!$D$5:$D$54,$R388)="末",0,IF(DAY($S388)&lt;=INDEX('仕入先'!$D$5:$D$54,$R388),0,1))+N(INDEX('仕入先'!$E$5:$E$54,$R388)))+1,0)))))))</f>
        <v/>
      </c>
      <c r="I388" s="26" t="n"/>
      <c r="J388" s="29">
        <f>IF($B388="","",IF(ISNUMBER($I388),$I388,$H388))</f>
        <v/>
      </c>
      <c r="K388" s="26" t="n"/>
      <c r="L388" s="27" t="n"/>
      <c r="M388" s="27" t="n"/>
      <c r="N388" s="28">
        <f>IF($B388="","",N($G388)-N($L388)-N($M388))</f>
        <v/>
      </c>
      <c r="O388" s="30">
        <f>IF($B388="","",IF(AND(OR(N($L388)&lt;&gt;0,N($M388)&lt;&gt;0),NOT(ISNUMBER($K388))),"支払日なし",IF($N388=0,IF(N($G388)=0,"請求額0","支払済"),IF($N388&lt;0,"払いすぎ",IF(N($L388)+N($M388)=0,"未払","一部支払")))))</f>
        <v/>
      </c>
      <c r="P388" s="30">
        <f>IF(OR($B388="",N($N388)&lt;=0,NOT(ISNUMBER($J388))),"",IF($J388&lt;'設定'!$B$7,"期日超過 "&amp;('設定'!$B$7-$J388)&amp;"日",IF($J388='設定'!$B$7,"今日","あと "&amp;($J388-'設定'!$B$7)&amp;"日")))</f>
        <v/>
      </c>
      <c r="Q388" s="56" t="n"/>
      <c r="R388" s="32">
        <f>IF($B388="","",IFERROR(MATCH($B388,'仕入先'!$B$5:$B$54,0),"なし"))</f>
        <v/>
      </c>
      <c r="S388" s="33">
        <f>IF($B388="","",IF(ISNUMBER($D388),$D388,IF(ISNUMBER($A388),$A388,"")))</f>
        <v/>
      </c>
      <c r="T388" s="34">
        <f>IF(OR($B388="",N($N388)&lt;=0),"",IF(ISNUMBER($J388),$J388,99999)+ROW()/1000000)</f>
        <v/>
      </c>
      <c r="U388" s="35">
        <f>IF(OR($B388="",$B388&lt;&gt;'買掛帳'!$B$3,NOT(ISNUMBER($S388))),"",IF(AND($S388&gt;='買掛帳'!$Q$3,$S388&lt;='買掛帳'!$Q$4),$S388+ROW()/10000000,""))</f>
        <v/>
      </c>
      <c r="V388" s="35">
        <f>IF(OR($B388="",$B388&lt;&gt;'買掛帳'!$B$3,NOT(ISNUMBER($K388)),N($L388)+N($M388)=0),"",IF(AND($K388&gt;='買掛帳'!$Q$3,$K388&lt;='買掛帳'!$Q$4),$K388+0.5+ROW()/10000000,""))</f>
        <v/>
      </c>
    </row>
    <row r="389" ht="18" customHeight="1">
      <c r="A389" s="26" t="n"/>
      <c r="B389" s="18" t="n"/>
      <c r="C389" s="20">
        <f>IF($B389="","",IF($R389="なし","※仕入先にないコード",INDEX('仕入先'!$C$5:$C$54,$R389)&amp;""))</f>
        <v/>
      </c>
      <c r="D389" s="26" t="n"/>
      <c r="E389" s="18" t="n"/>
      <c r="F389" s="19" t="n"/>
      <c r="G389" s="27" t="n"/>
      <c r="H389" s="29">
        <f>IF(OR($B389="",NOT(ISNUMBER($R389)),NOT(ISNUMBER($S389))),"",IF(OR(INDEX('仕入先'!$D$5:$D$54,$R389)="",INDEX('仕入先'!$E$5:$E$54,$R389)="",INDEX('仕入先'!$F$5:$F$54,$R389)=""),"",IF(INDEX('仕入先'!$F$5:$F$54,$R389)="末",DATE(YEAR($S389),(MONTH($S389)+IF(INDEX('仕入先'!$D$5:$D$54,$R389)="末",0,IF(DAY($S389)&lt;=INDEX('仕入先'!$D$5:$D$54,$R389),0,1))+N(INDEX('仕入先'!$E$5:$E$54,$R389)))+1,0),DATE(YEAR($S389),(MONTH($S389)+IF(INDEX('仕入先'!$D$5:$D$54,$R389)="末",0,IF(DAY($S389)&lt;=INDEX('仕入先'!$D$5:$D$54,$R389),0,1))+N(INDEX('仕入先'!$E$5:$E$54,$R389))),MIN(INDEX('仕入先'!$F$5:$F$54,$R389),DAY(DATE(YEAR($S389),(MONTH($S389)+IF(INDEX('仕入先'!$D$5:$D$54,$R389)="末",0,IF(DAY($S389)&lt;=INDEX('仕入先'!$D$5:$D$54,$R389),0,1))+N(INDEX('仕入先'!$E$5:$E$54,$R389)))+1,0)))))))</f>
        <v/>
      </c>
      <c r="I389" s="26" t="n"/>
      <c r="J389" s="29">
        <f>IF($B389="","",IF(ISNUMBER($I389),$I389,$H389))</f>
        <v/>
      </c>
      <c r="K389" s="26" t="n"/>
      <c r="L389" s="27" t="n"/>
      <c r="M389" s="27" t="n"/>
      <c r="N389" s="28">
        <f>IF($B389="","",N($G389)-N($L389)-N($M389))</f>
        <v/>
      </c>
      <c r="O389" s="30">
        <f>IF($B389="","",IF(AND(OR(N($L389)&lt;&gt;0,N($M389)&lt;&gt;0),NOT(ISNUMBER($K389))),"支払日なし",IF($N389=0,IF(N($G389)=0,"請求額0","支払済"),IF($N389&lt;0,"払いすぎ",IF(N($L389)+N($M389)=0,"未払","一部支払")))))</f>
        <v/>
      </c>
      <c r="P389" s="30">
        <f>IF(OR($B389="",N($N389)&lt;=0,NOT(ISNUMBER($J389))),"",IF($J389&lt;'設定'!$B$7,"期日超過 "&amp;('設定'!$B$7-$J389)&amp;"日",IF($J389='設定'!$B$7,"今日","あと "&amp;($J389-'設定'!$B$7)&amp;"日")))</f>
        <v/>
      </c>
      <c r="Q389" s="56" t="n"/>
      <c r="R389" s="32">
        <f>IF($B389="","",IFERROR(MATCH($B389,'仕入先'!$B$5:$B$54,0),"なし"))</f>
        <v/>
      </c>
      <c r="S389" s="33">
        <f>IF($B389="","",IF(ISNUMBER($D389),$D389,IF(ISNUMBER($A389),$A389,"")))</f>
        <v/>
      </c>
      <c r="T389" s="34">
        <f>IF(OR($B389="",N($N389)&lt;=0),"",IF(ISNUMBER($J389),$J389,99999)+ROW()/1000000)</f>
        <v/>
      </c>
      <c r="U389" s="35">
        <f>IF(OR($B389="",$B389&lt;&gt;'買掛帳'!$B$3,NOT(ISNUMBER($S389))),"",IF(AND($S389&gt;='買掛帳'!$Q$3,$S389&lt;='買掛帳'!$Q$4),$S389+ROW()/10000000,""))</f>
        <v/>
      </c>
      <c r="V389" s="35">
        <f>IF(OR($B389="",$B389&lt;&gt;'買掛帳'!$B$3,NOT(ISNUMBER($K389)),N($L389)+N($M389)=0),"",IF(AND($K389&gt;='買掛帳'!$Q$3,$K389&lt;='買掛帳'!$Q$4),$K389+0.5+ROW()/10000000,""))</f>
        <v/>
      </c>
    </row>
    <row r="390" ht="18" customHeight="1">
      <c r="A390" s="26" t="n"/>
      <c r="B390" s="18" t="n"/>
      <c r="C390" s="20">
        <f>IF($B390="","",IF($R390="なし","※仕入先にないコード",INDEX('仕入先'!$C$5:$C$54,$R390)&amp;""))</f>
        <v/>
      </c>
      <c r="D390" s="26" t="n"/>
      <c r="E390" s="18" t="n"/>
      <c r="F390" s="19" t="n"/>
      <c r="G390" s="27" t="n"/>
      <c r="H390" s="29">
        <f>IF(OR($B390="",NOT(ISNUMBER($R390)),NOT(ISNUMBER($S390))),"",IF(OR(INDEX('仕入先'!$D$5:$D$54,$R390)="",INDEX('仕入先'!$E$5:$E$54,$R390)="",INDEX('仕入先'!$F$5:$F$54,$R390)=""),"",IF(INDEX('仕入先'!$F$5:$F$54,$R390)="末",DATE(YEAR($S390),(MONTH($S390)+IF(INDEX('仕入先'!$D$5:$D$54,$R390)="末",0,IF(DAY($S390)&lt;=INDEX('仕入先'!$D$5:$D$54,$R390),0,1))+N(INDEX('仕入先'!$E$5:$E$54,$R390)))+1,0),DATE(YEAR($S390),(MONTH($S390)+IF(INDEX('仕入先'!$D$5:$D$54,$R390)="末",0,IF(DAY($S390)&lt;=INDEX('仕入先'!$D$5:$D$54,$R390),0,1))+N(INDEX('仕入先'!$E$5:$E$54,$R390))),MIN(INDEX('仕入先'!$F$5:$F$54,$R390),DAY(DATE(YEAR($S390),(MONTH($S390)+IF(INDEX('仕入先'!$D$5:$D$54,$R390)="末",0,IF(DAY($S390)&lt;=INDEX('仕入先'!$D$5:$D$54,$R390),0,1))+N(INDEX('仕入先'!$E$5:$E$54,$R390)))+1,0)))))))</f>
        <v/>
      </c>
      <c r="I390" s="26" t="n"/>
      <c r="J390" s="29">
        <f>IF($B390="","",IF(ISNUMBER($I390),$I390,$H390))</f>
        <v/>
      </c>
      <c r="K390" s="26" t="n"/>
      <c r="L390" s="27" t="n"/>
      <c r="M390" s="27" t="n"/>
      <c r="N390" s="28">
        <f>IF($B390="","",N($G390)-N($L390)-N($M390))</f>
        <v/>
      </c>
      <c r="O390" s="30">
        <f>IF($B390="","",IF(AND(OR(N($L390)&lt;&gt;0,N($M390)&lt;&gt;0),NOT(ISNUMBER($K390))),"支払日なし",IF($N390=0,IF(N($G390)=0,"請求額0","支払済"),IF($N390&lt;0,"払いすぎ",IF(N($L390)+N($M390)=0,"未払","一部支払")))))</f>
        <v/>
      </c>
      <c r="P390" s="30">
        <f>IF(OR($B390="",N($N390)&lt;=0,NOT(ISNUMBER($J390))),"",IF($J390&lt;'設定'!$B$7,"期日超過 "&amp;('設定'!$B$7-$J390)&amp;"日",IF($J390='設定'!$B$7,"今日","あと "&amp;($J390-'設定'!$B$7)&amp;"日")))</f>
        <v/>
      </c>
      <c r="Q390" s="56" t="n"/>
      <c r="R390" s="32">
        <f>IF($B390="","",IFERROR(MATCH($B390,'仕入先'!$B$5:$B$54,0),"なし"))</f>
        <v/>
      </c>
      <c r="S390" s="33">
        <f>IF($B390="","",IF(ISNUMBER($D390),$D390,IF(ISNUMBER($A390),$A390,"")))</f>
        <v/>
      </c>
      <c r="T390" s="34">
        <f>IF(OR($B390="",N($N390)&lt;=0),"",IF(ISNUMBER($J390),$J390,99999)+ROW()/1000000)</f>
        <v/>
      </c>
      <c r="U390" s="35">
        <f>IF(OR($B390="",$B390&lt;&gt;'買掛帳'!$B$3,NOT(ISNUMBER($S390))),"",IF(AND($S390&gt;='買掛帳'!$Q$3,$S390&lt;='買掛帳'!$Q$4),$S390+ROW()/10000000,""))</f>
        <v/>
      </c>
      <c r="V390" s="35">
        <f>IF(OR($B390="",$B390&lt;&gt;'買掛帳'!$B$3,NOT(ISNUMBER($K390)),N($L390)+N($M390)=0),"",IF(AND($K390&gt;='買掛帳'!$Q$3,$K390&lt;='買掛帳'!$Q$4),$K390+0.5+ROW()/10000000,""))</f>
        <v/>
      </c>
    </row>
    <row r="391" ht="18" customHeight="1">
      <c r="A391" s="26" t="n"/>
      <c r="B391" s="18" t="n"/>
      <c r="C391" s="20">
        <f>IF($B391="","",IF($R391="なし","※仕入先にないコード",INDEX('仕入先'!$C$5:$C$54,$R391)&amp;""))</f>
        <v/>
      </c>
      <c r="D391" s="26" t="n"/>
      <c r="E391" s="18" t="n"/>
      <c r="F391" s="19" t="n"/>
      <c r="G391" s="27" t="n"/>
      <c r="H391" s="29">
        <f>IF(OR($B391="",NOT(ISNUMBER($R391)),NOT(ISNUMBER($S391))),"",IF(OR(INDEX('仕入先'!$D$5:$D$54,$R391)="",INDEX('仕入先'!$E$5:$E$54,$R391)="",INDEX('仕入先'!$F$5:$F$54,$R391)=""),"",IF(INDEX('仕入先'!$F$5:$F$54,$R391)="末",DATE(YEAR($S391),(MONTH($S391)+IF(INDEX('仕入先'!$D$5:$D$54,$R391)="末",0,IF(DAY($S391)&lt;=INDEX('仕入先'!$D$5:$D$54,$R391),0,1))+N(INDEX('仕入先'!$E$5:$E$54,$R391)))+1,0),DATE(YEAR($S391),(MONTH($S391)+IF(INDEX('仕入先'!$D$5:$D$54,$R391)="末",0,IF(DAY($S391)&lt;=INDEX('仕入先'!$D$5:$D$54,$R391),0,1))+N(INDEX('仕入先'!$E$5:$E$54,$R391))),MIN(INDEX('仕入先'!$F$5:$F$54,$R391),DAY(DATE(YEAR($S391),(MONTH($S391)+IF(INDEX('仕入先'!$D$5:$D$54,$R391)="末",0,IF(DAY($S391)&lt;=INDEX('仕入先'!$D$5:$D$54,$R391),0,1))+N(INDEX('仕入先'!$E$5:$E$54,$R391)))+1,0)))))))</f>
        <v/>
      </c>
      <c r="I391" s="26" t="n"/>
      <c r="J391" s="29">
        <f>IF($B391="","",IF(ISNUMBER($I391),$I391,$H391))</f>
        <v/>
      </c>
      <c r="K391" s="26" t="n"/>
      <c r="L391" s="27" t="n"/>
      <c r="M391" s="27" t="n"/>
      <c r="N391" s="28">
        <f>IF($B391="","",N($G391)-N($L391)-N($M391))</f>
        <v/>
      </c>
      <c r="O391" s="30">
        <f>IF($B391="","",IF(AND(OR(N($L391)&lt;&gt;0,N($M391)&lt;&gt;0),NOT(ISNUMBER($K391))),"支払日なし",IF($N391=0,IF(N($G391)=0,"請求額0","支払済"),IF($N391&lt;0,"払いすぎ",IF(N($L391)+N($M391)=0,"未払","一部支払")))))</f>
        <v/>
      </c>
      <c r="P391" s="30">
        <f>IF(OR($B391="",N($N391)&lt;=0,NOT(ISNUMBER($J391))),"",IF($J391&lt;'設定'!$B$7,"期日超過 "&amp;('設定'!$B$7-$J391)&amp;"日",IF($J391='設定'!$B$7,"今日","あと "&amp;($J391-'設定'!$B$7)&amp;"日")))</f>
        <v/>
      </c>
      <c r="Q391" s="56" t="n"/>
      <c r="R391" s="32">
        <f>IF($B391="","",IFERROR(MATCH($B391,'仕入先'!$B$5:$B$54,0),"なし"))</f>
        <v/>
      </c>
      <c r="S391" s="33">
        <f>IF($B391="","",IF(ISNUMBER($D391),$D391,IF(ISNUMBER($A391),$A391,"")))</f>
        <v/>
      </c>
      <c r="T391" s="34">
        <f>IF(OR($B391="",N($N391)&lt;=0),"",IF(ISNUMBER($J391),$J391,99999)+ROW()/1000000)</f>
        <v/>
      </c>
      <c r="U391" s="35">
        <f>IF(OR($B391="",$B391&lt;&gt;'買掛帳'!$B$3,NOT(ISNUMBER($S391))),"",IF(AND($S391&gt;='買掛帳'!$Q$3,$S391&lt;='買掛帳'!$Q$4),$S391+ROW()/10000000,""))</f>
        <v/>
      </c>
      <c r="V391" s="35">
        <f>IF(OR($B391="",$B391&lt;&gt;'買掛帳'!$B$3,NOT(ISNUMBER($K391)),N($L391)+N($M391)=0),"",IF(AND($K391&gt;='買掛帳'!$Q$3,$K391&lt;='買掛帳'!$Q$4),$K391+0.5+ROW()/10000000,""))</f>
        <v/>
      </c>
    </row>
    <row r="392" ht="18" customHeight="1">
      <c r="A392" s="26" t="n"/>
      <c r="B392" s="18" t="n"/>
      <c r="C392" s="20">
        <f>IF($B392="","",IF($R392="なし","※仕入先にないコード",INDEX('仕入先'!$C$5:$C$54,$R392)&amp;""))</f>
        <v/>
      </c>
      <c r="D392" s="26" t="n"/>
      <c r="E392" s="18" t="n"/>
      <c r="F392" s="19" t="n"/>
      <c r="G392" s="27" t="n"/>
      <c r="H392" s="29">
        <f>IF(OR($B392="",NOT(ISNUMBER($R392)),NOT(ISNUMBER($S392))),"",IF(OR(INDEX('仕入先'!$D$5:$D$54,$R392)="",INDEX('仕入先'!$E$5:$E$54,$R392)="",INDEX('仕入先'!$F$5:$F$54,$R392)=""),"",IF(INDEX('仕入先'!$F$5:$F$54,$R392)="末",DATE(YEAR($S392),(MONTH($S392)+IF(INDEX('仕入先'!$D$5:$D$54,$R392)="末",0,IF(DAY($S392)&lt;=INDEX('仕入先'!$D$5:$D$54,$R392),0,1))+N(INDEX('仕入先'!$E$5:$E$54,$R392)))+1,0),DATE(YEAR($S392),(MONTH($S392)+IF(INDEX('仕入先'!$D$5:$D$54,$R392)="末",0,IF(DAY($S392)&lt;=INDEX('仕入先'!$D$5:$D$54,$R392),0,1))+N(INDEX('仕入先'!$E$5:$E$54,$R392))),MIN(INDEX('仕入先'!$F$5:$F$54,$R392),DAY(DATE(YEAR($S392),(MONTH($S392)+IF(INDEX('仕入先'!$D$5:$D$54,$R392)="末",0,IF(DAY($S392)&lt;=INDEX('仕入先'!$D$5:$D$54,$R392),0,1))+N(INDEX('仕入先'!$E$5:$E$54,$R392)))+1,0)))))))</f>
        <v/>
      </c>
      <c r="I392" s="26" t="n"/>
      <c r="J392" s="29">
        <f>IF($B392="","",IF(ISNUMBER($I392),$I392,$H392))</f>
        <v/>
      </c>
      <c r="K392" s="26" t="n"/>
      <c r="L392" s="27" t="n"/>
      <c r="M392" s="27" t="n"/>
      <c r="N392" s="28">
        <f>IF($B392="","",N($G392)-N($L392)-N($M392))</f>
        <v/>
      </c>
      <c r="O392" s="30">
        <f>IF($B392="","",IF(AND(OR(N($L392)&lt;&gt;0,N($M392)&lt;&gt;0),NOT(ISNUMBER($K392))),"支払日なし",IF($N392=0,IF(N($G392)=0,"請求額0","支払済"),IF($N392&lt;0,"払いすぎ",IF(N($L392)+N($M392)=0,"未払","一部支払")))))</f>
        <v/>
      </c>
      <c r="P392" s="30">
        <f>IF(OR($B392="",N($N392)&lt;=0,NOT(ISNUMBER($J392))),"",IF($J392&lt;'設定'!$B$7,"期日超過 "&amp;('設定'!$B$7-$J392)&amp;"日",IF($J392='設定'!$B$7,"今日","あと "&amp;($J392-'設定'!$B$7)&amp;"日")))</f>
        <v/>
      </c>
      <c r="Q392" s="56" t="n"/>
      <c r="R392" s="32">
        <f>IF($B392="","",IFERROR(MATCH($B392,'仕入先'!$B$5:$B$54,0),"なし"))</f>
        <v/>
      </c>
      <c r="S392" s="33">
        <f>IF($B392="","",IF(ISNUMBER($D392),$D392,IF(ISNUMBER($A392),$A392,"")))</f>
        <v/>
      </c>
      <c r="T392" s="34">
        <f>IF(OR($B392="",N($N392)&lt;=0),"",IF(ISNUMBER($J392),$J392,99999)+ROW()/1000000)</f>
        <v/>
      </c>
      <c r="U392" s="35">
        <f>IF(OR($B392="",$B392&lt;&gt;'買掛帳'!$B$3,NOT(ISNUMBER($S392))),"",IF(AND($S392&gt;='買掛帳'!$Q$3,$S392&lt;='買掛帳'!$Q$4),$S392+ROW()/10000000,""))</f>
        <v/>
      </c>
      <c r="V392" s="35">
        <f>IF(OR($B392="",$B392&lt;&gt;'買掛帳'!$B$3,NOT(ISNUMBER($K392)),N($L392)+N($M392)=0),"",IF(AND($K392&gt;='買掛帳'!$Q$3,$K392&lt;='買掛帳'!$Q$4),$K392+0.5+ROW()/10000000,""))</f>
        <v/>
      </c>
    </row>
    <row r="393" ht="18" customHeight="1">
      <c r="A393" s="26" t="n"/>
      <c r="B393" s="18" t="n"/>
      <c r="C393" s="20">
        <f>IF($B393="","",IF($R393="なし","※仕入先にないコード",INDEX('仕入先'!$C$5:$C$54,$R393)&amp;""))</f>
        <v/>
      </c>
      <c r="D393" s="26" t="n"/>
      <c r="E393" s="18" t="n"/>
      <c r="F393" s="19" t="n"/>
      <c r="G393" s="27" t="n"/>
      <c r="H393" s="29">
        <f>IF(OR($B393="",NOT(ISNUMBER($R393)),NOT(ISNUMBER($S393))),"",IF(OR(INDEX('仕入先'!$D$5:$D$54,$R393)="",INDEX('仕入先'!$E$5:$E$54,$R393)="",INDEX('仕入先'!$F$5:$F$54,$R393)=""),"",IF(INDEX('仕入先'!$F$5:$F$54,$R393)="末",DATE(YEAR($S393),(MONTH($S393)+IF(INDEX('仕入先'!$D$5:$D$54,$R393)="末",0,IF(DAY($S393)&lt;=INDEX('仕入先'!$D$5:$D$54,$R393),0,1))+N(INDEX('仕入先'!$E$5:$E$54,$R393)))+1,0),DATE(YEAR($S393),(MONTH($S393)+IF(INDEX('仕入先'!$D$5:$D$54,$R393)="末",0,IF(DAY($S393)&lt;=INDEX('仕入先'!$D$5:$D$54,$R393),0,1))+N(INDEX('仕入先'!$E$5:$E$54,$R393))),MIN(INDEX('仕入先'!$F$5:$F$54,$R393),DAY(DATE(YEAR($S393),(MONTH($S393)+IF(INDEX('仕入先'!$D$5:$D$54,$R393)="末",0,IF(DAY($S393)&lt;=INDEX('仕入先'!$D$5:$D$54,$R393),0,1))+N(INDEX('仕入先'!$E$5:$E$54,$R393)))+1,0)))))))</f>
        <v/>
      </c>
      <c r="I393" s="26" t="n"/>
      <c r="J393" s="29">
        <f>IF($B393="","",IF(ISNUMBER($I393),$I393,$H393))</f>
        <v/>
      </c>
      <c r="K393" s="26" t="n"/>
      <c r="L393" s="27" t="n"/>
      <c r="M393" s="27" t="n"/>
      <c r="N393" s="28">
        <f>IF($B393="","",N($G393)-N($L393)-N($M393))</f>
        <v/>
      </c>
      <c r="O393" s="30">
        <f>IF($B393="","",IF(AND(OR(N($L393)&lt;&gt;0,N($M393)&lt;&gt;0),NOT(ISNUMBER($K393))),"支払日なし",IF($N393=0,IF(N($G393)=0,"請求額0","支払済"),IF($N393&lt;0,"払いすぎ",IF(N($L393)+N($M393)=0,"未払","一部支払")))))</f>
        <v/>
      </c>
      <c r="P393" s="30">
        <f>IF(OR($B393="",N($N393)&lt;=0,NOT(ISNUMBER($J393))),"",IF($J393&lt;'設定'!$B$7,"期日超過 "&amp;('設定'!$B$7-$J393)&amp;"日",IF($J393='設定'!$B$7,"今日","あと "&amp;($J393-'設定'!$B$7)&amp;"日")))</f>
        <v/>
      </c>
      <c r="Q393" s="56" t="n"/>
      <c r="R393" s="32">
        <f>IF($B393="","",IFERROR(MATCH($B393,'仕入先'!$B$5:$B$54,0),"なし"))</f>
        <v/>
      </c>
      <c r="S393" s="33">
        <f>IF($B393="","",IF(ISNUMBER($D393),$D393,IF(ISNUMBER($A393),$A393,"")))</f>
        <v/>
      </c>
      <c r="T393" s="34">
        <f>IF(OR($B393="",N($N393)&lt;=0),"",IF(ISNUMBER($J393),$J393,99999)+ROW()/1000000)</f>
        <v/>
      </c>
      <c r="U393" s="35">
        <f>IF(OR($B393="",$B393&lt;&gt;'買掛帳'!$B$3,NOT(ISNUMBER($S393))),"",IF(AND($S393&gt;='買掛帳'!$Q$3,$S393&lt;='買掛帳'!$Q$4),$S393+ROW()/10000000,""))</f>
        <v/>
      </c>
      <c r="V393" s="35">
        <f>IF(OR($B393="",$B393&lt;&gt;'買掛帳'!$B$3,NOT(ISNUMBER($K393)),N($L393)+N($M393)=0),"",IF(AND($K393&gt;='買掛帳'!$Q$3,$K393&lt;='買掛帳'!$Q$4),$K393+0.5+ROW()/10000000,""))</f>
        <v/>
      </c>
    </row>
    <row r="394" ht="18" customHeight="1">
      <c r="A394" s="26" t="n"/>
      <c r="B394" s="18" t="n"/>
      <c r="C394" s="20">
        <f>IF($B394="","",IF($R394="なし","※仕入先にないコード",INDEX('仕入先'!$C$5:$C$54,$R394)&amp;""))</f>
        <v/>
      </c>
      <c r="D394" s="26" t="n"/>
      <c r="E394" s="18" t="n"/>
      <c r="F394" s="19" t="n"/>
      <c r="G394" s="27" t="n"/>
      <c r="H394" s="29">
        <f>IF(OR($B394="",NOT(ISNUMBER($R394)),NOT(ISNUMBER($S394))),"",IF(OR(INDEX('仕入先'!$D$5:$D$54,$R394)="",INDEX('仕入先'!$E$5:$E$54,$R394)="",INDEX('仕入先'!$F$5:$F$54,$R394)=""),"",IF(INDEX('仕入先'!$F$5:$F$54,$R394)="末",DATE(YEAR($S394),(MONTH($S394)+IF(INDEX('仕入先'!$D$5:$D$54,$R394)="末",0,IF(DAY($S394)&lt;=INDEX('仕入先'!$D$5:$D$54,$R394),0,1))+N(INDEX('仕入先'!$E$5:$E$54,$R394)))+1,0),DATE(YEAR($S394),(MONTH($S394)+IF(INDEX('仕入先'!$D$5:$D$54,$R394)="末",0,IF(DAY($S394)&lt;=INDEX('仕入先'!$D$5:$D$54,$R394),0,1))+N(INDEX('仕入先'!$E$5:$E$54,$R394))),MIN(INDEX('仕入先'!$F$5:$F$54,$R394),DAY(DATE(YEAR($S394),(MONTH($S394)+IF(INDEX('仕入先'!$D$5:$D$54,$R394)="末",0,IF(DAY($S394)&lt;=INDEX('仕入先'!$D$5:$D$54,$R394),0,1))+N(INDEX('仕入先'!$E$5:$E$54,$R394)))+1,0)))))))</f>
        <v/>
      </c>
      <c r="I394" s="26" t="n"/>
      <c r="J394" s="29">
        <f>IF($B394="","",IF(ISNUMBER($I394),$I394,$H394))</f>
        <v/>
      </c>
      <c r="K394" s="26" t="n"/>
      <c r="L394" s="27" t="n"/>
      <c r="M394" s="27" t="n"/>
      <c r="N394" s="28">
        <f>IF($B394="","",N($G394)-N($L394)-N($M394))</f>
        <v/>
      </c>
      <c r="O394" s="30">
        <f>IF($B394="","",IF(AND(OR(N($L394)&lt;&gt;0,N($M394)&lt;&gt;0),NOT(ISNUMBER($K394))),"支払日なし",IF($N394=0,IF(N($G394)=0,"請求額0","支払済"),IF($N394&lt;0,"払いすぎ",IF(N($L394)+N($M394)=0,"未払","一部支払")))))</f>
        <v/>
      </c>
      <c r="P394" s="30">
        <f>IF(OR($B394="",N($N394)&lt;=0,NOT(ISNUMBER($J394))),"",IF($J394&lt;'設定'!$B$7,"期日超過 "&amp;('設定'!$B$7-$J394)&amp;"日",IF($J394='設定'!$B$7,"今日","あと "&amp;($J394-'設定'!$B$7)&amp;"日")))</f>
        <v/>
      </c>
      <c r="Q394" s="56" t="n"/>
      <c r="R394" s="32">
        <f>IF($B394="","",IFERROR(MATCH($B394,'仕入先'!$B$5:$B$54,0),"なし"))</f>
        <v/>
      </c>
      <c r="S394" s="33">
        <f>IF($B394="","",IF(ISNUMBER($D394),$D394,IF(ISNUMBER($A394),$A394,"")))</f>
        <v/>
      </c>
      <c r="T394" s="34">
        <f>IF(OR($B394="",N($N394)&lt;=0),"",IF(ISNUMBER($J394),$J394,99999)+ROW()/1000000)</f>
        <v/>
      </c>
      <c r="U394" s="35">
        <f>IF(OR($B394="",$B394&lt;&gt;'買掛帳'!$B$3,NOT(ISNUMBER($S394))),"",IF(AND($S394&gt;='買掛帳'!$Q$3,$S394&lt;='買掛帳'!$Q$4),$S394+ROW()/10000000,""))</f>
        <v/>
      </c>
      <c r="V394" s="35">
        <f>IF(OR($B394="",$B394&lt;&gt;'買掛帳'!$B$3,NOT(ISNUMBER($K394)),N($L394)+N($M394)=0),"",IF(AND($K394&gt;='買掛帳'!$Q$3,$K394&lt;='買掛帳'!$Q$4),$K394+0.5+ROW()/10000000,""))</f>
        <v/>
      </c>
    </row>
    <row r="395" ht="18" customHeight="1">
      <c r="A395" s="26" t="n"/>
      <c r="B395" s="18" t="n"/>
      <c r="C395" s="20">
        <f>IF($B395="","",IF($R395="なし","※仕入先にないコード",INDEX('仕入先'!$C$5:$C$54,$R395)&amp;""))</f>
        <v/>
      </c>
      <c r="D395" s="26" t="n"/>
      <c r="E395" s="18" t="n"/>
      <c r="F395" s="19" t="n"/>
      <c r="G395" s="27" t="n"/>
      <c r="H395" s="29">
        <f>IF(OR($B395="",NOT(ISNUMBER($R395)),NOT(ISNUMBER($S395))),"",IF(OR(INDEX('仕入先'!$D$5:$D$54,$R395)="",INDEX('仕入先'!$E$5:$E$54,$R395)="",INDEX('仕入先'!$F$5:$F$54,$R395)=""),"",IF(INDEX('仕入先'!$F$5:$F$54,$R395)="末",DATE(YEAR($S395),(MONTH($S395)+IF(INDEX('仕入先'!$D$5:$D$54,$R395)="末",0,IF(DAY($S395)&lt;=INDEX('仕入先'!$D$5:$D$54,$R395),0,1))+N(INDEX('仕入先'!$E$5:$E$54,$R395)))+1,0),DATE(YEAR($S395),(MONTH($S395)+IF(INDEX('仕入先'!$D$5:$D$54,$R395)="末",0,IF(DAY($S395)&lt;=INDEX('仕入先'!$D$5:$D$54,$R395),0,1))+N(INDEX('仕入先'!$E$5:$E$54,$R395))),MIN(INDEX('仕入先'!$F$5:$F$54,$R395),DAY(DATE(YEAR($S395),(MONTH($S395)+IF(INDEX('仕入先'!$D$5:$D$54,$R395)="末",0,IF(DAY($S395)&lt;=INDEX('仕入先'!$D$5:$D$54,$R395),0,1))+N(INDEX('仕入先'!$E$5:$E$54,$R395)))+1,0)))))))</f>
        <v/>
      </c>
      <c r="I395" s="26" t="n"/>
      <c r="J395" s="29">
        <f>IF($B395="","",IF(ISNUMBER($I395),$I395,$H395))</f>
        <v/>
      </c>
      <c r="K395" s="26" t="n"/>
      <c r="L395" s="27" t="n"/>
      <c r="M395" s="27" t="n"/>
      <c r="N395" s="28">
        <f>IF($B395="","",N($G395)-N($L395)-N($M395))</f>
        <v/>
      </c>
      <c r="O395" s="30">
        <f>IF($B395="","",IF(AND(OR(N($L395)&lt;&gt;0,N($M395)&lt;&gt;0),NOT(ISNUMBER($K395))),"支払日なし",IF($N395=0,IF(N($G395)=0,"請求額0","支払済"),IF($N395&lt;0,"払いすぎ",IF(N($L395)+N($M395)=0,"未払","一部支払")))))</f>
        <v/>
      </c>
      <c r="P395" s="30">
        <f>IF(OR($B395="",N($N395)&lt;=0,NOT(ISNUMBER($J395))),"",IF($J395&lt;'設定'!$B$7,"期日超過 "&amp;('設定'!$B$7-$J395)&amp;"日",IF($J395='設定'!$B$7,"今日","あと "&amp;($J395-'設定'!$B$7)&amp;"日")))</f>
        <v/>
      </c>
      <c r="Q395" s="56" t="n"/>
      <c r="R395" s="32">
        <f>IF($B395="","",IFERROR(MATCH($B395,'仕入先'!$B$5:$B$54,0),"なし"))</f>
        <v/>
      </c>
      <c r="S395" s="33">
        <f>IF($B395="","",IF(ISNUMBER($D395),$D395,IF(ISNUMBER($A395),$A395,"")))</f>
        <v/>
      </c>
      <c r="T395" s="34">
        <f>IF(OR($B395="",N($N395)&lt;=0),"",IF(ISNUMBER($J395),$J395,99999)+ROW()/1000000)</f>
        <v/>
      </c>
      <c r="U395" s="35">
        <f>IF(OR($B395="",$B395&lt;&gt;'買掛帳'!$B$3,NOT(ISNUMBER($S395))),"",IF(AND($S395&gt;='買掛帳'!$Q$3,$S395&lt;='買掛帳'!$Q$4),$S395+ROW()/10000000,""))</f>
        <v/>
      </c>
      <c r="V395" s="35">
        <f>IF(OR($B395="",$B395&lt;&gt;'買掛帳'!$B$3,NOT(ISNUMBER($K395)),N($L395)+N($M395)=0),"",IF(AND($K395&gt;='買掛帳'!$Q$3,$K395&lt;='買掛帳'!$Q$4),$K395+0.5+ROW()/10000000,""))</f>
        <v/>
      </c>
    </row>
    <row r="396" ht="18" customHeight="1">
      <c r="A396" s="26" t="n"/>
      <c r="B396" s="18" t="n"/>
      <c r="C396" s="20">
        <f>IF($B396="","",IF($R396="なし","※仕入先にないコード",INDEX('仕入先'!$C$5:$C$54,$R396)&amp;""))</f>
        <v/>
      </c>
      <c r="D396" s="26" t="n"/>
      <c r="E396" s="18" t="n"/>
      <c r="F396" s="19" t="n"/>
      <c r="G396" s="27" t="n"/>
      <c r="H396" s="29">
        <f>IF(OR($B396="",NOT(ISNUMBER($R396)),NOT(ISNUMBER($S396))),"",IF(OR(INDEX('仕入先'!$D$5:$D$54,$R396)="",INDEX('仕入先'!$E$5:$E$54,$R396)="",INDEX('仕入先'!$F$5:$F$54,$R396)=""),"",IF(INDEX('仕入先'!$F$5:$F$54,$R396)="末",DATE(YEAR($S396),(MONTH($S396)+IF(INDEX('仕入先'!$D$5:$D$54,$R396)="末",0,IF(DAY($S396)&lt;=INDEX('仕入先'!$D$5:$D$54,$R396),0,1))+N(INDEX('仕入先'!$E$5:$E$54,$R396)))+1,0),DATE(YEAR($S396),(MONTH($S396)+IF(INDEX('仕入先'!$D$5:$D$54,$R396)="末",0,IF(DAY($S396)&lt;=INDEX('仕入先'!$D$5:$D$54,$R396),0,1))+N(INDEX('仕入先'!$E$5:$E$54,$R396))),MIN(INDEX('仕入先'!$F$5:$F$54,$R396),DAY(DATE(YEAR($S396),(MONTH($S396)+IF(INDEX('仕入先'!$D$5:$D$54,$R396)="末",0,IF(DAY($S396)&lt;=INDEX('仕入先'!$D$5:$D$54,$R396),0,1))+N(INDEX('仕入先'!$E$5:$E$54,$R396)))+1,0)))))))</f>
        <v/>
      </c>
      <c r="I396" s="26" t="n"/>
      <c r="J396" s="29">
        <f>IF($B396="","",IF(ISNUMBER($I396),$I396,$H396))</f>
        <v/>
      </c>
      <c r="K396" s="26" t="n"/>
      <c r="L396" s="27" t="n"/>
      <c r="M396" s="27" t="n"/>
      <c r="N396" s="28">
        <f>IF($B396="","",N($G396)-N($L396)-N($M396))</f>
        <v/>
      </c>
      <c r="O396" s="30">
        <f>IF($B396="","",IF(AND(OR(N($L396)&lt;&gt;0,N($M396)&lt;&gt;0),NOT(ISNUMBER($K396))),"支払日なし",IF($N396=0,IF(N($G396)=0,"請求額0","支払済"),IF($N396&lt;0,"払いすぎ",IF(N($L396)+N($M396)=0,"未払","一部支払")))))</f>
        <v/>
      </c>
      <c r="P396" s="30">
        <f>IF(OR($B396="",N($N396)&lt;=0,NOT(ISNUMBER($J396))),"",IF($J396&lt;'設定'!$B$7,"期日超過 "&amp;('設定'!$B$7-$J396)&amp;"日",IF($J396='設定'!$B$7,"今日","あと "&amp;($J396-'設定'!$B$7)&amp;"日")))</f>
        <v/>
      </c>
      <c r="Q396" s="56" t="n"/>
      <c r="R396" s="32">
        <f>IF($B396="","",IFERROR(MATCH($B396,'仕入先'!$B$5:$B$54,0),"なし"))</f>
        <v/>
      </c>
      <c r="S396" s="33">
        <f>IF($B396="","",IF(ISNUMBER($D396),$D396,IF(ISNUMBER($A396),$A396,"")))</f>
        <v/>
      </c>
      <c r="T396" s="34">
        <f>IF(OR($B396="",N($N396)&lt;=0),"",IF(ISNUMBER($J396),$J396,99999)+ROW()/1000000)</f>
        <v/>
      </c>
      <c r="U396" s="35">
        <f>IF(OR($B396="",$B396&lt;&gt;'買掛帳'!$B$3,NOT(ISNUMBER($S396))),"",IF(AND($S396&gt;='買掛帳'!$Q$3,$S396&lt;='買掛帳'!$Q$4),$S396+ROW()/10000000,""))</f>
        <v/>
      </c>
      <c r="V396" s="35">
        <f>IF(OR($B396="",$B396&lt;&gt;'買掛帳'!$B$3,NOT(ISNUMBER($K396)),N($L396)+N($M396)=0),"",IF(AND($K396&gt;='買掛帳'!$Q$3,$K396&lt;='買掛帳'!$Q$4),$K396+0.5+ROW()/10000000,""))</f>
        <v/>
      </c>
    </row>
    <row r="397" ht="18" customHeight="1">
      <c r="A397" s="26" t="n"/>
      <c r="B397" s="18" t="n"/>
      <c r="C397" s="20">
        <f>IF($B397="","",IF($R397="なし","※仕入先にないコード",INDEX('仕入先'!$C$5:$C$54,$R397)&amp;""))</f>
        <v/>
      </c>
      <c r="D397" s="26" t="n"/>
      <c r="E397" s="18" t="n"/>
      <c r="F397" s="19" t="n"/>
      <c r="G397" s="27" t="n"/>
      <c r="H397" s="29">
        <f>IF(OR($B397="",NOT(ISNUMBER($R397)),NOT(ISNUMBER($S397))),"",IF(OR(INDEX('仕入先'!$D$5:$D$54,$R397)="",INDEX('仕入先'!$E$5:$E$54,$R397)="",INDEX('仕入先'!$F$5:$F$54,$R397)=""),"",IF(INDEX('仕入先'!$F$5:$F$54,$R397)="末",DATE(YEAR($S397),(MONTH($S397)+IF(INDEX('仕入先'!$D$5:$D$54,$R397)="末",0,IF(DAY($S397)&lt;=INDEX('仕入先'!$D$5:$D$54,$R397),0,1))+N(INDEX('仕入先'!$E$5:$E$54,$R397)))+1,0),DATE(YEAR($S397),(MONTH($S397)+IF(INDEX('仕入先'!$D$5:$D$54,$R397)="末",0,IF(DAY($S397)&lt;=INDEX('仕入先'!$D$5:$D$54,$R397),0,1))+N(INDEX('仕入先'!$E$5:$E$54,$R397))),MIN(INDEX('仕入先'!$F$5:$F$54,$R397),DAY(DATE(YEAR($S397),(MONTH($S397)+IF(INDEX('仕入先'!$D$5:$D$54,$R397)="末",0,IF(DAY($S397)&lt;=INDEX('仕入先'!$D$5:$D$54,$R397),0,1))+N(INDEX('仕入先'!$E$5:$E$54,$R397)))+1,0)))))))</f>
        <v/>
      </c>
      <c r="I397" s="26" t="n"/>
      <c r="J397" s="29">
        <f>IF($B397="","",IF(ISNUMBER($I397),$I397,$H397))</f>
        <v/>
      </c>
      <c r="K397" s="26" t="n"/>
      <c r="L397" s="27" t="n"/>
      <c r="M397" s="27" t="n"/>
      <c r="N397" s="28">
        <f>IF($B397="","",N($G397)-N($L397)-N($M397))</f>
        <v/>
      </c>
      <c r="O397" s="30">
        <f>IF($B397="","",IF(AND(OR(N($L397)&lt;&gt;0,N($M397)&lt;&gt;0),NOT(ISNUMBER($K397))),"支払日なし",IF($N397=0,IF(N($G397)=0,"請求額0","支払済"),IF($N397&lt;0,"払いすぎ",IF(N($L397)+N($M397)=0,"未払","一部支払")))))</f>
        <v/>
      </c>
      <c r="P397" s="30">
        <f>IF(OR($B397="",N($N397)&lt;=0,NOT(ISNUMBER($J397))),"",IF($J397&lt;'設定'!$B$7,"期日超過 "&amp;('設定'!$B$7-$J397)&amp;"日",IF($J397='設定'!$B$7,"今日","あと "&amp;($J397-'設定'!$B$7)&amp;"日")))</f>
        <v/>
      </c>
      <c r="Q397" s="56" t="n"/>
      <c r="R397" s="32">
        <f>IF($B397="","",IFERROR(MATCH($B397,'仕入先'!$B$5:$B$54,0),"なし"))</f>
        <v/>
      </c>
      <c r="S397" s="33">
        <f>IF($B397="","",IF(ISNUMBER($D397),$D397,IF(ISNUMBER($A397),$A397,"")))</f>
        <v/>
      </c>
      <c r="T397" s="34">
        <f>IF(OR($B397="",N($N397)&lt;=0),"",IF(ISNUMBER($J397),$J397,99999)+ROW()/1000000)</f>
        <v/>
      </c>
      <c r="U397" s="35">
        <f>IF(OR($B397="",$B397&lt;&gt;'買掛帳'!$B$3,NOT(ISNUMBER($S397))),"",IF(AND($S397&gt;='買掛帳'!$Q$3,$S397&lt;='買掛帳'!$Q$4),$S397+ROW()/10000000,""))</f>
        <v/>
      </c>
      <c r="V397" s="35">
        <f>IF(OR($B397="",$B397&lt;&gt;'買掛帳'!$B$3,NOT(ISNUMBER($K397)),N($L397)+N($M397)=0),"",IF(AND($K397&gt;='買掛帳'!$Q$3,$K397&lt;='買掛帳'!$Q$4),$K397+0.5+ROW()/10000000,""))</f>
        <v/>
      </c>
    </row>
    <row r="398" ht="18" customHeight="1">
      <c r="A398" s="26" t="n"/>
      <c r="B398" s="18" t="n"/>
      <c r="C398" s="20">
        <f>IF($B398="","",IF($R398="なし","※仕入先にないコード",INDEX('仕入先'!$C$5:$C$54,$R398)&amp;""))</f>
        <v/>
      </c>
      <c r="D398" s="26" t="n"/>
      <c r="E398" s="18" t="n"/>
      <c r="F398" s="19" t="n"/>
      <c r="G398" s="27" t="n"/>
      <c r="H398" s="29">
        <f>IF(OR($B398="",NOT(ISNUMBER($R398)),NOT(ISNUMBER($S398))),"",IF(OR(INDEX('仕入先'!$D$5:$D$54,$R398)="",INDEX('仕入先'!$E$5:$E$54,$R398)="",INDEX('仕入先'!$F$5:$F$54,$R398)=""),"",IF(INDEX('仕入先'!$F$5:$F$54,$R398)="末",DATE(YEAR($S398),(MONTH($S398)+IF(INDEX('仕入先'!$D$5:$D$54,$R398)="末",0,IF(DAY($S398)&lt;=INDEX('仕入先'!$D$5:$D$54,$R398),0,1))+N(INDEX('仕入先'!$E$5:$E$54,$R398)))+1,0),DATE(YEAR($S398),(MONTH($S398)+IF(INDEX('仕入先'!$D$5:$D$54,$R398)="末",0,IF(DAY($S398)&lt;=INDEX('仕入先'!$D$5:$D$54,$R398),0,1))+N(INDEX('仕入先'!$E$5:$E$54,$R398))),MIN(INDEX('仕入先'!$F$5:$F$54,$R398),DAY(DATE(YEAR($S398),(MONTH($S398)+IF(INDEX('仕入先'!$D$5:$D$54,$R398)="末",0,IF(DAY($S398)&lt;=INDEX('仕入先'!$D$5:$D$54,$R398),0,1))+N(INDEX('仕入先'!$E$5:$E$54,$R398)))+1,0)))))))</f>
        <v/>
      </c>
      <c r="I398" s="26" t="n"/>
      <c r="J398" s="29">
        <f>IF($B398="","",IF(ISNUMBER($I398),$I398,$H398))</f>
        <v/>
      </c>
      <c r="K398" s="26" t="n"/>
      <c r="L398" s="27" t="n"/>
      <c r="M398" s="27" t="n"/>
      <c r="N398" s="28">
        <f>IF($B398="","",N($G398)-N($L398)-N($M398))</f>
        <v/>
      </c>
      <c r="O398" s="30">
        <f>IF($B398="","",IF(AND(OR(N($L398)&lt;&gt;0,N($M398)&lt;&gt;0),NOT(ISNUMBER($K398))),"支払日なし",IF($N398=0,IF(N($G398)=0,"請求額0","支払済"),IF($N398&lt;0,"払いすぎ",IF(N($L398)+N($M398)=0,"未払","一部支払")))))</f>
        <v/>
      </c>
      <c r="P398" s="30">
        <f>IF(OR($B398="",N($N398)&lt;=0,NOT(ISNUMBER($J398))),"",IF($J398&lt;'設定'!$B$7,"期日超過 "&amp;('設定'!$B$7-$J398)&amp;"日",IF($J398='設定'!$B$7,"今日","あと "&amp;($J398-'設定'!$B$7)&amp;"日")))</f>
        <v/>
      </c>
      <c r="Q398" s="56" t="n"/>
      <c r="R398" s="32">
        <f>IF($B398="","",IFERROR(MATCH($B398,'仕入先'!$B$5:$B$54,0),"なし"))</f>
        <v/>
      </c>
      <c r="S398" s="33">
        <f>IF($B398="","",IF(ISNUMBER($D398),$D398,IF(ISNUMBER($A398),$A398,"")))</f>
        <v/>
      </c>
      <c r="T398" s="34">
        <f>IF(OR($B398="",N($N398)&lt;=0),"",IF(ISNUMBER($J398),$J398,99999)+ROW()/1000000)</f>
        <v/>
      </c>
      <c r="U398" s="35">
        <f>IF(OR($B398="",$B398&lt;&gt;'買掛帳'!$B$3,NOT(ISNUMBER($S398))),"",IF(AND($S398&gt;='買掛帳'!$Q$3,$S398&lt;='買掛帳'!$Q$4),$S398+ROW()/10000000,""))</f>
        <v/>
      </c>
      <c r="V398" s="35">
        <f>IF(OR($B398="",$B398&lt;&gt;'買掛帳'!$B$3,NOT(ISNUMBER($K398)),N($L398)+N($M398)=0),"",IF(AND($K398&gt;='買掛帳'!$Q$3,$K398&lt;='買掛帳'!$Q$4),$K398+0.5+ROW()/10000000,""))</f>
        <v/>
      </c>
    </row>
    <row r="399" ht="18" customHeight="1">
      <c r="A399" s="26" t="n"/>
      <c r="B399" s="18" t="n"/>
      <c r="C399" s="20">
        <f>IF($B399="","",IF($R399="なし","※仕入先にないコード",INDEX('仕入先'!$C$5:$C$54,$R399)&amp;""))</f>
        <v/>
      </c>
      <c r="D399" s="26" t="n"/>
      <c r="E399" s="18" t="n"/>
      <c r="F399" s="19" t="n"/>
      <c r="G399" s="27" t="n"/>
      <c r="H399" s="29">
        <f>IF(OR($B399="",NOT(ISNUMBER($R399)),NOT(ISNUMBER($S399))),"",IF(OR(INDEX('仕入先'!$D$5:$D$54,$R399)="",INDEX('仕入先'!$E$5:$E$54,$R399)="",INDEX('仕入先'!$F$5:$F$54,$R399)=""),"",IF(INDEX('仕入先'!$F$5:$F$54,$R399)="末",DATE(YEAR($S399),(MONTH($S399)+IF(INDEX('仕入先'!$D$5:$D$54,$R399)="末",0,IF(DAY($S399)&lt;=INDEX('仕入先'!$D$5:$D$54,$R399),0,1))+N(INDEX('仕入先'!$E$5:$E$54,$R399)))+1,0),DATE(YEAR($S399),(MONTH($S399)+IF(INDEX('仕入先'!$D$5:$D$54,$R399)="末",0,IF(DAY($S399)&lt;=INDEX('仕入先'!$D$5:$D$54,$R399),0,1))+N(INDEX('仕入先'!$E$5:$E$54,$R399))),MIN(INDEX('仕入先'!$F$5:$F$54,$R399),DAY(DATE(YEAR($S399),(MONTH($S399)+IF(INDEX('仕入先'!$D$5:$D$54,$R399)="末",0,IF(DAY($S399)&lt;=INDEX('仕入先'!$D$5:$D$54,$R399),0,1))+N(INDEX('仕入先'!$E$5:$E$54,$R399)))+1,0)))))))</f>
        <v/>
      </c>
      <c r="I399" s="26" t="n"/>
      <c r="J399" s="29">
        <f>IF($B399="","",IF(ISNUMBER($I399),$I399,$H399))</f>
        <v/>
      </c>
      <c r="K399" s="26" t="n"/>
      <c r="L399" s="27" t="n"/>
      <c r="M399" s="27" t="n"/>
      <c r="N399" s="28">
        <f>IF($B399="","",N($G399)-N($L399)-N($M399))</f>
        <v/>
      </c>
      <c r="O399" s="30">
        <f>IF($B399="","",IF(AND(OR(N($L399)&lt;&gt;0,N($M399)&lt;&gt;0),NOT(ISNUMBER($K399))),"支払日なし",IF($N399=0,IF(N($G399)=0,"請求額0","支払済"),IF($N399&lt;0,"払いすぎ",IF(N($L399)+N($M399)=0,"未払","一部支払")))))</f>
        <v/>
      </c>
      <c r="P399" s="30">
        <f>IF(OR($B399="",N($N399)&lt;=0,NOT(ISNUMBER($J399))),"",IF($J399&lt;'設定'!$B$7,"期日超過 "&amp;('設定'!$B$7-$J399)&amp;"日",IF($J399='設定'!$B$7,"今日","あと "&amp;($J399-'設定'!$B$7)&amp;"日")))</f>
        <v/>
      </c>
      <c r="Q399" s="56" t="n"/>
      <c r="R399" s="32">
        <f>IF($B399="","",IFERROR(MATCH($B399,'仕入先'!$B$5:$B$54,0),"なし"))</f>
        <v/>
      </c>
      <c r="S399" s="33">
        <f>IF($B399="","",IF(ISNUMBER($D399),$D399,IF(ISNUMBER($A399),$A399,"")))</f>
        <v/>
      </c>
      <c r="T399" s="34">
        <f>IF(OR($B399="",N($N399)&lt;=0),"",IF(ISNUMBER($J399),$J399,99999)+ROW()/1000000)</f>
        <v/>
      </c>
      <c r="U399" s="35">
        <f>IF(OR($B399="",$B399&lt;&gt;'買掛帳'!$B$3,NOT(ISNUMBER($S399))),"",IF(AND($S399&gt;='買掛帳'!$Q$3,$S399&lt;='買掛帳'!$Q$4),$S399+ROW()/10000000,""))</f>
        <v/>
      </c>
      <c r="V399" s="35">
        <f>IF(OR($B399="",$B399&lt;&gt;'買掛帳'!$B$3,NOT(ISNUMBER($K399)),N($L399)+N($M399)=0),"",IF(AND($K399&gt;='買掛帳'!$Q$3,$K399&lt;='買掛帳'!$Q$4),$K399+0.5+ROW()/10000000,""))</f>
        <v/>
      </c>
    </row>
    <row r="400" ht="18" customHeight="1">
      <c r="A400" s="26" t="n"/>
      <c r="B400" s="18" t="n"/>
      <c r="C400" s="20">
        <f>IF($B400="","",IF($R400="なし","※仕入先にないコード",INDEX('仕入先'!$C$5:$C$54,$R400)&amp;""))</f>
        <v/>
      </c>
      <c r="D400" s="26" t="n"/>
      <c r="E400" s="18" t="n"/>
      <c r="F400" s="19" t="n"/>
      <c r="G400" s="27" t="n"/>
      <c r="H400" s="29">
        <f>IF(OR($B400="",NOT(ISNUMBER($R400)),NOT(ISNUMBER($S400))),"",IF(OR(INDEX('仕入先'!$D$5:$D$54,$R400)="",INDEX('仕入先'!$E$5:$E$54,$R400)="",INDEX('仕入先'!$F$5:$F$54,$R400)=""),"",IF(INDEX('仕入先'!$F$5:$F$54,$R400)="末",DATE(YEAR($S400),(MONTH($S400)+IF(INDEX('仕入先'!$D$5:$D$54,$R400)="末",0,IF(DAY($S400)&lt;=INDEX('仕入先'!$D$5:$D$54,$R400),0,1))+N(INDEX('仕入先'!$E$5:$E$54,$R400)))+1,0),DATE(YEAR($S400),(MONTH($S400)+IF(INDEX('仕入先'!$D$5:$D$54,$R400)="末",0,IF(DAY($S400)&lt;=INDEX('仕入先'!$D$5:$D$54,$R400),0,1))+N(INDEX('仕入先'!$E$5:$E$54,$R400))),MIN(INDEX('仕入先'!$F$5:$F$54,$R400),DAY(DATE(YEAR($S400),(MONTH($S400)+IF(INDEX('仕入先'!$D$5:$D$54,$R400)="末",0,IF(DAY($S400)&lt;=INDEX('仕入先'!$D$5:$D$54,$R400),0,1))+N(INDEX('仕入先'!$E$5:$E$54,$R400)))+1,0)))))))</f>
        <v/>
      </c>
      <c r="I400" s="26" t="n"/>
      <c r="J400" s="29">
        <f>IF($B400="","",IF(ISNUMBER($I400),$I400,$H400))</f>
        <v/>
      </c>
      <c r="K400" s="26" t="n"/>
      <c r="L400" s="27" t="n"/>
      <c r="M400" s="27" t="n"/>
      <c r="N400" s="28">
        <f>IF($B400="","",N($G400)-N($L400)-N($M400))</f>
        <v/>
      </c>
      <c r="O400" s="30">
        <f>IF($B400="","",IF(AND(OR(N($L400)&lt;&gt;0,N($M400)&lt;&gt;0),NOT(ISNUMBER($K400))),"支払日なし",IF($N400=0,IF(N($G400)=0,"請求額0","支払済"),IF($N400&lt;0,"払いすぎ",IF(N($L400)+N($M400)=0,"未払","一部支払")))))</f>
        <v/>
      </c>
      <c r="P400" s="30">
        <f>IF(OR($B400="",N($N400)&lt;=0,NOT(ISNUMBER($J400))),"",IF($J400&lt;'設定'!$B$7,"期日超過 "&amp;('設定'!$B$7-$J400)&amp;"日",IF($J400='設定'!$B$7,"今日","あと "&amp;($J400-'設定'!$B$7)&amp;"日")))</f>
        <v/>
      </c>
      <c r="Q400" s="56" t="n"/>
      <c r="R400" s="32">
        <f>IF($B400="","",IFERROR(MATCH($B400,'仕入先'!$B$5:$B$54,0),"なし"))</f>
        <v/>
      </c>
      <c r="S400" s="33">
        <f>IF($B400="","",IF(ISNUMBER($D400),$D400,IF(ISNUMBER($A400),$A400,"")))</f>
        <v/>
      </c>
      <c r="T400" s="34">
        <f>IF(OR($B400="",N($N400)&lt;=0),"",IF(ISNUMBER($J400),$J400,99999)+ROW()/1000000)</f>
        <v/>
      </c>
      <c r="U400" s="35">
        <f>IF(OR($B400="",$B400&lt;&gt;'買掛帳'!$B$3,NOT(ISNUMBER($S400))),"",IF(AND($S400&gt;='買掛帳'!$Q$3,$S400&lt;='買掛帳'!$Q$4),$S400+ROW()/10000000,""))</f>
        <v/>
      </c>
      <c r="V400" s="35">
        <f>IF(OR($B400="",$B400&lt;&gt;'買掛帳'!$B$3,NOT(ISNUMBER($K400)),N($L400)+N($M400)=0),"",IF(AND($K400&gt;='買掛帳'!$Q$3,$K400&lt;='買掛帳'!$Q$4),$K400+0.5+ROW()/10000000,""))</f>
        <v/>
      </c>
    </row>
    <row r="401" ht="18" customHeight="1">
      <c r="A401" s="26" t="n"/>
      <c r="B401" s="18" t="n"/>
      <c r="C401" s="20">
        <f>IF($B401="","",IF($R401="なし","※仕入先にないコード",INDEX('仕入先'!$C$5:$C$54,$R401)&amp;""))</f>
        <v/>
      </c>
      <c r="D401" s="26" t="n"/>
      <c r="E401" s="18" t="n"/>
      <c r="F401" s="19" t="n"/>
      <c r="G401" s="27" t="n"/>
      <c r="H401" s="29">
        <f>IF(OR($B401="",NOT(ISNUMBER($R401)),NOT(ISNUMBER($S401))),"",IF(OR(INDEX('仕入先'!$D$5:$D$54,$R401)="",INDEX('仕入先'!$E$5:$E$54,$R401)="",INDEX('仕入先'!$F$5:$F$54,$R401)=""),"",IF(INDEX('仕入先'!$F$5:$F$54,$R401)="末",DATE(YEAR($S401),(MONTH($S401)+IF(INDEX('仕入先'!$D$5:$D$54,$R401)="末",0,IF(DAY($S401)&lt;=INDEX('仕入先'!$D$5:$D$54,$R401),0,1))+N(INDEX('仕入先'!$E$5:$E$54,$R401)))+1,0),DATE(YEAR($S401),(MONTH($S401)+IF(INDEX('仕入先'!$D$5:$D$54,$R401)="末",0,IF(DAY($S401)&lt;=INDEX('仕入先'!$D$5:$D$54,$R401),0,1))+N(INDEX('仕入先'!$E$5:$E$54,$R401))),MIN(INDEX('仕入先'!$F$5:$F$54,$R401),DAY(DATE(YEAR($S401),(MONTH($S401)+IF(INDEX('仕入先'!$D$5:$D$54,$R401)="末",0,IF(DAY($S401)&lt;=INDEX('仕入先'!$D$5:$D$54,$R401),0,1))+N(INDEX('仕入先'!$E$5:$E$54,$R401)))+1,0)))))))</f>
        <v/>
      </c>
      <c r="I401" s="26" t="n"/>
      <c r="J401" s="29">
        <f>IF($B401="","",IF(ISNUMBER($I401),$I401,$H401))</f>
        <v/>
      </c>
      <c r="K401" s="26" t="n"/>
      <c r="L401" s="27" t="n"/>
      <c r="M401" s="27" t="n"/>
      <c r="N401" s="28">
        <f>IF($B401="","",N($G401)-N($L401)-N($M401))</f>
        <v/>
      </c>
      <c r="O401" s="30">
        <f>IF($B401="","",IF(AND(OR(N($L401)&lt;&gt;0,N($M401)&lt;&gt;0),NOT(ISNUMBER($K401))),"支払日なし",IF($N401=0,IF(N($G401)=0,"請求額0","支払済"),IF($N401&lt;0,"払いすぎ",IF(N($L401)+N($M401)=0,"未払","一部支払")))))</f>
        <v/>
      </c>
      <c r="P401" s="30">
        <f>IF(OR($B401="",N($N401)&lt;=0,NOT(ISNUMBER($J401))),"",IF($J401&lt;'設定'!$B$7,"期日超過 "&amp;('設定'!$B$7-$J401)&amp;"日",IF($J401='設定'!$B$7,"今日","あと "&amp;($J401-'設定'!$B$7)&amp;"日")))</f>
        <v/>
      </c>
      <c r="Q401" s="56" t="n"/>
      <c r="R401" s="32">
        <f>IF($B401="","",IFERROR(MATCH($B401,'仕入先'!$B$5:$B$54,0),"なし"))</f>
        <v/>
      </c>
      <c r="S401" s="33">
        <f>IF($B401="","",IF(ISNUMBER($D401),$D401,IF(ISNUMBER($A401),$A401,"")))</f>
        <v/>
      </c>
      <c r="T401" s="34">
        <f>IF(OR($B401="",N($N401)&lt;=0),"",IF(ISNUMBER($J401),$J401,99999)+ROW()/1000000)</f>
        <v/>
      </c>
      <c r="U401" s="35">
        <f>IF(OR($B401="",$B401&lt;&gt;'買掛帳'!$B$3,NOT(ISNUMBER($S401))),"",IF(AND($S401&gt;='買掛帳'!$Q$3,$S401&lt;='買掛帳'!$Q$4),$S401+ROW()/10000000,""))</f>
        <v/>
      </c>
      <c r="V401" s="35">
        <f>IF(OR($B401="",$B401&lt;&gt;'買掛帳'!$B$3,NOT(ISNUMBER($K401)),N($L401)+N($M401)=0),"",IF(AND($K401&gt;='買掛帳'!$Q$3,$K401&lt;='買掛帳'!$Q$4),$K401+0.5+ROW()/10000000,""))</f>
        <v/>
      </c>
    </row>
    <row r="402" ht="18" customHeight="1">
      <c r="A402" s="26" t="n"/>
      <c r="B402" s="18" t="n"/>
      <c r="C402" s="20">
        <f>IF($B402="","",IF($R402="なし","※仕入先にないコード",INDEX('仕入先'!$C$5:$C$54,$R402)&amp;""))</f>
        <v/>
      </c>
      <c r="D402" s="26" t="n"/>
      <c r="E402" s="18" t="n"/>
      <c r="F402" s="19" t="n"/>
      <c r="G402" s="27" t="n"/>
      <c r="H402" s="29">
        <f>IF(OR($B402="",NOT(ISNUMBER($R402)),NOT(ISNUMBER($S402))),"",IF(OR(INDEX('仕入先'!$D$5:$D$54,$R402)="",INDEX('仕入先'!$E$5:$E$54,$R402)="",INDEX('仕入先'!$F$5:$F$54,$R402)=""),"",IF(INDEX('仕入先'!$F$5:$F$54,$R402)="末",DATE(YEAR($S402),(MONTH($S402)+IF(INDEX('仕入先'!$D$5:$D$54,$R402)="末",0,IF(DAY($S402)&lt;=INDEX('仕入先'!$D$5:$D$54,$R402),0,1))+N(INDEX('仕入先'!$E$5:$E$54,$R402)))+1,0),DATE(YEAR($S402),(MONTH($S402)+IF(INDEX('仕入先'!$D$5:$D$54,$R402)="末",0,IF(DAY($S402)&lt;=INDEX('仕入先'!$D$5:$D$54,$R402),0,1))+N(INDEX('仕入先'!$E$5:$E$54,$R402))),MIN(INDEX('仕入先'!$F$5:$F$54,$R402),DAY(DATE(YEAR($S402),(MONTH($S402)+IF(INDEX('仕入先'!$D$5:$D$54,$R402)="末",0,IF(DAY($S402)&lt;=INDEX('仕入先'!$D$5:$D$54,$R402),0,1))+N(INDEX('仕入先'!$E$5:$E$54,$R402)))+1,0)))))))</f>
        <v/>
      </c>
      <c r="I402" s="26" t="n"/>
      <c r="J402" s="29">
        <f>IF($B402="","",IF(ISNUMBER($I402),$I402,$H402))</f>
        <v/>
      </c>
      <c r="K402" s="26" t="n"/>
      <c r="L402" s="27" t="n"/>
      <c r="M402" s="27" t="n"/>
      <c r="N402" s="28">
        <f>IF($B402="","",N($G402)-N($L402)-N($M402))</f>
        <v/>
      </c>
      <c r="O402" s="30">
        <f>IF($B402="","",IF(AND(OR(N($L402)&lt;&gt;0,N($M402)&lt;&gt;0),NOT(ISNUMBER($K402))),"支払日なし",IF($N402=0,IF(N($G402)=0,"請求額0","支払済"),IF($N402&lt;0,"払いすぎ",IF(N($L402)+N($M402)=0,"未払","一部支払")))))</f>
        <v/>
      </c>
      <c r="P402" s="30">
        <f>IF(OR($B402="",N($N402)&lt;=0,NOT(ISNUMBER($J402))),"",IF($J402&lt;'設定'!$B$7,"期日超過 "&amp;('設定'!$B$7-$J402)&amp;"日",IF($J402='設定'!$B$7,"今日","あと "&amp;($J402-'設定'!$B$7)&amp;"日")))</f>
        <v/>
      </c>
      <c r="Q402" s="56" t="n"/>
      <c r="R402" s="32">
        <f>IF($B402="","",IFERROR(MATCH($B402,'仕入先'!$B$5:$B$54,0),"なし"))</f>
        <v/>
      </c>
      <c r="S402" s="33">
        <f>IF($B402="","",IF(ISNUMBER($D402),$D402,IF(ISNUMBER($A402),$A402,"")))</f>
        <v/>
      </c>
      <c r="T402" s="34">
        <f>IF(OR($B402="",N($N402)&lt;=0),"",IF(ISNUMBER($J402),$J402,99999)+ROW()/1000000)</f>
        <v/>
      </c>
      <c r="U402" s="35">
        <f>IF(OR($B402="",$B402&lt;&gt;'買掛帳'!$B$3,NOT(ISNUMBER($S402))),"",IF(AND($S402&gt;='買掛帳'!$Q$3,$S402&lt;='買掛帳'!$Q$4),$S402+ROW()/10000000,""))</f>
        <v/>
      </c>
      <c r="V402" s="35">
        <f>IF(OR($B402="",$B402&lt;&gt;'買掛帳'!$B$3,NOT(ISNUMBER($K402)),N($L402)+N($M402)=0),"",IF(AND($K402&gt;='買掛帳'!$Q$3,$K402&lt;='買掛帳'!$Q$4),$K402+0.5+ROW()/10000000,""))</f>
        <v/>
      </c>
    </row>
    <row r="403" ht="18" customHeight="1">
      <c r="A403" s="26" t="n"/>
      <c r="B403" s="18" t="n"/>
      <c r="C403" s="20">
        <f>IF($B403="","",IF($R403="なし","※仕入先にないコード",INDEX('仕入先'!$C$5:$C$54,$R403)&amp;""))</f>
        <v/>
      </c>
      <c r="D403" s="26" t="n"/>
      <c r="E403" s="18" t="n"/>
      <c r="F403" s="19" t="n"/>
      <c r="G403" s="27" t="n"/>
      <c r="H403" s="29">
        <f>IF(OR($B403="",NOT(ISNUMBER($R403)),NOT(ISNUMBER($S403))),"",IF(OR(INDEX('仕入先'!$D$5:$D$54,$R403)="",INDEX('仕入先'!$E$5:$E$54,$R403)="",INDEX('仕入先'!$F$5:$F$54,$R403)=""),"",IF(INDEX('仕入先'!$F$5:$F$54,$R403)="末",DATE(YEAR($S403),(MONTH($S403)+IF(INDEX('仕入先'!$D$5:$D$54,$R403)="末",0,IF(DAY($S403)&lt;=INDEX('仕入先'!$D$5:$D$54,$R403),0,1))+N(INDEX('仕入先'!$E$5:$E$54,$R403)))+1,0),DATE(YEAR($S403),(MONTH($S403)+IF(INDEX('仕入先'!$D$5:$D$54,$R403)="末",0,IF(DAY($S403)&lt;=INDEX('仕入先'!$D$5:$D$54,$R403),0,1))+N(INDEX('仕入先'!$E$5:$E$54,$R403))),MIN(INDEX('仕入先'!$F$5:$F$54,$R403),DAY(DATE(YEAR($S403),(MONTH($S403)+IF(INDEX('仕入先'!$D$5:$D$54,$R403)="末",0,IF(DAY($S403)&lt;=INDEX('仕入先'!$D$5:$D$54,$R403),0,1))+N(INDEX('仕入先'!$E$5:$E$54,$R403)))+1,0)))))))</f>
        <v/>
      </c>
      <c r="I403" s="26" t="n"/>
      <c r="J403" s="29">
        <f>IF($B403="","",IF(ISNUMBER($I403),$I403,$H403))</f>
        <v/>
      </c>
      <c r="K403" s="26" t="n"/>
      <c r="L403" s="27" t="n"/>
      <c r="M403" s="27" t="n"/>
      <c r="N403" s="28">
        <f>IF($B403="","",N($G403)-N($L403)-N($M403))</f>
        <v/>
      </c>
      <c r="O403" s="30">
        <f>IF($B403="","",IF(AND(OR(N($L403)&lt;&gt;0,N($M403)&lt;&gt;0),NOT(ISNUMBER($K403))),"支払日なし",IF($N403=0,IF(N($G403)=0,"請求額0","支払済"),IF($N403&lt;0,"払いすぎ",IF(N($L403)+N($M403)=0,"未払","一部支払")))))</f>
        <v/>
      </c>
      <c r="P403" s="30">
        <f>IF(OR($B403="",N($N403)&lt;=0,NOT(ISNUMBER($J403))),"",IF($J403&lt;'設定'!$B$7,"期日超過 "&amp;('設定'!$B$7-$J403)&amp;"日",IF($J403='設定'!$B$7,"今日","あと "&amp;($J403-'設定'!$B$7)&amp;"日")))</f>
        <v/>
      </c>
      <c r="Q403" s="56" t="n"/>
      <c r="R403" s="32">
        <f>IF($B403="","",IFERROR(MATCH($B403,'仕入先'!$B$5:$B$54,0),"なし"))</f>
        <v/>
      </c>
      <c r="S403" s="33">
        <f>IF($B403="","",IF(ISNUMBER($D403),$D403,IF(ISNUMBER($A403),$A403,"")))</f>
        <v/>
      </c>
      <c r="T403" s="34">
        <f>IF(OR($B403="",N($N403)&lt;=0),"",IF(ISNUMBER($J403),$J403,99999)+ROW()/1000000)</f>
        <v/>
      </c>
      <c r="U403" s="35">
        <f>IF(OR($B403="",$B403&lt;&gt;'買掛帳'!$B$3,NOT(ISNUMBER($S403))),"",IF(AND($S403&gt;='買掛帳'!$Q$3,$S403&lt;='買掛帳'!$Q$4),$S403+ROW()/10000000,""))</f>
        <v/>
      </c>
      <c r="V403" s="35">
        <f>IF(OR($B403="",$B403&lt;&gt;'買掛帳'!$B$3,NOT(ISNUMBER($K403)),N($L403)+N($M403)=0),"",IF(AND($K403&gt;='買掛帳'!$Q$3,$K403&lt;='買掛帳'!$Q$4),$K403+0.5+ROW()/10000000,""))</f>
        <v/>
      </c>
    </row>
    <row r="404" ht="18" customHeight="1">
      <c r="A404" s="26" t="n"/>
      <c r="B404" s="18" t="n"/>
      <c r="C404" s="20">
        <f>IF($B404="","",IF($R404="なし","※仕入先にないコード",INDEX('仕入先'!$C$5:$C$54,$R404)&amp;""))</f>
        <v/>
      </c>
      <c r="D404" s="26" t="n"/>
      <c r="E404" s="18" t="n"/>
      <c r="F404" s="19" t="n"/>
      <c r="G404" s="27" t="n"/>
      <c r="H404" s="29">
        <f>IF(OR($B404="",NOT(ISNUMBER($R404)),NOT(ISNUMBER($S404))),"",IF(OR(INDEX('仕入先'!$D$5:$D$54,$R404)="",INDEX('仕入先'!$E$5:$E$54,$R404)="",INDEX('仕入先'!$F$5:$F$54,$R404)=""),"",IF(INDEX('仕入先'!$F$5:$F$54,$R404)="末",DATE(YEAR($S404),(MONTH($S404)+IF(INDEX('仕入先'!$D$5:$D$54,$R404)="末",0,IF(DAY($S404)&lt;=INDEX('仕入先'!$D$5:$D$54,$R404),0,1))+N(INDEX('仕入先'!$E$5:$E$54,$R404)))+1,0),DATE(YEAR($S404),(MONTH($S404)+IF(INDEX('仕入先'!$D$5:$D$54,$R404)="末",0,IF(DAY($S404)&lt;=INDEX('仕入先'!$D$5:$D$54,$R404),0,1))+N(INDEX('仕入先'!$E$5:$E$54,$R404))),MIN(INDEX('仕入先'!$F$5:$F$54,$R404),DAY(DATE(YEAR($S404),(MONTH($S404)+IF(INDEX('仕入先'!$D$5:$D$54,$R404)="末",0,IF(DAY($S404)&lt;=INDEX('仕入先'!$D$5:$D$54,$R404),0,1))+N(INDEX('仕入先'!$E$5:$E$54,$R404)))+1,0)))))))</f>
        <v/>
      </c>
      <c r="I404" s="26" t="n"/>
      <c r="J404" s="29">
        <f>IF($B404="","",IF(ISNUMBER($I404),$I404,$H404))</f>
        <v/>
      </c>
      <c r="K404" s="26" t="n"/>
      <c r="L404" s="27" t="n"/>
      <c r="M404" s="27" t="n"/>
      <c r="N404" s="28">
        <f>IF($B404="","",N($G404)-N($L404)-N($M404))</f>
        <v/>
      </c>
      <c r="O404" s="30">
        <f>IF($B404="","",IF(AND(OR(N($L404)&lt;&gt;0,N($M404)&lt;&gt;0),NOT(ISNUMBER($K404))),"支払日なし",IF($N404=0,IF(N($G404)=0,"請求額0","支払済"),IF($N404&lt;0,"払いすぎ",IF(N($L404)+N($M404)=0,"未払","一部支払")))))</f>
        <v/>
      </c>
      <c r="P404" s="30">
        <f>IF(OR($B404="",N($N404)&lt;=0,NOT(ISNUMBER($J404))),"",IF($J404&lt;'設定'!$B$7,"期日超過 "&amp;('設定'!$B$7-$J404)&amp;"日",IF($J404='設定'!$B$7,"今日","あと "&amp;($J404-'設定'!$B$7)&amp;"日")))</f>
        <v/>
      </c>
      <c r="Q404" s="56" t="n"/>
      <c r="R404" s="32">
        <f>IF($B404="","",IFERROR(MATCH($B404,'仕入先'!$B$5:$B$54,0),"なし"))</f>
        <v/>
      </c>
      <c r="S404" s="33">
        <f>IF($B404="","",IF(ISNUMBER($D404),$D404,IF(ISNUMBER($A404),$A404,"")))</f>
        <v/>
      </c>
      <c r="T404" s="34">
        <f>IF(OR($B404="",N($N404)&lt;=0),"",IF(ISNUMBER($J404),$J404,99999)+ROW()/1000000)</f>
        <v/>
      </c>
      <c r="U404" s="35">
        <f>IF(OR($B404="",$B404&lt;&gt;'買掛帳'!$B$3,NOT(ISNUMBER($S404))),"",IF(AND($S404&gt;='買掛帳'!$Q$3,$S404&lt;='買掛帳'!$Q$4),$S404+ROW()/10000000,""))</f>
        <v/>
      </c>
      <c r="V404" s="35">
        <f>IF(OR($B404="",$B404&lt;&gt;'買掛帳'!$B$3,NOT(ISNUMBER($K404)),N($L404)+N($M404)=0),"",IF(AND($K404&gt;='買掛帳'!$Q$3,$K404&lt;='買掛帳'!$Q$4),$K404+0.5+ROW()/10000000,""))</f>
        <v/>
      </c>
    </row>
    <row r="405" ht="18" customHeight="1">
      <c r="A405" s="26" t="n"/>
      <c r="B405" s="18" t="n"/>
      <c r="C405" s="20">
        <f>IF($B405="","",IF($R405="なし","※仕入先にないコード",INDEX('仕入先'!$C$5:$C$54,$R405)&amp;""))</f>
        <v/>
      </c>
      <c r="D405" s="26" t="n"/>
      <c r="E405" s="18" t="n"/>
      <c r="F405" s="19" t="n"/>
      <c r="G405" s="27" t="n"/>
      <c r="H405" s="29">
        <f>IF(OR($B405="",NOT(ISNUMBER($R405)),NOT(ISNUMBER($S405))),"",IF(OR(INDEX('仕入先'!$D$5:$D$54,$R405)="",INDEX('仕入先'!$E$5:$E$54,$R405)="",INDEX('仕入先'!$F$5:$F$54,$R405)=""),"",IF(INDEX('仕入先'!$F$5:$F$54,$R405)="末",DATE(YEAR($S405),(MONTH($S405)+IF(INDEX('仕入先'!$D$5:$D$54,$R405)="末",0,IF(DAY($S405)&lt;=INDEX('仕入先'!$D$5:$D$54,$R405),0,1))+N(INDEX('仕入先'!$E$5:$E$54,$R405)))+1,0),DATE(YEAR($S405),(MONTH($S405)+IF(INDEX('仕入先'!$D$5:$D$54,$R405)="末",0,IF(DAY($S405)&lt;=INDEX('仕入先'!$D$5:$D$54,$R405),0,1))+N(INDEX('仕入先'!$E$5:$E$54,$R405))),MIN(INDEX('仕入先'!$F$5:$F$54,$R405),DAY(DATE(YEAR($S405),(MONTH($S405)+IF(INDEX('仕入先'!$D$5:$D$54,$R405)="末",0,IF(DAY($S405)&lt;=INDEX('仕入先'!$D$5:$D$54,$R405),0,1))+N(INDEX('仕入先'!$E$5:$E$54,$R405)))+1,0)))))))</f>
        <v/>
      </c>
      <c r="I405" s="26" t="n"/>
      <c r="J405" s="29">
        <f>IF($B405="","",IF(ISNUMBER($I405),$I405,$H405))</f>
        <v/>
      </c>
      <c r="K405" s="26" t="n"/>
      <c r="L405" s="27" t="n"/>
      <c r="M405" s="27" t="n"/>
      <c r="N405" s="28">
        <f>IF($B405="","",N($G405)-N($L405)-N($M405))</f>
        <v/>
      </c>
      <c r="O405" s="30">
        <f>IF($B405="","",IF(AND(OR(N($L405)&lt;&gt;0,N($M405)&lt;&gt;0),NOT(ISNUMBER($K405))),"支払日なし",IF($N405=0,IF(N($G405)=0,"請求額0","支払済"),IF($N405&lt;0,"払いすぎ",IF(N($L405)+N($M405)=0,"未払","一部支払")))))</f>
        <v/>
      </c>
      <c r="P405" s="30">
        <f>IF(OR($B405="",N($N405)&lt;=0,NOT(ISNUMBER($J405))),"",IF($J405&lt;'設定'!$B$7,"期日超過 "&amp;('設定'!$B$7-$J405)&amp;"日",IF($J405='設定'!$B$7,"今日","あと "&amp;($J405-'設定'!$B$7)&amp;"日")))</f>
        <v/>
      </c>
      <c r="Q405" s="56" t="n"/>
      <c r="R405" s="32">
        <f>IF($B405="","",IFERROR(MATCH($B405,'仕入先'!$B$5:$B$54,0),"なし"))</f>
        <v/>
      </c>
      <c r="S405" s="33">
        <f>IF($B405="","",IF(ISNUMBER($D405),$D405,IF(ISNUMBER($A405),$A405,"")))</f>
        <v/>
      </c>
      <c r="T405" s="34">
        <f>IF(OR($B405="",N($N405)&lt;=0),"",IF(ISNUMBER($J405),$J405,99999)+ROW()/1000000)</f>
        <v/>
      </c>
      <c r="U405" s="35">
        <f>IF(OR($B405="",$B405&lt;&gt;'買掛帳'!$B$3,NOT(ISNUMBER($S405))),"",IF(AND($S405&gt;='買掛帳'!$Q$3,$S405&lt;='買掛帳'!$Q$4),$S405+ROW()/10000000,""))</f>
        <v/>
      </c>
      <c r="V405" s="35">
        <f>IF(OR($B405="",$B405&lt;&gt;'買掛帳'!$B$3,NOT(ISNUMBER($K405)),N($L405)+N($M405)=0),"",IF(AND($K405&gt;='買掛帳'!$Q$3,$K405&lt;='買掛帳'!$Q$4),$K405+0.5+ROW()/10000000,""))</f>
        <v/>
      </c>
    </row>
    <row r="406" ht="18" customHeight="1">
      <c r="A406" s="26" t="n"/>
      <c r="B406" s="18" t="n"/>
      <c r="C406" s="20">
        <f>IF($B406="","",IF($R406="なし","※仕入先にないコード",INDEX('仕入先'!$C$5:$C$54,$R406)&amp;""))</f>
        <v/>
      </c>
      <c r="D406" s="26" t="n"/>
      <c r="E406" s="18" t="n"/>
      <c r="F406" s="19" t="n"/>
      <c r="G406" s="27" t="n"/>
      <c r="H406" s="29">
        <f>IF(OR($B406="",NOT(ISNUMBER($R406)),NOT(ISNUMBER($S406))),"",IF(OR(INDEX('仕入先'!$D$5:$D$54,$R406)="",INDEX('仕入先'!$E$5:$E$54,$R406)="",INDEX('仕入先'!$F$5:$F$54,$R406)=""),"",IF(INDEX('仕入先'!$F$5:$F$54,$R406)="末",DATE(YEAR($S406),(MONTH($S406)+IF(INDEX('仕入先'!$D$5:$D$54,$R406)="末",0,IF(DAY($S406)&lt;=INDEX('仕入先'!$D$5:$D$54,$R406),0,1))+N(INDEX('仕入先'!$E$5:$E$54,$R406)))+1,0),DATE(YEAR($S406),(MONTH($S406)+IF(INDEX('仕入先'!$D$5:$D$54,$R406)="末",0,IF(DAY($S406)&lt;=INDEX('仕入先'!$D$5:$D$54,$R406),0,1))+N(INDEX('仕入先'!$E$5:$E$54,$R406))),MIN(INDEX('仕入先'!$F$5:$F$54,$R406),DAY(DATE(YEAR($S406),(MONTH($S406)+IF(INDEX('仕入先'!$D$5:$D$54,$R406)="末",0,IF(DAY($S406)&lt;=INDEX('仕入先'!$D$5:$D$54,$R406),0,1))+N(INDEX('仕入先'!$E$5:$E$54,$R406)))+1,0)))))))</f>
        <v/>
      </c>
      <c r="I406" s="26" t="n"/>
      <c r="J406" s="29">
        <f>IF($B406="","",IF(ISNUMBER($I406),$I406,$H406))</f>
        <v/>
      </c>
      <c r="K406" s="26" t="n"/>
      <c r="L406" s="27" t="n"/>
      <c r="M406" s="27" t="n"/>
      <c r="N406" s="28">
        <f>IF($B406="","",N($G406)-N($L406)-N($M406))</f>
        <v/>
      </c>
      <c r="O406" s="30">
        <f>IF($B406="","",IF(AND(OR(N($L406)&lt;&gt;0,N($M406)&lt;&gt;0),NOT(ISNUMBER($K406))),"支払日なし",IF($N406=0,IF(N($G406)=0,"請求額0","支払済"),IF($N406&lt;0,"払いすぎ",IF(N($L406)+N($M406)=0,"未払","一部支払")))))</f>
        <v/>
      </c>
      <c r="P406" s="30">
        <f>IF(OR($B406="",N($N406)&lt;=0,NOT(ISNUMBER($J406))),"",IF($J406&lt;'設定'!$B$7,"期日超過 "&amp;('設定'!$B$7-$J406)&amp;"日",IF($J406='設定'!$B$7,"今日","あと "&amp;($J406-'設定'!$B$7)&amp;"日")))</f>
        <v/>
      </c>
      <c r="Q406" s="56" t="n"/>
      <c r="R406" s="32">
        <f>IF($B406="","",IFERROR(MATCH($B406,'仕入先'!$B$5:$B$54,0),"なし"))</f>
        <v/>
      </c>
      <c r="S406" s="33">
        <f>IF($B406="","",IF(ISNUMBER($D406),$D406,IF(ISNUMBER($A406),$A406,"")))</f>
        <v/>
      </c>
      <c r="T406" s="34">
        <f>IF(OR($B406="",N($N406)&lt;=0),"",IF(ISNUMBER($J406),$J406,99999)+ROW()/1000000)</f>
        <v/>
      </c>
      <c r="U406" s="35">
        <f>IF(OR($B406="",$B406&lt;&gt;'買掛帳'!$B$3,NOT(ISNUMBER($S406))),"",IF(AND($S406&gt;='買掛帳'!$Q$3,$S406&lt;='買掛帳'!$Q$4),$S406+ROW()/10000000,""))</f>
        <v/>
      </c>
      <c r="V406" s="35">
        <f>IF(OR($B406="",$B406&lt;&gt;'買掛帳'!$B$3,NOT(ISNUMBER($K406)),N($L406)+N($M406)=0),"",IF(AND($K406&gt;='買掛帳'!$Q$3,$K406&lt;='買掛帳'!$Q$4),$K406+0.5+ROW()/10000000,""))</f>
        <v/>
      </c>
    </row>
    <row r="407" ht="18" customHeight="1">
      <c r="A407" s="26" t="n"/>
      <c r="B407" s="18" t="n"/>
      <c r="C407" s="20">
        <f>IF($B407="","",IF($R407="なし","※仕入先にないコード",INDEX('仕入先'!$C$5:$C$54,$R407)&amp;""))</f>
        <v/>
      </c>
      <c r="D407" s="26" t="n"/>
      <c r="E407" s="18" t="n"/>
      <c r="F407" s="19" t="n"/>
      <c r="G407" s="27" t="n"/>
      <c r="H407" s="29">
        <f>IF(OR($B407="",NOT(ISNUMBER($R407)),NOT(ISNUMBER($S407))),"",IF(OR(INDEX('仕入先'!$D$5:$D$54,$R407)="",INDEX('仕入先'!$E$5:$E$54,$R407)="",INDEX('仕入先'!$F$5:$F$54,$R407)=""),"",IF(INDEX('仕入先'!$F$5:$F$54,$R407)="末",DATE(YEAR($S407),(MONTH($S407)+IF(INDEX('仕入先'!$D$5:$D$54,$R407)="末",0,IF(DAY($S407)&lt;=INDEX('仕入先'!$D$5:$D$54,$R407),0,1))+N(INDEX('仕入先'!$E$5:$E$54,$R407)))+1,0),DATE(YEAR($S407),(MONTH($S407)+IF(INDEX('仕入先'!$D$5:$D$54,$R407)="末",0,IF(DAY($S407)&lt;=INDEX('仕入先'!$D$5:$D$54,$R407),0,1))+N(INDEX('仕入先'!$E$5:$E$54,$R407))),MIN(INDEX('仕入先'!$F$5:$F$54,$R407),DAY(DATE(YEAR($S407),(MONTH($S407)+IF(INDEX('仕入先'!$D$5:$D$54,$R407)="末",0,IF(DAY($S407)&lt;=INDEX('仕入先'!$D$5:$D$54,$R407),0,1))+N(INDEX('仕入先'!$E$5:$E$54,$R407)))+1,0)))))))</f>
        <v/>
      </c>
      <c r="I407" s="26" t="n"/>
      <c r="J407" s="29">
        <f>IF($B407="","",IF(ISNUMBER($I407),$I407,$H407))</f>
        <v/>
      </c>
      <c r="K407" s="26" t="n"/>
      <c r="L407" s="27" t="n"/>
      <c r="M407" s="27" t="n"/>
      <c r="N407" s="28">
        <f>IF($B407="","",N($G407)-N($L407)-N($M407))</f>
        <v/>
      </c>
      <c r="O407" s="30">
        <f>IF($B407="","",IF(AND(OR(N($L407)&lt;&gt;0,N($M407)&lt;&gt;0),NOT(ISNUMBER($K407))),"支払日なし",IF($N407=0,IF(N($G407)=0,"請求額0","支払済"),IF($N407&lt;0,"払いすぎ",IF(N($L407)+N($M407)=0,"未払","一部支払")))))</f>
        <v/>
      </c>
      <c r="P407" s="30">
        <f>IF(OR($B407="",N($N407)&lt;=0,NOT(ISNUMBER($J407))),"",IF($J407&lt;'設定'!$B$7,"期日超過 "&amp;('設定'!$B$7-$J407)&amp;"日",IF($J407='設定'!$B$7,"今日","あと "&amp;($J407-'設定'!$B$7)&amp;"日")))</f>
        <v/>
      </c>
      <c r="Q407" s="56" t="n"/>
      <c r="R407" s="32">
        <f>IF($B407="","",IFERROR(MATCH($B407,'仕入先'!$B$5:$B$54,0),"なし"))</f>
        <v/>
      </c>
      <c r="S407" s="33">
        <f>IF($B407="","",IF(ISNUMBER($D407),$D407,IF(ISNUMBER($A407),$A407,"")))</f>
        <v/>
      </c>
      <c r="T407" s="34">
        <f>IF(OR($B407="",N($N407)&lt;=0),"",IF(ISNUMBER($J407),$J407,99999)+ROW()/1000000)</f>
        <v/>
      </c>
      <c r="U407" s="35">
        <f>IF(OR($B407="",$B407&lt;&gt;'買掛帳'!$B$3,NOT(ISNUMBER($S407))),"",IF(AND($S407&gt;='買掛帳'!$Q$3,$S407&lt;='買掛帳'!$Q$4),$S407+ROW()/10000000,""))</f>
        <v/>
      </c>
      <c r="V407" s="35">
        <f>IF(OR($B407="",$B407&lt;&gt;'買掛帳'!$B$3,NOT(ISNUMBER($K407)),N($L407)+N($M407)=0),"",IF(AND($K407&gt;='買掛帳'!$Q$3,$K407&lt;='買掛帳'!$Q$4),$K407+0.5+ROW()/10000000,""))</f>
        <v/>
      </c>
    </row>
    <row r="408" ht="18" customHeight="1">
      <c r="A408" s="26" t="n"/>
      <c r="B408" s="18" t="n"/>
      <c r="C408" s="20">
        <f>IF($B408="","",IF($R408="なし","※仕入先にないコード",INDEX('仕入先'!$C$5:$C$54,$R408)&amp;""))</f>
        <v/>
      </c>
      <c r="D408" s="26" t="n"/>
      <c r="E408" s="18" t="n"/>
      <c r="F408" s="19" t="n"/>
      <c r="G408" s="27" t="n"/>
      <c r="H408" s="29">
        <f>IF(OR($B408="",NOT(ISNUMBER($R408)),NOT(ISNUMBER($S408))),"",IF(OR(INDEX('仕入先'!$D$5:$D$54,$R408)="",INDEX('仕入先'!$E$5:$E$54,$R408)="",INDEX('仕入先'!$F$5:$F$54,$R408)=""),"",IF(INDEX('仕入先'!$F$5:$F$54,$R408)="末",DATE(YEAR($S408),(MONTH($S408)+IF(INDEX('仕入先'!$D$5:$D$54,$R408)="末",0,IF(DAY($S408)&lt;=INDEX('仕入先'!$D$5:$D$54,$R408),0,1))+N(INDEX('仕入先'!$E$5:$E$54,$R408)))+1,0),DATE(YEAR($S408),(MONTH($S408)+IF(INDEX('仕入先'!$D$5:$D$54,$R408)="末",0,IF(DAY($S408)&lt;=INDEX('仕入先'!$D$5:$D$54,$R408),0,1))+N(INDEX('仕入先'!$E$5:$E$54,$R408))),MIN(INDEX('仕入先'!$F$5:$F$54,$R408),DAY(DATE(YEAR($S408),(MONTH($S408)+IF(INDEX('仕入先'!$D$5:$D$54,$R408)="末",0,IF(DAY($S408)&lt;=INDEX('仕入先'!$D$5:$D$54,$R408),0,1))+N(INDEX('仕入先'!$E$5:$E$54,$R408)))+1,0)))))))</f>
        <v/>
      </c>
      <c r="I408" s="26" t="n"/>
      <c r="J408" s="29">
        <f>IF($B408="","",IF(ISNUMBER($I408),$I408,$H408))</f>
        <v/>
      </c>
      <c r="K408" s="26" t="n"/>
      <c r="L408" s="27" t="n"/>
      <c r="M408" s="27" t="n"/>
      <c r="N408" s="28">
        <f>IF($B408="","",N($G408)-N($L408)-N($M408))</f>
        <v/>
      </c>
      <c r="O408" s="30">
        <f>IF($B408="","",IF(AND(OR(N($L408)&lt;&gt;0,N($M408)&lt;&gt;0),NOT(ISNUMBER($K408))),"支払日なし",IF($N408=0,IF(N($G408)=0,"請求額0","支払済"),IF($N408&lt;0,"払いすぎ",IF(N($L408)+N($M408)=0,"未払","一部支払")))))</f>
        <v/>
      </c>
      <c r="P408" s="30">
        <f>IF(OR($B408="",N($N408)&lt;=0,NOT(ISNUMBER($J408))),"",IF($J408&lt;'設定'!$B$7,"期日超過 "&amp;('設定'!$B$7-$J408)&amp;"日",IF($J408='設定'!$B$7,"今日","あと "&amp;($J408-'設定'!$B$7)&amp;"日")))</f>
        <v/>
      </c>
      <c r="Q408" s="56" t="n"/>
      <c r="R408" s="32">
        <f>IF($B408="","",IFERROR(MATCH($B408,'仕入先'!$B$5:$B$54,0),"なし"))</f>
        <v/>
      </c>
      <c r="S408" s="33">
        <f>IF($B408="","",IF(ISNUMBER($D408),$D408,IF(ISNUMBER($A408),$A408,"")))</f>
        <v/>
      </c>
      <c r="T408" s="34">
        <f>IF(OR($B408="",N($N408)&lt;=0),"",IF(ISNUMBER($J408),$J408,99999)+ROW()/1000000)</f>
        <v/>
      </c>
      <c r="U408" s="35">
        <f>IF(OR($B408="",$B408&lt;&gt;'買掛帳'!$B$3,NOT(ISNUMBER($S408))),"",IF(AND($S408&gt;='買掛帳'!$Q$3,$S408&lt;='買掛帳'!$Q$4),$S408+ROW()/10000000,""))</f>
        <v/>
      </c>
      <c r="V408" s="35">
        <f>IF(OR($B408="",$B408&lt;&gt;'買掛帳'!$B$3,NOT(ISNUMBER($K408)),N($L408)+N($M408)=0),"",IF(AND($K408&gt;='買掛帳'!$Q$3,$K408&lt;='買掛帳'!$Q$4),$K408+0.5+ROW()/10000000,""))</f>
        <v/>
      </c>
    </row>
    <row r="409" ht="18" customHeight="1">
      <c r="A409" s="26" t="n"/>
      <c r="B409" s="18" t="n"/>
      <c r="C409" s="20">
        <f>IF($B409="","",IF($R409="なし","※仕入先にないコード",INDEX('仕入先'!$C$5:$C$54,$R409)&amp;""))</f>
        <v/>
      </c>
      <c r="D409" s="26" t="n"/>
      <c r="E409" s="18" t="n"/>
      <c r="F409" s="19" t="n"/>
      <c r="G409" s="27" t="n"/>
      <c r="H409" s="29">
        <f>IF(OR($B409="",NOT(ISNUMBER($R409)),NOT(ISNUMBER($S409))),"",IF(OR(INDEX('仕入先'!$D$5:$D$54,$R409)="",INDEX('仕入先'!$E$5:$E$54,$R409)="",INDEX('仕入先'!$F$5:$F$54,$R409)=""),"",IF(INDEX('仕入先'!$F$5:$F$54,$R409)="末",DATE(YEAR($S409),(MONTH($S409)+IF(INDEX('仕入先'!$D$5:$D$54,$R409)="末",0,IF(DAY($S409)&lt;=INDEX('仕入先'!$D$5:$D$54,$R409),0,1))+N(INDEX('仕入先'!$E$5:$E$54,$R409)))+1,0),DATE(YEAR($S409),(MONTH($S409)+IF(INDEX('仕入先'!$D$5:$D$54,$R409)="末",0,IF(DAY($S409)&lt;=INDEX('仕入先'!$D$5:$D$54,$R409),0,1))+N(INDEX('仕入先'!$E$5:$E$54,$R409))),MIN(INDEX('仕入先'!$F$5:$F$54,$R409),DAY(DATE(YEAR($S409),(MONTH($S409)+IF(INDEX('仕入先'!$D$5:$D$54,$R409)="末",0,IF(DAY($S409)&lt;=INDEX('仕入先'!$D$5:$D$54,$R409),0,1))+N(INDEX('仕入先'!$E$5:$E$54,$R409)))+1,0)))))))</f>
        <v/>
      </c>
      <c r="I409" s="26" t="n"/>
      <c r="J409" s="29">
        <f>IF($B409="","",IF(ISNUMBER($I409),$I409,$H409))</f>
        <v/>
      </c>
      <c r="K409" s="26" t="n"/>
      <c r="L409" s="27" t="n"/>
      <c r="M409" s="27" t="n"/>
      <c r="N409" s="28">
        <f>IF($B409="","",N($G409)-N($L409)-N($M409))</f>
        <v/>
      </c>
      <c r="O409" s="30">
        <f>IF($B409="","",IF(AND(OR(N($L409)&lt;&gt;0,N($M409)&lt;&gt;0),NOT(ISNUMBER($K409))),"支払日なし",IF($N409=0,IF(N($G409)=0,"請求額0","支払済"),IF($N409&lt;0,"払いすぎ",IF(N($L409)+N($M409)=0,"未払","一部支払")))))</f>
        <v/>
      </c>
      <c r="P409" s="30">
        <f>IF(OR($B409="",N($N409)&lt;=0,NOT(ISNUMBER($J409))),"",IF($J409&lt;'設定'!$B$7,"期日超過 "&amp;('設定'!$B$7-$J409)&amp;"日",IF($J409='設定'!$B$7,"今日","あと "&amp;($J409-'設定'!$B$7)&amp;"日")))</f>
        <v/>
      </c>
      <c r="Q409" s="56" t="n"/>
      <c r="R409" s="32">
        <f>IF($B409="","",IFERROR(MATCH($B409,'仕入先'!$B$5:$B$54,0),"なし"))</f>
        <v/>
      </c>
      <c r="S409" s="33">
        <f>IF($B409="","",IF(ISNUMBER($D409),$D409,IF(ISNUMBER($A409),$A409,"")))</f>
        <v/>
      </c>
      <c r="T409" s="34">
        <f>IF(OR($B409="",N($N409)&lt;=0),"",IF(ISNUMBER($J409),$J409,99999)+ROW()/1000000)</f>
        <v/>
      </c>
      <c r="U409" s="35">
        <f>IF(OR($B409="",$B409&lt;&gt;'買掛帳'!$B$3,NOT(ISNUMBER($S409))),"",IF(AND($S409&gt;='買掛帳'!$Q$3,$S409&lt;='買掛帳'!$Q$4),$S409+ROW()/10000000,""))</f>
        <v/>
      </c>
      <c r="V409" s="35">
        <f>IF(OR($B409="",$B409&lt;&gt;'買掛帳'!$B$3,NOT(ISNUMBER($K409)),N($L409)+N($M409)=0),"",IF(AND($K409&gt;='買掛帳'!$Q$3,$K409&lt;='買掛帳'!$Q$4),$K409+0.5+ROW()/10000000,""))</f>
        <v/>
      </c>
    </row>
    <row r="410" ht="18" customHeight="1">
      <c r="A410" s="26" t="n"/>
      <c r="B410" s="18" t="n"/>
      <c r="C410" s="20">
        <f>IF($B410="","",IF($R410="なし","※仕入先にないコード",INDEX('仕入先'!$C$5:$C$54,$R410)&amp;""))</f>
        <v/>
      </c>
      <c r="D410" s="26" t="n"/>
      <c r="E410" s="18" t="n"/>
      <c r="F410" s="19" t="n"/>
      <c r="G410" s="27" t="n"/>
      <c r="H410" s="29">
        <f>IF(OR($B410="",NOT(ISNUMBER($R410)),NOT(ISNUMBER($S410))),"",IF(OR(INDEX('仕入先'!$D$5:$D$54,$R410)="",INDEX('仕入先'!$E$5:$E$54,$R410)="",INDEX('仕入先'!$F$5:$F$54,$R410)=""),"",IF(INDEX('仕入先'!$F$5:$F$54,$R410)="末",DATE(YEAR($S410),(MONTH($S410)+IF(INDEX('仕入先'!$D$5:$D$54,$R410)="末",0,IF(DAY($S410)&lt;=INDEX('仕入先'!$D$5:$D$54,$R410),0,1))+N(INDEX('仕入先'!$E$5:$E$54,$R410)))+1,0),DATE(YEAR($S410),(MONTH($S410)+IF(INDEX('仕入先'!$D$5:$D$54,$R410)="末",0,IF(DAY($S410)&lt;=INDEX('仕入先'!$D$5:$D$54,$R410),0,1))+N(INDEX('仕入先'!$E$5:$E$54,$R410))),MIN(INDEX('仕入先'!$F$5:$F$54,$R410),DAY(DATE(YEAR($S410),(MONTH($S410)+IF(INDEX('仕入先'!$D$5:$D$54,$R410)="末",0,IF(DAY($S410)&lt;=INDEX('仕入先'!$D$5:$D$54,$R410),0,1))+N(INDEX('仕入先'!$E$5:$E$54,$R410)))+1,0)))))))</f>
        <v/>
      </c>
      <c r="I410" s="26" t="n"/>
      <c r="J410" s="29">
        <f>IF($B410="","",IF(ISNUMBER($I410),$I410,$H410))</f>
        <v/>
      </c>
      <c r="K410" s="26" t="n"/>
      <c r="L410" s="27" t="n"/>
      <c r="M410" s="27" t="n"/>
      <c r="N410" s="28">
        <f>IF($B410="","",N($G410)-N($L410)-N($M410))</f>
        <v/>
      </c>
      <c r="O410" s="30">
        <f>IF($B410="","",IF(AND(OR(N($L410)&lt;&gt;0,N($M410)&lt;&gt;0),NOT(ISNUMBER($K410))),"支払日なし",IF($N410=0,IF(N($G410)=0,"請求額0","支払済"),IF($N410&lt;0,"払いすぎ",IF(N($L410)+N($M410)=0,"未払","一部支払")))))</f>
        <v/>
      </c>
      <c r="P410" s="30">
        <f>IF(OR($B410="",N($N410)&lt;=0,NOT(ISNUMBER($J410))),"",IF($J410&lt;'設定'!$B$7,"期日超過 "&amp;('設定'!$B$7-$J410)&amp;"日",IF($J410='設定'!$B$7,"今日","あと "&amp;($J410-'設定'!$B$7)&amp;"日")))</f>
        <v/>
      </c>
      <c r="Q410" s="56" t="n"/>
      <c r="R410" s="32">
        <f>IF($B410="","",IFERROR(MATCH($B410,'仕入先'!$B$5:$B$54,0),"なし"))</f>
        <v/>
      </c>
      <c r="S410" s="33">
        <f>IF($B410="","",IF(ISNUMBER($D410),$D410,IF(ISNUMBER($A410),$A410,"")))</f>
        <v/>
      </c>
      <c r="T410" s="34">
        <f>IF(OR($B410="",N($N410)&lt;=0),"",IF(ISNUMBER($J410),$J410,99999)+ROW()/1000000)</f>
        <v/>
      </c>
      <c r="U410" s="35">
        <f>IF(OR($B410="",$B410&lt;&gt;'買掛帳'!$B$3,NOT(ISNUMBER($S410))),"",IF(AND($S410&gt;='買掛帳'!$Q$3,$S410&lt;='買掛帳'!$Q$4),$S410+ROW()/10000000,""))</f>
        <v/>
      </c>
      <c r="V410" s="35">
        <f>IF(OR($B410="",$B410&lt;&gt;'買掛帳'!$B$3,NOT(ISNUMBER($K410)),N($L410)+N($M410)=0),"",IF(AND($K410&gt;='買掛帳'!$Q$3,$K410&lt;='買掛帳'!$Q$4),$K410+0.5+ROW()/10000000,""))</f>
        <v/>
      </c>
    </row>
    <row r="411" ht="18" customHeight="1">
      <c r="A411" s="26" t="n"/>
      <c r="B411" s="18" t="n"/>
      <c r="C411" s="20">
        <f>IF($B411="","",IF($R411="なし","※仕入先にないコード",INDEX('仕入先'!$C$5:$C$54,$R411)&amp;""))</f>
        <v/>
      </c>
      <c r="D411" s="26" t="n"/>
      <c r="E411" s="18" t="n"/>
      <c r="F411" s="19" t="n"/>
      <c r="G411" s="27" t="n"/>
      <c r="H411" s="29">
        <f>IF(OR($B411="",NOT(ISNUMBER($R411)),NOT(ISNUMBER($S411))),"",IF(OR(INDEX('仕入先'!$D$5:$D$54,$R411)="",INDEX('仕入先'!$E$5:$E$54,$R411)="",INDEX('仕入先'!$F$5:$F$54,$R411)=""),"",IF(INDEX('仕入先'!$F$5:$F$54,$R411)="末",DATE(YEAR($S411),(MONTH($S411)+IF(INDEX('仕入先'!$D$5:$D$54,$R411)="末",0,IF(DAY($S411)&lt;=INDEX('仕入先'!$D$5:$D$54,$R411),0,1))+N(INDEX('仕入先'!$E$5:$E$54,$R411)))+1,0),DATE(YEAR($S411),(MONTH($S411)+IF(INDEX('仕入先'!$D$5:$D$54,$R411)="末",0,IF(DAY($S411)&lt;=INDEX('仕入先'!$D$5:$D$54,$R411),0,1))+N(INDEX('仕入先'!$E$5:$E$54,$R411))),MIN(INDEX('仕入先'!$F$5:$F$54,$R411),DAY(DATE(YEAR($S411),(MONTH($S411)+IF(INDEX('仕入先'!$D$5:$D$54,$R411)="末",0,IF(DAY($S411)&lt;=INDEX('仕入先'!$D$5:$D$54,$R411),0,1))+N(INDEX('仕入先'!$E$5:$E$54,$R411)))+1,0)))))))</f>
        <v/>
      </c>
      <c r="I411" s="26" t="n"/>
      <c r="J411" s="29">
        <f>IF($B411="","",IF(ISNUMBER($I411),$I411,$H411))</f>
        <v/>
      </c>
      <c r="K411" s="26" t="n"/>
      <c r="L411" s="27" t="n"/>
      <c r="M411" s="27" t="n"/>
      <c r="N411" s="28">
        <f>IF($B411="","",N($G411)-N($L411)-N($M411))</f>
        <v/>
      </c>
      <c r="O411" s="30">
        <f>IF($B411="","",IF(AND(OR(N($L411)&lt;&gt;0,N($M411)&lt;&gt;0),NOT(ISNUMBER($K411))),"支払日なし",IF($N411=0,IF(N($G411)=0,"請求額0","支払済"),IF($N411&lt;0,"払いすぎ",IF(N($L411)+N($M411)=0,"未払","一部支払")))))</f>
        <v/>
      </c>
      <c r="P411" s="30">
        <f>IF(OR($B411="",N($N411)&lt;=0,NOT(ISNUMBER($J411))),"",IF($J411&lt;'設定'!$B$7,"期日超過 "&amp;('設定'!$B$7-$J411)&amp;"日",IF($J411='設定'!$B$7,"今日","あと "&amp;($J411-'設定'!$B$7)&amp;"日")))</f>
        <v/>
      </c>
      <c r="Q411" s="56" t="n"/>
      <c r="R411" s="32">
        <f>IF($B411="","",IFERROR(MATCH($B411,'仕入先'!$B$5:$B$54,0),"なし"))</f>
        <v/>
      </c>
      <c r="S411" s="33">
        <f>IF($B411="","",IF(ISNUMBER($D411),$D411,IF(ISNUMBER($A411),$A411,"")))</f>
        <v/>
      </c>
      <c r="T411" s="34">
        <f>IF(OR($B411="",N($N411)&lt;=0),"",IF(ISNUMBER($J411),$J411,99999)+ROW()/1000000)</f>
        <v/>
      </c>
      <c r="U411" s="35">
        <f>IF(OR($B411="",$B411&lt;&gt;'買掛帳'!$B$3,NOT(ISNUMBER($S411))),"",IF(AND($S411&gt;='買掛帳'!$Q$3,$S411&lt;='買掛帳'!$Q$4),$S411+ROW()/10000000,""))</f>
        <v/>
      </c>
      <c r="V411" s="35">
        <f>IF(OR($B411="",$B411&lt;&gt;'買掛帳'!$B$3,NOT(ISNUMBER($K411)),N($L411)+N($M411)=0),"",IF(AND($K411&gt;='買掛帳'!$Q$3,$K411&lt;='買掛帳'!$Q$4),$K411+0.5+ROW()/10000000,""))</f>
        <v/>
      </c>
    </row>
    <row r="412" ht="18" customHeight="1">
      <c r="A412" s="26" t="n"/>
      <c r="B412" s="18" t="n"/>
      <c r="C412" s="20">
        <f>IF($B412="","",IF($R412="なし","※仕入先にないコード",INDEX('仕入先'!$C$5:$C$54,$R412)&amp;""))</f>
        <v/>
      </c>
      <c r="D412" s="26" t="n"/>
      <c r="E412" s="18" t="n"/>
      <c r="F412" s="19" t="n"/>
      <c r="G412" s="27" t="n"/>
      <c r="H412" s="29">
        <f>IF(OR($B412="",NOT(ISNUMBER($R412)),NOT(ISNUMBER($S412))),"",IF(OR(INDEX('仕入先'!$D$5:$D$54,$R412)="",INDEX('仕入先'!$E$5:$E$54,$R412)="",INDEX('仕入先'!$F$5:$F$54,$R412)=""),"",IF(INDEX('仕入先'!$F$5:$F$54,$R412)="末",DATE(YEAR($S412),(MONTH($S412)+IF(INDEX('仕入先'!$D$5:$D$54,$R412)="末",0,IF(DAY($S412)&lt;=INDEX('仕入先'!$D$5:$D$54,$R412),0,1))+N(INDEX('仕入先'!$E$5:$E$54,$R412)))+1,0),DATE(YEAR($S412),(MONTH($S412)+IF(INDEX('仕入先'!$D$5:$D$54,$R412)="末",0,IF(DAY($S412)&lt;=INDEX('仕入先'!$D$5:$D$54,$R412),0,1))+N(INDEX('仕入先'!$E$5:$E$54,$R412))),MIN(INDEX('仕入先'!$F$5:$F$54,$R412),DAY(DATE(YEAR($S412),(MONTH($S412)+IF(INDEX('仕入先'!$D$5:$D$54,$R412)="末",0,IF(DAY($S412)&lt;=INDEX('仕入先'!$D$5:$D$54,$R412),0,1))+N(INDEX('仕入先'!$E$5:$E$54,$R412)))+1,0)))))))</f>
        <v/>
      </c>
      <c r="I412" s="26" t="n"/>
      <c r="J412" s="29">
        <f>IF($B412="","",IF(ISNUMBER($I412),$I412,$H412))</f>
        <v/>
      </c>
      <c r="K412" s="26" t="n"/>
      <c r="L412" s="27" t="n"/>
      <c r="M412" s="27" t="n"/>
      <c r="N412" s="28">
        <f>IF($B412="","",N($G412)-N($L412)-N($M412))</f>
        <v/>
      </c>
      <c r="O412" s="30">
        <f>IF($B412="","",IF(AND(OR(N($L412)&lt;&gt;0,N($M412)&lt;&gt;0),NOT(ISNUMBER($K412))),"支払日なし",IF($N412=0,IF(N($G412)=0,"請求額0","支払済"),IF($N412&lt;0,"払いすぎ",IF(N($L412)+N($M412)=0,"未払","一部支払")))))</f>
        <v/>
      </c>
      <c r="P412" s="30">
        <f>IF(OR($B412="",N($N412)&lt;=0,NOT(ISNUMBER($J412))),"",IF($J412&lt;'設定'!$B$7,"期日超過 "&amp;('設定'!$B$7-$J412)&amp;"日",IF($J412='設定'!$B$7,"今日","あと "&amp;($J412-'設定'!$B$7)&amp;"日")))</f>
        <v/>
      </c>
      <c r="Q412" s="56" t="n"/>
      <c r="R412" s="32">
        <f>IF($B412="","",IFERROR(MATCH($B412,'仕入先'!$B$5:$B$54,0),"なし"))</f>
        <v/>
      </c>
      <c r="S412" s="33">
        <f>IF($B412="","",IF(ISNUMBER($D412),$D412,IF(ISNUMBER($A412),$A412,"")))</f>
        <v/>
      </c>
      <c r="T412" s="34">
        <f>IF(OR($B412="",N($N412)&lt;=0),"",IF(ISNUMBER($J412),$J412,99999)+ROW()/1000000)</f>
        <v/>
      </c>
      <c r="U412" s="35">
        <f>IF(OR($B412="",$B412&lt;&gt;'買掛帳'!$B$3,NOT(ISNUMBER($S412))),"",IF(AND($S412&gt;='買掛帳'!$Q$3,$S412&lt;='買掛帳'!$Q$4),$S412+ROW()/10000000,""))</f>
        <v/>
      </c>
      <c r="V412" s="35">
        <f>IF(OR($B412="",$B412&lt;&gt;'買掛帳'!$B$3,NOT(ISNUMBER($K412)),N($L412)+N($M412)=0),"",IF(AND($K412&gt;='買掛帳'!$Q$3,$K412&lt;='買掛帳'!$Q$4),$K412+0.5+ROW()/10000000,""))</f>
        <v/>
      </c>
    </row>
    <row r="413" ht="18" customHeight="1">
      <c r="A413" s="26" t="n"/>
      <c r="B413" s="18" t="n"/>
      <c r="C413" s="20">
        <f>IF($B413="","",IF($R413="なし","※仕入先にないコード",INDEX('仕入先'!$C$5:$C$54,$R413)&amp;""))</f>
        <v/>
      </c>
      <c r="D413" s="26" t="n"/>
      <c r="E413" s="18" t="n"/>
      <c r="F413" s="19" t="n"/>
      <c r="G413" s="27" t="n"/>
      <c r="H413" s="29">
        <f>IF(OR($B413="",NOT(ISNUMBER($R413)),NOT(ISNUMBER($S413))),"",IF(OR(INDEX('仕入先'!$D$5:$D$54,$R413)="",INDEX('仕入先'!$E$5:$E$54,$R413)="",INDEX('仕入先'!$F$5:$F$54,$R413)=""),"",IF(INDEX('仕入先'!$F$5:$F$54,$R413)="末",DATE(YEAR($S413),(MONTH($S413)+IF(INDEX('仕入先'!$D$5:$D$54,$R413)="末",0,IF(DAY($S413)&lt;=INDEX('仕入先'!$D$5:$D$54,$R413),0,1))+N(INDEX('仕入先'!$E$5:$E$54,$R413)))+1,0),DATE(YEAR($S413),(MONTH($S413)+IF(INDEX('仕入先'!$D$5:$D$54,$R413)="末",0,IF(DAY($S413)&lt;=INDEX('仕入先'!$D$5:$D$54,$R413),0,1))+N(INDEX('仕入先'!$E$5:$E$54,$R413))),MIN(INDEX('仕入先'!$F$5:$F$54,$R413),DAY(DATE(YEAR($S413),(MONTH($S413)+IF(INDEX('仕入先'!$D$5:$D$54,$R413)="末",0,IF(DAY($S413)&lt;=INDEX('仕入先'!$D$5:$D$54,$R413),0,1))+N(INDEX('仕入先'!$E$5:$E$54,$R413)))+1,0)))))))</f>
        <v/>
      </c>
      <c r="I413" s="26" t="n"/>
      <c r="J413" s="29">
        <f>IF($B413="","",IF(ISNUMBER($I413),$I413,$H413))</f>
        <v/>
      </c>
      <c r="K413" s="26" t="n"/>
      <c r="L413" s="27" t="n"/>
      <c r="M413" s="27" t="n"/>
      <c r="N413" s="28">
        <f>IF($B413="","",N($G413)-N($L413)-N($M413))</f>
        <v/>
      </c>
      <c r="O413" s="30">
        <f>IF($B413="","",IF(AND(OR(N($L413)&lt;&gt;0,N($M413)&lt;&gt;0),NOT(ISNUMBER($K413))),"支払日なし",IF($N413=0,IF(N($G413)=0,"請求額0","支払済"),IF($N413&lt;0,"払いすぎ",IF(N($L413)+N($M413)=0,"未払","一部支払")))))</f>
        <v/>
      </c>
      <c r="P413" s="30">
        <f>IF(OR($B413="",N($N413)&lt;=0,NOT(ISNUMBER($J413))),"",IF($J413&lt;'設定'!$B$7,"期日超過 "&amp;('設定'!$B$7-$J413)&amp;"日",IF($J413='設定'!$B$7,"今日","あと "&amp;($J413-'設定'!$B$7)&amp;"日")))</f>
        <v/>
      </c>
      <c r="Q413" s="56" t="n"/>
      <c r="R413" s="32">
        <f>IF($B413="","",IFERROR(MATCH($B413,'仕入先'!$B$5:$B$54,0),"なし"))</f>
        <v/>
      </c>
      <c r="S413" s="33">
        <f>IF($B413="","",IF(ISNUMBER($D413),$D413,IF(ISNUMBER($A413),$A413,"")))</f>
        <v/>
      </c>
      <c r="T413" s="34">
        <f>IF(OR($B413="",N($N413)&lt;=0),"",IF(ISNUMBER($J413),$J413,99999)+ROW()/1000000)</f>
        <v/>
      </c>
      <c r="U413" s="35">
        <f>IF(OR($B413="",$B413&lt;&gt;'買掛帳'!$B$3,NOT(ISNUMBER($S413))),"",IF(AND($S413&gt;='買掛帳'!$Q$3,$S413&lt;='買掛帳'!$Q$4),$S413+ROW()/10000000,""))</f>
        <v/>
      </c>
      <c r="V413" s="35">
        <f>IF(OR($B413="",$B413&lt;&gt;'買掛帳'!$B$3,NOT(ISNUMBER($K413)),N($L413)+N($M413)=0),"",IF(AND($K413&gt;='買掛帳'!$Q$3,$K413&lt;='買掛帳'!$Q$4),$K413+0.5+ROW()/10000000,""))</f>
        <v/>
      </c>
    </row>
    <row r="414" ht="18" customHeight="1">
      <c r="A414" s="26" t="n"/>
      <c r="B414" s="18" t="n"/>
      <c r="C414" s="20">
        <f>IF($B414="","",IF($R414="なし","※仕入先にないコード",INDEX('仕入先'!$C$5:$C$54,$R414)&amp;""))</f>
        <v/>
      </c>
      <c r="D414" s="26" t="n"/>
      <c r="E414" s="18" t="n"/>
      <c r="F414" s="19" t="n"/>
      <c r="G414" s="27" t="n"/>
      <c r="H414" s="29">
        <f>IF(OR($B414="",NOT(ISNUMBER($R414)),NOT(ISNUMBER($S414))),"",IF(OR(INDEX('仕入先'!$D$5:$D$54,$R414)="",INDEX('仕入先'!$E$5:$E$54,$R414)="",INDEX('仕入先'!$F$5:$F$54,$R414)=""),"",IF(INDEX('仕入先'!$F$5:$F$54,$R414)="末",DATE(YEAR($S414),(MONTH($S414)+IF(INDEX('仕入先'!$D$5:$D$54,$R414)="末",0,IF(DAY($S414)&lt;=INDEX('仕入先'!$D$5:$D$54,$R414),0,1))+N(INDEX('仕入先'!$E$5:$E$54,$R414)))+1,0),DATE(YEAR($S414),(MONTH($S414)+IF(INDEX('仕入先'!$D$5:$D$54,$R414)="末",0,IF(DAY($S414)&lt;=INDEX('仕入先'!$D$5:$D$54,$R414),0,1))+N(INDEX('仕入先'!$E$5:$E$54,$R414))),MIN(INDEX('仕入先'!$F$5:$F$54,$R414),DAY(DATE(YEAR($S414),(MONTH($S414)+IF(INDEX('仕入先'!$D$5:$D$54,$R414)="末",0,IF(DAY($S414)&lt;=INDEX('仕入先'!$D$5:$D$54,$R414),0,1))+N(INDEX('仕入先'!$E$5:$E$54,$R414)))+1,0)))))))</f>
        <v/>
      </c>
      <c r="I414" s="26" t="n"/>
      <c r="J414" s="29">
        <f>IF($B414="","",IF(ISNUMBER($I414),$I414,$H414))</f>
        <v/>
      </c>
      <c r="K414" s="26" t="n"/>
      <c r="L414" s="27" t="n"/>
      <c r="M414" s="27" t="n"/>
      <c r="N414" s="28">
        <f>IF($B414="","",N($G414)-N($L414)-N($M414))</f>
        <v/>
      </c>
      <c r="O414" s="30">
        <f>IF($B414="","",IF(AND(OR(N($L414)&lt;&gt;0,N($M414)&lt;&gt;0),NOT(ISNUMBER($K414))),"支払日なし",IF($N414=0,IF(N($G414)=0,"請求額0","支払済"),IF($N414&lt;0,"払いすぎ",IF(N($L414)+N($M414)=0,"未払","一部支払")))))</f>
        <v/>
      </c>
      <c r="P414" s="30">
        <f>IF(OR($B414="",N($N414)&lt;=0,NOT(ISNUMBER($J414))),"",IF($J414&lt;'設定'!$B$7,"期日超過 "&amp;('設定'!$B$7-$J414)&amp;"日",IF($J414='設定'!$B$7,"今日","あと "&amp;($J414-'設定'!$B$7)&amp;"日")))</f>
        <v/>
      </c>
      <c r="Q414" s="56" t="n"/>
      <c r="R414" s="32">
        <f>IF($B414="","",IFERROR(MATCH($B414,'仕入先'!$B$5:$B$54,0),"なし"))</f>
        <v/>
      </c>
      <c r="S414" s="33">
        <f>IF($B414="","",IF(ISNUMBER($D414),$D414,IF(ISNUMBER($A414),$A414,"")))</f>
        <v/>
      </c>
      <c r="T414" s="34">
        <f>IF(OR($B414="",N($N414)&lt;=0),"",IF(ISNUMBER($J414),$J414,99999)+ROW()/1000000)</f>
        <v/>
      </c>
      <c r="U414" s="35">
        <f>IF(OR($B414="",$B414&lt;&gt;'買掛帳'!$B$3,NOT(ISNUMBER($S414))),"",IF(AND($S414&gt;='買掛帳'!$Q$3,$S414&lt;='買掛帳'!$Q$4),$S414+ROW()/10000000,""))</f>
        <v/>
      </c>
      <c r="V414" s="35">
        <f>IF(OR($B414="",$B414&lt;&gt;'買掛帳'!$B$3,NOT(ISNUMBER($K414)),N($L414)+N($M414)=0),"",IF(AND($K414&gt;='買掛帳'!$Q$3,$K414&lt;='買掛帳'!$Q$4),$K414+0.5+ROW()/10000000,""))</f>
        <v/>
      </c>
    </row>
    <row r="415" ht="18" customHeight="1">
      <c r="A415" s="26" t="n"/>
      <c r="B415" s="18" t="n"/>
      <c r="C415" s="20">
        <f>IF($B415="","",IF($R415="なし","※仕入先にないコード",INDEX('仕入先'!$C$5:$C$54,$R415)&amp;""))</f>
        <v/>
      </c>
      <c r="D415" s="26" t="n"/>
      <c r="E415" s="18" t="n"/>
      <c r="F415" s="19" t="n"/>
      <c r="G415" s="27" t="n"/>
      <c r="H415" s="29">
        <f>IF(OR($B415="",NOT(ISNUMBER($R415)),NOT(ISNUMBER($S415))),"",IF(OR(INDEX('仕入先'!$D$5:$D$54,$R415)="",INDEX('仕入先'!$E$5:$E$54,$R415)="",INDEX('仕入先'!$F$5:$F$54,$R415)=""),"",IF(INDEX('仕入先'!$F$5:$F$54,$R415)="末",DATE(YEAR($S415),(MONTH($S415)+IF(INDEX('仕入先'!$D$5:$D$54,$R415)="末",0,IF(DAY($S415)&lt;=INDEX('仕入先'!$D$5:$D$54,$R415),0,1))+N(INDEX('仕入先'!$E$5:$E$54,$R415)))+1,0),DATE(YEAR($S415),(MONTH($S415)+IF(INDEX('仕入先'!$D$5:$D$54,$R415)="末",0,IF(DAY($S415)&lt;=INDEX('仕入先'!$D$5:$D$54,$R415),0,1))+N(INDEX('仕入先'!$E$5:$E$54,$R415))),MIN(INDEX('仕入先'!$F$5:$F$54,$R415),DAY(DATE(YEAR($S415),(MONTH($S415)+IF(INDEX('仕入先'!$D$5:$D$54,$R415)="末",0,IF(DAY($S415)&lt;=INDEX('仕入先'!$D$5:$D$54,$R415),0,1))+N(INDEX('仕入先'!$E$5:$E$54,$R415)))+1,0)))))))</f>
        <v/>
      </c>
      <c r="I415" s="26" t="n"/>
      <c r="J415" s="29">
        <f>IF($B415="","",IF(ISNUMBER($I415),$I415,$H415))</f>
        <v/>
      </c>
      <c r="K415" s="26" t="n"/>
      <c r="L415" s="27" t="n"/>
      <c r="M415" s="27" t="n"/>
      <c r="N415" s="28">
        <f>IF($B415="","",N($G415)-N($L415)-N($M415))</f>
        <v/>
      </c>
      <c r="O415" s="30">
        <f>IF($B415="","",IF(AND(OR(N($L415)&lt;&gt;0,N($M415)&lt;&gt;0),NOT(ISNUMBER($K415))),"支払日なし",IF($N415=0,IF(N($G415)=0,"請求額0","支払済"),IF($N415&lt;0,"払いすぎ",IF(N($L415)+N($M415)=0,"未払","一部支払")))))</f>
        <v/>
      </c>
      <c r="P415" s="30">
        <f>IF(OR($B415="",N($N415)&lt;=0,NOT(ISNUMBER($J415))),"",IF($J415&lt;'設定'!$B$7,"期日超過 "&amp;('設定'!$B$7-$J415)&amp;"日",IF($J415='設定'!$B$7,"今日","あと "&amp;($J415-'設定'!$B$7)&amp;"日")))</f>
        <v/>
      </c>
      <c r="Q415" s="56" t="n"/>
      <c r="R415" s="32">
        <f>IF($B415="","",IFERROR(MATCH($B415,'仕入先'!$B$5:$B$54,0),"なし"))</f>
        <v/>
      </c>
      <c r="S415" s="33">
        <f>IF($B415="","",IF(ISNUMBER($D415),$D415,IF(ISNUMBER($A415),$A415,"")))</f>
        <v/>
      </c>
      <c r="T415" s="34">
        <f>IF(OR($B415="",N($N415)&lt;=0),"",IF(ISNUMBER($J415),$J415,99999)+ROW()/1000000)</f>
        <v/>
      </c>
      <c r="U415" s="35">
        <f>IF(OR($B415="",$B415&lt;&gt;'買掛帳'!$B$3,NOT(ISNUMBER($S415))),"",IF(AND($S415&gt;='買掛帳'!$Q$3,$S415&lt;='買掛帳'!$Q$4),$S415+ROW()/10000000,""))</f>
        <v/>
      </c>
      <c r="V415" s="35">
        <f>IF(OR($B415="",$B415&lt;&gt;'買掛帳'!$B$3,NOT(ISNUMBER($K415)),N($L415)+N($M415)=0),"",IF(AND($K415&gt;='買掛帳'!$Q$3,$K415&lt;='買掛帳'!$Q$4),$K415+0.5+ROW()/10000000,""))</f>
        <v/>
      </c>
    </row>
    <row r="416" ht="18" customHeight="1">
      <c r="A416" s="26" t="n"/>
      <c r="B416" s="18" t="n"/>
      <c r="C416" s="20">
        <f>IF($B416="","",IF($R416="なし","※仕入先にないコード",INDEX('仕入先'!$C$5:$C$54,$R416)&amp;""))</f>
        <v/>
      </c>
      <c r="D416" s="26" t="n"/>
      <c r="E416" s="18" t="n"/>
      <c r="F416" s="19" t="n"/>
      <c r="G416" s="27" t="n"/>
      <c r="H416" s="29">
        <f>IF(OR($B416="",NOT(ISNUMBER($R416)),NOT(ISNUMBER($S416))),"",IF(OR(INDEX('仕入先'!$D$5:$D$54,$R416)="",INDEX('仕入先'!$E$5:$E$54,$R416)="",INDEX('仕入先'!$F$5:$F$54,$R416)=""),"",IF(INDEX('仕入先'!$F$5:$F$54,$R416)="末",DATE(YEAR($S416),(MONTH($S416)+IF(INDEX('仕入先'!$D$5:$D$54,$R416)="末",0,IF(DAY($S416)&lt;=INDEX('仕入先'!$D$5:$D$54,$R416),0,1))+N(INDEX('仕入先'!$E$5:$E$54,$R416)))+1,0),DATE(YEAR($S416),(MONTH($S416)+IF(INDEX('仕入先'!$D$5:$D$54,$R416)="末",0,IF(DAY($S416)&lt;=INDEX('仕入先'!$D$5:$D$54,$R416),0,1))+N(INDEX('仕入先'!$E$5:$E$54,$R416))),MIN(INDEX('仕入先'!$F$5:$F$54,$R416),DAY(DATE(YEAR($S416),(MONTH($S416)+IF(INDEX('仕入先'!$D$5:$D$54,$R416)="末",0,IF(DAY($S416)&lt;=INDEX('仕入先'!$D$5:$D$54,$R416),0,1))+N(INDEX('仕入先'!$E$5:$E$54,$R416)))+1,0)))))))</f>
        <v/>
      </c>
      <c r="I416" s="26" t="n"/>
      <c r="J416" s="29">
        <f>IF($B416="","",IF(ISNUMBER($I416),$I416,$H416))</f>
        <v/>
      </c>
      <c r="K416" s="26" t="n"/>
      <c r="L416" s="27" t="n"/>
      <c r="M416" s="27" t="n"/>
      <c r="N416" s="28">
        <f>IF($B416="","",N($G416)-N($L416)-N($M416))</f>
        <v/>
      </c>
      <c r="O416" s="30">
        <f>IF($B416="","",IF(AND(OR(N($L416)&lt;&gt;0,N($M416)&lt;&gt;0),NOT(ISNUMBER($K416))),"支払日なし",IF($N416=0,IF(N($G416)=0,"請求額0","支払済"),IF($N416&lt;0,"払いすぎ",IF(N($L416)+N($M416)=0,"未払","一部支払")))))</f>
        <v/>
      </c>
      <c r="P416" s="30">
        <f>IF(OR($B416="",N($N416)&lt;=0,NOT(ISNUMBER($J416))),"",IF($J416&lt;'設定'!$B$7,"期日超過 "&amp;('設定'!$B$7-$J416)&amp;"日",IF($J416='設定'!$B$7,"今日","あと "&amp;($J416-'設定'!$B$7)&amp;"日")))</f>
        <v/>
      </c>
      <c r="Q416" s="56" t="n"/>
      <c r="R416" s="32">
        <f>IF($B416="","",IFERROR(MATCH($B416,'仕入先'!$B$5:$B$54,0),"なし"))</f>
        <v/>
      </c>
      <c r="S416" s="33">
        <f>IF($B416="","",IF(ISNUMBER($D416),$D416,IF(ISNUMBER($A416),$A416,"")))</f>
        <v/>
      </c>
      <c r="T416" s="34">
        <f>IF(OR($B416="",N($N416)&lt;=0),"",IF(ISNUMBER($J416),$J416,99999)+ROW()/1000000)</f>
        <v/>
      </c>
      <c r="U416" s="35">
        <f>IF(OR($B416="",$B416&lt;&gt;'買掛帳'!$B$3,NOT(ISNUMBER($S416))),"",IF(AND($S416&gt;='買掛帳'!$Q$3,$S416&lt;='買掛帳'!$Q$4),$S416+ROW()/10000000,""))</f>
        <v/>
      </c>
      <c r="V416" s="35">
        <f>IF(OR($B416="",$B416&lt;&gt;'買掛帳'!$B$3,NOT(ISNUMBER($K416)),N($L416)+N($M416)=0),"",IF(AND($K416&gt;='買掛帳'!$Q$3,$K416&lt;='買掛帳'!$Q$4),$K416+0.5+ROW()/10000000,""))</f>
        <v/>
      </c>
    </row>
    <row r="417" ht="18" customHeight="1">
      <c r="A417" s="26" t="n"/>
      <c r="B417" s="18" t="n"/>
      <c r="C417" s="20">
        <f>IF($B417="","",IF($R417="なし","※仕入先にないコード",INDEX('仕入先'!$C$5:$C$54,$R417)&amp;""))</f>
        <v/>
      </c>
      <c r="D417" s="26" t="n"/>
      <c r="E417" s="18" t="n"/>
      <c r="F417" s="19" t="n"/>
      <c r="G417" s="27" t="n"/>
      <c r="H417" s="29">
        <f>IF(OR($B417="",NOT(ISNUMBER($R417)),NOT(ISNUMBER($S417))),"",IF(OR(INDEX('仕入先'!$D$5:$D$54,$R417)="",INDEX('仕入先'!$E$5:$E$54,$R417)="",INDEX('仕入先'!$F$5:$F$54,$R417)=""),"",IF(INDEX('仕入先'!$F$5:$F$54,$R417)="末",DATE(YEAR($S417),(MONTH($S417)+IF(INDEX('仕入先'!$D$5:$D$54,$R417)="末",0,IF(DAY($S417)&lt;=INDEX('仕入先'!$D$5:$D$54,$R417),0,1))+N(INDEX('仕入先'!$E$5:$E$54,$R417)))+1,0),DATE(YEAR($S417),(MONTH($S417)+IF(INDEX('仕入先'!$D$5:$D$54,$R417)="末",0,IF(DAY($S417)&lt;=INDEX('仕入先'!$D$5:$D$54,$R417),0,1))+N(INDEX('仕入先'!$E$5:$E$54,$R417))),MIN(INDEX('仕入先'!$F$5:$F$54,$R417),DAY(DATE(YEAR($S417),(MONTH($S417)+IF(INDEX('仕入先'!$D$5:$D$54,$R417)="末",0,IF(DAY($S417)&lt;=INDEX('仕入先'!$D$5:$D$54,$R417),0,1))+N(INDEX('仕入先'!$E$5:$E$54,$R417)))+1,0)))))))</f>
        <v/>
      </c>
      <c r="I417" s="26" t="n"/>
      <c r="J417" s="29">
        <f>IF($B417="","",IF(ISNUMBER($I417),$I417,$H417))</f>
        <v/>
      </c>
      <c r="K417" s="26" t="n"/>
      <c r="L417" s="27" t="n"/>
      <c r="M417" s="27" t="n"/>
      <c r="N417" s="28">
        <f>IF($B417="","",N($G417)-N($L417)-N($M417))</f>
        <v/>
      </c>
      <c r="O417" s="30">
        <f>IF($B417="","",IF(AND(OR(N($L417)&lt;&gt;0,N($M417)&lt;&gt;0),NOT(ISNUMBER($K417))),"支払日なし",IF($N417=0,IF(N($G417)=0,"請求額0","支払済"),IF($N417&lt;0,"払いすぎ",IF(N($L417)+N($M417)=0,"未払","一部支払")))))</f>
        <v/>
      </c>
      <c r="P417" s="30">
        <f>IF(OR($B417="",N($N417)&lt;=0,NOT(ISNUMBER($J417))),"",IF($J417&lt;'設定'!$B$7,"期日超過 "&amp;('設定'!$B$7-$J417)&amp;"日",IF($J417='設定'!$B$7,"今日","あと "&amp;($J417-'設定'!$B$7)&amp;"日")))</f>
        <v/>
      </c>
      <c r="Q417" s="56" t="n"/>
      <c r="R417" s="32">
        <f>IF($B417="","",IFERROR(MATCH($B417,'仕入先'!$B$5:$B$54,0),"なし"))</f>
        <v/>
      </c>
      <c r="S417" s="33">
        <f>IF($B417="","",IF(ISNUMBER($D417),$D417,IF(ISNUMBER($A417),$A417,"")))</f>
        <v/>
      </c>
      <c r="T417" s="34">
        <f>IF(OR($B417="",N($N417)&lt;=0),"",IF(ISNUMBER($J417),$J417,99999)+ROW()/1000000)</f>
        <v/>
      </c>
      <c r="U417" s="35">
        <f>IF(OR($B417="",$B417&lt;&gt;'買掛帳'!$B$3,NOT(ISNUMBER($S417))),"",IF(AND($S417&gt;='買掛帳'!$Q$3,$S417&lt;='買掛帳'!$Q$4),$S417+ROW()/10000000,""))</f>
        <v/>
      </c>
      <c r="V417" s="35">
        <f>IF(OR($B417="",$B417&lt;&gt;'買掛帳'!$B$3,NOT(ISNUMBER($K417)),N($L417)+N($M417)=0),"",IF(AND($K417&gt;='買掛帳'!$Q$3,$K417&lt;='買掛帳'!$Q$4),$K417+0.5+ROW()/10000000,""))</f>
        <v/>
      </c>
    </row>
    <row r="418" ht="18" customHeight="1">
      <c r="A418" s="26" t="n"/>
      <c r="B418" s="18" t="n"/>
      <c r="C418" s="20">
        <f>IF($B418="","",IF($R418="なし","※仕入先にないコード",INDEX('仕入先'!$C$5:$C$54,$R418)&amp;""))</f>
        <v/>
      </c>
      <c r="D418" s="26" t="n"/>
      <c r="E418" s="18" t="n"/>
      <c r="F418" s="19" t="n"/>
      <c r="G418" s="27" t="n"/>
      <c r="H418" s="29">
        <f>IF(OR($B418="",NOT(ISNUMBER($R418)),NOT(ISNUMBER($S418))),"",IF(OR(INDEX('仕入先'!$D$5:$D$54,$R418)="",INDEX('仕入先'!$E$5:$E$54,$R418)="",INDEX('仕入先'!$F$5:$F$54,$R418)=""),"",IF(INDEX('仕入先'!$F$5:$F$54,$R418)="末",DATE(YEAR($S418),(MONTH($S418)+IF(INDEX('仕入先'!$D$5:$D$54,$R418)="末",0,IF(DAY($S418)&lt;=INDEX('仕入先'!$D$5:$D$54,$R418),0,1))+N(INDEX('仕入先'!$E$5:$E$54,$R418)))+1,0),DATE(YEAR($S418),(MONTH($S418)+IF(INDEX('仕入先'!$D$5:$D$54,$R418)="末",0,IF(DAY($S418)&lt;=INDEX('仕入先'!$D$5:$D$54,$R418),0,1))+N(INDEX('仕入先'!$E$5:$E$54,$R418))),MIN(INDEX('仕入先'!$F$5:$F$54,$R418),DAY(DATE(YEAR($S418),(MONTH($S418)+IF(INDEX('仕入先'!$D$5:$D$54,$R418)="末",0,IF(DAY($S418)&lt;=INDEX('仕入先'!$D$5:$D$54,$R418),0,1))+N(INDEX('仕入先'!$E$5:$E$54,$R418)))+1,0)))))))</f>
        <v/>
      </c>
      <c r="I418" s="26" t="n"/>
      <c r="J418" s="29">
        <f>IF($B418="","",IF(ISNUMBER($I418),$I418,$H418))</f>
        <v/>
      </c>
      <c r="K418" s="26" t="n"/>
      <c r="L418" s="27" t="n"/>
      <c r="M418" s="27" t="n"/>
      <c r="N418" s="28">
        <f>IF($B418="","",N($G418)-N($L418)-N($M418))</f>
        <v/>
      </c>
      <c r="O418" s="30">
        <f>IF($B418="","",IF(AND(OR(N($L418)&lt;&gt;0,N($M418)&lt;&gt;0),NOT(ISNUMBER($K418))),"支払日なし",IF($N418=0,IF(N($G418)=0,"請求額0","支払済"),IF($N418&lt;0,"払いすぎ",IF(N($L418)+N($M418)=0,"未払","一部支払")))))</f>
        <v/>
      </c>
      <c r="P418" s="30">
        <f>IF(OR($B418="",N($N418)&lt;=0,NOT(ISNUMBER($J418))),"",IF($J418&lt;'設定'!$B$7,"期日超過 "&amp;('設定'!$B$7-$J418)&amp;"日",IF($J418='設定'!$B$7,"今日","あと "&amp;($J418-'設定'!$B$7)&amp;"日")))</f>
        <v/>
      </c>
      <c r="Q418" s="56" t="n"/>
      <c r="R418" s="32">
        <f>IF($B418="","",IFERROR(MATCH($B418,'仕入先'!$B$5:$B$54,0),"なし"))</f>
        <v/>
      </c>
      <c r="S418" s="33">
        <f>IF($B418="","",IF(ISNUMBER($D418),$D418,IF(ISNUMBER($A418),$A418,"")))</f>
        <v/>
      </c>
      <c r="T418" s="34">
        <f>IF(OR($B418="",N($N418)&lt;=0),"",IF(ISNUMBER($J418),$J418,99999)+ROW()/1000000)</f>
        <v/>
      </c>
      <c r="U418" s="35">
        <f>IF(OR($B418="",$B418&lt;&gt;'買掛帳'!$B$3,NOT(ISNUMBER($S418))),"",IF(AND($S418&gt;='買掛帳'!$Q$3,$S418&lt;='買掛帳'!$Q$4),$S418+ROW()/10000000,""))</f>
        <v/>
      </c>
      <c r="V418" s="35">
        <f>IF(OR($B418="",$B418&lt;&gt;'買掛帳'!$B$3,NOT(ISNUMBER($K418)),N($L418)+N($M418)=0),"",IF(AND($K418&gt;='買掛帳'!$Q$3,$K418&lt;='買掛帳'!$Q$4),$K418+0.5+ROW()/10000000,""))</f>
        <v/>
      </c>
    </row>
    <row r="419" ht="18" customHeight="1">
      <c r="A419" s="26" t="n"/>
      <c r="B419" s="18" t="n"/>
      <c r="C419" s="20">
        <f>IF($B419="","",IF($R419="なし","※仕入先にないコード",INDEX('仕入先'!$C$5:$C$54,$R419)&amp;""))</f>
        <v/>
      </c>
      <c r="D419" s="26" t="n"/>
      <c r="E419" s="18" t="n"/>
      <c r="F419" s="19" t="n"/>
      <c r="G419" s="27" t="n"/>
      <c r="H419" s="29">
        <f>IF(OR($B419="",NOT(ISNUMBER($R419)),NOT(ISNUMBER($S419))),"",IF(OR(INDEX('仕入先'!$D$5:$D$54,$R419)="",INDEX('仕入先'!$E$5:$E$54,$R419)="",INDEX('仕入先'!$F$5:$F$54,$R419)=""),"",IF(INDEX('仕入先'!$F$5:$F$54,$R419)="末",DATE(YEAR($S419),(MONTH($S419)+IF(INDEX('仕入先'!$D$5:$D$54,$R419)="末",0,IF(DAY($S419)&lt;=INDEX('仕入先'!$D$5:$D$54,$R419),0,1))+N(INDEX('仕入先'!$E$5:$E$54,$R419)))+1,0),DATE(YEAR($S419),(MONTH($S419)+IF(INDEX('仕入先'!$D$5:$D$54,$R419)="末",0,IF(DAY($S419)&lt;=INDEX('仕入先'!$D$5:$D$54,$R419),0,1))+N(INDEX('仕入先'!$E$5:$E$54,$R419))),MIN(INDEX('仕入先'!$F$5:$F$54,$R419),DAY(DATE(YEAR($S419),(MONTH($S419)+IF(INDEX('仕入先'!$D$5:$D$54,$R419)="末",0,IF(DAY($S419)&lt;=INDEX('仕入先'!$D$5:$D$54,$R419),0,1))+N(INDEX('仕入先'!$E$5:$E$54,$R419)))+1,0)))))))</f>
        <v/>
      </c>
      <c r="I419" s="26" t="n"/>
      <c r="J419" s="29">
        <f>IF($B419="","",IF(ISNUMBER($I419),$I419,$H419))</f>
        <v/>
      </c>
      <c r="K419" s="26" t="n"/>
      <c r="L419" s="27" t="n"/>
      <c r="M419" s="27" t="n"/>
      <c r="N419" s="28">
        <f>IF($B419="","",N($G419)-N($L419)-N($M419))</f>
        <v/>
      </c>
      <c r="O419" s="30">
        <f>IF($B419="","",IF(AND(OR(N($L419)&lt;&gt;0,N($M419)&lt;&gt;0),NOT(ISNUMBER($K419))),"支払日なし",IF($N419=0,IF(N($G419)=0,"請求額0","支払済"),IF($N419&lt;0,"払いすぎ",IF(N($L419)+N($M419)=0,"未払","一部支払")))))</f>
        <v/>
      </c>
      <c r="P419" s="30">
        <f>IF(OR($B419="",N($N419)&lt;=0,NOT(ISNUMBER($J419))),"",IF($J419&lt;'設定'!$B$7,"期日超過 "&amp;('設定'!$B$7-$J419)&amp;"日",IF($J419='設定'!$B$7,"今日","あと "&amp;($J419-'設定'!$B$7)&amp;"日")))</f>
        <v/>
      </c>
      <c r="Q419" s="56" t="n"/>
      <c r="R419" s="32">
        <f>IF($B419="","",IFERROR(MATCH($B419,'仕入先'!$B$5:$B$54,0),"なし"))</f>
        <v/>
      </c>
      <c r="S419" s="33">
        <f>IF($B419="","",IF(ISNUMBER($D419),$D419,IF(ISNUMBER($A419),$A419,"")))</f>
        <v/>
      </c>
      <c r="T419" s="34">
        <f>IF(OR($B419="",N($N419)&lt;=0),"",IF(ISNUMBER($J419),$J419,99999)+ROW()/1000000)</f>
        <v/>
      </c>
      <c r="U419" s="35">
        <f>IF(OR($B419="",$B419&lt;&gt;'買掛帳'!$B$3,NOT(ISNUMBER($S419))),"",IF(AND($S419&gt;='買掛帳'!$Q$3,$S419&lt;='買掛帳'!$Q$4),$S419+ROW()/10000000,""))</f>
        <v/>
      </c>
      <c r="V419" s="35">
        <f>IF(OR($B419="",$B419&lt;&gt;'買掛帳'!$B$3,NOT(ISNUMBER($K419)),N($L419)+N($M419)=0),"",IF(AND($K419&gt;='買掛帳'!$Q$3,$K419&lt;='買掛帳'!$Q$4),$K419+0.5+ROW()/10000000,""))</f>
        <v/>
      </c>
    </row>
    <row r="420" ht="18" customHeight="1">
      <c r="A420" s="26" t="n"/>
      <c r="B420" s="18" t="n"/>
      <c r="C420" s="20">
        <f>IF($B420="","",IF($R420="なし","※仕入先にないコード",INDEX('仕入先'!$C$5:$C$54,$R420)&amp;""))</f>
        <v/>
      </c>
      <c r="D420" s="26" t="n"/>
      <c r="E420" s="18" t="n"/>
      <c r="F420" s="19" t="n"/>
      <c r="G420" s="27" t="n"/>
      <c r="H420" s="29">
        <f>IF(OR($B420="",NOT(ISNUMBER($R420)),NOT(ISNUMBER($S420))),"",IF(OR(INDEX('仕入先'!$D$5:$D$54,$R420)="",INDEX('仕入先'!$E$5:$E$54,$R420)="",INDEX('仕入先'!$F$5:$F$54,$R420)=""),"",IF(INDEX('仕入先'!$F$5:$F$54,$R420)="末",DATE(YEAR($S420),(MONTH($S420)+IF(INDEX('仕入先'!$D$5:$D$54,$R420)="末",0,IF(DAY($S420)&lt;=INDEX('仕入先'!$D$5:$D$54,$R420),0,1))+N(INDEX('仕入先'!$E$5:$E$54,$R420)))+1,0),DATE(YEAR($S420),(MONTH($S420)+IF(INDEX('仕入先'!$D$5:$D$54,$R420)="末",0,IF(DAY($S420)&lt;=INDEX('仕入先'!$D$5:$D$54,$R420),0,1))+N(INDEX('仕入先'!$E$5:$E$54,$R420))),MIN(INDEX('仕入先'!$F$5:$F$54,$R420),DAY(DATE(YEAR($S420),(MONTH($S420)+IF(INDEX('仕入先'!$D$5:$D$54,$R420)="末",0,IF(DAY($S420)&lt;=INDEX('仕入先'!$D$5:$D$54,$R420),0,1))+N(INDEX('仕入先'!$E$5:$E$54,$R420)))+1,0)))))))</f>
        <v/>
      </c>
      <c r="I420" s="26" t="n"/>
      <c r="J420" s="29">
        <f>IF($B420="","",IF(ISNUMBER($I420),$I420,$H420))</f>
        <v/>
      </c>
      <c r="K420" s="26" t="n"/>
      <c r="L420" s="27" t="n"/>
      <c r="M420" s="27" t="n"/>
      <c r="N420" s="28">
        <f>IF($B420="","",N($G420)-N($L420)-N($M420))</f>
        <v/>
      </c>
      <c r="O420" s="30">
        <f>IF($B420="","",IF(AND(OR(N($L420)&lt;&gt;0,N($M420)&lt;&gt;0),NOT(ISNUMBER($K420))),"支払日なし",IF($N420=0,IF(N($G420)=0,"請求額0","支払済"),IF($N420&lt;0,"払いすぎ",IF(N($L420)+N($M420)=0,"未払","一部支払")))))</f>
        <v/>
      </c>
      <c r="P420" s="30">
        <f>IF(OR($B420="",N($N420)&lt;=0,NOT(ISNUMBER($J420))),"",IF($J420&lt;'設定'!$B$7,"期日超過 "&amp;('設定'!$B$7-$J420)&amp;"日",IF($J420='設定'!$B$7,"今日","あと "&amp;($J420-'設定'!$B$7)&amp;"日")))</f>
        <v/>
      </c>
      <c r="Q420" s="56" t="n"/>
      <c r="R420" s="32">
        <f>IF($B420="","",IFERROR(MATCH($B420,'仕入先'!$B$5:$B$54,0),"なし"))</f>
        <v/>
      </c>
      <c r="S420" s="33">
        <f>IF($B420="","",IF(ISNUMBER($D420),$D420,IF(ISNUMBER($A420),$A420,"")))</f>
        <v/>
      </c>
      <c r="T420" s="34">
        <f>IF(OR($B420="",N($N420)&lt;=0),"",IF(ISNUMBER($J420),$J420,99999)+ROW()/1000000)</f>
        <v/>
      </c>
      <c r="U420" s="35">
        <f>IF(OR($B420="",$B420&lt;&gt;'買掛帳'!$B$3,NOT(ISNUMBER($S420))),"",IF(AND($S420&gt;='買掛帳'!$Q$3,$S420&lt;='買掛帳'!$Q$4),$S420+ROW()/10000000,""))</f>
        <v/>
      </c>
      <c r="V420" s="35">
        <f>IF(OR($B420="",$B420&lt;&gt;'買掛帳'!$B$3,NOT(ISNUMBER($K420)),N($L420)+N($M420)=0),"",IF(AND($K420&gt;='買掛帳'!$Q$3,$K420&lt;='買掛帳'!$Q$4),$K420+0.5+ROW()/10000000,""))</f>
        <v/>
      </c>
    </row>
    <row r="421" ht="18" customHeight="1">
      <c r="A421" s="26" t="n"/>
      <c r="B421" s="18" t="n"/>
      <c r="C421" s="20">
        <f>IF($B421="","",IF($R421="なし","※仕入先にないコード",INDEX('仕入先'!$C$5:$C$54,$R421)&amp;""))</f>
        <v/>
      </c>
      <c r="D421" s="26" t="n"/>
      <c r="E421" s="18" t="n"/>
      <c r="F421" s="19" t="n"/>
      <c r="G421" s="27" t="n"/>
      <c r="H421" s="29">
        <f>IF(OR($B421="",NOT(ISNUMBER($R421)),NOT(ISNUMBER($S421))),"",IF(OR(INDEX('仕入先'!$D$5:$D$54,$R421)="",INDEX('仕入先'!$E$5:$E$54,$R421)="",INDEX('仕入先'!$F$5:$F$54,$R421)=""),"",IF(INDEX('仕入先'!$F$5:$F$54,$R421)="末",DATE(YEAR($S421),(MONTH($S421)+IF(INDEX('仕入先'!$D$5:$D$54,$R421)="末",0,IF(DAY($S421)&lt;=INDEX('仕入先'!$D$5:$D$54,$R421),0,1))+N(INDEX('仕入先'!$E$5:$E$54,$R421)))+1,0),DATE(YEAR($S421),(MONTH($S421)+IF(INDEX('仕入先'!$D$5:$D$54,$R421)="末",0,IF(DAY($S421)&lt;=INDEX('仕入先'!$D$5:$D$54,$R421),0,1))+N(INDEX('仕入先'!$E$5:$E$54,$R421))),MIN(INDEX('仕入先'!$F$5:$F$54,$R421),DAY(DATE(YEAR($S421),(MONTH($S421)+IF(INDEX('仕入先'!$D$5:$D$54,$R421)="末",0,IF(DAY($S421)&lt;=INDEX('仕入先'!$D$5:$D$54,$R421),0,1))+N(INDEX('仕入先'!$E$5:$E$54,$R421)))+1,0)))))))</f>
        <v/>
      </c>
      <c r="I421" s="26" t="n"/>
      <c r="J421" s="29">
        <f>IF($B421="","",IF(ISNUMBER($I421),$I421,$H421))</f>
        <v/>
      </c>
      <c r="K421" s="26" t="n"/>
      <c r="L421" s="27" t="n"/>
      <c r="M421" s="27" t="n"/>
      <c r="N421" s="28">
        <f>IF($B421="","",N($G421)-N($L421)-N($M421))</f>
        <v/>
      </c>
      <c r="O421" s="30">
        <f>IF($B421="","",IF(AND(OR(N($L421)&lt;&gt;0,N($M421)&lt;&gt;0),NOT(ISNUMBER($K421))),"支払日なし",IF($N421=0,IF(N($G421)=0,"請求額0","支払済"),IF($N421&lt;0,"払いすぎ",IF(N($L421)+N($M421)=0,"未払","一部支払")))))</f>
        <v/>
      </c>
      <c r="P421" s="30">
        <f>IF(OR($B421="",N($N421)&lt;=0,NOT(ISNUMBER($J421))),"",IF($J421&lt;'設定'!$B$7,"期日超過 "&amp;('設定'!$B$7-$J421)&amp;"日",IF($J421='設定'!$B$7,"今日","あと "&amp;($J421-'設定'!$B$7)&amp;"日")))</f>
        <v/>
      </c>
      <c r="Q421" s="56" t="n"/>
      <c r="R421" s="32">
        <f>IF($B421="","",IFERROR(MATCH($B421,'仕入先'!$B$5:$B$54,0),"なし"))</f>
        <v/>
      </c>
      <c r="S421" s="33">
        <f>IF($B421="","",IF(ISNUMBER($D421),$D421,IF(ISNUMBER($A421),$A421,"")))</f>
        <v/>
      </c>
      <c r="T421" s="34">
        <f>IF(OR($B421="",N($N421)&lt;=0),"",IF(ISNUMBER($J421),$J421,99999)+ROW()/1000000)</f>
        <v/>
      </c>
      <c r="U421" s="35">
        <f>IF(OR($B421="",$B421&lt;&gt;'買掛帳'!$B$3,NOT(ISNUMBER($S421))),"",IF(AND($S421&gt;='買掛帳'!$Q$3,$S421&lt;='買掛帳'!$Q$4),$S421+ROW()/10000000,""))</f>
        <v/>
      </c>
      <c r="V421" s="35">
        <f>IF(OR($B421="",$B421&lt;&gt;'買掛帳'!$B$3,NOT(ISNUMBER($K421)),N($L421)+N($M421)=0),"",IF(AND($K421&gt;='買掛帳'!$Q$3,$K421&lt;='買掛帳'!$Q$4),$K421+0.5+ROW()/10000000,""))</f>
        <v/>
      </c>
    </row>
    <row r="422" ht="18" customHeight="1">
      <c r="A422" s="26" t="n"/>
      <c r="B422" s="18" t="n"/>
      <c r="C422" s="20">
        <f>IF($B422="","",IF($R422="なし","※仕入先にないコード",INDEX('仕入先'!$C$5:$C$54,$R422)&amp;""))</f>
        <v/>
      </c>
      <c r="D422" s="26" t="n"/>
      <c r="E422" s="18" t="n"/>
      <c r="F422" s="19" t="n"/>
      <c r="G422" s="27" t="n"/>
      <c r="H422" s="29">
        <f>IF(OR($B422="",NOT(ISNUMBER($R422)),NOT(ISNUMBER($S422))),"",IF(OR(INDEX('仕入先'!$D$5:$D$54,$R422)="",INDEX('仕入先'!$E$5:$E$54,$R422)="",INDEX('仕入先'!$F$5:$F$54,$R422)=""),"",IF(INDEX('仕入先'!$F$5:$F$54,$R422)="末",DATE(YEAR($S422),(MONTH($S422)+IF(INDEX('仕入先'!$D$5:$D$54,$R422)="末",0,IF(DAY($S422)&lt;=INDEX('仕入先'!$D$5:$D$54,$R422),0,1))+N(INDEX('仕入先'!$E$5:$E$54,$R422)))+1,0),DATE(YEAR($S422),(MONTH($S422)+IF(INDEX('仕入先'!$D$5:$D$54,$R422)="末",0,IF(DAY($S422)&lt;=INDEX('仕入先'!$D$5:$D$54,$R422),0,1))+N(INDEX('仕入先'!$E$5:$E$54,$R422))),MIN(INDEX('仕入先'!$F$5:$F$54,$R422),DAY(DATE(YEAR($S422),(MONTH($S422)+IF(INDEX('仕入先'!$D$5:$D$54,$R422)="末",0,IF(DAY($S422)&lt;=INDEX('仕入先'!$D$5:$D$54,$R422),0,1))+N(INDEX('仕入先'!$E$5:$E$54,$R422)))+1,0)))))))</f>
        <v/>
      </c>
      <c r="I422" s="26" t="n"/>
      <c r="J422" s="29">
        <f>IF($B422="","",IF(ISNUMBER($I422),$I422,$H422))</f>
        <v/>
      </c>
      <c r="K422" s="26" t="n"/>
      <c r="L422" s="27" t="n"/>
      <c r="M422" s="27" t="n"/>
      <c r="N422" s="28">
        <f>IF($B422="","",N($G422)-N($L422)-N($M422))</f>
        <v/>
      </c>
      <c r="O422" s="30">
        <f>IF($B422="","",IF(AND(OR(N($L422)&lt;&gt;0,N($M422)&lt;&gt;0),NOT(ISNUMBER($K422))),"支払日なし",IF($N422=0,IF(N($G422)=0,"請求額0","支払済"),IF($N422&lt;0,"払いすぎ",IF(N($L422)+N($M422)=0,"未払","一部支払")))))</f>
        <v/>
      </c>
      <c r="P422" s="30">
        <f>IF(OR($B422="",N($N422)&lt;=0,NOT(ISNUMBER($J422))),"",IF($J422&lt;'設定'!$B$7,"期日超過 "&amp;('設定'!$B$7-$J422)&amp;"日",IF($J422='設定'!$B$7,"今日","あと "&amp;($J422-'設定'!$B$7)&amp;"日")))</f>
        <v/>
      </c>
      <c r="Q422" s="56" t="n"/>
      <c r="R422" s="32">
        <f>IF($B422="","",IFERROR(MATCH($B422,'仕入先'!$B$5:$B$54,0),"なし"))</f>
        <v/>
      </c>
      <c r="S422" s="33">
        <f>IF($B422="","",IF(ISNUMBER($D422),$D422,IF(ISNUMBER($A422),$A422,"")))</f>
        <v/>
      </c>
      <c r="T422" s="34">
        <f>IF(OR($B422="",N($N422)&lt;=0),"",IF(ISNUMBER($J422),$J422,99999)+ROW()/1000000)</f>
        <v/>
      </c>
      <c r="U422" s="35">
        <f>IF(OR($B422="",$B422&lt;&gt;'買掛帳'!$B$3,NOT(ISNUMBER($S422))),"",IF(AND($S422&gt;='買掛帳'!$Q$3,$S422&lt;='買掛帳'!$Q$4),$S422+ROW()/10000000,""))</f>
        <v/>
      </c>
      <c r="V422" s="35">
        <f>IF(OR($B422="",$B422&lt;&gt;'買掛帳'!$B$3,NOT(ISNUMBER($K422)),N($L422)+N($M422)=0),"",IF(AND($K422&gt;='買掛帳'!$Q$3,$K422&lt;='買掛帳'!$Q$4),$K422+0.5+ROW()/10000000,""))</f>
        <v/>
      </c>
    </row>
    <row r="423" ht="18" customHeight="1">
      <c r="A423" s="26" t="n"/>
      <c r="B423" s="18" t="n"/>
      <c r="C423" s="20">
        <f>IF($B423="","",IF($R423="なし","※仕入先にないコード",INDEX('仕入先'!$C$5:$C$54,$R423)&amp;""))</f>
        <v/>
      </c>
      <c r="D423" s="26" t="n"/>
      <c r="E423" s="18" t="n"/>
      <c r="F423" s="19" t="n"/>
      <c r="G423" s="27" t="n"/>
      <c r="H423" s="29">
        <f>IF(OR($B423="",NOT(ISNUMBER($R423)),NOT(ISNUMBER($S423))),"",IF(OR(INDEX('仕入先'!$D$5:$D$54,$R423)="",INDEX('仕入先'!$E$5:$E$54,$R423)="",INDEX('仕入先'!$F$5:$F$54,$R423)=""),"",IF(INDEX('仕入先'!$F$5:$F$54,$R423)="末",DATE(YEAR($S423),(MONTH($S423)+IF(INDEX('仕入先'!$D$5:$D$54,$R423)="末",0,IF(DAY($S423)&lt;=INDEX('仕入先'!$D$5:$D$54,$R423),0,1))+N(INDEX('仕入先'!$E$5:$E$54,$R423)))+1,0),DATE(YEAR($S423),(MONTH($S423)+IF(INDEX('仕入先'!$D$5:$D$54,$R423)="末",0,IF(DAY($S423)&lt;=INDEX('仕入先'!$D$5:$D$54,$R423),0,1))+N(INDEX('仕入先'!$E$5:$E$54,$R423))),MIN(INDEX('仕入先'!$F$5:$F$54,$R423),DAY(DATE(YEAR($S423),(MONTH($S423)+IF(INDEX('仕入先'!$D$5:$D$54,$R423)="末",0,IF(DAY($S423)&lt;=INDEX('仕入先'!$D$5:$D$54,$R423),0,1))+N(INDEX('仕入先'!$E$5:$E$54,$R423)))+1,0)))))))</f>
        <v/>
      </c>
      <c r="I423" s="26" t="n"/>
      <c r="J423" s="29">
        <f>IF($B423="","",IF(ISNUMBER($I423),$I423,$H423))</f>
        <v/>
      </c>
      <c r="K423" s="26" t="n"/>
      <c r="L423" s="27" t="n"/>
      <c r="M423" s="27" t="n"/>
      <c r="N423" s="28">
        <f>IF($B423="","",N($G423)-N($L423)-N($M423))</f>
        <v/>
      </c>
      <c r="O423" s="30">
        <f>IF($B423="","",IF(AND(OR(N($L423)&lt;&gt;0,N($M423)&lt;&gt;0),NOT(ISNUMBER($K423))),"支払日なし",IF($N423=0,IF(N($G423)=0,"請求額0","支払済"),IF($N423&lt;0,"払いすぎ",IF(N($L423)+N($M423)=0,"未払","一部支払")))))</f>
        <v/>
      </c>
      <c r="P423" s="30">
        <f>IF(OR($B423="",N($N423)&lt;=0,NOT(ISNUMBER($J423))),"",IF($J423&lt;'設定'!$B$7,"期日超過 "&amp;('設定'!$B$7-$J423)&amp;"日",IF($J423='設定'!$B$7,"今日","あと "&amp;($J423-'設定'!$B$7)&amp;"日")))</f>
        <v/>
      </c>
      <c r="Q423" s="56" t="n"/>
      <c r="R423" s="32">
        <f>IF($B423="","",IFERROR(MATCH($B423,'仕入先'!$B$5:$B$54,0),"なし"))</f>
        <v/>
      </c>
      <c r="S423" s="33">
        <f>IF($B423="","",IF(ISNUMBER($D423),$D423,IF(ISNUMBER($A423),$A423,"")))</f>
        <v/>
      </c>
      <c r="T423" s="34">
        <f>IF(OR($B423="",N($N423)&lt;=0),"",IF(ISNUMBER($J423),$J423,99999)+ROW()/1000000)</f>
        <v/>
      </c>
      <c r="U423" s="35">
        <f>IF(OR($B423="",$B423&lt;&gt;'買掛帳'!$B$3,NOT(ISNUMBER($S423))),"",IF(AND($S423&gt;='買掛帳'!$Q$3,$S423&lt;='買掛帳'!$Q$4),$S423+ROW()/10000000,""))</f>
        <v/>
      </c>
      <c r="V423" s="35">
        <f>IF(OR($B423="",$B423&lt;&gt;'買掛帳'!$B$3,NOT(ISNUMBER($K423)),N($L423)+N($M423)=0),"",IF(AND($K423&gt;='買掛帳'!$Q$3,$K423&lt;='買掛帳'!$Q$4),$K423+0.5+ROW()/10000000,""))</f>
        <v/>
      </c>
    </row>
    <row r="424" ht="18" customHeight="1">
      <c r="A424" s="26" t="n"/>
      <c r="B424" s="18" t="n"/>
      <c r="C424" s="20">
        <f>IF($B424="","",IF($R424="なし","※仕入先にないコード",INDEX('仕入先'!$C$5:$C$54,$R424)&amp;""))</f>
        <v/>
      </c>
      <c r="D424" s="26" t="n"/>
      <c r="E424" s="18" t="n"/>
      <c r="F424" s="19" t="n"/>
      <c r="G424" s="27" t="n"/>
      <c r="H424" s="29">
        <f>IF(OR($B424="",NOT(ISNUMBER($R424)),NOT(ISNUMBER($S424))),"",IF(OR(INDEX('仕入先'!$D$5:$D$54,$R424)="",INDEX('仕入先'!$E$5:$E$54,$R424)="",INDEX('仕入先'!$F$5:$F$54,$R424)=""),"",IF(INDEX('仕入先'!$F$5:$F$54,$R424)="末",DATE(YEAR($S424),(MONTH($S424)+IF(INDEX('仕入先'!$D$5:$D$54,$R424)="末",0,IF(DAY($S424)&lt;=INDEX('仕入先'!$D$5:$D$54,$R424),0,1))+N(INDEX('仕入先'!$E$5:$E$54,$R424)))+1,0),DATE(YEAR($S424),(MONTH($S424)+IF(INDEX('仕入先'!$D$5:$D$54,$R424)="末",0,IF(DAY($S424)&lt;=INDEX('仕入先'!$D$5:$D$54,$R424),0,1))+N(INDEX('仕入先'!$E$5:$E$54,$R424))),MIN(INDEX('仕入先'!$F$5:$F$54,$R424),DAY(DATE(YEAR($S424),(MONTH($S424)+IF(INDEX('仕入先'!$D$5:$D$54,$R424)="末",0,IF(DAY($S424)&lt;=INDEX('仕入先'!$D$5:$D$54,$R424),0,1))+N(INDEX('仕入先'!$E$5:$E$54,$R424)))+1,0)))))))</f>
        <v/>
      </c>
      <c r="I424" s="26" t="n"/>
      <c r="J424" s="29">
        <f>IF($B424="","",IF(ISNUMBER($I424),$I424,$H424))</f>
        <v/>
      </c>
      <c r="K424" s="26" t="n"/>
      <c r="L424" s="27" t="n"/>
      <c r="M424" s="27" t="n"/>
      <c r="N424" s="28">
        <f>IF($B424="","",N($G424)-N($L424)-N($M424))</f>
        <v/>
      </c>
      <c r="O424" s="30">
        <f>IF($B424="","",IF(AND(OR(N($L424)&lt;&gt;0,N($M424)&lt;&gt;0),NOT(ISNUMBER($K424))),"支払日なし",IF($N424=0,IF(N($G424)=0,"請求額0","支払済"),IF($N424&lt;0,"払いすぎ",IF(N($L424)+N($M424)=0,"未払","一部支払")))))</f>
        <v/>
      </c>
      <c r="P424" s="30">
        <f>IF(OR($B424="",N($N424)&lt;=0,NOT(ISNUMBER($J424))),"",IF($J424&lt;'設定'!$B$7,"期日超過 "&amp;('設定'!$B$7-$J424)&amp;"日",IF($J424='設定'!$B$7,"今日","あと "&amp;($J424-'設定'!$B$7)&amp;"日")))</f>
        <v/>
      </c>
      <c r="Q424" s="56" t="n"/>
      <c r="R424" s="32">
        <f>IF($B424="","",IFERROR(MATCH($B424,'仕入先'!$B$5:$B$54,0),"なし"))</f>
        <v/>
      </c>
      <c r="S424" s="33">
        <f>IF($B424="","",IF(ISNUMBER($D424),$D424,IF(ISNUMBER($A424),$A424,"")))</f>
        <v/>
      </c>
      <c r="T424" s="34">
        <f>IF(OR($B424="",N($N424)&lt;=0),"",IF(ISNUMBER($J424),$J424,99999)+ROW()/1000000)</f>
        <v/>
      </c>
      <c r="U424" s="35">
        <f>IF(OR($B424="",$B424&lt;&gt;'買掛帳'!$B$3,NOT(ISNUMBER($S424))),"",IF(AND($S424&gt;='買掛帳'!$Q$3,$S424&lt;='買掛帳'!$Q$4),$S424+ROW()/10000000,""))</f>
        <v/>
      </c>
      <c r="V424" s="35">
        <f>IF(OR($B424="",$B424&lt;&gt;'買掛帳'!$B$3,NOT(ISNUMBER($K424)),N($L424)+N($M424)=0),"",IF(AND($K424&gt;='買掛帳'!$Q$3,$K424&lt;='買掛帳'!$Q$4),$K424+0.5+ROW()/10000000,""))</f>
        <v/>
      </c>
    </row>
    <row r="425" ht="18" customHeight="1">
      <c r="A425" s="26" t="n"/>
      <c r="B425" s="18" t="n"/>
      <c r="C425" s="20">
        <f>IF($B425="","",IF($R425="なし","※仕入先にないコード",INDEX('仕入先'!$C$5:$C$54,$R425)&amp;""))</f>
        <v/>
      </c>
      <c r="D425" s="26" t="n"/>
      <c r="E425" s="18" t="n"/>
      <c r="F425" s="19" t="n"/>
      <c r="G425" s="27" t="n"/>
      <c r="H425" s="29">
        <f>IF(OR($B425="",NOT(ISNUMBER($R425)),NOT(ISNUMBER($S425))),"",IF(OR(INDEX('仕入先'!$D$5:$D$54,$R425)="",INDEX('仕入先'!$E$5:$E$54,$R425)="",INDEX('仕入先'!$F$5:$F$54,$R425)=""),"",IF(INDEX('仕入先'!$F$5:$F$54,$R425)="末",DATE(YEAR($S425),(MONTH($S425)+IF(INDEX('仕入先'!$D$5:$D$54,$R425)="末",0,IF(DAY($S425)&lt;=INDEX('仕入先'!$D$5:$D$54,$R425),0,1))+N(INDEX('仕入先'!$E$5:$E$54,$R425)))+1,0),DATE(YEAR($S425),(MONTH($S425)+IF(INDEX('仕入先'!$D$5:$D$54,$R425)="末",0,IF(DAY($S425)&lt;=INDEX('仕入先'!$D$5:$D$54,$R425),0,1))+N(INDEX('仕入先'!$E$5:$E$54,$R425))),MIN(INDEX('仕入先'!$F$5:$F$54,$R425),DAY(DATE(YEAR($S425),(MONTH($S425)+IF(INDEX('仕入先'!$D$5:$D$54,$R425)="末",0,IF(DAY($S425)&lt;=INDEX('仕入先'!$D$5:$D$54,$R425),0,1))+N(INDEX('仕入先'!$E$5:$E$54,$R425)))+1,0)))))))</f>
        <v/>
      </c>
      <c r="I425" s="26" t="n"/>
      <c r="J425" s="29">
        <f>IF($B425="","",IF(ISNUMBER($I425),$I425,$H425))</f>
        <v/>
      </c>
      <c r="K425" s="26" t="n"/>
      <c r="L425" s="27" t="n"/>
      <c r="M425" s="27" t="n"/>
      <c r="N425" s="28">
        <f>IF($B425="","",N($G425)-N($L425)-N($M425))</f>
        <v/>
      </c>
      <c r="O425" s="30">
        <f>IF($B425="","",IF(AND(OR(N($L425)&lt;&gt;0,N($M425)&lt;&gt;0),NOT(ISNUMBER($K425))),"支払日なし",IF($N425=0,IF(N($G425)=0,"請求額0","支払済"),IF($N425&lt;0,"払いすぎ",IF(N($L425)+N($M425)=0,"未払","一部支払")))))</f>
        <v/>
      </c>
      <c r="P425" s="30">
        <f>IF(OR($B425="",N($N425)&lt;=0,NOT(ISNUMBER($J425))),"",IF($J425&lt;'設定'!$B$7,"期日超過 "&amp;('設定'!$B$7-$J425)&amp;"日",IF($J425='設定'!$B$7,"今日","あと "&amp;($J425-'設定'!$B$7)&amp;"日")))</f>
        <v/>
      </c>
      <c r="Q425" s="56" t="n"/>
      <c r="R425" s="32">
        <f>IF($B425="","",IFERROR(MATCH($B425,'仕入先'!$B$5:$B$54,0),"なし"))</f>
        <v/>
      </c>
      <c r="S425" s="33">
        <f>IF($B425="","",IF(ISNUMBER($D425),$D425,IF(ISNUMBER($A425),$A425,"")))</f>
        <v/>
      </c>
      <c r="T425" s="34">
        <f>IF(OR($B425="",N($N425)&lt;=0),"",IF(ISNUMBER($J425),$J425,99999)+ROW()/1000000)</f>
        <v/>
      </c>
      <c r="U425" s="35">
        <f>IF(OR($B425="",$B425&lt;&gt;'買掛帳'!$B$3,NOT(ISNUMBER($S425))),"",IF(AND($S425&gt;='買掛帳'!$Q$3,$S425&lt;='買掛帳'!$Q$4),$S425+ROW()/10000000,""))</f>
        <v/>
      </c>
      <c r="V425" s="35">
        <f>IF(OR($B425="",$B425&lt;&gt;'買掛帳'!$B$3,NOT(ISNUMBER($K425)),N($L425)+N($M425)=0),"",IF(AND($K425&gt;='買掛帳'!$Q$3,$K425&lt;='買掛帳'!$Q$4),$K425+0.5+ROW()/10000000,""))</f>
        <v/>
      </c>
    </row>
    <row r="426" ht="18" customHeight="1">
      <c r="A426" s="26" t="n"/>
      <c r="B426" s="18" t="n"/>
      <c r="C426" s="20">
        <f>IF($B426="","",IF($R426="なし","※仕入先にないコード",INDEX('仕入先'!$C$5:$C$54,$R426)&amp;""))</f>
        <v/>
      </c>
      <c r="D426" s="26" t="n"/>
      <c r="E426" s="18" t="n"/>
      <c r="F426" s="19" t="n"/>
      <c r="G426" s="27" t="n"/>
      <c r="H426" s="29">
        <f>IF(OR($B426="",NOT(ISNUMBER($R426)),NOT(ISNUMBER($S426))),"",IF(OR(INDEX('仕入先'!$D$5:$D$54,$R426)="",INDEX('仕入先'!$E$5:$E$54,$R426)="",INDEX('仕入先'!$F$5:$F$54,$R426)=""),"",IF(INDEX('仕入先'!$F$5:$F$54,$R426)="末",DATE(YEAR($S426),(MONTH($S426)+IF(INDEX('仕入先'!$D$5:$D$54,$R426)="末",0,IF(DAY($S426)&lt;=INDEX('仕入先'!$D$5:$D$54,$R426),0,1))+N(INDEX('仕入先'!$E$5:$E$54,$R426)))+1,0),DATE(YEAR($S426),(MONTH($S426)+IF(INDEX('仕入先'!$D$5:$D$54,$R426)="末",0,IF(DAY($S426)&lt;=INDEX('仕入先'!$D$5:$D$54,$R426),0,1))+N(INDEX('仕入先'!$E$5:$E$54,$R426))),MIN(INDEX('仕入先'!$F$5:$F$54,$R426),DAY(DATE(YEAR($S426),(MONTH($S426)+IF(INDEX('仕入先'!$D$5:$D$54,$R426)="末",0,IF(DAY($S426)&lt;=INDEX('仕入先'!$D$5:$D$54,$R426),0,1))+N(INDEX('仕入先'!$E$5:$E$54,$R426)))+1,0)))))))</f>
        <v/>
      </c>
      <c r="I426" s="26" t="n"/>
      <c r="J426" s="29">
        <f>IF($B426="","",IF(ISNUMBER($I426),$I426,$H426))</f>
        <v/>
      </c>
      <c r="K426" s="26" t="n"/>
      <c r="L426" s="27" t="n"/>
      <c r="M426" s="27" t="n"/>
      <c r="N426" s="28">
        <f>IF($B426="","",N($G426)-N($L426)-N($M426))</f>
        <v/>
      </c>
      <c r="O426" s="30">
        <f>IF($B426="","",IF(AND(OR(N($L426)&lt;&gt;0,N($M426)&lt;&gt;0),NOT(ISNUMBER($K426))),"支払日なし",IF($N426=0,IF(N($G426)=0,"請求額0","支払済"),IF($N426&lt;0,"払いすぎ",IF(N($L426)+N($M426)=0,"未払","一部支払")))))</f>
        <v/>
      </c>
      <c r="P426" s="30">
        <f>IF(OR($B426="",N($N426)&lt;=0,NOT(ISNUMBER($J426))),"",IF($J426&lt;'設定'!$B$7,"期日超過 "&amp;('設定'!$B$7-$J426)&amp;"日",IF($J426='設定'!$B$7,"今日","あと "&amp;($J426-'設定'!$B$7)&amp;"日")))</f>
        <v/>
      </c>
      <c r="Q426" s="56" t="n"/>
      <c r="R426" s="32">
        <f>IF($B426="","",IFERROR(MATCH($B426,'仕入先'!$B$5:$B$54,0),"なし"))</f>
        <v/>
      </c>
      <c r="S426" s="33">
        <f>IF($B426="","",IF(ISNUMBER($D426),$D426,IF(ISNUMBER($A426),$A426,"")))</f>
        <v/>
      </c>
      <c r="T426" s="34">
        <f>IF(OR($B426="",N($N426)&lt;=0),"",IF(ISNUMBER($J426),$J426,99999)+ROW()/1000000)</f>
        <v/>
      </c>
      <c r="U426" s="35">
        <f>IF(OR($B426="",$B426&lt;&gt;'買掛帳'!$B$3,NOT(ISNUMBER($S426))),"",IF(AND($S426&gt;='買掛帳'!$Q$3,$S426&lt;='買掛帳'!$Q$4),$S426+ROW()/10000000,""))</f>
        <v/>
      </c>
      <c r="V426" s="35">
        <f>IF(OR($B426="",$B426&lt;&gt;'買掛帳'!$B$3,NOT(ISNUMBER($K426)),N($L426)+N($M426)=0),"",IF(AND($K426&gt;='買掛帳'!$Q$3,$K426&lt;='買掛帳'!$Q$4),$K426+0.5+ROW()/10000000,""))</f>
        <v/>
      </c>
    </row>
    <row r="427" ht="18" customHeight="1">
      <c r="A427" s="26" t="n"/>
      <c r="B427" s="18" t="n"/>
      <c r="C427" s="20">
        <f>IF($B427="","",IF($R427="なし","※仕入先にないコード",INDEX('仕入先'!$C$5:$C$54,$R427)&amp;""))</f>
        <v/>
      </c>
      <c r="D427" s="26" t="n"/>
      <c r="E427" s="18" t="n"/>
      <c r="F427" s="19" t="n"/>
      <c r="G427" s="27" t="n"/>
      <c r="H427" s="29">
        <f>IF(OR($B427="",NOT(ISNUMBER($R427)),NOT(ISNUMBER($S427))),"",IF(OR(INDEX('仕入先'!$D$5:$D$54,$R427)="",INDEX('仕入先'!$E$5:$E$54,$R427)="",INDEX('仕入先'!$F$5:$F$54,$R427)=""),"",IF(INDEX('仕入先'!$F$5:$F$54,$R427)="末",DATE(YEAR($S427),(MONTH($S427)+IF(INDEX('仕入先'!$D$5:$D$54,$R427)="末",0,IF(DAY($S427)&lt;=INDEX('仕入先'!$D$5:$D$54,$R427),0,1))+N(INDEX('仕入先'!$E$5:$E$54,$R427)))+1,0),DATE(YEAR($S427),(MONTH($S427)+IF(INDEX('仕入先'!$D$5:$D$54,$R427)="末",0,IF(DAY($S427)&lt;=INDEX('仕入先'!$D$5:$D$54,$R427),0,1))+N(INDEX('仕入先'!$E$5:$E$54,$R427))),MIN(INDEX('仕入先'!$F$5:$F$54,$R427),DAY(DATE(YEAR($S427),(MONTH($S427)+IF(INDEX('仕入先'!$D$5:$D$54,$R427)="末",0,IF(DAY($S427)&lt;=INDEX('仕入先'!$D$5:$D$54,$R427),0,1))+N(INDEX('仕入先'!$E$5:$E$54,$R427)))+1,0)))))))</f>
        <v/>
      </c>
      <c r="I427" s="26" t="n"/>
      <c r="J427" s="29">
        <f>IF($B427="","",IF(ISNUMBER($I427),$I427,$H427))</f>
        <v/>
      </c>
      <c r="K427" s="26" t="n"/>
      <c r="L427" s="27" t="n"/>
      <c r="M427" s="27" t="n"/>
      <c r="N427" s="28">
        <f>IF($B427="","",N($G427)-N($L427)-N($M427))</f>
        <v/>
      </c>
      <c r="O427" s="30">
        <f>IF($B427="","",IF(AND(OR(N($L427)&lt;&gt;0,N($M427)&lt;&gt;0),NOT(ISNUMBER($K427))),"支払日なし",IF($N427=0,IF(N($G427)=0,"請求額0","支払済"),IF($N427&lt;0,"払いすぎ",IF(N($L427)+N($M427)=0,"未払","一部支払")))))</f>
        <v/>
      </c>
      <c r="P427" s="30">
        <f>IF(OR($B427="",N($N427)&lt;=0,NOT(ISNUMBER($J427))),"",IF($J427&lt;'設定'!$B$7,"期日超過 "&amp;('設定'!$B$7-$J427)&amp;"日",IF($J427='設定'!$B$7,"今日","あと "&amp;($J427-'設定'!$B$7)&amp;"日")))</f>
        <v/>
      </c>
      <c r="Q427" s="56" t="n"/>
      <c r="R427" s="32">
        <f>IF($B427="","",IFERROR(MATCH($B427,'仕入先'!$B$5:$B$54,0),"なし"))</f>
        <v/>
      </c>
      <c r="S427" s="33">
        <f>IF($B427="","",IF(ISNUMBER($D427),$D427,IF(ISNUMBER($A427),$A427,"")))</f>
        <v/>
      </c>
      <c r="T427" s="34">
        <f>IF(OR($B427="",N($N427)&lt;=0),"",IF(ISNUMBER($J427),$J427,99999)+ROW()/1000000)</f>
        <v/>
      </c>
      <c r="U427" s="35">
        <f>IF(OR($B427="",$B427&lt;&gt;'買掛帳'!$B$3,NOT(ISNUMBER($S427))),"",IF(AND($S427&gt;='買掛帳'!$Q$3,$S427&lt;='買掛帳'!$Q$4),$S427+ROW()/10000000,""))</f>
        <v/>
      </c>
      <c r="V427" s="35">
        <f>IF(OR($B427="",$B427&lt;&gt;'買掛帳'!$B$3,NOT(ISNUMBER($K427)),N($L427)+N($M427)=0),"",IF(AND($K427&gt;='買掛帳'!$Q$3,$K427&lt;='買掛帳'!$Q$4),$K427+0.5+ROW()/10000000,""))</f>
        <v/>
      </c>
    </row>
    <row r="428" ht="18" customHeight="1">
      <c r="A428" s="26" t="n"/>
      <c r="B428" s="18" t="n"/>
      <c r="C428" s="20">
        <f>IF($B428="","",IF($R428="なし","※仕入先にないコード",INDEX('仕入先'!$C$5:$C$54,$R428)&amp;""))</f>
        <v/>
      </c>
      <c r="D428" s="26" t="n"/>
      <c r="E428" s="18" t="n"/>
      <c r="F428" s="19" t="n"/>
      <c r="G428" s="27" t="n"/>
      <c r="H428" s="29">
        <f>IF(OR($B428="",NOT(ISNUMBER($R428)),NOT(ISNUMBER($S428))),"",IF(OR(INDEX('仕入先'!$D$5:$D$54,$R428)="",INDEX('仕入先'!$E$5:$E$54,$R428)="",INDEX('仕入先'!$F$5:$F$54,$R428)=""),"",IF(INDEX('仕入先'!$F$5:$F$54,$R428)="末",DATE(YEAR($S428),(MONTH($S428)+IF(INDEX('仕入先'!$D$5:$D$54,$R428)="末",0,IF(DAY($S428)&lt;=INDEX('仕入先'!$D$5:$D$54,$R428),0,1))+N(INDEX('仕入先'!$E$5:$E$54,$R428)))+1,0),DATE(YEAR($S428),(MONTH($S428)+IF(INDEX('仕入先'!$D$5:$D$54,$R428)="末",0,IF(DAY($S428)&lt;=INDEX('仕入先'!$D$5:$D$54,$R428),0,1))+N(INDEX('仕入先'!$E$5:$E$54,$R428))),MIN(INDEX('仕入先'!$F$5:$F$54,$R428),DAY(DATE(YEAR($S428),(MONTH($S428)+IF(INDEX('仕入先'!$D$5:$D$54,$R428)="末",0,IF(DAY($S428)&lt;=INDEX('仕入先'!$D$5:$D$54,$R428),0,1))+N(INDEX('仕入先'!$E$5:$E$54,$R428)))+1,0)))))))</f>
        <v/>
      </c>
      <c r="I428" s="26" t="n"/>
      <c r="J428" s="29">
        <f>IF($B428="","",IF(ISNUMBER($I428),$I428,$H428))</f>
        <v/>
      </c>
      <c r="K428" s="26" t="n"/>
      <c r="L428" s="27" t="n"/>
      <c r="M428" s="27" t="n"/>
      <c r="N428" s="28">
        <f>IF($B428="","",N($G428)-N($L428)-N($M428))</f>
        <v/>
      </c>
      <c r="O428" s="30">
        <f>IF($B428="","",IF(AND(OR(N($L428)&lt;&gt;0,N($M428)&lt;&gt;0),NOT(ISNUMBER($K428))),"支払日なし",IF($N428=0,IF(N($G428)=0,"請求額0","支払済"),IF($N428&lt;0,"払いすぎ",IF(N($L428)+N($M428)=0,"未払","一部支払")))))</f>
        <v/>
      </c>
      <c r="P428" s="30">
        <f>IF(OR($B428="",N($N428)&lt;=0,NOT(ISNUMBER($J428))),"",IF($J428&lt;'設定'!$B$7,"期日超過 "&amp;('設定'!$B$7-$J428)&amp;"日",IF($J428='設定'!$B$7,"今日","あと "&amp;($J428-'設定'!$B$7)&amp;"日")))</f>
        <v/>
      </c>
      <c r="Q428" s="56" t="n"/>
      <c r="R428" s="32">
        <f>IF($B428="","",IFERROR(MATCH($B428,'仕入先'!$B$5:$B$54,0),"なし"))</f>
        <v/>
      </c>
      <c r="S428" s="33">
        <f>IF($B428="","",IF(ISNUMBER($D428),$D428,IF(ISNUMBER($A428),$A428,"")))</f>
        <v/>
      </c>
      <c r="T428" s="34">
        <f>IF(OR($B428="",N($N428)&lt;=0),"",IF(ISNUMBER($J428),$J428,99999)+ROW()/1000000)</f>
        <v/>
      </c>
      <c r="U428" s="35">
        <f>IF(OR($B428="",$B428&lt;&gt;'買掛帳'!$B$3,NOT(ISNUMBER($S428))),"",IF(AND($S428&gt;='買掛帳'!$Q$3,$S428&lt;='買掛帳'!$Q$4),$S428+ROW()/10000000,""))</f>
        <v/>
      </c>
      <c r="V428" s="35">
        <f>IF(OR($B428="",$B428&lt;&gt;'買掛帳'!$B$3,NOT(ISNUMBER($K428)),N($L428)+N($M428)=0),"",IF(AND($K428&gt;='買掛帳'!$Q$3,$K428&lt;='買掛帳'!$Q$4),$K428+0.5+ROW()/10000000,""))</f>
        <v/>
      </c>
    </row>
    <row r="429" ht="18" customHeight="1">
      <c r="A429" s="26" t="n"/>
      <c r="B429" s="18" t="n"/>
      <c r="C429" s="20">
        <f>IF($B429="","",IF($R429="なし","※仕入先にないコード",INDEX('仕入先'!$C$5:$C$54,$R429)&amp;""))</f>
        <v/>
      </c>
      <c r="D429" s="26" t="n"/>
      <c r="E429" s="18" t="n"/>
      <c r="F429" s="19" t="n"/>
      <c r="G429" s="27" t="n"/>
      <c r="H429" s="29">
        <f>IF(OR($B429="",NOT(ISNUMBER($R429)),NOT(ISNUMBER($S429))),"",IF(OR(INDEX('仕入先'!$D$5:$D$54,$R429)="",INDEX('仕入先'!$E$5:$E$54,$R429)="",INDEX('仕入先'!$F$5:$F$54,$R429)=""),"",IF(INDEX('仕入先'!$F$5:$F$54,$R429)="末",DATE(YEAR($S429),(MONTH($S429)+IF(INDEX('仕入先'!$D$5:$D$54,$R429)="末",0,IF(DAY($S429)&lt;=INDEX('仕入先'!$D$5:$D$54,$R429),0,1))+N(INDEX('仕入先'!$E$5:$E$54,$R429)))+1,0),DATE(YEAR($S429),(MONTH($S429)+IF(INDEX('仕入先'!$D$5:$D$54,$R429)="末",0,IF(DAY($S429)&lt;=INDEX('仕入先'!$D$5:$D$54,$R429),0,1))+N(INDEX('仕入先'!$E$5:$E$54,$R429))),MIN(INDEX('仕入先'!$F$5:$F$54,$R429),DAY(DATE(YEAR($S429),(MONTH($S429)+IF(INDEX('仕入先'!$D$5:$D$54,$R429)="末",0,IF(DAY($S429)&lt;=INDEX('仕入先'!$D$5:$D$54,$R429),0,1))+N(INDEX('仕入先'!$E$5:$E$54,$R429)))+1,0)))))))</f>
        <v/>
      </c>
      <c r="I429" s="26" t="n"/>
      <c r="J429" s="29">
        <f>IF($B429="","",IF(ISNUMBER($I429),$I429,$H429))</f>
        <v/>
      </c>
      <c r="K429" s="26" t="n"/>
      <c r="L429" s="27" t="n"/>
      <c r="M429" s="27" t="n"/>
      <c r="N429" s="28">
        <f>IF($B429="","",N($G429)-N($L429)-N($M429))</f>
        <v/>
      </c>
      <c r="O429" s="30">
        <f>IF($B429="","",IF(AND(OR(N($L429)&lt;&gt;0,N($M429)&lt;&gt;0),NOT(ISNUMBER($K429))),"支払日なし",IF($N429=0,IF(N($G429)=0,"請求額0","支払済"),IF($N429&lt;0,"払いすぎ",IF(N($L429)+N($M429)=0,"未払","一部支払")))))</f>
        <v/>
      </c>
      <c r="P429" s="30">
        <f>IF(OR($B429="",N($N429)&lt;=0,NOT(ISNUMBER($J429))),"",IF($J429&lt;'設定'!$B$7,"期日超過 "&amp;('設定'!$B$7-$J429)&amp;"日",IF($J429='設定'!$B$7,"今日","あと "&amp;($J429-'設定'!$B$7)&amp;"日")))</f>
        <v/>
      </c>
      <c r="Q429" s="56" t="n"/>
      <c r="R429" s="32">
        <f>IF($B429="","",IFERROR(MATCH($B429,'仕入先'!$B$5:$B$54,0),"なし"))</f>
        <v/>
      </c>
      <c r="S429" s="33">
        <f>IF($B429="","",IF(ISNUMBER($D429),$D429,IF(ISNUMBER($A429),$A429,"")))</f>
        <v/>
      </c>
      <c r="T429" s="34">
        <f>IF(OR($B429="",N($N429)&lt;=0),"",IF(ISNUMBER($J429),$J429,99999)+ROW()/1000000)</f>
        <v/>
      </c>
      <c r="U429" s="35">
        <f>IF(OR($B429="",$B429&lt;&gt;'買掛帳'!$B$3,NOT(ISNUMBER($S429))),"",IF(AND($S429&gt;='買掛帳'!$Q$3,$S429&lt;='買掛帳'!$Q$4),$S429+ROW()/10000000,""))</f>
        <v/>
      </c>
      <c r="V429" s="35">
        <f>IF(OR($B429="",$B429&lt;&gt;'買掛帳'!$B$3,NOT(ISNUMBER($K429)),N($L429)+N($M429)=0),"",IF(AND($K429&gt;='買掛帳'!$Q$3,$K429&lt;='買掛帳'!$Q$4),$K429+0.5+ROW()/10000000,""))</f>
        <v/>
      </c>
    </row>
    <row r="430" ht="18" customHeight="1">
      <c r="A430" s="26" t="n"/>
      <c r="B430" s="18" t="n"/>
      <c r="C430" s="20">
        <f>IF($B430="","",IF($R430="なし","※仕入先にないコード",INDEX('仕入先'!$C$5:$C$54,$R430)&amp;""))</f>
        <v/>
      </c>
      <c r="D430" s="26" t="n"/>
      <c r="E430" s="18" t="n"/>
      <c r="F430" s="19" t="n"/>
      <c r="G430" s="27" t="n"/>
      <c r="H430" s="29">
        <f>IF(OR($B430="",NOT(ISNUMBER($R430)),NOT(ISNUMBER($S430))),"",IF(OR(INDEX('仕入先'!$D$5:$D$54,$R430)="",INDEX('仕入先'!$E$5:$E$54,$R430)="",INDEX('仕入先'!$F$5:$F$54,$R430)=""),"",IF(INDEX('仕入先'!$F$5:$F$54,$R430)="末",DATE(YEAR($S430),(MONTH($S430)+IF(INDEX('仕入先'!$D$5:$D$54,$R430)="末",0,IF(DAY($S430)&lt;=INDEX('仕入先'!$D$5:$D$54,$R430),0,1))+N(INDEX('仕入先'!$E$5:$E$54,$R430)))+1,0),DATE(YEAR($S430),(MONTH($S430)+IF(INDEX('仕入先'!$D$5:$D$54,$R430)="末",0,IF(DAY($S430)&lt;=INDEX('仕入先'!$D$5:$D$54,$R430),0,1))+N(INDEX('仕入先'!$E$5:$E$54,$R430))),MIN(INDEX('仕入先'!$F$5:$F$54,$R430),DAY(DATE(YEAR($S430),(MONTH($S430)+IF(INDEX('仕入先'!$D$5:$D$54,$R430)="末",0,IF(DAY($S430)&lt;=INDEX('仕入先'!$D$5:$D$54,$R430),0,1))+N(INDEX('仕入先'!$E$5:$E$54,$R430)))+1,0)))))))</f>
        <v/>
      </c>
      <c r="I430" s="26" t="n"/>
      <c r="J430" s="29">
        <f>IF($B430="","",IF(ISNUMBER($I430),$I430,$H430))</f>
        <v/>
      </c>
      <c r="K430" s="26" t="n"/>
      <c r="L430" s="27" t="n"/>
      <c r="M430" s="27" t="n"/>
      <c r="N430" s="28">
        <f>IF($B430="","",N($G430)-N($L430)-N($M430))</f>
        <v/>
      </c>
      <c r="O430" s="30">
        <f>IF($B430="","",IF(AND(OR(N($L430)&lt;&gt;0,N($M430)&lt;&gt;0),NOT(ISNUMBER($K430))),"支払日なし",IF($N430=0,IF(N($G430)=0,"請求額0","支払済"),IF($N430&lt;0,"払いすぎ",IF(N($L430)+N($M430)=0,"未払","一部支払")))))</f>
        <v/>
      </c>
      <c r="P430" s="30">
        <f>IF(OR($B430="",N($N430)&lt;=0,NOT(ISNUMBER($J430))),"",IF($J430&lt;'設定'!$B$7,"期日超過 "&amp;('設定'!$B$7-$J430)&amp;"日",IF($J430='設定'!$B$7,"今日","あと "&amp;($J430-'設定'!$B$7)&amp;"日")))</f>
        <v/>
      </c>
      <c r="Q430" s="56" t="n"/>
      <c r="R430" s="32">
        <f>IF($B430="","",IFERROR(MATCH($B430,'仕入先'!$B$5:$B$54,0),"なし"))</f>
        <v/>
      </c>
      <c r="S430" s="33">
        <f>IF($B430="","",IF(ISNUMBER($D430),$D430,IF(ISNUMBER($A430),$A430,"")))</f>
        <v/>
      </c>
      <c r="T430" s="34">
        <f>IF(OR($B430="",N($N430)&lt;=0),"",IF(ISNUMBER($J430),$J430,99999)+ROW()/1000000)</f>
        <v/>
      </c>
      <c r="U430" s="35">
        <f>IF(OR($B430="",$B430&lt;&gt;'買掛帳'!$B$3,NOT(ISNUMBER($S430))),"",IF(AND($S430&gt;='買掛帳'!$Q$3,$S430&lt;='買掛帳'!$Q$4),$S430+ROW()/10000000,""))</f>
        <v/>
      </c>
      <c r="V430" s="35">
        <f>IF(OR($B430="",$B430&lt;&gt;'買掛帳'!$B$3,NOT(ISNUMBER($K430)),N($L430)+N($M430)=0),"",IF(AND($K430&gt;='買掛帳'!$Q$3,$K430&lt;='買掛帳'!$Q$4),$K430+0.5+ROW()/10000000,""))</f>
        <v/>
      </c>
    </row>
    <row r="431" ht="18" customHeight="1">
      <c r="A431" s="26" t="n"/>
      <c r="B431" s="18" t="n"/>
      <c r="C431" s="20">
        <f>IF($B431="","",IF($R431="なし","※仕入先にないコード",INDEX('仕入先'!$C$5:$C$54,$R431)&amp;""))</f>
        <v/>
      </c>
      <c r="D431" s="26" t="n"/>
      <c r="E431" s="18" t="n"/>
      <c r="F431" s="19" t="n"/>
      <c r="G431" s="27" t="n"/>
      <c r="H431" s="29">
        <f>IF(OR($B431="",NOT(ISNUMBER($R431)),NOT(ISNUMBER($S431))),"",IF(OR(INDEX('仕入先'!$D$5:$D$54,$R431)="",INDEX('仕入先'!$E$5:$E$54,$R431)="",INDEX('仕入先'!$F$5:$F$54,$R431)=""),"",IF(INDEX('仕入先'!$F$5:$F$54,$R431)="末",DATE(YEAR($S431),(MONTH($S431)+IF(INDEX('仕入先'!$D$5:$D$54,$R431)="末",0,IF(DAY($S431)&lt;=INDEX('仕入先'!$D$5:$D$54,$R431),0,1))+N(INDEX('仕入先'!$E$5:$E$54,$R431)))+1,0),DATE(YEAR($S431),(MONTH($S431)+IF(INDEX('仕入先'!$D$5:$D$54,$R431)="末",0,IF(DAY($S431)&lt;=INDEX('仕入先'!$D$5:$D$54,$R431),0,1))+N(INDEX('仕入先'!$E$5:$E$54,$R431))),MIN(INDEX('仕入先'!$F$5:$F$54,$R431),DAY(DATE(YEAR($S431),(MONTH($S431)+IF(INDEX('仕入先'!$D$5:$D$54,$R431)="末",0,IF(DAY($S431)&lt;=INDEX('仕入先'!$D$5:$D$54,$R431),0,1))+N(INDEX('仕入先'!$E$5:$E$54,$R431)))+1,0)))))))</f>
        <v/>
      </c>
      <c r="I431" s="26" t="n"/>
      <c r="J431" s="29">
        <f>IF($B431="","",IF(ISNUMBER($I431),$I431,$H431))</f>
        <v/>
      </c>
      <c r="K431" s="26" t="n"/>
      <c r="L431" s="27" t="n"/>
      <c r="M431" s="27" t="n"/>
      <c r="N431" s="28">
        <f>IF($B431="","",N($G431)-N($L431)-N($M431))</f>
        <v/>
      </c>
      <c r="O431" s="30">
        <f>IF($B431="","",IF(AND(OR(N($L431)&lt;&gt;0,N($M431)&lt;&gt;0),NOT(ISNUMBER($K431))),"支払日なし",IF($N431=0,IF(N($G431)=0,"請求額0","支払済"),IF($N431&lt;0,"払いすぎ",IF(N($L431)+N($M431)=0,"未払","一部支払")))))</f>
        <v/>
      </c>
      <c r="P431" s="30">
        <f>IF(OR($B431="",N($N431)&lt;=0,NOT(ISNUMBER($J431))),"",IF($J431&lt;'設定'!$B$7,"期日超過 "&amp;('設定'!$B$7-$J431)&amp;"日",IF($J431='設定'!$B$7,"今日","あと "&amp;($J431-'設定'!$B$7)&amp;"日")))</f>
        <v/>
      </c>
      <c r="Q431" s="56" t="n"/>
      <c r="R431" s="32">
        <f>IF($B431="","",IFERROR(MATCH($B431,'仕入先'!$B$5:$B$54,0),"なし"))</f>
        <v/>
      </c>
      <c r="S431" s="33">
        <f>IF($B431="","",IF(ISNUMBER($D431),$D431,IF(ISNUMBER($A431),$A431,"")))</f>
        <v/>
      </c>
      <c r="T431" s="34">
        <f>IF(OR($B431="",N($N431)&lt;=0),"",IF(ISNUMBER($J431),$J431,99999)+ROW()/1000000)</f>
        <v/>
      </c>
      <c r="U431" s="35">
        <f>IF(OR($B431="",$B431&lt;&gt;'買掛帳'!$B$3,NOT(ISNUMBER($S431))),"",IF(AND($S431&gt;='買掛帳'!$Q$3,$S431&lt;='買掛帳'!$Q$4),$S431+ROW()/10000000,""))</f>
        <v/>
      </c>
      <c r="V431" s="35">
        <f>IF(OR($B431="",$B431&lt;&gt;'買掛帳'!$B$3,NOT(ISNUMBER($K431)),N($L431)+N($M431)=0),"",IF(AND($K431&gt;='買掛帳'!$Q$3,$K431&lt;='買掛帳'!$Q$4),$K431+0.5+ROW()/10000000,""))</f>
        <v/>
      </c>
    </row>
    <row r="432" ht="18" customHeight="1">
      <c r="A432" s="26" t="n"/>
      <c r="B432" s="18" t="n"/>
      <c r="C432" s="20">
        <f>IF($B432="","",IF($R432="なし","※仕入先にないコード",INDEX('仕入先'!$C$5:$C$54,$R432)&amp;""))</f>
        <v/>
      </c>
      <c r="D432" s="26" t="n"/>
      <c r="E432" s="18" t="n"/>
      <c r="F432" s="19" t="n"/>
      <c r="G432" s="27" t="n"/>
      <c r="H432" s="29">
        <f>IF(OR($B432="",NOT(ISNUMBER($R432)),NOT(ISNUMBER($S432))),"",IF(OR(INDEX('仕入先'!$D$5:$D$54,$R432)="",INDEX('仕入先'!$E$5:$E$54,$R432)="",INDEX('仕入先'!$F$5:$F$54,$R432)=""),"",IF(INDEX('仕入先'!$F$5:$F$54,$R432)="末",DATE(YEAR($S432),(MONTH($S432)+IF(INDEX('仕入先'!$D$5:$D$54,$R432)="末",0,IF(DAY($S432)&lt;=INDEX('仕入先'!$D$5:$D$54,$R432),0,1))+N(INDEX('仕入先'!$E$5:$E$54,$R432)))+1,0),DATE(YEAR($S432),(MONTH($S432)+IF(INDEX('仕入先'!$D$5:$D$54,$R432)="末",0,IF(DAY($S432)&lt;=INDEX('仕入先'!$D$5:$D$54,$R432),0,1))+N(INDEX('仕入先'!$E$5:$E$54,$R432))),MIN(INDEX('仕入先'!$F$5:$F$54,$R432),DAY(DATE(YEAR($S432),(MONTH($S432)+IF(INDEX('仕入先'!$D$5:$D$54,$R432)="末",0,IF(DAY($S432)&lt;=INDEX('仕入先'!$D$5:$D$54,$R432),0,1))+N(INDEX('仕入先'!$E$5:$E$54,$R432)))+1,0)))))))</f>
        <v/>
      </c>
      <c r="I432" s="26" t="n"/>
      <c r="J432" s="29">
        <f>IF($B432="","",IF(ISNUMBER($I432),$I432,$H432))</f>
        <v/>
      </c>
      <c r="K432" s="26" t="n"/>
      <c r="L432" s="27" t="n"/>
      <c r="M432" s="27" t="n"/>
      <c r="N432" s="28">
        <f>IF($B432="","",N($G432)-N($L432)-N($M432))</f>
        <v/>
      </c>
      <c r="O432" s="30">
        <f>IF($B432="","",IF(AND(OR(N($L432)&lt;&gt;0,N($M432)&lt;&gt;0),NOT(ISNUMBER($K432))),"支払日なし",IF($N432=0,IF(N($G432)=0,"請求額0","支払済"),IF($N432&lt;0,"払いすぎ",IF(N($L432)+N($M432)=0,"未払","一部支払")))))</f>
        <v/>
      </c>
      <c r="P432" s="30">
        <f>IF(OR($B432="",N($N432)&lt;=0,NOT(ISNUMBER($J432))),"",IF($J432&lt;'設定'!$B$7,"期日超過 "&amp;('設定'!$B$7-$J432)&amp;"日",IF($J432='設定'!$B$7,"今日","あと "&amp;($J432-'設定'!$B$7)&amp;"日")))</f>
        <v/>
      </c>
      <c r="Q432" s="56" t="n"/>
      <c r="R432" s="32">
        <f>IF($B432="","",IFERROR(MATCH($B432,'仕入先'!$B$5:$B$54,0),"なし"))</f>
        <v/>
      </c>
      <c r="S432" s="33">
        <f>IF($B432="","",IF(ISNUMBER($D432),$D432,IF(ISNUMBER($A432),$A432,"")))</f>
        <v/>
      </c>
      <c r="T432" s="34">
        <f>IF(OR($B432="",N($N432)&lt;=0),"",IF(ISNUMBER($J432),$J432,99999)+ROW()/1000000)</f>
        <v/>
      </c>
      <c r="U432" s="35">
        <f>IF(OR($B432="",$B432&lt;&gt;'買掛帳'!$B$3,NOT(ISNUMBER($S432))),"",IF(AND($S432&gt;='買掛帳'!$Q$3,$S432&lt;='買掛帳'!$Q$4),$S432+ROW()/10000000,""))</f>
        <v/>
      </c>
      <c r="V432" s="35">
        <f>IF(OR($B432="",$B432&lt;&gt;'買掛帳'!$B$3,NOT(ISNUMBER($K432)),N($L432)+N($M432)=0),"",IF(AND($K432&gt;='買掛帳'!$Q$3,$K432&lt;='買掛帳'!$Q$4),$K432+0.5+ROW()/10000000,""))</f>
        <v/>
      </c>
    </row>
    <row r="433" ht="18" customHeight="1">
      <c r="A433" s="26" t="n"/>
      <c r="B433" s="18" t="n"/>
      <c r="C433" s="20">
        <f>IF($B433="","",IF($R433="なし","※仕入先にないコード",INDEX('仕入先'!$C$5:$C$54,$R433)&amp;""))</f>
        <v/>
      </c>
      <c r="D433" s="26" t="n"/>
      <c r="E433" s="18" t="n"/>
      <c r="F433" s="19" t="n"/>
      <c r="G433" s="27" t="n"/>
      <c r="H433" s="29">
        <f>IF(OR($B433="",NOT(ISNUMBER($R433)),NOT(ISNUMBER($S433))),"",IF(OR(INDEX('仕入先'!$D$5:$D$54,$R433)="",INDEX('仕入先'!$E$5:$E$54,$R433)="",INDEX('仕入先'!$F$5:$F$54,$R433)=""),"",IF(INDEX('仕入先'!$F$5:$F$54,$R433)="末",DATE(YEAR($S433),(MONTH($S433)+IF(INDEX('仕入先'!$D$5:$D$54,$R433)="末",0,IF(DAY($S433)&lt;=INDEX('仕入先'!$D$5:$D$54,$R433),0,1))+N(INDEX('仕入先'!$E$5:$E$54,$R433)))+1,0),DATE(YEAR($S433),(MONTH($S433)+IF(INDEX('仕入先'!$D$5:$D$54,$R433)="末",0,IF(DAY($S433)&lt;=INDEX('仕入先'!$D$5:$D$54,$R433),0,1))+N(INDEX('仕入先'!$E$5:$E$54,$R433))),MIN(INDEX('仕入先'!$F$5:$F$54,$R433),DAY(DATE(YEAR($S433),(MONTH($S433)+IF(INDEX('仕入先'!$D$5:$D$54,$R433)="末",0,IF(DAY($S433)&lt;=INDEX('仕入先'!$D$5:$D$54,$R433),0,1))+N(INDEX('仕入先'!$E$5:$E$54,$R433)))+1,0)))))))</f>
        <v/>
      </c>
      <c r="I433" s="26" t="n"/>
      <c r="J433" s="29">
        <f>IF($B433="","",IF(ISNUMBER($I433),$I433,$H433))</f>
        <v/>
      </c>
      <c r="K433" s="26" t="n"/>
      <c r="L433" s="27" t="n"/>
      <c r="M433" s="27" t="n"/>
      <c r="N433" s="28">
        <f>IF($B433="","",N($G433)-N($L433)-N($M433))</f>
        <v/>
      </c>
      <c r="O433" s="30">
        <f>IF($B433="","",IF(AND(OR(N($L433)&lt;&gt;0,N($M433)&lt;&gt;0),NOT(ISNUMBER($K433))),"支払日なし",IF($N433=0,IF(N($G433)=0,"請求額0","支払済"),IF($N433&lt;0,"払いすぎ",IF(N($L433)+N($M433)=0,"未払","一部支払")))))</f>
        <v/>
      </c>
      <c r="P433" s="30">
        <f>IF(OR($B433="",N($N433)&lt;=0,NOT(ISNUMBER($J433))),"",IF($J433&lt;'設定'!$B$7,"期日超過 "&amp;('設定'!$B$7-$J433)&amp;"日",IF($J433='設定'!$B$7,"今日","あと "&amp;($J433-'設定'!$B$7)&amp;"日")))</f>
        <v/>
      </c>
      <c r="Q433" s="56" t="n"/>
      <c r="R433" s="32">
        <f>IF($B433="","",IFERROR(MATCH($B433,'仕入先'!$B$5:$B$54,0),"なし"))</f>
        <v/>
      </c>
      <c r="S433" s="33">
        <f>IF($B433="","",IF(ISNUMBER($D433),$D433,IF(ISNUMBER($A433),$A433,"")))</f>
        <v/>
      </c>
      <c r="T433" s="34">
        <f>IF(OR($B433="",N($N433)&lt;=0),"",IF(ISNUMBER($J433),$J433,99999)+ROW()/1000000)</f>
        <v/>
      </c>
      <c r="U433" s="35">
        <f>IF(OR($B433="",$B433&lt;&gt;'買掛帳'!$B$3,NOT(ISNUMBER($S433))),"",IF(AND($S433&gt;='買掛帳'!$Q$3,$S433&lt;='買掛帳'!$Q$4),$S433+ROW()/10000000,""))</f>
        <v/>
      </c>
      <c r="V433" s="35">
        <f>IF(OR($B433="",$B433&lt;&gt;'買掛帳'!$B$3,NOT(ISNUMBER($K433)),N($L433)+N($M433)=0),"",IF(AND($K433&gt;='買掛帳'!$Q$3,$K433&lt;='買掛帳'!$Q$4),$K433+0.5+ROW()/10000000,""))</f>
        <v/>
      </c>
    </row>
    <row r="434" ht="18" customHeight="1">
      <c r="A434" s="26" t="n"/>
      <c r="B434" s="18" t="n"/>
      <c r="C434" s="20">
        <f>IF($B434="","",IF($R434="なし","※仕入先にないコード",INDEX('仕入先'!$C$5:$C$54,$R434)&amp;""))</f>
        <v/>
      </c>
      <c r="D434" s="26" t="n"/>
      <c r="E434" s="18" t="n"/>
      <c r="F434" s="19" t="n"/>
      <c r="G434" s="27" t="n"/>
      <c r="H434" s="29">
        <f>IF(OR($B434="",NOT(ISNUMBER($R434)),NOT(ISNUMBER($S434))),"",IF(OR(INDEX('仕入先'!$D$5:$D$54,$R434)="",INDEX('仕入先'!$E$5:$E$54,$R434)="",INDEX('仕入先'!$F$5:$F$54,$R434)=""),"",IF(INDEX('仕入先'!$F$5:$F$54,$R434)="末",DATE(YEAR($S434),(MONTH($S434)+IF(INDEX('仕入先'!$D$5:$D$54,$R434)="末",0,IF(DAY($S434)&lt;=INDEX('仕入先'!$D$5:$D$54,$R434),0,1))+N(INDEX('仕入先'!$E$5:$E$54,$R434)))+1,0),DATE(YEAR($S434),(MONTH($S434)+IF(INDEX('仕入先'!$D$5:$D$54,$R434)="末",0,IF(DAY($S434)&lt;=INDEX('仕入先'!$D$5:$D$54,$R434),0,1))+N(INDEX('仕入先'!$E$5:$E$54,$R434))),MIN(INDEX('仕入先'!$F$5:$F$54,$R434),DAY(DATE(YEAR($S434),(MONTH($S434)+IF(INDEX('仕入先'!$D$5:$D$54,$R434)="末",0,IF(DAY($S434)&lt;=INDEX('仕入先'!$D$5:$D$54,$R434),0,1))+N(INDEX('仕入先'!$E$5:$E$54,$R434)))+1,0)))))))</f>
        <v/>
      </c>
      <c r="I434" s="26" t="n"/>
      <c r="J434" s="29">
        <f>IF($B434="","",IF(ISNUMBER($I434),$I434,$H434))</f>
        <v/>
      </c>
      <c r="K434" s="26" t="n"/>
      <c r="L434" s="27" t="n"/>
      <c r="M434" s="27" t="n"/>
      <c r="N434" s="28">
        <f>IF($B434="","",N($G434)-N($L434)-N($M434))</f>
        <v/>
      </c>
      <c r="O434" s="30">
        <f>IF($B434="","",IF(AND(OR(N($L434)&lt;&gt;0,N($M434)&lt;&gt;0),NOT(ISNUMBER($K434))),"支払日なし",IF($N434=0,IF(N($G434)=0,"請求額0","支払済"),IF($N434&lt;0,"払いすぎ",IF(N($L434)+N($M434)=0,"未払","一部支払")))))</f>
        <v/>
      </c>
      <c r="P434" s="30">
        <f>IF(OR($B434="",N($N434)&lt;=0,NOT(ISNUMBER($J434))),"",IF($J434&lt;'設定'!$B$7,"期日超過 "&amp;('設定'!$B$7-$J434)&amp;"日",IF($J434='設定'!$B$7,"今日","あと "&amp;($J434-'設定'!$B$7)&amp;"日")))</f>
        <v/>
      </c>
      <c r="Q434" s="56" t="n"/>
      <c r="R434" s="32">
        <f>IF($B434="","",IFERROR(MATCH($B434,'仕入先'!$B$5:$B$54,0),"なし"))</f>
        <v/>
      </c>
      <c r="S434" s="33">
        <f>IF($B434="","",IF(ISNUMBER($D434),$D434,IF(ISNUMBER($A434),$A434,"")))</f>
        <v/>
      </c>
      <c r="T434" s="34">
        <f>IF(OR($B434="",N($N434)&lt;=0),"",IF(ISNUMBER($J434),$J434,99999)+ROW()/1000000)</f>
        <v/>
      </c>
      <c r="U434" s="35">
        <f>IF(OR($B434="",$B434&lt;&gt;'買掛帳'!$B$3,NOT(ISNUMBER($S434))),"",IF(AND($S434&gt;='買掛帳'!$Q$3,$S434&lt;='買掛帳'!$Q$4),$S434+ROW()/10000000,""))</f>
        <v/>
      </c>
      <c r="V434" s="35">
        <f>IF(OR($B434="",$B434&lt;&gt;'買掛帳'!$B$3,NOT(ISNUMBER($K434)),N($L434)+N($M434)=0),"",IF(AND($K434&gt;='買掛帳'!$Q$3,$K434&lt;='買掛帳'!$Q$4),$K434+0.5+ROW()/10000000,""))</f>
        <v/>
      </c>
    </row>
    <row r="435" ht="18" customHeight="1">
      <c r="A435" s="26" t="n"/>
      <c r="B435" s="18" t="n"/>
      <c r="C435" s="20">
        <f>IF($B435="","",IF($R435="なし","※仕入先にないコード",INDEX('仕入先'!$C$5:$C$54,$R435)&amp;""))</f>
        <v/>
      </c>
      <c r="D435" s="26" t="n"/>
      <c r="E435" s="18" t="n"/>
      <c r="F435" s="19" t="n"/>
      <c r="G435" s="27" t="n"/>
      <c r="H435" s="29">
        <f>IF(OR($B435="",NOT(ISNUMBER($R435)),NOT(ISNUMBER($S435))),"",IF(OR(INDEX('仕入先'!$D$5:$D$54,$R435)="",INDEX('仕入先'!$E$5:$E$54,$R435)="",INDEX('仕入先'!$F$5:$F$54,$R435)=""),"",IF(INDEX('仕入先'!$F$5:$F$54,$R435)="末",DATE(YEAR($S435),(MONTH($S435)+IF(INDEX('仕入先'!$D$5:$D$54,$R435)="末",0,IF(DAY($S435)&lt;=INDEX('仕入先'!$D$5:$D$54,$R435),0,1))+N(INDEX('仕入先'!$E$5:$E$54,$R435)))+1,0),DATE(YEAR($S435),(MONTH($S435)+IF(INDEX('仕入先'!$D$5:$D$54,$R435)="末",0,IF(DAY($S435)&lt;=INDEX('仕入先'!$D$5:$D$54,$R435),0,1))+N(INDEX('仕入先'!$E$5:$E$54,$R435))),MIN(INDEX('仕入先'!$F$5:$F$54,$R435),DAY(DATE(YEAR($S435),(MONTH($S435)+IF(INDEX('仕入先'!$D$5:$D$54,$R435)="末",0,IF(DAY($S435)&lt;=INDEX('仕入先'!$D$5:$D$54,$R435),0,1))+N(INDEX('仕入先'!$E$5:$E$54,$R435)))+1,0)))))))</f>
        <v/>
      </c>
      <c r="I435" s="26" t="n"/>
      <c r="J435" s="29">
        <f>IF($B435="","",IF(ISNUMBER($I435),$I435,$H435))</f>
        <v/>
      </c>
      <c r="K435" s="26" t="n"/>
      <c r="L435" s="27" t="n"/>
      <c r="M435" s="27" t="n"/>
      <c r="N435" s="28">
        <f>IF($B435="","",N($G435)-N($L435)-N($M435))</f>
        <v/>
      </c>
      <c r="O435" s="30">
        <f>IF($B435="","",IF(AND(OR(N($L435)&lt;&gt;0,N($M435)&lt;&gt;0),NOT(ISNUMBER($K435))),"支払日なし",IF($N435=0,IF(N($G435)=0,"請求額0","支払済"),IF($N435&lt;0,"払いすぎ",IF(N($L435)+N($M435)=0,"未払","一部支払")))))</f>
        <v/>
      </c>
      <c r="P435" s="30">
        <f>IF(OR($B435="",N($N435)&lt;=0,NOT(ISNUMBER($J435))),"",IF($J435&lt;'設定'!$B$7,"期日超過 "&amp;('設定'!$B$7-$J435)&amp;"日",IF($J435='設定'!$B$7,"今日","あと "&amp;($J435-'設定'!$B$7)&amp;"日")))</f>
        <v/>
      </c>
      <c r="Q435" s="56" t="n"/>
      <c r="R435" s="32">
        <f>IF($B435="","",IFERROR(MATCH($B435,'仕入先'!$B$5:$B$54,0),"なし"))</f>
        <v/>
      </c>
      <c r="S435" s="33">
        <f>IF($B435="","",IF(ISNUMBER($D435),$D435,IF(ISNUMBER($A435),$A435,"")))</f>
        <v/>
      </c>
      <c r="T435" s="34">
        <f>IF(OR($B435="",N($N435)&lt;=0),"",IF(ISNUMBER($J435),$J435,99999)+ROW()/1000000)</f>
        <v/>
      </c>
      <c r="U435" s="35">
        <f>IF(OR($B435="",$B435&lt;&gt;'買掛帳'!$B$3,NOT(ISNUMBER($S435))),"",IF(AND($S435&gt;='買掛帳'!$Q$3,$S435&lt;='買掛帳'!$Q$4),$S435+ROW()/10000000,""))</f>
        <v/>
      </c>
      <c r="V435" s="35">
        <f>IF(OR($B435="",$B435&lt;&gt;'買掛帳'!$B$3,NOT(ISNUMBER($K435)),N($L435)+N($M435)=0),"",IF(AND($K435&gt;='買掛帳'!$Q$3,$K435&lt;='買掛帳'!$Q$4),$K435+0.5+ROW()/10000000,""))</f>
        <v/>
      </c>
    </row>
    <row r="436" ht="18" customHeight="1">
      <c r="A436" s="26" t="n"/>
      <c r="B436" s="18" t="n"/>
      <c r="C436" s="20">
        <f>IF($B436="","",IF($R436="なし","※仕入先にないコード",INDEX('仕入先'!$C$5:$C$54,$R436)&amp;""))</f>
        <v/>
      </c>
      <c r="D436" s="26" t="n"/>
      <c r="E436" s="18" t="n"/>
      <c r="F436" s="19" t="n"/>
      <c r="G436" s="27" t="n"/>
      <c r="H436" s="29">
        <f>IF(OR($B436="",NOT(ISNUMBER($R436)),NOT(ISNUMBER($S436))),"",IF(OR(INDEX('仕入先'!$D$5:$D$54,$R436)="",INDEX('仕入先'!$E$5:$E$54,$R436)="",INDEX('仕入先'!$F$5:$F$54,$R436)=""),"",IF(INDEX('仕入先'!$F$5:$F$54,$R436)="末",DATE(YEAR($S436),(MONTH($S436)+IF(INDEX('仕入先'!$D$5:$D$54,$R436)="末",0,IF(DAY($S436)&lt;=INDEX('仕入先'!$D$5:$D$54,$R436),0,1))+N(INDEX('仕入先'!$E$5:$E$54,$R436)))+1,0),DATE(YEAR($S436),(MONTH($S436)+IF(INDEX('仕入先'!$D$5:$D$54,$R436)="末",0,IF(DAY($S436)&lt;=INDEX('仕入先'!$D$5:$D$54,$R436),0,1))+N(INDEX('仕入先'!$E$5:$E$54,$R436))),MIN(INDEX('仕入先'!$F$5:$F$54,$R436),DAY(DATE(YEAR($S436),(MONTH($S436)+IF(INDEX('仕入先'!$D$5:$D$54,$R436)="末",0,IF(DAY($S436)&lt;=INDEX('仕入先'!$D$5:$D$54,$R436),0,1))+N(INDEX('仕入先'!$E$5:$E$54,$R436)))+1,0)))))))</f>
        <v/>
      </c>
      <c r="I436" s="26" t="n"/>
      <c r="J436" s="29">
        <f>IF($B436="","",IF(ISNUMBER($I436),$I436,$H436))</f>
        <v/>
      </c>
      <c r="K436" s="26" t="n"/>
      <c r="L436" s="27" t="n"/>
      <c r="M436" s="27" t="n"/>
      <c r="N436" s="28">
        <f>IF($B436="","",N($G436)-N($L436)-N($M436))</f>
        <v/>
      </c>
      <c r="O436" s="30">
        <f>IF($B436="","",IF(AND(OR(N($L436)&lt;&gt;0,N($M436)&lt;&gt;0),NOT(ISNUMBER($K436))),"支払日なし",IF($N436=0,IF(N($G436)=0,"請求額0","支払済"),IF($N436&lt;0,"払いすぎ",IF(N($L436)+N($M436)=0,"未払","一部支払")))))</f>
        <v/>
      </c>
      <c r="P436" s="30">
        <f>IF(OR($B436="",N($N436)&lt;=0,NOT(ISNUMBER($J436))),"",IF($J436&lt;'設定'!$B$7,"期日超過 "&amp;('設定'!$B$7-$J436)&amp;"日",IF($J436='設定'!$B$7,"今日","あと "&amp;($J436-'設定'!$B$7)&amp;"日")))</f>
        <v/>
      </c>
      <c r="Q436" s="56" t="n"/>
      <c r="R436" s="32">
        <f>IF($B436="","",IFERROR(MATCH($B436,'仕入先'!$B$5:$B$54,0),"なし"))</f>
        <v/>
      </c>
      <c r="S436" s="33">
        <f>IF($B436="","",IF(ISNUMBER($D436),$D436,IF(ISNUMBER($A436),$A436,"")))</f>
        <v/>
      </c>
      <c r="T436" s="34">
        <f>IF(OR($B436="",N($N436)&lt;=0),"",IF(ISNUMBER($J436),$J436,99999)+ROW()/1000000)</f>
        <v/>
      </c>
      <c r="U436" s="35">
        <f>IF(OR($B436="",$B436&lt;&gt;'買掛帳'!$B$3,NOT(ISNUMBER($S436))),"",IF(AND($S436&gt;='買掛帳'!$Q$3,$S436&lt;='買掛帳'!$Q$4),$S436+ROW()/10000000,""))</f>
        <v/>
      </c>
      <c r="V436" s="35">
        <f>IF(OR($B436="",$B436&lt;&gt;'買掛帳'!$B$3,NOT(ISNUMBER($K436)),N($L436)+N($M436)=0),"",IF(AND($K436&gt;='買掛帳'!$Q$3,$K436&lt;='買掛帳'!$Q$4),$K436+0.5+ROW()/10000000,""))</f>
        <v/>
      </c>
    </row>
    <row r="437" ht="18" customHeight="1">
      <c r="A437" s="26" t="n"/>
      <c r="B437" s="18" t="n"/>
      <c r="C437" s="20">
        <f>IF($B437="","",IF($R437="なし","※仕入先にないコード",INDEX('仕入先'!$C$5:$C$54,$R437)&amp;""))</f>
        <v/>
      </c>
      <c r="D437" s="26" t="n"/>
      <c r="E437" s="18" t="n"/>
      <c r="F437" s="19" t="n"/>
      <c r="G437" s="27" t="n"/>
      <c r="H437" s="29">
        <f>IF(OR($B437="",NOT(ISNUMBER($R437)),NOT(ISNUMBER($S437))),"",IF(OR(INDEX('仕入先'!$D$5:$D$54,$R437)="",INDEX('仕入先'!$E$5:$E$54,$R437)="",INDEX('仕入先'!$F$5:$F$54,$R437)=""),"",IF(INDEX('仕入先'!$F$5:$F$54,$R437)="末",DATE(YEAR($S437),(MONTH($S437)+IF(INDEX('仕入先'!$D$5:$D$54,$R437)="末",0,IF(DAY($S437)&lt;=INDEX('仕入先'!$D$5:$D$54,$R437),0,1))+N(INDEX('仕入先'!$E$5:$E$54,$R437)))+1,0),DATE(YEAR($S437),(MONTH($S437)+IF(INDEX('仕入先'!$D$5:$D$54,$R437)="末",0,IF(DAY($S437)&lt;=INDEX('仕入先'!$D$5:$D$54,$R437),0,1))+N(INDEX('仕入先'!$E$5:$E$54,$R437))),MIN(INDEX('仕入先'!$F$5:$F$54,$R437),DAY(DATE(YEAR($S437),(MONTH($S437)+IF(INDEX('仕入先'!$D$5:$D$54,$R437)="末",0,IF(DAY($S437)&lt;=INDEX('仕入先'!$D$5:$D$54,$R437),0,1))+N(INDEX('仕入先'!$E$5:$E$54,$R437)))+1,0)))))))</f>
        <v/>
      </c>
      <c r="I437" s="26" t="n"/>
      <c r="J437" s="29">
        <f>IF($B437="","",IF(ISNUMBER($I437),$I437,$H437))</f>
        <v/>
      </c>
      <c r="K437" s="26" t="n"/>
      <c r="L437" s="27" t="n"/>
      <c r="M437" s="27" t="n"/>
      <c r="N437" s="28">
        <f>IF($B437="","",N($G437)-N($L437)-N($M437))</f>
        <v/>
      </c>
      <c r="O437" s="30">
        <f>IF($B437="","",IF(AND(OR(N($L437)&lt;&gt;0,N($M437)&lt;&gt;0),NOT(ISNUMBER($K437))),"支払日なし",IF($N437=0,IF(N($G437)=0,"請求額0","支払済"),IF($N437&lt;0,"払いすぎ",IF(N($L437)+N($M437)=0,"未払","一部支払")))))</f>
        <v/>
      </c>
      <c r="P437" s="30">
        <f>IF(OR($B437="",N($N437)&lt;=0,NOT(ISNUMBER($J437))),"",IF($J437&lt;'設定'!$B$7,"期日超過 "&amp;('設定'!$B$7-$J437)&amp;"日",IF($J437='設定'!$B$7,"今日","あと "&amp;($J437-'設定'!$B$7)&amp;"日")))</f>
        <v/>
      </c>
      <c r="Q437" s="56" t="n"/>
      <c r="R437" s="32">
        <f>IF($B437="","",IFERROR(MATCH($B437,'仕入先'!$B$5:$B$54,0),"なし"))</f>
        <v/>
      </c>
      <c r="S437" s="33">
        <f>IF($B437="","",IF(ISNUMBER($D437),$D437,IF(ISNUMBER($A437),$A437,"")))</f>
        <v/>
      </c>
      <c r="T437" s="34">
        <f>IF(OR($B437="",N($N437)&lt;=0),"",IF(ISNUMBER($J437),$J437,99999)+ROW()/1000000)</f>
        <v/>
      </c>
      <c r="U437" s="35">
        <f>IF(OR($B437="",$B437&lt;&gt;'買掛帳'!$B$3,NOT(ISNUMBER($S437))),"",IF(AND($S437&gt;='買掛帳'!$Q$3,$S437&lt;='買掛帳'!$Q$4),$S437+ROW()/10000000,""))</f>
        <v/>
      </c>
      <c r="V437" s="35">
        <f>IF(OR($B437="",$B437&lt;&gt;'買掛帳'!$B$3,NOT(ISNUMBER($K437)),N($L437)+N($M437)=0),"",IF(AND($K437&gt;='買掛帳'!$Q$3,$K437&lt;='買掛帳'!$Q$4),$K437+0.5+ROW()/10000000,""))</f>
        <v/>
      </c>
    </row>
    <row r="438" ht="18" customHeight="1">
      <c r="A438" s="26" t="n"/>
      <c r="B438" s="18" t="n"/>
      <c r="C438" s="20">
        <f>IF($B438="","",IF($R438="なし","※仕入先にないコード",INDEX('仕入先'!$C$5:$C$54,$R438)&amp;""))</f>
        <v/>
      </c>
      <c r="D438" s="26" t="n"/>
      <c r="E438" s="18" t="n"/>
      <c r="F438" s="19" t="n"/>
      <c r="G438" s="27" t="n"/>
      <c r="H438" s="29">
        <f>IF(OR($B438="",NOT(ISNUMBER($R438)),NOT(ISNUMBER($S438))),"",IF(OR(INDEX('仕入先'!$D$5:$D$54,$R438)="",INDEX('仕入先'!$E$5:$E$54,$R438)="",INDEX('仕入先'!$F$5:$F$54,$R438)=""),"",IF(INDEX('仕入先'!$F$5:$F$54,$R438)="末",DATE(YEAR($S438),(MONTH($S438)+IF(INDEX('仕入先'!$D$5:$D$54,$R438)="末",0,IF(DAY($S438)&lt;=INDEX('仕入先'!$D$5:$D$54,$R438),0,1))+N(INDEX('仕入先'!$E$5:$E$54,$R438)))+1,0),DATE(YEAR($S438),(MONTH($S438)+IF(INDEX('仕入先'!$D$5:$D$54,$R438)="末",0,IF(DAY($S438)&lt;=INDEX('仕入先'!$D$5:$D$54,$R438),0,1))+N(INDEX('仕入先'!$E$5:$E$54,$R438))),MIN(INDEX('仕入先'!$F$5:$F$54,$R438),DAY(DATE(YEAR($S438),(MONTH($S438)+IF(INDEX('仕入先'!$D$5:$D$54,$R438)="末",0,IF(DAY($S438)&lt;=INDEX('仕入先'!$D$5:$D$54,$R438),0,1))+N(INDEX('仕入先'!$E$5:$E$54,$R438)))+1,0)))))))</f>
        <v/>
      </c>
      <c r="I438" s="26" t="n"/>
      <c r="J438" s="29">
        <f>IF($B438="","",IF(ISNUMBER($I438),$I438,$H438))</f>
        <v/>
      </c>
      <c r="K438" s="26" t="n"/>
      <c r="L438" s="27" t="n"/>
      <c r="M438" s="27" t="n"/>
      <c r="N438" s="28">
        <f>IF($B438="","",N($G438)-N($L438)-N($M438))</f>
        <v/>
      </c>
      <c r="O438" s="30">
        <f>IF($B438="","",IF(AND(OR(N($L438)&lt;&gt;0,N($M438)&lt;&gt;0),NOT(ISNUMBER($K438))),"支払日なし",IF($N438=0,IF(N($G438)=0,"請求額0","支払済"),IF($N438&lt;0,"払いすぎ",IF(N($L438)+N($M438)=0,"未払","一部支払")))))</f>
        <v/>
      </c>
      <c r="P438" s="30">
        <f>IF(OR($B438="",N($N438)&lt;=0,NOT(ISNUMBER($J438))),"",IF($J438&lt;'設定'!$B$7,"期日超過 "&amp;('設定'!$B$7-$J438)&amp;"日",IF($J438='設定'!$B$7,"今日","あと "&amp;($J438-'設定'!$B$7)&amp;"日")))</f>
        <v/>
      </c>
      <c r="Q438" s="56" t="n"/>
      <c r="R438" s="32">
        <f>IF($B438="","",IFERROR(MATCH($B438,'仕入先'!$B$5:$B$54,0),"なし"))</f>
        <v/>
      </c>
      <c r="S438" s="33">
        <f>IF($B438="","",IF(ISNUMBER($D438),$D438,IF(ISNUMBER($A438),$A438,"")))</f>
        <v/>
      </c>
      <c r="T438" s="34">
        <f>IF(OR($B438="",N($N438)&lt;=0),"",IF(ISNUMBER($J438),$J438,99999)+ROW()/1000000)</f>
        <v/>
      </c>
      <c r="U438" s="35">
        <f>IF(OR($B438="",$B438&lt;&gt;'買掛帳'!$B$3,NOT(ISNUMBER($S438))),"",IF(AND($S438&gt;='買掛帳'!$Q$3,$S438&lt;='買掛帳'!$Q$4),$S438+ROW()/10000000,""))</f>
        <v/>
      </c>
      <c r="V438" s="35">
        <f>IF(OR($B438="",$B438&lt;&gt;'買掛帳'!$B$3,NOT(ISNUMBER($K438)),N($L438)+N($M438)=0),"",IF(AND($K438&gt;='買掛帳'!$Q$3,$K438&lt;='買掛帳'!$Q$4),$K438+0.5+ROW()/10000000,""))</f>
        <v/>
      </c>
    </row>
    <row r="439" ht="18" customHeight="1">
      <c r="A439" s="26" t="n"/>
      <c r="B439" s="18" t="n"/>
      <c r="C439" s="20">
        <f>IF($B439="","",IF($R439="なし","※仕入先にないコード",INDEX('仕入先'!$C$5:$C$54,$R439)&amp;""))</f>
        <v/>
      </c>
      <c r="D439" s="26" t="n"/>
      <c r="E439" s="18" t="n"/>
      <c r="F439" s="19" t="n"/>
      <c r="G439" s="27" t="n"/>
      <c r="H439" s="29">
        <f>IF(OR($B439="",NOT(ISNUMBER($R439)),NOT(ISNUMBER($S439))),"",IF(OR(INDEX('仕入先'!$D$5:$D$54,$R439)="",INDEX('仕入先'!$E$5:$E$54,$R439)="",INDEX('仕入先'!$F$5:$F$54,$R439)=""),"",IF(INDEX('仕入先'!$F$5:$F$54,$R439)="末",DATE(YEAR($S439),(MONTH($S439)+IF(INDEX('仕入先'!$D$5:$D$54,$R439)="末",0,IF(DAY($S439)&lt;=INDEX('仕入先'!$D$5:$D$54,$R439),0,1))+N(INDEX('仕入先'!$E$5:$E$54,$R439)))+1,0),DATE(YEAR($S439),(MONTH($S439)+IF(INDEX('仕入先'!$D$5:$D$54,$R439)="末",0,IF(DAY($S439)&lt;=INDEX('仕入先'!$D$5:$D$54,$R439),0,1))+N(INDEX('仕入先'!$E$5:$E$54,$R439))),MIN(INDEX('仕入先'!$F$5:$F$54,$R439),DAY(DATE(YEAR($S439),(MONTH($S439)+IF(INDEX('仕入先'!$D$5:$D$54,$R439)="末",0,IF(DAY($S439)&lt;=INDEX('仕入先'!$D$5:$D$54,$R439),0,1))+N(INDEX('仕入先'!$E$5:$E$54,$R439)))+1,0)))))))</f>
        <v/>
      </c>
      <c r="I439" s="26" t="n"/>
      <c r="J439" s="29">
        <f>IF($B439="","",IF(ISNUMBER($I439),$I439,$H439))</f>
        <v/>
      </c>
      <c r="K439" s="26" t="n"/>
      <c r="L439" s="27" t="n"/>
      <c r="M439" s="27" t="n"/>
      <c r="N439" s="28">
        <f>IF($B439="","",N($G439)-N($L439)-N($M439))</f>
        <v/>
      </c>
      <c r="O439" s="30">
        <f>IF($B439="","",IF(AND(OR(N($L439)&lt;&gt;0,N($M439)&lt;&gt;0),NOT(ISNUMBER($K439))),"支払日なし",IF($N439=0,IF(N($G439)=0,"請求額0","支払済"),IF($N439&lt;0,"払いすぎ",IF(N($L439)+N($M439)=0,"未払","一部支払")))))</f>
        <v/>
      </c>
      <c r="P439" s="30">
        <f>IF(OR($B439="",N($N439)&lt;=0,NOT(ISNUMBER($J439))),"",IF($J439&lt;'設定'!$B$7,"期日超過 "&amp;('設定'!$B$7-$J439)&amp;"日",IF($J439='設定'!$B$7,"今日","あと "&amp;($J439-'設定'!$B$7)&amp;"日")))</f>
        <v/>
      </c>
      <c r="Q439" s="56" t="n"/>
      <c r="R439" s="32">
        <f>IF($B439="","",IFERROR(MATCH($B439,'仕入先'!$B$5:$B$54,0),"なし"))</f>
        <v/>
      </c>
      <c r="S439" s="33">
        <f>IF($B439="","",IF(ISNUMBER($D439),$D439,IF(ISNUMBER($A439),$A439,"")))</f>
        <v/>
      </c>
      <c r="T439" s="34">
        <f>IF(OR($B439="",N($N439)&lt;=0),"",IF(ISNUMBER($J439),$J439,99999)+ROW()/1000000)</f>
        <v/>
      </c>
      <c r="U439" s="35">
        <f>IF(OR($B439="",$B439&lt;&gt;'買掛帳'!$B$3,NOT(ISNUMBER($S439))),"",IF(AND($S439&gt;='買掛帳'!$Q$3,$S439&lt;='買掛帳'!$Q$4),$S439+ROW()/10000000,""))</f>
        <v/>
      </c>
      <c r="V439" s="35">
        <f>IF(OR($B439="",$B439&lt;&gt;'買掛帳'!$B$3,NOT(ISNUMBER($K439)),N($L439)+N($M439)=0),"",IF(AND($K439&gt;='買掛帳'!$Q$3,$K439&lt;='買掛帳'!$Q$4),$K439+0.5+ROW()/10000000,""))</f>
        <v/>
      </c>
    </row>
    <row r="440" ht="18" customHeight="1">
      <c r="A440" s="26" t="n"/>
      <c r="B440" s="18" t="n"/>
      <c r="C440" s="20">
        <f>IF($B440="","",IF($R440="なし","※仕入先にないコード",INDEX('仕入先'!$C$5:$C$54,$R440)&amp;""))</f>
        <v/>
      </c>
      <c r="D440" s="26" t="n"/>
      <c r="E440" s="18" t="n"/>
      <c r="F440" s="19" t="n"/>
      <c r="G440" s="27" t="n"/>
      <c r="H440" s="29">
        <f>IF(OR($B440="",NOT(ISNUMBER($R440)),NOT(ISNUMBER($S440))),"",IF(OR(INDEX('仕入先'!$D$5:$D$54,$R440)="",INDEX('仕入先'!$E$5:$E$54,$R440)="",INDEX('仕入先'!$F$5:$F$54,$R440)=""),"",IF(INDEX('仕入先'!$F$5:$F$54,$R440)="末",DATE(YEAR($S440),(MONTH($S440)+IF(INDEX('仕入先'!$D$5:$D$54,$R440)="末",0,IF(DAY($S440)&lt;=INDEX('仕入先'!$D$5:$D$54,$R440),0,1))+N(INDEX('仕入先'!$E$5:$E$54,$R440)))+1,0),DATE(YEAR($S440),(MONTH($S440)+IF(INDEX('仕入先'!$D$5:$D$54,$R440)="末",0,IF(DAY($S440)&lt;=INDEX('仕入先'!$D$5:$D$54,$R440),0,1))+N(INDEX('仕入先'!$E$5:$E$54,$R440))),MIN(INDEX('仕入先'!$F$5:$F$54,$R440),DAY(DATE(YEAR($S440),(MONTH($S440)+IF(INDEX('仕入先'!$D$5:$D$54,$R440)="末",0,IF(DAY($S440)&lt;=INDEX('仕入先'!$D$5:$D$54,$R440),0,1))+N(INDEX('仕入先'!$E$5:$E$54,$R440)))+1,0)))))))</f>
        <v/>
      </c>
      <c r="I440" s="26" t="n"/>
      <c r="J440" s="29">
        <f>IF($B440="","",IF(ISNUMBER($I440),$I440,$H440))</f>
        <v/>
      </c>
      <c r="K440" s="26" t="n"/>
      <c r="L440" s="27" t="n"/>
      <c r="M440" s="27" t="n"/>
      <c r="N440" s="28">
        <f>IF($B440="","",N($G440)-N($L440)-N($M440))</f>
        <v/>
      </c>
      <c r="O440" s="30">
        <f>IF($B440="","",IF(AND(OR(N($L440)&lt;&gt;0,N($M440)&lt;&gt;0),NOT(ISNUMBER($K440))),"支払日なし",IF($N440=0,IF(N($G440)=0,"請求額0","支払済"),IF($N440&lt;0,"払いすぎ",IF(N($L440)+N($M440)=0,"未払","一部支払")))))</f>
        <v/>
      </c>
      <c r="P440" s="30">
        <f>IF(OR($B440="",N($N440)&lt;=0,NOT(ISNUMBER($J440))),"",IF($J440&lt;'設定'!$B$7,"期日超過 "&amp;('設定'!$B$7-$J440)&amp;"日",IF($J440='設定'!$B$7,"今日","あと "&amp;($J440-'設定'!$B$7)&amp;"日")))</f>
        <v/>
      </c>
      <c r="Q440" s="56" t="n"/>
      <c r="R440" s="32">
        <f>IF($B440="","",IFERROR(MATCH($B440,'仕入先'!$B$5:$B$54,0),"なし"))</f>
        <v/>
      </c>
      <c r="S440" s="33">
        <f>IF($B440="","",IF(ISNUMBER($D440),$D440,IF(ISNUMBER($A440),$A440,"")))</f>
        <v/>
      </c>
      <c r="T440" s="34">
        <f>IF(OR($B440="",N($N440)&lt;=0),"",IF(ISNUMBER($J440),$J440,99999)+ROW()/1000000)</f>
        <v/>
      </c>
      <c r="U440" s="35">
        <f>IF(OR($B440="",$B440&lt;&gt;'買掛帳'!$B$3,NOT(ISNUMBER($S440))),"",IF(AND($S440&gt;='買掛帳'!$Q$3,$S440&lt;='買掛帳'!$Q$4),$S440+ROW()/10000000,""))</f>
        <v/>
      </c>
      <c r="V440" s="35">
        <f>IF(OR($B440="",$B440&lt;&gt;'買掛帳'!$B$3,NOT(ISNUMBER($K440)),N($L440)+N($M440)=0),"",IF(AND($K440&gt;='買掛帳'!$Q$3,$K440&lt;='買掛帳'!$Q$4),$K440+0.5+ROW()/10000000,""))</f>
        <v/>
      </c>
    </row>
    <row r="441" ht="18" customHeight="1">
      <c r="A441" s="26" t="n"/>
      <c r="B441" s="18" t="n"/>
      <c r="C441" s="20">
        <f>IF($B441="","",IF($R441="なし","※仕入先にないコード",INDEX('仕入先'!$C$5:$C$54,$R441)&amp;""))</f>
        <v/>
      </c>
      <c r="D441" s="26" t="n"/>
      <c r="E441" s="18" t="n"/>
      <c r="F441" s="19" t="n"/>
      <c r="G441" s="27" t="n"/>
      <c r="H441" s="29">
        <f>IF(OR($B441="",NOT(ISNUMBER($R441)),NOT(ISNUMBER($S441))),"",IF(OR(INDEX('仕入先'!$D$5:$D$54,$R441)="",INDEX('仕入先'!$E$5:$E$54,$R441)="",INDEX('仕入先'!$F$5:$F$54,$R441)=""),"",IF(INDEX('仕入先'!$F$5:$F$54,$R441)="末",DATE(YEAR($S441),(MONTH($S441)+IF(INDEX('仕入先'!$D$5:$D$54,$R441)="末",0,IF(DAY($S441)&lt;=INDEX('仕入先'!$D$5:$D$54,$R441),0,1))+N(INDEX('仕入先'!$E$5:$E$54,$R441)))+1,0),DATE(YEAR($S441),(MONTH($S441)+IF(INDEX('仕入先'!$D$5:$D$54,$R441)="末",0,IF(DAY($S441)&lt;=INDEX('仕入先'!$D$5:$D$54,$R441),0,1))+N(INDEX('仕入先'!$E$5:$E$54,$R441))),MIN(INDEX('仕入先'!$F$5:$F$54,$R441),DAY(DATE(YEAR($S441),(MONTH($S441)+IF(INDEX('仕入先'!$D$5:$D$54,$R441)="末",0,IF(DAY($S441)&lt;=INDEX('仕入先'!$D$5:$D$54,$R441),0,1))+N(INDEX('仕入先'!$E$5:$E$54,$R441)))+1,0)))))))</f>
        <v/>
      </c>
      <c r="I441" s="26" t="n"/>
      <c r="J441" s="29">
        <f>IF($B441="","",IF(ISNUMBER($I441),$I441,$H441))</f>
        <v/>
      </c>
      <c r="K441" s="26" t="n"/>
      <c r="L441" s="27" t="n"/>
      <c r="M441" s="27" t="n"/>
      <c r="N441" s="28">
        <f>IF($B441="","",N($G441)-N($L441)-N($M441))</f>
        <v/>
      </c>
      <c r="O441" s="30">
        <f>IF($B441="","",IF(AND(OR(N($L441)&lt;&gt;0,N($M441)&lt;&gt;0),NOT(ISNUMBER($K441))),"支払日なし",IF($N441=0,IF(N($G441)=0,"請求額0","支払済"),IF($N441&lt;0,"払いすぎ",IF(N($L441)+N($M441)=0,"未払","一部支払")))))</f>
        <v/>
      </c>
      <c r="P441" s="30">
        <f>IF(OR($B441="",N($N441)&lt;=0,NOT(ISNUMBER($J441))),"",IF($J441&lt;'設定'!$B$7,"期日超過 "&amp;('設定'!$B$7-$J441)&amp;"日",IF($J441='設定'!$B$7,"今日","あと "&amp;($J441-'設定'!$B$7)&amp;"日")))</f>
        <v/>
      </c>
      <c r="Q441" s="56" t="n"/>
      <c r="R441" s="32">
        <f>IF($B441="","",IFERROR(MATCH($B441,'仕入先'!$B$5:$B$54,0),"なし"))</f>
        <v/>
      </c>
      <c r="S441" s="33">
        <f>IF($B441="","",IF(ISNUMBER($D441),$D441,IF(ISNUMBER($A441),$A441,"")))</f>
        <v/>
      </c>
      <c r="T441" s="34">
        <f>IF(OR($B441="",N($N441)&lt;=0),"",IF(ISNUMBER($J441),$J441,99999)+ROW()/1000000)</f>
        <v/>
      </c>
      <c r="U441" s="35">
        <f>IF(OR($B441="",$B441&lt;&gt;'買掛帳'!$B$3,NOT(ISNUMBER($S441))),"",IF(AND($S441&gt;='買掛帳'!$Q$3,$S441&lt;='買掛帳'!$Q$4),$S441+ROW()/10000000,""))</f>
        <v/>
      </c>
      <c r="V441" s="35">
        <f>IF(OR($B441="",$B441&lt;&gt;'買掛帳'!$B$3,NOT(ISNUMBER($K441)),N($L441)+N($M441)=0),"",IF(AND($K441&gt;='買掛帳'!$Q$3,$K441&lt;='買掛帳'!$Q$4),$K441+0.5+ROW()/10000000,""))</f>
        <v/>
      </c>
    </row>
    <row r="442" ht="18" customHeight="1">
      <c r="A442" s="26" t="n"/>
      <c r="B442" s="18" t="n"/>
      <c r="C442" s="20">
        <f>IF($B442="","",IF($R442="なし","※仕入先にないコード",INDEX('仕入先'!$C$5:$C$54,$R442)&amp;""))</f>
        <v/>
      </c>
      <c r="D442" s="26" t="n"/>
      <c r="E442" s="18" t="n"/>
      <c r="F442" s="19" t="n"/>
      <c r="G442" s="27" t="n"/>
      <c r="H442" s="29">
        <f>IF(OR($B442="",NOT(ISNUMBER($R442)),NOT(ISNUMBER($S442))),"",IF(OR(INDEX('仕入先'!$D$5:$D$54,$R442)="",INDEX('仕入先'!$E$5:$E$54,$R442)="",INDEX('仕入先'!$F$5:$F$54,$R442)=""),"",IF(INDEX('仕入先'!$F$5:$F$54,$R442)="末",DATE(YEAR($S442),(MONTH($S442)+IF(INDEX('仕入先'!$D$5:$D$54,$R442)="末",0,IF(DAY($S442)&lt;=INDEX('仕入先'!$D$5:$D$54,$R442),0,1))+N(INDEX('仕入先'!$E$5:$E$54,$R442)))+1,0),DATE(YEAR($S442),(MONTH($S442)+IF(INDEX('仕入先'!$D$5:$D$54,$R442)="末",0,IF(DAY($S442)&lt;=INDEX('仕入先'!$D$5:$D$54,$R442),0,1))+N(INDEX('仕入先'!$E$5:$E$54,$R442))),MIN(INDEX('仕入先'!$F$5:$F$54,$R442),DAY(DATE(YEAR($S442),(MONTH($S442)+IF(INDEX('仕入先'!$D$5:$D$54,$R442)="末",0,IF(DAY($S442)&lt;=INDEX('仕入先'!$D$5:$D$54,$R442),0,1))+N(INDEX('仕入先'!$E$5:$E$54,$R442)))+1,0)))))))</f>
        <v/>
      </c>
      <c r="I442" s="26" t="n"/>
      <c r="J442" s="29">
        <f>IF($B442="","",IF(ISNUMBER($I442),$I442,$H442))</f>
        <v/>
      </c>
      <c r="K442" s="26" t="n"/>
      <c r="L442" s="27" t="n"/>
      <c r="M442" s="27" t="n"/>
      <c r="N442" s="28">
        <f>IF($B442="","",N($G442)-N($L442)-N($M442))</f>
        <v/>
      </c>
      <c r="O442" s="30">
        <f>IF($B442="","",IF(AND(OR(N($L442)&lt;&gt;0,N($M442)&lt;&gt;0),NOT(ISNUMBER($K442))),"支払日なし",IF($N442=0,IF(N($G442)=0,"請求額0","支払済"),IF($N442&lt;0,"払いすぎ",IF(N($L442)+N($M442)=0,"未払","一部支払")))))</f>
        <v/>
      </c>
      <c r="P442" s="30">
        <f>IF(OR($B442="",N($N442)&lt;=0,NOT(ISNUMBER($J442))),"",IF($J442&lt;'設定'!$B$7,"期日超過 "&amp;('設定'!$B$7-$J442)&amp;"日",IF($J442='設定'!$B$7,"今日","あと "&amp;($J442-'設定'!$B$7)&amp;"日")))</f>
        <v/>
      </c>
      <c r="Q442" s="56" t="n"/>
      <c r="R442" s="32">
        <f>IF($B442="","",IFERROR(MATCH($B442,'仕入先'!$B$5:$B$54,0),"なし"))</f>
        <v/>
      </c>
      <c r="S442" s="33">
        <f>IF($B442="","",IF(ISNUMBER($D442),$D442,IF(ISNUMBER($A442),$A442,"")))</f>
        <v/>
      </c>
      <c r="T442" s="34">
        <f>IF(OR($B442="",N($N442)&lt;=0),"",IF(ISNUMBER($J442),$J442,99999)+ROW()/1000000)</f>
        <v/>
      </c>
      <c r="U442" s="35">
        <f>IF(OR($B442="",$B442&lt;&gt;'買掛帳'!$B$3,NOT(ISNUMBER($S442))),"",IF(AND($S442&gt;='買掛帳'!$Q$3,$S442&lt;='買掛帳'!$Q$4),$S442+ROW()/10000000,""))</f>
        <v/>
      </c>
      <c r="V442" s="35">
        <f>IF(OR($B442="",$B442&lt;&gt;'買掛帳'!$B$3,NOT(ISNUMBER($K442)),N($L442)+N($M442)=0),"",IF(AND($K442&gt;='買掛帳'!$Q$3,$K442&lt;='買掛帳'!$Q$4),$K442+0.5+ROW()/10000000,""))</f>
        <v/>
      </c>
    </row>
    <row r="443" ht="18" customHeight="1">
      <c r="A443" s="26" t="n"/>
      <c r="B443" s="18" t="n"/>
      <c r="C443" s="20">
        <f>IF($B443="","",IF($R443="なし","※仕入先にないコード",INDEX('仕入先'!$C$5:$C$54,$R443)&amp;""))</f>
        <v/>
      </c>
      <c r="D443" s="26" t="n"/>
      <c r="E443" s="18" t="n"/>
      <c r="F443" s="19" t="n"/>
      <c r="G443" s="27" t="n"/>
      <c r="H443" s="29">
        <f>IF(OR($B443="",NOT(ISNUMBER($R443)),NOT(ISNUMBER($S443))),"",IF(OR(INDEX('仕入先'!$D$5:$D$54,$R443)="",INDEX('仕入先'!$E$5:$E$54,$R443)="",INDEX('仕入先'!$F$5:$F$54,$R443)=""),"",IF(INDEX('仕入先'!$F$5:$F$54,$R443)="末",DATE(YEAR($S443),(MONTH($S443)+IF(INDEX('仕入先'!$D$5:$D$54,$R443)="末",0,IF(DAY($S443)&lt;=INDEX('仕入先'!$D$5:$D$54,$R443),0,1))+N(INDEX('仕入先'!$E$5:$E$54,$R443)))+1,0),DATE(YEAR($S443),(MONTH($S443)+IF(INDEX('仕入先'!$D$5:$D$54,$R443)="末",0,IF(DAY($S443)&lt;=INDEX('仕入先'!$D$5:$D$54,$R443),0,1))+N(INDEX('仕入先'!$E$5:$E$54,$R443))),MIN(INDEX('仕入先'!$F$5:$F$54,$R443),DAY(DATE(YEAR($S443),(MONTH($S443)+IF(INDEX('仕入先'!$D$5:$D$54,$R443)="末",0,IF(DAY($S443)&lt;=INDEX('仕入先'!$D$5:$D$54,$R443),0,1))+N(INDEX('仕入先'!$E$5:$E$54,$R443)))+1,0)))))))</f>
        <v/>
      </c>
      <c r="I443" s="26" t="n"/>
      <c r="J443" s="29">
        <f>IF($B443="","",IF(ISNUMBER($I443),$I443,$H443))</f>
        <v/>
      </c>
      <c r="K443" s="26" t="n"/>
      <c r="L443" s="27" t="n"/>
      <c r="M443" s="27" t="n"/>
      <c r="N443" s="28">
        <f>IF($B443="","",N($G443)-N($L443)-N($M443))</f>
        <v/>
      </c>
      <c r="O443" s="30">
        <f>IF($B443="","",IF(AND(OR(N($L443)&lt;&gt;0,N($M443)&lt;&gt;0),NOT(ISNUMBER($K443))),"支払日なし",IF($N443=0,IF(N($G443)=0,"請求額0","支払済"),IF($N443&lt;0,"払いすぎ",IF(N($L443)+N($M443)=0,"未払","一部支払")))))</f>
        <v/>
      </c>
      <c r="P443" s="30">
        <f>IF(OR($B443="",N($N443)&lt;=0,NOT(ISNUMBER($J443))),"",IF($J443&lt;'設定'!$B$7,"期日超過 "&amp;('設定'!$B$7-$J443)&amp;"日",IF($J443='設定'!$B$7,"今日","あと "&amp;($J443-'設定'!$B$7)&amp;"日")))</f>
        <v/>
      </c>
      <c r="Q443" s="56" t="n"/>
      <c r="R443" s="32">
        <f>IF($B443="","",IFERROR(MATCH($B443,'仕入先'!$B$5:$B$54,0),"なし"))</f>
        <v/>
      </c>
      <c r="S443" s="33">
        <f>IF($B443="","",IF(ISNUMBER($D443),$D443,IF(ISNUMBER($A443),$A443,"")))</f>
        <v/>
      </c>
      <c r="T443" s="34">
        <f>IF(OR($B443="",N($N443)&lt;=0),"",IF(ISNUMBER($J443),$J443,99999)+ROW()/1000000)</f>
        <v/>
      </c>
      <c r="U443" s="35">
        <f>IF(OR($B443="",$B443&lt;&gt;'買掛帳'!$B$3,NOT(ISNUMBER($S443))),"",IF(AND($S443&gt;='買掛帳'!$Q$3,$S443&lt;='買掛帳'!$Q$4),$S443+ROW()/10000000,""))</f>
        <v/>
      </c>
      <c r="V443" s="35">
        <f>IF(OR($B443="",$B443&lt;&gt;'買掛帳'!$B$3,NOT(ISNUMBER($K443)),N($L443)+N($M443)=0),"",IF(AND($K443&gt;='買掛帳'!$Q$3,$K443&lt;='買掛帳'!$Q$4),$K443+0.5+ROW()/10000000,""))</f>
        <v/>
      </c>
    </row>
    <row r="444" ht="18" customHeight="1">
      <c r="A444" s="26" t="n"/>
      <c r="B444" s="18" t="n"/>
      <c r="C444" s="20">
        <f>IF($B444="","",IF($R444="なし","※仕入先にないコード",INDEX('仕入先'!$C$5:$C$54,$R444)&amp;""))</f>
        <v/>
      </c>
      <c r="D444" s="26" t="n"/>
      <c r="E444" s="18" t="n"/>
      <c r="F444" s="19" t="n"/>
      <c r="G444" s="27" t="n"/>
      <c r="H444" s="29">
        <f>IF(OR($B444="",NOT(ISNUMBER($R444)),NOT(ISNUMBER($S444))),"",IF(OR(INDEX('仕入先'!$D$5:$D$54,$R444)="",INDEX('仕入先'!$E$5:$E$54,$R444)="",INDEX('仕入先'!$F$5:$F$54,$R444)=""),"",IF(INDEX('仕入先'!$F$5:$F$54,$R444)="末",DATE(YEAR($S444),(MONTH($S444)+IF(INDEX('仕入先'!$D$5:$D$54,$R444)="末",0,IF(DAY($S444)&lt;=INDEX('仕入先'!$D$5:$D$54,$R444),0,1))+N(INDEX('仕入先'!$E$5:$E$54,$R444)))+1,0),DATE(YEAR($S444),(MONTH($S444)+IF(INDEX('仕入先'!$D$5:$D$54,$R444)="末",0,IF(DAY($S444)&lt;=INDEX('仕入先'!$D$5:$D$54,$R444),0,1))+N(INDEX('仕入先'!$E$5:$E$54,$R444))),MIN(INDEX('仕入先'!$F$5:$F$54,$R444),DAY(DATE(YEAR($S444),(MONTH($S444)+IF(INDEX('仕入先'!$D$5:$D$54,$R444)="末",0,IF(DAY($S444)&lt;=INDEX('仕入先'!$D$5:$D$54,$R444),0,1))+N(INDEX('仕入先'!$E$5:$E$54,$R444)))+1,0)))))))</f>
        <v/>
      </c>
      <c r="I444" s="26" t="n"/>
      <c r="J444" s="29">
        <f>IF($B444="","",IF(ISNUMBER($I444),$I444,$H444))</f>
        <v/>
      </c>
      <c r="K444" s="26" t="n"/>
      <c r="L444" s="27" t="n"/>
      <c r="M444" s="27" t="n"/>
      <c r="N444" s="28">
        <f>IF($B444="","",N($G444)-N($L444)-N($M444))</f>
        <v/>
      </c>
      <c r="O444" s="30">
        <f>IF($B444="","",IF(AND(OR(N($L444)&lt;&gt;0,N($M444)&lt;&gt;0),NOT(ISNUMBER($K444))),"支払日なし",IF($N444=0,IF(N($G444)=0,"請求額0","支払済"),IF($N444&lt;0,"払いすぎ",IF(N($L444)+N($M444)=0,"未払","一部支払")))))</f>
        <v/>
      </c>
      <c r="P444" s="30">
        <f>IF(OR($B444="",N($N444)&lt;=0,NOT(ISNUMBER($J444))),"",IF($J444&lt;'設定'!$B$7,"期日超過 "&amp;('設定'!$B$7-$J444)&amp;"日",IF($J444='設定'!$B$7,"今日","あと "&amp;($J444-'設定'!$B$7)&amp;"日")))</f>
        <v/>
      </c>
      <c r="Q444" s="56" t="n"/>
      <c r="R444" s="32">
        <f>IF($B444="","",IFERROR(MATCH($B444,'仕入先'!$B$5:$B$54,0),"なし"))</f>
        <v/>
      </c>
      <c r="S444" s="33">
        <f>IF($B444="","",IF(ISNUMBER($D444),$D444,IF(ISNUMBER($A444),$A444,"")))</f>
        <v/>
      </c>
      <c r="T444" s="34">
        <f>IF(OR($B444="",N($N444)&lt;=0),"",IF(ISNUMBER($J444),$J444,99999)+ROW()/1000000)</f>
        <v/>
      </c>
      <c r="U444" s="35">
        <f>IF(OR($B444="",$B444&lt;&gt;'買掛帳'!$B$3,NOT(ISNUMBER($S444))),"",IF(AND($S444&gt;='買掛帳'!$Q$3,$S444&lt;='買掛帳'!$Q$4),$S444+ROW()/10000000,""))</f>
        <v/>
      </c>
      <c r="V444" s="35">
        <f>IF(OR($B444="",$B444&lt;&gt;'買掛帳'!$B$3,NOT(ISNUMBER($K444)),N($L444)+N($M444)=0),"",IF(AND($K444&gt;='買掛帳'!$Q$3,$K444&lt;='買掛帳'!$Q$4),$K444+0.5+ROW()/10000000,""))</f>
        <v/>
      </c>
    </row>
    <row r="445" ht="18" customHeight="1">
      <c r="A445" s="26" t="n"/>
      <c r="B445" s="18" t="n"/>
      <c r="C445" s="20">
        <f>IF($B445="","",IF($R445="なし","※仕入先にないコード",INDEX('仕入先'!$C$5:$C$54,$R445)&amp;""))</f>
        <v/>
      </c>
      <c r="D445" s="26" t="n"/>
      <c r="E445" s="18" t="n"/>
      <c r="F445" s="19" t="n"/>
      <c r="G445" s="27" t="n"/>
      <c r="H445" s="29">
        <f>IF(OR($B445="",NOT(ISNUMBER($R445)),NOT(ISNUMBER($S445))),"",IF(OR(INDEX('仕入先'!$D$5:$D$54,$R445)="",INDEX('仕入先'!$E$5:$E$54,$R445)="",INDEX('仕入先'!$F$5:$F$54,$R445)=""),"",IF(INDEX('仕入先'!$F$5:$F$54,$R445)="末",DATE(YEAR($S445),(MONTH($S445)+IF(INDEX('仕入先'!$D$5:$D$54,$R445)="末",0,IF(DAY($S445)&lt;=INDEX('仕入先'!$D$5:$D$54,$R445),0,1))+N(INDEX('仕入先'!$E$5:$E$54,$R445)))+1,0),DATE(YEAR($S445),(MONTH($S445)+IF(INDEX('仕入先'!$D$5:$D$54,$R445)="末",0,IF(DAY($S445)&lt;=INDEX('仕入先'!$D$5:$D$54,$R445),0,1))+N(INDEX('仕入先'!$E$5:$E$54,$R445))),MIN(INDEX('仕入先'!$F$5:$F$54,$R445),DAY(DATE(YEAR($S445),(MONTH($S445)+IF(INDEX('仕入先'!$D$5:$D$54,$R445)="末",0,IF(DAY($S445)&lt;=INDEX('仕入先'!$D$5:$D$54,$R445),0,1))+N(INDEX('仕入先'!$E$5:$E$54,$R445)))+1,0)))))))</f>
        <v/>
      </c>
      <c r="I445" s="26" t="n"/>
      <c r="J445" s="29">
        <f>IF($B445="","",IF(ISNUMBER($I445),$I445,$H445))</f>
        <v/>
      </c>
      <c r="K445" s="26" t="n"/>
      <c r="L445" s="27" t="n"/>
      <c r="M445" s="27" t="n"/>
      <c r="N445" s="28">
        <f>IF($B445="","",N($G445)-N($L445)-N($M445))</f>
        <v/>
      </c>
      <c r="O445" s="30">
        <f>IF($B445="","",IF(AND(OR(N($L445)&lt;&gt;0,N($M445)&lt;&gt;0),NOT(ISNUMBER($K445))),"支払日なし",IF($N445=0,IF(N($G445)=0,"請求額0","支払済"),IF($N445&lt;0,"払いすぎ",IF(N($L445)+N($M445)=0,"未払","一部支払")))))</f>
        <v/>
      </c>
      <c r="P445" s="30">
        <f>IF(OR($B445="",N($N445)&lt;=0,NOT(ISNUMBER($J445))),"",IF($J445&lt;'設定'!$B$7,"期日超過 "&amp;('設定'!$B$7-$J445)&amp;"日",IF($J445='設定'!$B$7,"今日","あと "&amp;($J445-'設定'!$B$7)&amp;"日")))</f>
        <v/>
      </c>
      <c r="Q445" s="56" t="n"/>
      <c r="R445" s="32">
        <f>IF($B445="","",IFERROR(MATCH($B445,'仕入先'!$B$5:$B$54,0),"なし"))</f>
        <v/>
      </c>
      <c r="S445" s="33">
        <f>IF($B445="","",IF(ISNUMBER($D445),$D445,IF(ISNUMBER($A445),$A445,"")))</f>
        <v/>
      </c>
      <c r="T445" s="34">
        <f>IF(OR($B445="",N($N445)&lt;=0),"",IF(ISNUMBER($J445),$J445,99999)+ROW()/1000000)</f>
        <v/>
      </c>
      <c r="U445" s="35">
        <f>IF(OR($B445="",$B445&lt;&gt;'買掛帳'!$B$3,NOT(ISNUMBER($S445))),"",IF(AND($S445&gt;='買掛帳'!$Q$3,$S445&lt;='買掛帳'!$Q$4),$S445+ROW()/10000000,""))</f>
        <v/>
      </c>
      <c r="V445" s="35">
        <f>IF(OR($B445="",$B445&lt;&gt;'買掛帳'!$B$3,NOT(ISNUMBER($K445)),N($L445)+N($M445)=0),"",IF(AND($K445&gt;='買掛帳'!$Q$3,$K445&lt;='買掛帳'!$Q$4),$K445+0.5+ROW()/10000000,""))</f>
        <v/>
      </c>
    </row>
    <row r="446" ht="18" customHeight="1">
      <c r="A446" s="26" t="n"/>
      <c r="B446" s="18" t="n"/>
      <c r="C446" s="20">
        <f>IF($B446="","",IF($R446="なし","※仕入先にないコード",INDEX('仕入先'!$C$5:$C$54,$R446)&amp;""))</f>
        <v/>
      </c>
      <c r="D446" s="26" t="n"/>
      <c r="E446" s="18" t="n"/>
      <c r="F446" s="19" t="n"/>
      <c r="G446" s="27" t="n"/>
      <c r="H446" s="29">
        <f>IF(OR($B446="",NOT(ISNUMBER($R446)),NOT(ISNUMBER($S446))),"",IF(OR(INDEX('仕入先'!$D$5:$D$54,$R446)="",INDEX('仕入先'!$E$5:$E$54,$R446)="",INDEX('仕入先'!$F$5:$F$54,$R446)=""),"",IF(INDEX('仕入先'!$F$5:$F$54,$R446)="末",DATE(YEAR($S446),(MONTH($S446)+IF(INDEX('仕入先'!$D$5:$D$54,$R446)="末",0,IF(DAY($S446)&lt;=INDEX('仕入先'!$D$5:$D$54,$R446),0,1))+N(INDEX('仕入先'!$E$5:$E$54,$R446)))+1,0),DATE(YEAR($S446),(MONTH($S446)+IF(INDEX('仕入先'!$D$5:$D$54,$R446)="末",0,IF(DAY($S446)&lt;=INDEX('仕入先'!$D$5:$D$54,$R446),0,1))+N(INDEX('仕入先'!$E$5:$E$54,$R446))),MIN(INDEX('仕入先'!$F$5:$F$54,$R446),DAY(DATE(YEAR($S446),(MONTH($S446)+IF(INDEX('仕入先'!$D$5:$D$54,$R446)="末",0,IF(DAY($S446)&lt;=INDEX('仕入先'!$D$5:$D$54,$R446),0,1))+N(INDEX('仕入先'!$E$5:$E$54,$R446)))+1,0)))))))</f>
        <v/>
      </c>
      <c r="I446" s="26" t="n"/>
      <c r="J446" s="29">
        <f>IF($B446="","",IF(ISNUMBER($I446),$I446,$H446))</f>
        <v/>
      </c>
      <c r="K446" s="26" t="n"/>
      <c r="L446" s="27" t="n"/>
      <c r="M446" s="27" t="n"/>
      <c r="N446" s="28">
        <f>IF($B446="","",N($G446)-N($L446)-N($M446))</f>
        <v/>
      </c>
      <c r="O446" s="30">
        <f>IF($B446="","",IF(AND(OR(N($L446)&lt;&gt;0,N($M446)&lt;&gt;0),NOT(ISNUMBER($K446))),"支払日なし",IF($N446=0,IF(N($G446)=0,"請求額0","支払済"),IF($N446&lt;0,"払いすぎ",IF(N($L446)+N($M446)=0,"未払","一部支払")))))</f>
        <v/>
      </c>
      <c r="P446" s="30">
        <f>IF(OR($B446="",N($N446)&lt;=0,NOT(ISNUMBER($J446))),"",IF($J446&lt;'設定'!$B$7,"期日超過 "&amp;('設定'!$B$7-$J446)&amp;"日",IF($J446='設定'!$B$7,"今日","あと "&amp;($J446-'設定'!$B$7)&amp;"日")))</f>
        <v/>
      </c>
      <c r="Q446" s="56" t="n"/>
      <c r="R446" s="32">
        <f>IF($B446="","",IFERROR(MATCH($B446,'仕入先'!$B$5:$B$54,0),"なし"))</f>
        <v/>
      </c>
      <c r="S446" s="33">
        <f>IF($B446="","",IF(ISNUMBER($D446),$D446,IF(ISNUMBER($A446),$A446,"")))</f>
        <v/>
      </c>
      <c r="T446" s="34">
        <f>IF(OR($B446="",N($N446)&lt;=0),"",IF(ISNUMBER($J446),$J446,99999)+ROW()/1000000)</f>
        <v/>
      </c>
      <c r="U446" s="35">
        <f>IF(OR($B446="",$B446&lt;&gt;'買掛帳'!$B$3,NOT(ISNUMBER($S446))),"",IF(AND($S446&gt;='買掛帳'!$Q$3,$S446&lt;='買掛帳'!$Q$4),$S446+ROW()/10000000,""))</f>
        <v/>
      </c>
      <c r="V446" s="35">
        <f>IF(OR($B446="",$B446&lt;&gt;'買掛帳'!$B$3,NOT(ISNUMBER($K446)),N($L446)+N($M446)=0),"",IF(AND($K446&gt;='買掛帳'!$Q$3,$K446&lt;='買掛帳'!$Q$4),$K446+0.5+ROW()/10000000,""))</f>
        <v/>
      </c>
    </row>
    <row r="447" ht="18" customHeight="1">
      <c r="A447" s="26" t="n"/>
      <c r="B447" s="18" t="n"/>
      <c r="C447" s="20">
        <f>IF($B447="","",IF($R447="なし","※仕入先にないコード",INDEX('仕入先'!$C$5:$C$54,$R447)&amp;""))</f>
        <v/>
      </c>
      <c r="D447" s="26" t="n"/>
      <c r="E447" s="18" t="n"/>
      <c r="F447" s="19" t="n"/>
      <c r="G447" s="27" t="n"/>
      <c r="H447" s="29">
        <f>IF(OR($B447="",NOT(ISNUMBER($R447)),NOT(ISNUMBER($S447))),"",IF(OR(INDEX('仕入先'!$D$5:$D$54,$R447)="",INDEX('仕入先'!$E$5:$E$54,$R447)="",INDEX('仕入先'!$F$5:$F$54,$R447)=""),"",IF(INDEX('仕入先'!$F$5:$F$54,$R447)="末",DATE(YEAR($S447),(MONTH($S447)+IF(INDEX('仕入先'!$D$5:$D$54,$R447)="末",0,IF(DAY($S447)&lt;=INDEX('仕入先'!$D$5:$D$54,$R447),0,1))+N(INDEX('仕入先'!$E$5:$E$54,$R447)))+1,0),DATE(YEAR($S447),(MONTH($S447)+IF(INDEX('仕入先'!$D$5:$D$54,$R447)="末",0,IF(DAY($S447)&lt;=INDEX('仕入先'!$D$5:$D$54,$R447),0,1))+N(INDEX('仕入先'!$E$5:$E$54,$R447))),MIN(INDEX('仕入先'!$F$5:$F$54,$R447),DAY(DATE(YEAR($S447),(MONTH($S447)+IF(INDEX('仕入先'!$D$5:$D$54,$R447)="末",0,IF(DAY($S447)&lt;=INDEX('仕入先'!$D$5:$D$54,$R447),0,1))+N(INDEX('仕入先'!$E$5:$E$54,$R447)))+1,0)))))))</f>
        <v/>
      </c>
      <c r="I447" s="26" t="n"/>
      <c r="J447" s="29">
        <f>IF($B447="","",IF(ISNUMBER($I447),$I447,$H447))</f>
        <v/>
      </c>
      <c r="K447" s="26" t="n"/>
      <c r="L447" s="27" t="n"/>
      <c r="M447" s="27" t="n"/>
      <c r="N447" s="28">
        <f>IF($B447="","",N($G447)-N($L447)-N($M447))</f>
        <v/>
      </c>
      <c r="O447" s="30">
        <f>IF($B447="","",IF(AND(OR(N($L447)&lt;&gt;0,N($M447)&lt;&gt;0),NOT(ISNUMBER($K447))),"支払日なし",IF($N447=0,IF(N($G447)=0,"請求額0","支払済"),IF($N447&lt;0,"払いすぎ",IF(N($L447)+N($M447)=0,"未払","一部支払")))))</f>
        <v/>
      </c>
      <c r="P447" s="30">
        <f>IF(OR($B447="",N($N447)&lt;=0,NOT(ISNUMBER($J447))),"",IF($J447&lt;'設定'!$B$7,"期日超過 "&amp;('設定'!$B$7-$J447)&amp;"日",IF($J447='設定'!$B$7,"今日","あと "&amp;($J447-'設定'!$B$7)&amp;"日")))</f>
        <v/>
      </c>
      <c r="Q447" s="56" t="n"/>
      <c r="R447" s="32">
        <f>IF($B447="","",IFERROR(MATCH($B447,'仕入先'!$B$5:$B$54,0),"なし"))</f>
        <v/>
      </c>
      <c r="S447" s="33">
        <f>IF($B447="","",IF(ISNUMBER($D447),$D447,IF(ISNUMBER($A447),$A447,"")))</f>
        <v/>
      </c>
      <c r="T447" s="34">
        <f>IF(OR($B447="",N($N447)&lt;=0),"",IF(ISNUMBER($J447),$J447,99999)+ROW()/1000000)</f>
        <v/>
      </c>
      <c r="U447" s="35">
        <f>IF(OR($B447="",$B447&lt;&gt;'買掛帳'!$B$3,NOT(ISNUMBER($S447))),"",IF(AND($S447&gt;='買掛帳'!$Q$3,$S447&lt;='買掛帳'!$Q$4),$S447+ROW()/10000000,""))</f>
        <v/>
      </c>
      <c r="V447" s="35">
        <f>IF(OR($B447="",$B447&lt;&gt;'買掛帳'!$B$3,NOT(ISNUMBER($K447)),N($L447)+N($M447)=0),"",IF(AND($K447&gt;='買掛帳'!$Q$3,$K447&lt;='買掛帳'!$Q$4),$K447+0.5+ROW()/10000000,""))</f>
        <v/>
      </c>
    </row>
    <row r="448" ht="18" customHeight="1">
      <c r="A448" s="26" t="n"/>
      <c r="B448" s="18" t="n"/>
      <c r="C448" s="20">
        <f>IF($B448="","",IF($R448="なし","※仕入先にないコード",INDEX('仕入先'!$C$5:$C$54,$R448)&amp;""))</f>
        <v/>
      </c>
      <c r="D448" s="26" t="n"/>
      <c r="E448" s="18" t="n"/>
      <c r="F448" s="19" t="n"/>
      <c r="G448" s="27" t="n"/>
      <c r="H448" s="29">
        <f>IF(OR($B448="",NOT(ISNUMBER($R448)),NOT(ISNUMBER($S448))),"",IF(OR(INDEX('仕入先'!$D$5:$D$54,$R448)="",INDEX('仕入先'!$E$5:$E$54,$R448)="",INDEX('仕入先'!$F$5:$F$54,$R448)=""),"",IF(INDEX('仕入先'!$F$5:$F$54,$R448)="末",DATE(YEAR($S448),(MONTH($S448)+IF(INDEX('仕入先'!$D$5:$D$54,$R448)="末",0,IF(DAY($S448)&lt;=INDEX('仕入先'!$D$5:$D$54,$R448),0,1))+N(INDEX('仕入先'!$E$5:$E$54,$R448)))+1,0),DATE(YEAR($S448),(MONTH($S448)+IF(INDEX('仕入先'!$D$5:$D$54,$R448)="末",0,IF(DAY($S448)&lt;=INDEX('仕入先'!$D$5:$D$54,$R448),0,1))+N(INDEX('仕入先'!$E$5:$E$54,$R448))),MIN(INDEX('仕入先'!$F$5:$F$54,$R448),DAY(DATE(YEAR($S448),(MONTH($S448)+IF(INDEX('仕入先'!$D$5:$D$54,$R448)="末",0,IF(DAY($S448)&lt;=INDEX('仕入先'!$D$5:$D$54,$R448),0,1))+N(INDEX('仕入先'!$E$5:$E$54,$R448)))+1,0)))))))</f>
        <v/>
      </c>
      <c r="I448" s="26" t="n"/>
      <c r="J448" s="29">
        <f>IF($B448="","",IF(ISNUMBER($I448),$I448,$H448))</f>
        <v/>
      </c>
      <c r="K448" s="26" t="n"/>
      <c r="L448" s="27" t="n"/>
      <c r="M448" s="27" t="n"/>
      <c r="N448" s="28">
        <f>IF($B448="","",N($G448)-N($L448)-N($M448))</f>
        <v/>
      </c>
      <c r="O448" s="30">
        <f>IF($B448="","",IF(AND(OR(N($L448)&lt;&gt;0,N($M448)&lt;&gt;0),NOT(ISNUMBER($K448))),"支払日なし",IF($N448=0,IF(N($G448)=0,"請求額0","支払済"),IF($N448&lt;0,"払いすぎ",IF(N($L448)+N($M448)=0,"未払","一部支払")))))</f>
        <v/>
      </c>
      <c r="P448" s="30">
        <f>IF(OR($B448="",N($N448)&lt;=0,NOT(ISNUMBER($J448))),"",IF($J448&lt;'設定'!$B$7,"期日超過 "&amp;('設定'!$B$7-$J448)&amp;"日",IF($J448='設定'!$B$7,"今日","あと "&amp;($J448-'設定'!$B$7)&amp;"日")))</f>
        <v/>
      </c>
      <c r="Q448" s="56" t="n"/>
      <c r="R448" s="32">
        <f>IF($B448="","",IFERROR(MATCH($B448,'仕入先'!$B$5:$B$54,0),"なし"))</f>
        <v/>
      </c>
      <c r="S448" s="33">
        <f>IF($B448="","",IF(ISNUMBER($D448),$D448,IF(ISNUMBER($A448),$A448,"")))</f>
        <v/>
      </c>
      <c r="T448" s="34">
        <f>IF(OR($B448="",N($N448)&lt;=0),"",IF(ISNUMBER($J448),$J448,99999)+ROW()/1000000)</f>
        <v/>
      </c>
      <c r="U448" s="35">
        <f>IF(OR($B448="",$B448&lt;&gt;'買掛帳'!$B$3,NOT(ISNUMBER($S448))),"",IF(AND($S448&gt;='買掛帳'!$Q$3,$S448&lt;='買掛帳'!$Q$4),$S448+ROW()/10000000,""))</f>
        <v/>
      </c>
      <c r="V448" s="35">
        <f>IF(OR($B448="",$B448&lt;&gt;'買掛帳'!$B$3,NOT(ISNUMBER($K448)),N($L448)+N($M448)=0),"",IF(AND($K448&gt;='買掛帳'!$Q$3,$K448&lt;='買掛帳'!$Q$4),$K448+0.5+ROW()/10000000,""))</f>
        <v/>
      </c>
    </row>
    <row r="449" ht="18" customHeight="1">
      <c r="A449" s="26" t="n"/>
      <c r="B449" s="18" t="n"/>
      <c r="C449" s="20">
        <f>IF($B449="","",IF($R449="なし","※仕入先にないコード",INDEX('仕入先'!$C$5:$C$54,$R449)&amp;""))</f>
        <v/>
      </c>
      <c r="D449" s="26" t="n"/>
      <c r="E449" s="18" t="n"/>
      <c r="F449" s="19" t="n"/>
      <c r="G449" s="27" t="n"/>
      <c r="H449" s="29">
        <f>IF(OR($B449="",NOT(ISNUMBER($R449)),NOT(ISNUMBER($S449))),"",IF(OR(INDEX('仕入先'!$D$5:$D$54,$R449)="",INDEX('仕入先'!$E$5:$E$54,$R449)="",INDEX('仕入先'!$F$5:$F$54,$R449)=""),"",IF(INDEX('仕入先'!$F$5:$F$54,$R449)="末",DATE(YEAR($S449),(MONTH($S449)+IF(INDEX('仕入先'!$D$5:$D$54,$R449)="末",0,IF(DAY($S449)&lt;=INDEX('仕入先'!$D$5:$D$54,$R449),0,1))+N(INDEX('仕入先'!$E$5:$E$54,$R449)))+1,0),DATE(YEAR($S449),(MONTH($S449)+IF(INDEX('仕入先'!$D$5:$D$54,$R449)="末",0,IF(DAY($S449)&lt;=INDEX('仕入先'!$D$5:$D$54,$R449),0,1))+N(INDEX('仕入先'!$E$5:$E$54,$R449))),MIN(INDEX('仕入先'!$F$5:$F$54,$R449),DAY(DATE(YEAR($S449),(MONTH($S449)+IF(INDEX('仕入先'!$D$5:$D$54,$R449)="末",0,IF(DAY($S449)&lt;=INDEX('仕入先'!$D$5:$D$54,$R449),0,1))+N(INDEX('仕入先'!$E$5:$E$54,$R449)))+1,0)))))))</f>
        <v/>
      </c>
      <c r="I449" s="26" t="n"/>
      <c r="J449" s="29">
        <f>IF($B449="","",IF(ISNUMBER($I449),$I449,$H449))</f>
        <v/>
      </c>
      <c r="K449" s="26" t="n"/>
      <c r="L449" s="27" t="n"/>
      <c r="M449" s="27" t="n"/>
      <c r="N449" s="28">
        <f>IF($B449="","",N($G449)-N($L449)-N($M449))</f>
        <v/>
      </c>
      <c r="O449" s="30">
        <f>IF($B449="","",IF(AND(OR(N($L449)&lt;&gt;0,N($M449)&lt;&gt;0),NOT(ISNUMBER($K449))),"支払日なし",IF($N449=0,IF(N($G449)=0,"請求額0","支払済"),IF($N449&lt;0,"払いすぎ",IF(N($L449)+N($M449)=0,"未払","一部支払")))))</f>
        <v/>
      </c>
      <c r="P449" s="30">
        <f>IF(OR($B449="",N($N449)&lt;=0,NOT(ISNUMBER($J449))),"",IF($J449&lt;'設定'!$B$7,"期日超過 "&amp;('設定'!$B$7-$J449)&amp;"日",IF($J449='設定'!$B$7,"今日","あと "&amp;($J449-'設定'!$B$7)&amp;"日")))</f>
        <v/>
      </c>
      <c r="Q449" s="56" t="n"/>
      <c r="R449" s="32">
        <f>IF($B449="","",IFERROR(MATCH($B449,'仕入先'!$B$5:$B$54,0),"なし"))</f>
        <v/>
      </c>
      <c r="S449" s="33">
        <f>IF($B449="","",IF(ISNUMBER($D449),$D449,IF(ISNUMBER($A449),$A449,"")))</f>
        <v/>
      </c>
      <c r="T449" s="34">
        <f>IF(OR($B449="",N($N449)&lt;=0),"",IF(ISNUMBER($J449),$J449,99999)+ROW()/1000000)</f>
        <v/>
      </c>
      <c r="U449" s="35">
        <f>IF(OR($B449="",$B449&lt;&gt;'買掛帳'!$B$3,NOT(ISNUMBER($S449))),"",IF(AND($S449&gt;='買掛帳'!$Q$3,$S449&lt;='買掛帳'!$Q$4),$S449+ROW()/10000000,""))</f>
        <v/>
      </c>
      <c r="V449" s="35">
        <f>IF(OR($B449="",$B449&lt;&gt;'買掛帳'!$B$3,NOT(ISNUMBER($K449)),N($L449)+N($M449)=0),"",IF(AND($K449&gt;='買掛帳'!$Q$3,$K449&lt;='買掛帳'!$Q$4),$K449+0.5+ROW()/10000000,""))</f>
        <v/>
      </c>
    </row>
    <row r="450" ht="18" customHeight="1">
      <c r="A450" s="26" t="n"/>
      <c r="B450" s="18" t="n"/>
      <c r="C450" s="20">
        <f>IF($B450="","",IF($R450="なし","※仕入先にないコード",INDEX('仕入先'!$C$5:$C$54,$R450)&amp;""))</f>
        <v/>
      </c>
      <c r="D450" s="26" t="n"/>
      <c r="E450" s="18" t="n"/>
      <c r="F450" s="19" t="n"/>
      <c r="G450" s="27" t="n"/>
      <c r="H450" s="29">
        <f>IF(OR($B450="",NOT(ISNUMBER($R450)),NOT(ISNUMBER($S450))),"",IF(OR(INDEX('仕入先'!$D$5:$D$54,$R450)="",INDEX('仕入先'!$E$5:$E$54,$R450)="",INDEX('仕入先'!$F$5:$F$54,$R450)=""),"",IF(INDEX('仕入先'!$F$5:$F$54,$R450)="末",DATE(YEAR($S450),(MONTH($S450)+IF(INDEX('仕入先'!$D$5:$D$54,$R450)="末",0,IF(DAY($S450)&lt;=INDEX('仕入先'!$D$5:$D$54,$R450),0,1))+N(INDEX('仕入先'!$E$5:$E$54,$R450)))+1,0),DATE(YEAR($S450),(MONTH($S450)+IF(INDEX('仕入先'!$D$5:$D$54,$R450)="末",0,IF(DAY($S450)&lt;=INDEX('仕入先'!$D$5:$D$54,$R450),0,1))+N(INDEX('仕入先'!$E$5:$E$54,$R450))),MIN(INDEX('仕入先'!$F$5:$F$54,$R450),DAY(DATE(YEAR($S450),(MONTH($S450)+IF(INDEX('仕入先'!$D$5:$D$54,$R450)="末",0,IF(DAY($S450)&lt;=INDEX('仕入先'!$D$5:$D$54,$R450),0,1))+N(INDEX('仕入先'!$E$5:$E$54,$R450)))+1,0)))))))</f>
        <v/>
      </c>
      <c r="I450" s="26" t="n"/>
      <c r="J450" s="29">
        <f>IF($B450="","",IF(ISNUMBER($I450),$I450,$H450))</f>
        <v/>
      </c>
      <c r="K450" s="26" t="n"/>
      <c r="L450" s="27" t="n"/>
      <c r="M450" s="27" t="n"/>
      <c r="N450" s="28">
        <f>IF($B450="","",N($G450)-N($L450)-N($M450))</f>
        <v/>
      </c>
      <c r="O450" s="30">
        <f>IF($B450="","",IF(AND(OR(N($L450)&lt;&gt;0,N($M450)&lt;&gt;0),NOT(ISNUMBER($K450))),"支払日なし",IF($N450=0,IF(N($G450)=0,"請求額0","支払済"),IF($N450&lt;0,"払いすぎ",IF(N($L450)+N($M450)=0,"未払","一部支払")))))</f>
        <v/>
      </c>
      <c r="P450" s="30">
        <f>IF(OR($B450="",N($N450)&lt;=0,NOT(ISNUMBER($J450))),"",IF($J450&lt;'設定'!$B$7,"期日超過 "&amp;('設定'!$B$7-$J450)&amp;"日",IF($J450='設定'!$B$7,"今日","あと "&amp;($J450-'設定'!$B$7)&amp;"日")))</f>
        <v/>
      </c>
      <c r="Q450" s="56" t="n"/>
      <c r="R450" s="32">
        <f>IF($B450="","",IFERROR(MATCH($B450,'仕入先'!$B$5:$B$54,0),"なし"))</f>
        <v/>
      </c>
      <c r="S450" s="33">
        <f>IF($B450="","",IF(ISNUMBER($D450),$D450,IF(ISNUMBER($A450),$A450,"")))</f>
        <v/>
      </c>
      <c r="T450" s="34">
        <f>IF(OR($B450="",N($N450)&lt;=0),"",IF(ISNUMBER($J450),$J450,99999)+ROW()/1000000)</f>
        <v/>
      </c>
      <c r="U450" s="35">
        <f>IF(OR($B450="",$B450&lt;&gt;'買掛帳'!$B$3,NOT(ISNUMBER($S450))),"",IF(AND($S450&gt;='買掛帳'!$Q$3,$S450&lt;='買掛帳'!$Q$4),$S450+ROW()/10000000,""))</f>
        <v/>
      </c>
      <c r="V450" s="35">
        <f>IF(OR($B450="",$B450&lt;&gt;'買掛帳'!$B$3,NOT(ISNUMBER($K450)),N($L450)+N($M450)=0),"",IF(AND($K450&gt;='買掛帳'!$Q$3,$K450&lt;='買掛帳'!$Q$4),$K450+0.5+ROW()/10000000,""))</f>
        <v/>
      </c>
    </row>
    <row r="451" ht="18" customHeight="1">
      <c r="A451" s="26" t="n"/>
      <c r="B451" s="18" t="n"/>
      <c r="C451" s="20">
        <f>IF($B451="","",IF($R451="なし","※仕入先にないコード",INDEX('仕入先'!$C$5:$C$54,$R451)&amp;""))</f>
        <v/>
      </c>
      <c r="D451" s="26" t="n"/>
      <c r="E451" s="18" t="n"/>
      <c r="F451" s="19" t="n"/>
      <c r="G451" s="27" t="n"/>
      <c r="H451" s="29">
        <f>IF(OR($B451="",NOT(ISNUMBER($R451)),NOT(ISNUMBER($S451))),"",IF(OR(INDEX('仕入先'!$D$5:$D$54,$R451)="",INDEX('仕入先'!$E$5:$E$54,$R451)="",INDEX('仕入先'!$F$5:$F$54,$R451)=""),"",IF(INDEX('仕入先'!$F$5:$F$54,$R451)="末",DATE(YEAR($S451),(MONTH($S451)+IF(INDEX('仕入先'!$D$5:$D$54,$R451)="末",0,IF(DAY($S451)&lt;=INDEX('仕入先'!$D$5:$D$54,$R451),0,1))+N(INDEX('仕入先'!$E$5:$E$54,$R451)))+1,0),DATE(YEAR($S451),(MONTH($S451)+IF(INDEX('仕入先'!$D$5:$D$54,$R451)="末",0,IF(DAY($S451)&lt;=INDEX('仕入先'!$D$5:$D$54,$R451),0,1))+N(INDEX('仕入先'!$E$5:$E$54,$R451))),MIN(INDEX('仕入先'!$F$5:$F$54,$R451),DAY(DATE(YEAR($S451),(MONTH($S451)+IF(INDEX('仕入先'!$D$5:$D$54,$R451)="末",0,IF(DAY($S451)&lt;=INDEX('仕入先'!$D$5:$D$54,$R451),0,1))+N(INDEX('仕入先'!$E$5:$E$54,$R451)))+1,0)))))))</f>
        <v/>
      </c>
      <c r="I451" s="26" t="n"/>
      <c r="J451" s="29">
        <f>IF($B451="","",IF(ISNUMBER($I451),$I451,$H451))</f>
        <v/>
      </c>
      <c r="K451" s="26" t="n"/>
      <c r="L451" s="27" t="n"/>
      <c r="M451" s="27" t="n"/>
      <c r="N451" s="28">
        <f>IF($B451="","",N($G451)-N($L451)-N($M451))</f>
        <v/>
      </c>
      <c r="O451" s="30">
        <f>IF($B451="","",IF(AND(OR(N($L451)&lt;&gt;0,N($M451)&lt;&gt;0),NOT(ISNUMBER($K451))),"支払日なし",IF($N451=0,IF(N($G451)=0,"請求額0","支払済"),IF($N451&lt;0,"払いすぎ",IF(N($L451)+N($M451)=0,"未払","一部支払")))))</f>
        <v/>
      </c>
      <c r="P451" s="30">
        <f>IF(OR($B451="",N($N451)&lt;=0,NOT(ISNUMBER($J451))),"",IF($J451&lt;'設定'!$B$7,"期日超過 "&amp;('設定'!$B$7-$J451)&amp;"日",IF($J451='設定'!$B$7,"今日","あと "&amp;($J451-'設定'!$B$7)&amp;"日")))</f>
        <v/>
      </c>
      <c r="Q451" s="56" t="n"/>
      <c r="R451" s="32">
        <f>IF($B451="","",IFERROR(MATCH($B451,'仕入先'!$B$5:$B$54,0),"なし"))</f>
        <v/>
      </c>
      <c r="S451" s="33">
        <f>IF($B451="","",IF(ISNUMBER($D451),$D451,IF(ISNUMBER($A451),$A451,"")))</f>
        <v/>
      </c>
      <c r="T451" s="34">
        <f>IF(OR($B451="",N($N451)&lt;=0),"",IF(ISNUMBER($J451),$J451,99999)+ROW()/1000000)</f>
        <v/>
      </c>
      <c r="U451" s="35">
        <f>IF(OR($B451="",$B451&lt;&gt;'買掛帳'!$B$3,NOT(ISNUMBER($S451))),"",IF(AND($S451&gt;='買掛帳'!$Q$3,$S451&lt;='買掛帳'!$Q$4),$S451+ROW()/10000000,""))</f>
        <v/>
      </c>
      <c r="V451" s="35">
        <f>IF(OR($B451="",$B451&lt;&gt;'買掛帳'!$B$3,NOT(ISNUMBER($K451)),N($L451)+N($M451)=0),"",IF(AND($K451&gt;='買掛帳'!$Q$3,$K451&lt;='買掛帳'!$Q$4),$K451+0.5+ROW()/10000000,""))</f>
        <v/>
      </c>
    </row>
    <row r="452" ht="18" customHeight="1">
      <c r="A452" s="26" t="n"/>
      <c r="B452" s="18" t="n"/>
      <c r="C452" s="20">
        <f>IF($B452="","",IF($R452="なし","※仕入先にないコード",INDEX('仕入先'!$C$5:$C$54,$R452)&amp;""))</f>
        <v/>
      </c>
      <c r="D452" s="26" t="n"/>
      <c r="E452" s="18" t="n"/>
      <c r="F452" s="19" t="n"/>
      <c r="G452" s="27" t="n"/>
      <c r="H452" s="29">
        <f>IF(OR($B452="",NOT(ISNUMBER($R452)),NOT(ISNUMBER($S452))),"",IF(OR(INDEX('仕入先'!$D$5:$D$54,$R452)="",INDEX('仕入先'!$E$5:$E$54,$R452)="",INDEX('仕入先'!$F$5:$F$54,$R452)=""),"",IF(INDEX('仕入先'!$F$5:$F$54,$R452)="末",DATE(YEAR($S452),(MONTH($S452)+IF(INDEX('仕入先'!$D$5:$D$54,$R452)="末",0,IF(DAY($S452)&lt;=INDEX('仕入先'!$D$5:$D$54,$R452),0,1))+N(INDEX('仕入先'!$E$5:$E$54,$R452)))+1,0),DATE(YEAR($S452),(MONTH($S452)+IF(INDEX('仕入先'!$D$5:$D$54,$R452)="末",0,IF(DAY($S452)&lt;=INDEX('仕入先'!$D$5:$D$54,$R452),0,1))+N(INDEX('仕入先'!$E$5:$E$54,$R452))),MIN(INDEX('仕入先'!$F$5:$F$54,$R452),DAY(DATE(YEAR($S452),(MONTH($S452)+IF(INDEX('仕入先'!$D$5:$D$54,$R452)="末",0,IF(DAY($S452)&lt;=INDEX('仕入先'!$D$5:$D$54,$R452),0,1))+N(INDEX('仕入先'!$E$5:$E$54,$R452)))+1,0)))))))</f>
        <v/>
      </c>
      <c r="I452" s="26" t="n"/>
      <c r="J452" s="29">
        <f>IF($B452="","",IF(ISNUMBER($I452),$I452,$H452))</f>
        <v/>
      </c>
      <c r="K452" s="26" t="n"/>
      <c r="L452" s="27" t="n"/>
      <c r="M452" s="27" t="n"/>
      <c r="N452" s="28">
        <f>IF($B452="","",N($G452)-N($L452)-N($M452))</f>
        <v/>
      </c>
      <c r="O452" s="30">
        <f>IF($B452="","",IF(AND(OR(N($L452)&lt;&gt;0,N($M452)&lt;&gt;0),NOT(ISNUMBER($K452))),"支払日なし",IF($N452=0,IF(N($G452)=0,"請求額0","支払済"),IF($N452&lt;0,"払いすぎ",IF(N($L452)+N($M452)=0,"未払","一部支払")))))</f>
        <v/>
      </c>
      <c r="P452" s="30">
        <f>IF(OR($B452="",N($N452)&lt;=0,NOT(ISNUMBER($J452))),"",IF($J452&lt;'設定'!$B$7,"期日超過 "&amp;('設定'!$B$7-$J452)&amp;"日",IF($J452='設定'!$B$7,"今日","あと "&amp;($J452-'設定'!$B$7)&amp;"日")))</f>
        <v/>
      </c>
      <c r="Q452" s="56" t="n"/>
      <c r="R452" s="32">
        <f>IF($B452="","",IFERROR(MATCH($B452,'仕入先'!$B$5:$B$54,0),"なし"))</f>
        <v/>
      </c>
      <c r="S452" s="33">
        <f>IF($B452="","",IF(ISNUMBER($D452),$D452,IF(ISNUMBER($A452),$A452,"")))</f>
        <v/>
      </c>
      <c r="T452" s="34">
        <f>IF(OR($B452="",N($N452)&lt;=0),"",IF(ISNUMBER($J452),$J452,99999)+ROW()/1000000)</f>
        <v/>
      </c>
      <c r="U452" s="35">
        <f>IF(OR($B452="",$B452&lt;&gt;'買掛帳'!$B$3,NOT(ISNUMBER($S452))),"",IF(AND($S452&gt;='買掛帳'!$Q$3,$S452&lt;='買掛帳'!$Q$4),$S452+ROW()/10000000,""))</f>
        <v/>
      </c>
      <c r="V452" s="35">
        <f>IF(OR($B452="",$B452&lt;&gt;'買掛帳'!$B$3,NOT(ISNUMBER($K452)),N($L452)+N($M452)=0),"",IF(AND($K452&gt;='買掛帳'!$Q$3,$K452&lt;='買掛帳'!$Q$4),$K452+0.5+ROW()/10000000,""))</f>
        <v/>
      </c>
    </row>
    <row r="453" ht="18" customHeight="1">
      <c r="A453" s="26" t="n"/>
      <c r="B453" s="18" t="n"/>
      <c r="C453" s="20">
        <f>IF($B453="","",IF($R453="なし","※仕入先にないコード",INDEX('仕入先'!$C$5:$C$54,$R453)&amp;""))</f>
        <v/>
      </c>
      <c r="D453" s="26" t="n"/>
      <c r="E453" s="18" t="n"/>
      <c r="F453" s="19" t="n"/>
      <c r="G453" s="27" t="n"/>
      <c r="H453" s="29">
        <f>IF(OR($B453="",NOT(ISNUMBER($R453)),NOT(ISNUMBER($S453))),"",IF(OR(INDEX('仕入先'!$D$5:$D$54,$R453)="",INDEX('仕入先'!$E$5:$E$54,$R453)="",INDEX('仕入先'!$F$5:$F$54,$R453)=""),"",IF(INDEX('仕入先'!$F$5:$F$54,$R453)="末",DATE(YEAR($S453),(MONTH($S453)+IF(INDEX('仕入先'!$D$5:$D$54,$R453)="末",0,IF(DAY($S453)&lt;=INDEX('仕入先'!$D$5:$D$54,$R453),0,1))+N(INDEX('仕入先'!$E$5:$E$54,$R453)))+1,0),DATE(YEAR($S453),(MONTH($S453)+IF(INDEX('仕入先'!$D$5:$D$54,$R453)="末",0,IF(DAY($S453)&lt;=INDEX('仕入先'!$D$5:$D$54,$R453),0,1))+N(INDEX('仕入先'!$E$5:$E$54,$R453))),MIN(INDEX('仕入先'!$F$5:$F$54,$R453),DAY(DATE(YEAR($S453),(MONTH($S453)+IF(INDEX('仕入先'!$D$5:$D$54,$R453)="末",0,IF(DAY($S453)&lt;=INDEX('仕入先'!$D$5:$D$54,$R453),0,1))+N(INDEX('仕入先'!$E$5:$E$54,$R453)))+1,0)))))))</f>
        <v/>
      </c>
      <c r="I453" s="26" t="n"/>
      <c r="J453" s="29">
        <f>IF($B453="","",IF(ISNUMBER($I453),$I453,$H453))</f>
        <v/>
      </c>
      <c r="K453" s="26" t="n"/>
      <c r="L453" s="27" t="n"/>
      <c r="M453" s="27" t="n"/>
      <c r="N453" s="28">
        <f>IF($B453="","",N($G453)-N($L453)-N($M453))</f>
        <v/>
      </c>
      <c r="O453" s="30">
        <f>IF($B453="","",IF(AND(OR(N($L453)&lt;&gt;0,N($M453)&lt;&gt;0),NOT(ISNUMBER($K453))),"支払日なし",IF($N453=0,IF(N($G453)=0,"請求額0","支払済"),IF($N453&lt;0,"払いすぎ",IF(N($L453)+N($M453)=0,"未払","一部支払")))))</f>
        <v/>
      </c>
      <c r="P453" s="30">
        <f>IF(OR($B453="",N($N453)&lt;=0,NOT(ISNUMBER($J453))),"",IF($J453&lt;'設定'!$B$7,"期日超過 "&amp;('設定'!$B$7-$J453)&amp;"日",IF($J453='設定'!$B$7,"今日","あと "&amp;($J453-'設定'!$B$7)&amp;"日")))</f>
        <v/>
      </c>
      <c r="Q453" s="56" t="n"/>
      <c r="R453" s="32">
        <f>IF($B453="","",IFERROR(MATCH($B453,'仕入先'!$B$5:$B$54,0),"なし"))</f>
        <v/>
      </c>
      <c r="S453" s="33">
        <f>IF($B453="","",IF(ISNUMBER($D453),$D453,IF(ISNUMBER($A453),$A453,"")))</f>
        <v/>
      </c>
      <c r="T453" s="34">
        <f>IF(OR($B453="",N($N453)&lt;=0),"",IF(ISNUMBER($J453),$J453,99999)+ROW()/1000000)</f>
        <v/>
      </c>
      <c r="U453" s="35">
        <f>IF(OR($B453="",$B453&lt;&gt;'買掛帳'!$B$3,NOT(ISNUMBER($S453))),"",IF(AND($S453&gt;='買掛帳'!$Q$3,$S453&lt;='買掛帳'!$Q$4),$S453+ROW()/10000000,""))</f>
        <v/>
      </c>
      <c r="V453" s="35">
        <f>IF(OR($B453="",$B453&lt;&gt;'買掛帳'!$B$3,NOT(ISNUMBER($K453)),N($L453)+N($M453)=0),"",IF(AND($K453&gt;='買掛帳'!$Q$3,$K453&lt;='買掛帳'!$Q$4),$K453+0.5+ROW()/10000000,""))</f>
        <v/>
      </c>
    </row>
    <row r="454" ht="18" customHeight="1">
      <c r="A454" s="26" t="n"/>
      <c r="B454" s="18" t="n"/>
      <c r="C454" s="20">
        <f>IF($B454="","",IF($R454="なし","※仕入先にないコード",INDEX('仕入先'!$C$5:$C$54,$R454)&amp;""))</f>
        <v/>
      </c>
      <c r="D454" s="26" t="n"/>
      <c r="E454" s="18" t="n"/>
      <c r="F454" s="19" t="n"/>
      <c r="G454" s="27" t="n"/>
      <c r="H454" s="29">
        <f>IF(OR($B454="",NOT(ISNUMBER($R454)),NOT(ISNUMBER($S454))),"",IF(OR(INDEX('仕入先'!$D$5:$D$54,$R454)="",INDEX('仕入先'!$E$5:$E$54,$R454)="",INDEX('仕入先'!$F$5:$F$54,$R454)=""),"",IF(INDEX('仕入先'!$F$5:$F$54,$R454)="末",DATE(YEAR($S454),(MONTH($S454)+IF(INDEX('仕入先'!$D$5:$D$54,$R454)="末",0,IF(DAY($S454)&lt;=INDEX('仕入先'!$D$5:$D$54,$R454),0,1))+N(INDEX('仕入先'!$E$5:$E$54,$R454)))+1,0),DATE(YEAR($S454),(MONTH($S454)+IF(INDEX('仕入先'!$D$5:$D$54,$R454)="末",0,IF(DAY($S454)&lt;=INDEX('仕入先'!$D$5:$D$54,$R454),0,1))+N(INDEX('仕入先'!$E$5:$E$54,$R454))),MIN(INDEX('仕入先'!$F$5:$F$54,$R454),DAY(DATE(YEAR($S454),(MONTH($S454)+IF(INDEX('仕入先'!$D$5:$D$54,$R454)="末",0,IF(DAY($S454)&lt;=INDEX('仕入先'!$D$5:$D$54,$R454),0,1))+N(INDEX('仕入先'!$E$5:$E$54,$R454)))+1,0)))))))</f>
        <v/>
      </c>
      <c r="I454" s="26" t="n"/>
      <c r="J454" s="29">
        <f>IF($B454="","",IF(ISNUMBER($I454),$I454,$H454))</f>
        <v/>
      </c>
      <c r="K454" s="26" t="n"/>
      <c r="L454" s="27" t="n"/>
      <c r="M454" s="27" t="n"/>
      <c r="N454" s="28">
        <f>IF($B454="","",N($G454)-N($L454)-N($M454))</f>
        <v/>
      </c>
      <c r="O454" s="30">
        <f>IF($B454="","",IF(AND(OR(N($L454)&lt;&gt;0,N($M454)&lt;&gt;0),NOT(ISNUMBER($K454))),"支払日なし",IF($N454=0,IF(N($G454)=0,"請求額0","支払済"),IF($N454&lt;0,"払いすぎ",IF(N($L454)+N($M454)=0,"未払","一部支払")))))</f>
        <v/>
      </c>
      <c r="P454" s="30">
        <f>IF(OR($B454="",N($N454)&lt;=0,NOT(ISNUMBER($J454))),"",IF($J454&lt;'設定'!$B$7,"期日超過 "&amp;('設定'!$B$7-$J454)&amp;"日",IF($J454='設定'!$B$7,"今日","あと "&amp;($J454-'設定'!$B$7)&amp;"日")))</f>
        <v/>
      </c>
      <c r="Q454" s="56" t="n"/>
      <c r="R454" s="32">
        <f>IF($B454="","",IFERROR(MATCH($B454,'仕入先'!$B$5:$B$54,0),"なし"))</f>
        <v/>
      </c>
      <c r="S454" s="33">
        <f>IF($B454="","",IF(ISNUMBER($D454),$D454,IF(ISNUMBER($A454),$A454,"")))</f>
        <v/>
      </c>
      <c r="T454" s="34">
        <f>IF(OR($B454="",N($N454)&lt;=0),"",IF(ISNUMBER($J454),$J454,99999)+ROW()/1000000)</f>
        <v/>
      </c>
      <c r="U454" s="35">
        <f>IF(OR($B454="",$B454&lt;&gt;'買掛帳'!$B$3,NOT(ISNUMBER($S454))),"",IF(AND($S454&gt;='買掛帳'!$Q$3,$S454&lt;='買掛帳'!$Q$4),$S454+ROW()/10000000,""))</f>
        <v/>
      </c>
      <c r="V454" s="35">
        <f>IF(OR($B454="",$B454&lt;&gt;'買掛帳'!$B$3,NOT(ISNUMBER($K454)),N($L454)+N($M454)=0),"",IF(AND($K454&gt;='買掛帳'!$Q$3,$K454&lt;='買掛帳'!$Q$4),$K454+0.5+ROW()/10000000,""))</f>
        <v/>
      </c>
    </row>
    <row r="455" ht="18" customHeight="1">
      <c r="A455" s="26" t="n"/>
      <c r="B455" s="18" t="n"/>
      <c r="C455" s="20">
        <f>IF($B455="","",IF($R455="なし","※仕入先にないコード",INDEX('仕入先'!$C$5:$C$54,$R455)&amp;""))</f>
        <v/>
      </c>
      <c r="D455" s="26" t="n"/>
      <c r="E455" s="18" t="n"/>
      <c r="F455" s="19" t="n"/>
      <c r="G455" s="27" t="n"/>
      <c r="H455" s="29">
        <f>IF(OR($B455="",NOT(ISNUMBER($R455)),NOT(ISNUMBER($S455))),"",IF(OR(INDEX('仕入先'!$D$5:$D$54,$R455)="",INDEX('仕入先'!$E$5:$E$54,$R455)="",INDEX('仕入先'!$F$5:$F$54,$R455)=""),"",IF(INDEX('仕入先'!$F$5:$F$54,$R455)="末",DATE(YEAR($S455),(MONTH($S455)+IF(INDEX('仕入先'!$D$5:$D$54,$R455)="末",0,IF(DAY($S455)&lt;=INDEX('仕入先'!$D$5:$D$54,$R455),0,1))+N(INDEX('仕入先'!$E$5:$E$54,$R455)))+1,0),DATE(YEAR($S455),(MONTH($S455)+IF(INDEX('仕入先'!$D$5:$D$54,$R455)="末",0,IF(DAY($S455)&lt;=INDEX('仕入先'!$D$5:$D$54,$R455),0,1))+N(INDEX('仕入先'!$E$5:$E$54,$R455))),MIN(INDEX('仕入先'!$F$5:$F$54,$R455),DAY(DATE(YEAR($S455),(MONTH($S455)+IF(INDEX('仕入先'!$D$5:$D$54,$R455)="末",0,IF(DAY($S455)&lt;=INDEX('仕入先'!$D$5:$D$54,$R455),0,1))+N(INDEX('仕入先'!$E$5:$E$54,$R455)))+1,0)))))))</f>
        <v/>
      </c>
      <c r="I455" s="26" t="n"/>
      <c r="J455" s="29">
        <f>IF($B455="","",IF(ISNUMBER($I455),$I455,$H455))</f>
        <v/>
      </c>
      <c r="K455" s="26" t="n"/>
      <c r="L455" s="27" t="n"/>
      <c r="M455" s="27" t="n"/>
      <c r="N455" s="28">
        <f>IF($B455="","",N($G455)-N($L455)-N($M455))</f>
        <v/>
      </c>
      <c r="O455" s="30">
        <f>IF($B455="","",IF(AND(OR(N($L455)&lt;&gt;0,N($M455)&lt;&gt;0),NOT(ISNUMBER($K455))),"支払日なし",IF($N455=0,IF(N($G455)=0,"請求額0","支払済"),IF($N455&lt;0,"払いすぎ",IF(N($L455)+N($M455)=0,"未払","一部支払")))))</f>
        <v/>
      </c>
      <c r="P455" s="30">
        <f>IF(OR($B455="",N($N455)&lt;=0,NOT(ISNUMBER($J455))),"",IF($J455&lt;'設定'!$B$7,"期日超過 "&amp;('設定'!$B$7-$J455)&amp;"日",IF($J455='設定'!$B$7,"今日","あと "&amp;($J455-'設定'!$B$7)&amp;"日")))</f>
        <v/>
      </c>
      <c r="Q455" s="56" t="n"/>
      <c r="R455" s="32">
        <f>IF($B455="","",IFERROR(MATCH($B455,'仕入先'!$B$5:$B$54,0),"なし"))</f>
        <v/>
      </c>
      <c r="S455" s="33">
        <f>IF($B455="","",IF(ISNUMBER($D455),$D455,IF(ISNUMBER($A455),$A455,"")))</f>
        <v/>
      </c>
      <c r="T455" s="34">
        <f>IF(OR($B455="",N($N455)&lt;=0),"",IF(ISNUMBER($J455),$J455,99999)+ROW()/1000000)</f>
        <v/>
      </c>
      <c r="U455" s="35">
        <f>IF(OR($B455="",$B455&lt;&gt;'買掛帳'!$B$3,NOT(ISNUMBER($S455))),"",IF(AND($S455&gt;='買掛帳'!$Q$3,$S455&lt;='買掛帳'!$Q$4),$S455+ROW()/10000000,""))</f>
        <v/>
      </c>
      <c r="V455" s="35">
        <f>IF(OR($B455="",$B455&lt;&gt;'買掛帳'!$B$3,NOT(ISNUMBER($K455)),N($L455)+N($M455)=0),"",IF(AND($K455&gt;='買掛帳'!$Q$3,$K455&lt;='買掛帳'!$Q$4),$K455+0.5+ROW()/10000000,""))</f>
        <v/>
      </c>
    </row>
    <row r="456" ht="18" customHeight="1">
      <c r="A456" s="26" t="n"/>
      <c r="B456" s="18" t="n"/>
      <c r="C456" s="20">
        <f>IF($B456="","",IF($R456="なし","※仕入先にないコード",INDEX('仕入先'!$C$5:$C$54,$R456)&amp;""))</f>
        <v/>
      </c>
      <c r="D456" s="26" t="n"/>
      <c r="E456" s="18" t="n"/>
      <c r="F456" s="19" t="n"/>
      <c r="G456" s="27" t="n"/>
      <c r="H456" s="29">
        <f>IF(OR($B456="",NOT(ISNUMBER($R456)),NOT(ISNUMBER($S456))),"",IF(OR(INDEX('仕入先'!$D$5:$D$54,$R456)="",INDEX('仕入先'!$E$5:$E$54,$R456)="",INDEX('仕入先'!$F$5:$F$54,$R456)=""),"",IF(INDEX('仕入先'!$F$5:$F$54,$R456)="末",DATE(YEAR($S456),(MONTH($S456)+IF(INDEX('仕入先'!$D$5:$D$54,$R456)="末",0,IF(DAY($S456)&lt;=INDEX('仕入先'!$D$5:$D$54,$R456),0,1))+N(INDEX('仕入先'!$E$5:$E$54,$R456)))+1,0),DATE(YEAR($S456),(MONTH($S456)+IF(INDEX('仕入先'!$D$5:$D$54,$R456)="末",0,IF(DAY($S456)&lt;=INDEX('仕入先'!$D$5:$D$54,$R456),0,1))+N(INDEX('仕入先'!$E$5:$E$54,$R456))),MIN(INDEX('仕入先'!$F$5:$F$54,$R456),DAY(DATE(YEAR($S456),(MONTH($S456)+IF(INDEX('仕入先'!$D$5:$D$54,$R456)="末",0,IF(DAY($S456)&lt;=INDEX('仕入先'!$D$5:$D$54,$R456),0,1))+N(INDEX('仕入先'!$E$5:$E$54,$R456)))+1,0)))))))</f>
        <v/>
      </c>
      <c r="I456" s="26" t="n"/>
      <c r="J456" s="29">
        <f>IF($B456="","",IF(ISNUMBER($I456),$I456,$H456))</f>
        <v/>
      </c>
      <c r="K456" s="26" t="n"/>
      <c r="L456" s="27" t="n"/>
      <c r="M456" s="27" t="n"/>
      <c r="N456" s="28">
        <f>IF($B456="","",N($G456)-N($L456)-N($M456))</f>
        <v/>
      </c>
      <c r="O456" s="30">
        <f>IF($B456="","",IF(AND(OR(N($L456)&lt;&gt;0,N($M456)&lt;&gt;0),NOT(ISNUMBER($K456))),"支払日なし",IF($N456=0,IF(N($G456)=0,"請求額0","支払済"),IF($N456&lt;0,"払いすぎ",IF(N($L456)+N($M456)=0,"未払","一部支払")))))</f>
        <v/>
      </c>
      <c r="P456" s="30">
        <f>IF(OR($B456="",N($N456)&lt;=0,NOT(ISNUMBER($J456))),"",IF($J456&lt;'設定'!$B$7,"期日超過 "&amp;('設定'!$B$7-$J456)&amp;"日",IF($J456='設定'!$B$7,"今日","あと "&amp;($J456-'設定'!$B$7)&amp;"日")))</f>
        <v/>
      </c>
      <c r="Q456" s="56" t="n"/>
      <c r="R456" s="32">
        <f>IF($B456="","",IFERROR(MATCH($B456,'仕入先'!$B$5:$B$54,0),"なし"))</f>
        <v/>
      </c>
      <c r="S456" s="33">
        <f>IF($B456="","",IF(ISNUMBER($D456),$D456,IF(ISNUMBER($A456),$A456,"")))</f>
        <v/>
      </c>
      <c r="T456" s="34">
        <f>IF(OR($B456="",N($N456)&lt;=0),"",IF(ISNUMBER($J456),$J456,99999)+ROW()/1000000)</f>
        <v/>
      </c>
      <c r="U456" s="35">
        <f>IF(OR($B456="",$B456&lt;&gt;'買掛帳'!$B$3,NOT(ISNUMBER($S456))),"",IF(AND($S456&gt;='買掛帳'!$Q$3,$S456&lt;='買掛帳'!$Q$4),$S456+ROW()/10000000,""))</f>
        <v/>
      </c>
      <c r="V456" s="35">
        <f>IF(OR($B456="",$B456&lt;&gt;'買掛帳'!$B$3,NOT(ISNUMBER($K456)),N($L456)+N($M456)=0),"",IF(AND($K456&gt;='買掛帳'!$Q$3,$K456&lt;='買掛帳'!$Q$4),$K456+0.5+ROW()/10000000,""))</f>
        <v/>
      </c>
    </row>
    <row r="457" ht="18" customHeight="1">
      <c r="A457" s="26" t="n"/>
      <c r="B457" s="18" t="n"/>
      <c r="C457" s="20">
        <f>IF($B457="","",IF($R457="なし","※仕入先にないコード",INDEX('仕入先'!$C$5:$C$54,$R457)&amp;""))</f>
        <v/>
      </c>
      <c r="D457" s="26" t="n"/>
      <c r="E457" s="18" t="n"/>
      <c r="F457" s="19" t="n"/>
      <c r="G457" s="27" t="n"/>
      <c r="H457" s="29">
        <f>IF(OR($B457="",NOT(ISNUMBER($R457)),NOT(ISNUMBER($S457))),"",IF(OR(INDEX('仕入先'!$D$5:$D$54,$R457)="",INDEX('仕入先'!$E$5:$E$54,$R457)="",INDEX('仕入先'!$F$5:$F$54,$R457)=""),"",IF(INDEX('仕入先'!$F$5:$F$54,$R457)="末",DATE(YEAR($S457),(MONTH($S457)+IF(INDEX('仕入先'!$D$5:$D$54,$R457)="末",0,IF(DAY($S457)&lt;=INDEX('仕入先'!$D$5:$D$54,$R457),0,1))+N(INDEX('仕入先'!$E$5:$E$54,$R457)))+1,0),DATE(YEAR($S457),(MONTH($S457)+IF(INDEX('仕入先'!$D$5:$D$54,$R457)="末",0,IF(DAY($S457)&lt;=INDEX('仕入先'!$D$5:$D$54,$R457),0,1))+N(INDEX('仕入先'!$E$5:$E$54,$R457))),MIN(INDEX('仕入先'!$F$5:$F$54,$R457),DAY(DATE(YEAR($S457),(MONTH($S457)+IF(INDEX('仕入先'!$D$5:$D$54,$R457)="末",0,IF(DAY($S457)&lt;=INDEX('仕入先'!$D$5:$D$54,$R457),0,1))+N(INDEX('仕入先'!$E$5:$E$54,$R457)))+1,0)))))))</f>
        <v/>
      </c>
      <c r="I457" s="26" t="n"/>
      <c r="J457" s="29">
        <f>IF($B457="","",IF(ISNUMBER($I457),$I457,$H457))</f>
        <v/>
      </c>
      <c r="K457" s="26" t="n"/>
      <c r="L457" s="27" t="n"/>
      <c r="M457" s="27" t="n"/>
      <c r="N457" s="28">
        <f>IF($B457="","",N($G457)-N($L457)-N($M457))</f>
        <v/>
      </c>
      <c r="O457" s="30">
        <f>IF($B457="","",IF(AND(OR(N($L457)&lt;&gt;0,N($M457)&lt;&gt;0),NOT(ISNUMBER($K457))),"支払日なし",IF($N457=0,IF(N($G457)=0,"請求額0","支払済"),IF($N457&lt;0,"払いすぎ",IF(N($L457)+N($M457)=0,"未払","一部支払")))))</f>
        <v/>
      </c>
      <c r="P457" s="30">
        <f>IF(OR($B457="",N($N457)&lt;=0,NOT(ISNUMBER($J457))),"",IF($J457&lt;'設定'!$B$7,"期日超過 "&amp;('設定'!$B$7-$J457)&amp;"日",IF($J457='設定'!$B$7,"今日","あと "&amp;($J457-'設定'!$B$7)&amp;"日")))</f>
        <v/>
      </c>
      <c r="Q457" s="56" t="n"/>
      <c r="R457" s="32">
        <f>IF($B457="","",IFERROR(MATCH($B457,'仕入先'!$B$5:$B$54,0),"なし"))</f>
        <v/>
      </c>
      <c r="S457" s="33">
        <f>IF($B457="","",IF(ISNUMBER($D457),$D457,IF(ISNUMBER($A457),$A457,"")))</f>
        <v/>
      </c>
      <c r="T457" s="34">
        <f>IF(OR($B457="",N($N457)&lt;=0),"",IF(ISNUMBER($J457),$J457,99999)+ROW()/1000000)</f>
        <v/>
      </c>
      <c r="U457" s="35">
        <f>IF(OR($B457="",$B457&lt;&gt;'買掛帳'!$B$3,NOT(ISNUMBER($S457))),"",IF(AND($S457&gt;='買掛帳'!$Q$3,$S457&lt;='買掛帳'!$Q$4),$S457+ROW()/10000000,""))</f>
        <v/>
      </c>
      <c r="V457" s="35">
        <f>IF(OR($B457="",$B457&lt;&gt;'買掛帳'!$B$3,NOT(ISNUMBER($K457)),N($L457)+N($M457)=0),"",IF(AND($K457&gt;='買掛帳'!$Q$3,$K457&lt;='買掛帳'!$Q$4),$K457+0.5+ROW()/10000000,""))</f>
        <v/>
      </c>
    </row>
    <row r="458" ht="18" customHeight="1">
      <c r="A458" s="26" t="n"/>
      <c r="B458" s="18" t="n"/>
      <c r="C458" s="20">
        <f>IF($B458="","",IF($R458="なし","※仕入先にないコード",INDEX('仕入先'!$C$5:$C$54,$R458)&amp;""))</f>
        <v/>
      </c>
      <c r="D458" s="26" t="n"/>
      <c r="E458" s="18" t="n"/>
      <c r="F458" s="19" t="n"/>
      <c r="G458" s="27" t="n"/>
      <c r="H458" s="29">
        <f>IF(OR($B458="",NOT(ISNUMBER($R458)),NOT(ISNUMBER($S458))),"",IF(OR(INDEX('仕入先'!$D$5:$D$54,$R458)="",INDEX('仕入先'!$E$5:$E$54,$R458)="",INDEX('仕入先'!$F$5:$F$54,$R458)=""),"",IF(INDEX('仕入先'!$F$5:$F$54,$R458)="末",DATE(YEAR($S458),(MONTH($S458)+IF(INDEX('仕入先'!$D$5:$D$54,$R458)="末",0,IF(DAY($S458)&lt;=INDEX('仕入先'!$D$5:$D$54,$R458),0,1))+N(INDEX('仕入先'!$E$5:$E$54,$R458)))+1,0),DATE(YEAR($S458),(MONTH($S458)+IF(INDEX('仕入先'!$D$5:$D$54,$R458)="末",0,IF(DAY($S458)&lt;=INDEX('仕入先'!$D$5:$D$54,$R458),0,1))+N(INDEX('仕入先'!$E$5:$E$54,$R458))),MIN(INDEX('仕入先'!$F$5:$F$54,$R458),DAY(DATE(YEAR($S458),(MONTH($S458)+IF(INDEX('仕入先'!$D$5:$D$54,$R458)="末",0,IF(DAY($S458)&lt;=INDEX('仕入先'!$D$5:$D$54,$R458),0,1))+N(INDEX('仕入先'!$E$5:$E$54,$R458)))+1,0)))))))</f>
        <v/>
      </c>
      <c r="I458" s="26" t="n"/>
      <c r="J458" s="29">
        <f>IF($B458="","",IF(ISNUMBER($I458),$I458,$H458))</f>
        <v/>
      </c>
      <c r="K458" s="26" t="n"/>
      <c r="L458" s="27" t="n"/>
      <c r="M458" s="27" t="n"/>
      <c r="N458" s="28">
        <f>IF($B458="","",N($G458)-N($L458)-N($M458))</f>
        <v/>
      </c>
      <c r="O458" s="30">
        <f>IF($B458="","",IF(AND(OR(N($L458)&lt;&gt;0,N($M458)&lt;&gt;0),NOT(ISNUMBER($K458))),"支払日なし",IF($N458=0,IF(N($G458)=0,"請求額0","支払済"),IF($N458&lt;0,"払いすぎ",IF(N($L458)+N($M458)=0,"未払","一部支払")))))</f>
        <v/>
      </c>
      <c r="P458" s="30">
        <f>IF(OR($B458="",N($N458)&lt;=0,NOT(ISNUMBER($J458))),"",IF($J458&lt;'設定'!$B$7,"期日超過 "&amp;('設定'!$B$7-$J458)&amp;"日",IF($J458='設定'!$B$7,"今日","あと "&amp;($J458-'設定'!$B$7)&amp;"日")))</f>
        <v/>
      </c>
      <c r="Q458" s="56" t="n"/>
      <c r="R458" s="32">
        <f>IF($B458="","",IFERROR(MATCH($B458,'仕入先'!$B$5:$B$54,0),"なし"))</f>
        <v/>
      </c>
      <c r="S458" s="33">
        <f>IF($B458="","",IF(ISNUMBER($D458),$D458,IF(ISNUMBER($A458),$A458,"")))</f>
        <v/>
      </c>
      <c r="T458" s="34">
        <f>IF(OR($B458="",N($N458)&lt;=0),"",IF(ISNUMBER($J458),$J458,99999)+ROW()/1000000)</f>
        <v/>
      </c>
      <c r="U458" s="35">
        <f>IF(OR($B458="",$B458&lt;&gt;'買掛帳'!$B$3,NOT(ISNUMBER($S458))),"",IF(AND($S458&gt;='買掛帳'!$Q$3,$S458&lt;='買掛帳'!$Q$4),$S458+ROW()/10000000,""))</f>
        <v/>
      </c>
      <c r="V458" s="35">
        <f>IF(OR($B458="",$B458&lt;&gt;'買掛帳'!$B$3,NOT(ISNUMBER($K458)),N($L458)+N($M458)=0),"",IF(AND($K458&gt;='買掛帳'!$Q$3,$K458&lt;='買掛帳'!$Q$4),$K458+0.5+ROW()/10000000,""))</f>
        <v/>
      </c>
    </row>
    <row r="459" ht="18" customHeight="1">
      <c r="A459" s="26" t="n"/>
      <c r="B459" s="18" t="n"/>
      <c r="C459" s="20">
        <f>IF($B459="","",IF($R459="なし","※仕入先にないコード",INDEX('仕入先'!$C$5:$C$54,$R459)&amp;""))</f>
        <v/>
      </c>
      <c r="D459" s="26" t="n"/>
      <c r="E459" s="18" t="n"/>
      <c r="F459" s="19" t="n"/>
      <c r="G459" s="27" t="n"/>
      <c r="H459" s="29">
        <f>IF(OR($B459="",NOT(ISNUMBER($R459)),NOT(ISNUMBER($S459))),"",IF(OR(INDEX('仕入先'!$D$5:$D$54,$R459)="",INDEX('仕入先'!$E$5:$E$54,$R459)="",INDEX('仕入先'!$F$5:$F$54,$R459)=""),"",IF(INDEX('仕入先'!$F$5:$F$54,$R459)="末",DATE(YEAR($S459),(MONTH($S459)+IF(INDEX('仕入先'!$D$5:$D$54,$R459)="末",0,IF(DAY($S459)&lt;=INDEX('仕入先'!$D$5:$D$54,$R459),0,1))+N(INDEX('仕入先'!$E$5:$E$54,$R459)))+1,0),DATE(YEAR($S459),(MONTH($S459)+IF(INDEX('仕入先'!$D$5:$D$54,$R459)="末",0,IF(DAY($S459)&lt;=INDEX('仕入先'!$D$5:$D$54,$R459),0,1))+N(INDEX('仕入先'!$E$5:$E$54,$R459))),MIN(INDEX('仕入先'!$F$5:$F$54,$R459),DAY(DATE(YEAR($S459),(MONTH($S459)+IF(INDEX('仕入先'!$D$5:$D$54,$R459)="末",0,IF(DAY($S459)&lt;=INDEX('仕入先'!$D$5:$D$54,$R459),0,1))+N(INDEX('仕入先'!$E$5:$E$54,$R459)))+1,0)))))))</f>
        <v/>
      </c>
      <c r="I459" s="26" t="n"/>
      <c r="J459" s="29">
        <f>IF($B459="","",IF(ISNUMBER($I459),$I459,$H459))</f>
        <v/>
      </c>
      <c r="K459" s="26" t="n"/>
      <c r="L459" s="27" t="n"/>
      <c r="M459" s="27" t="n"/>
      <c r="N459" s="28">
        <f>IF($B459="","",N($G459)-N($L459)-N($M459))</f>
        <v/>
      </c>
      <c r="O459" s="30">
        <f>IF($B459="","",IF(AND(OR(N($L459)&lt;&gt;0,N($M459)&lt;&gt;0),NOT(ISNUMBER($K459))),"支払日なし",IF($N459=0,IF(N($G459)=0,"請求額0","支払済"),IF($N459&lt;0,"払いすぎ",IF(N($L459)+N($M459)=0,"未払","一部支払")))))</f>
        <v/>
      </c>
      <c r="P459" s="30">
        <f>IF(OR($B459="",N($N459)&lt;=0,NOT(ISNUMBER($J459))),"",IF($J459&lt;'設定'!$B$7,"期日超過 "&amp;('設定'!$B$7-$J459)&amp;"日",IF($J459='設定'!$B$7,"今日","あと "&amp;($J459-'設定'!$B$7)&amp;"日")))</f>
        <v/>
      </c>
      <c r="Q459" s="56" t="n"/>
      <c r="R459" s="32">
        <f>IF($B459="","",IFERROR(MATCH($B459,'仕入先'!$B$5:$B$54,0),"なし"))</f>
        <v/>
      </c>
      <c r="S459" s="33">
        <f>IF($B459="","",IF(ISNUMBER($D459),$D459,IF(ISNUMBER($A459),$A459,"")))</f>
        <v/>
      </c>
      <c r="T459" s="34">
        <f>IF(OR($B459="",N($N459)&lt;=0),"",IF(ISNUMBER($J459),$J459,99999)+ROW()/1000000)</f>
        <v/>
      </c>
      <c r="U459" s="35">
        <f>IF(OR($B459="",$B459&lt;&gt;'買掛帳'!$B$3,NOT(ISNUMBER($S459))),"",IF(AND($S459&gt;='買掛帳'!$Q$3,$S459&lt;='買掛帳'!$Q$4),$S459+ROW()/10000000,""))</f>
        <v/>
      </c>
      <c r="V459" s="35">
        <f>IF(OR($B459="",$B459&lt;&gt;'買掛帳'!$B$3,NOT(ISNUMBER($K459)),N($L459)+N($M459)=0),"",IF(AND($K459&gt;='買掛帳'!$Q$3,$K459&lt;='買掛帳'!$Q$4),$K459+0.5+ROW()/10000000,""))</f>
        <v/>
      </c>
    </row>
    <row r="460" ht="18" customHeight="1">
      <c r="A460" s="26" t="n"/>
      <c r="B460" s="18" t="n"/>
      <c r="C460" s="20">
        <f>IF($B460="","",IF($R460="なし","※仕入先にないコード",INDEX('仕入先'!$C$5:$C$54,$R460)&amp;""))</f>
        <v/>
      </c>
      <c r="D460" s="26" t="n"/>
      <c r="E460" s="18" t="n"/>
      <c r="F460" s="19" t="n"/>
      <c r="G460" s="27" t="n"/>
      <c r="H460" s="29">
        <f>IF(OR($B460="",NOT(ISNUMBER($R460)),NOT(ISNUMBER($S460))),"",IF(OR(INDEX('仕入先'!$D$5:$D$54,$R460)="",INDEX('仕入先'!$E$5:$E$54,$R460)="",INDEX('仕入先'!$F$5:$F$54,$R460)=""),"",IF(INDEX('仕入先'!$F$5:$F$54,$R460)="末",DATE(YEAR($S460),(MONTH($S460)+IF(INDEX('仕入先'!$D$5:$D$54,$R460)="末",0,IF(DAY($S460)&lt;=INDEX('仕入先'!$D$5:$D$54,$R460),0,1))+N(INDEX('仕入先'!$E$5:$E$54,$R460)))+1,0),DATE(YEAR($S460),(MONTH($S460)+IF(INDEX('仕入先'!$D$5:$D$54,$R460)="末",0,IF(DAY($S460)&lt;=INDEX('仕入先'!$D$5:$D$54,$R460),0,1))+N(INDEX('仕入先'!$E$5:$E$54,$R460))),MIN(INDEX('仕入先'!$F$5:$F$54,$R460),DAY(DATE(YEAR($S460),(MONTH($S460)+IF(INDEX('仕入先'!$D$5:$D$54,$R460)="末",0,IF(DAY($S460)&lt;=INDEX('仕入先'!$D$5:$D$54,$R460),0,1))+N(INDEX('仕入先'!$E$5:$E$54,$R460)))+1,0)))))))</f>
        <v/>
      </c>
      <c r="I460" s="26" t="n"/>
      <c r="J460" s="29">
        <f>IF($B460="","",IF(ISNUMBER($I460),$I460,$H460))</f>
        <v/>
      </c>
      <c r="K460" s="26" t="n"/>
      <c r="L460" s="27" t="n"/>
      <c r="M460" s="27" t="n"/>
      <c r="N460" s="28">
        <f>IF($B460="","",N($G460)-N($L460)-N($M460))</f>
        <v/>
      </c>
      <c r="O460" s="30">
        <f>IF($B460="","",IF(AND(OR(N($L460)&lt;&gt;0,N($M460)&lt;&gt;0),NOT(ISNUMBER($K460))),"支払日なし",IF($N460=0,IF(N($G460)=0,"請求額0","支払済"),IF($N460&lt;0,"払いすぎ",IF(N($L460)+N($M460)=0,"未払","一部支払")))))</f>
        <v/>
      </c>
      <c r="P460" s="30">
        <f>IF(OR($B460="",N($N460)&lt;=0,NOT(ISNUMBER($J460))),"",IF($J460&lt;'設定'!$B$7,"期日超過 "&amp;('設定'!$B$7-$J460)&amp;"日",IF($J460='設定'!$B$7,"今日","あと "&amp;($J460-'設定'!$B$7)&amp;"日")))</f>
        <v/>
      </c>
      <c r="Q460" s="56" t="n"/>
      <c r="R460" s="32">
        <f>IF($B460="","",IFERROR(MATCH($B460,'仕入先'!$B$5:$B$54,0),"なし"))</f>
        <v/>
      </c>
      <c r="S460" s="33">
        <f>IF($B460="","",IF(ISNUMBER($D460),$D460,IF(ISNUMBER($A460),$A460,"")))</f>
        <v/>
      </c>
      <c r="T460" s="34">
        <f>IF(OR($B460="",N($N460)&lt;=0),"",IF(ISNUMBER($J460),$J460,99999)+ROW()/1000000)</f>
        <v/>
      </c>
      <c r="U460" s="35">
        <f>IF(OR($B460="",$B460&lt;&gt;'買掛帳'!$B$3,NOT(ISNUMBER($S460))),"",IF(AND($S460&gt;='買掛帳'!$Q$3,$S460&lt;='買掛帳'!$Q$4),$S460+ROW()/10000000,""))</f>
        <v/>
      </c>
      <c r="V460" s="35">
        <f>IF(OR($B460="",$B460&lt;&gt;'買掛帳'!$B$3,NOT(ISNUMBER($K460)),N($L460)+N($M460)=0),"",IF(AND($K460&gt;='買掛帳'!$Q$3,$K460&lt;='買掛帳'!$Q$4),$K460+0.5+ROW()/10000000,""))</f>
        <v/>
      </c>
    </row>
    <row r="461" ht="18" customHeight="1">
      <c r="A461" s="26" t="n"/>
      <c r="B461" s="18" t="n"/>
      <c r="C461" s="20">
        <f>IF($B461="","",IF($R461="なし","※仕入先にないコード",INDEX('仕入先'!$C$5:$C$54,$R461)&amp;""))</f>
        <v/>
      </c>
      <c r="D461" s="26" t="n"/>
      <c r="E461" s="18" t="n"/>
      <c r="F461" s="19" t="n"/>
      <c r="G461" s="27" t="n"/>
      <c r="H461" s="29">
        <f>IF(OR($B461="",NOT(ISNUMBER($R461)),NOT(ISNUMBER($S461))),"",IF(OR(INDEX('仕入先'!$D$5:$D$54,$R461)="",INDEX('仕入先'!$E$5:$E$54,$R461)="",INDEX('仕入先'!$F$5:$F$54,$R461)=""),"",IF(INDEX('仕入先'!$F$5:$F$54,$R461)="末",DATE(YEAR($S461),(MONTH($S461)+IF(INDEX('仕入先'!$D$5:$D$54,$R461)="末",0,IF(DAY($S461)&lt;=INDEX('仕入先'!$D$5:$D$54,$R461),0,1))+N(INDEX('仕入先'!$E$5:$E$54,$R461)))+1,0),DATE(YEAR($S461),(MONTH($S461)+IF(INDEX('仕入先'!$D$5:$D$54,$R461)="末",0,IF(DAY($S461)&lt;=INDEX('仕入先'!$D$5:$D$54,$R461),0,1))+N(INDEX('仕入先'!$E$5:$E$54,$R461))),MIN(INDEX('仕入先'!$F$5:$F$54,$R461),DAY(DATE(YEAR($S461),(MONTH($S461)+IF(INDEX('仕入先'!$D$5:$D$54,$R461)="末",0,IF(DAY($S461)&lt;=INDEX('仕入先'!$D$5:$D$54,$R461),0,1))+N(INDEX('仕入先'!$E$5:$E$54,$R461)))+1,0)))))))</f>
        <v/>
      </c>
      <c r="I461" s="26" t="n"/>
      <c r="J461" s="29">
        <f>IF($B461="","",IF(ISNUMBER($I461),$I461,$H461))</f>
        <v/>
      </c>
      <c r="K461" s="26" t="n"/>
      <c r="L461" s="27" t="n"/>
      <c r="M461" s="27" t="n"/>
      <c r="N461" s="28">
        <f>IF($B461="","",N($G461)-N($L461)-N($M461))</f>
        <v/>
      </c>
      <c r="O461" s="30">
        <f>IF($B461="","",IF(AND(OR(N($L461)&lt;&gt;0,N($M461)&lt;&gt;0),NOT(ISNUMBER($K461))),"支払日なし",IF($N461=0,IF(N($G461)=0,"請求額0","支払済"),IF($N461&lt;0,"払いすぎ",IF(N($L461)+N($M461)=0,"未払","一部支払")))))</f>
        <v/>
      </c>
      <c r="P461" s="30">
        <f>IF(OR($B461="",N($N461)&lt;=0,NOT(ISNUMBER($J461))),"",IF($J461&lt;'設定'!$B$7,"期日超過 "&amp;('設定'!$B$7-$J461)&amp;"日",IF($J461='設定'!$B$7,"今日","あと "&amp;($J461-'設定'!$B$7)&amp;"日")))</f>
        <v/>
      </c>
      <c r="Q461" s="56" t="n"/>
      <c r="R461" s="32">
        <f>IF($B461="","",IFERROR(MATCH($B461,'仕入先'!$B$5:$B$54,0),"なし"))</f>
        <v/>
      </c>
      <c r="S461" s="33">
        <f>IF($B461="","",IF(ISNUMBER($D461),$D461,IF(ISNUMBER($A461),$A461,"")))</f>
        <v/>
      </c>
      <c r="T461" s="34">
        <f>IF(OR($B461="",N($N461)&lt;=0),"",IF(ISNUMBER($J461),$J461,99999)+ROW()/1000000)</f>
        <v/>
      </c>
      <c r="U461" s="35">
        <f>IF(OR($B461="",$B461&lt;&gt;'買掛帳'!$B$3,NOT(ISNUMBER($S461))),"",IF(AND($S461&gt;='買掛帳'!$Q$3,$S461&lt;='買掛帳'!$Q$4),$S461+ROW()/10000000,""))</f>
        <v/>
      </c>
      <c r="V461" s="35">
        <f>IF(OR($B461="",$B461&lt;&gt;'買掛帳'!$B$3,NOT(ISNUMBER($K461)),N($L461)+N($M461)=0),"",IF(AND($K461&gt;='買掛帳'!$Q$3,$K461&lt;='買掛帳'!$Q$4),$K461+0.5+ROW()/10000000,""))</f>
        <v/>
      </c>
    </row>
    <row r="462" ht="18" customHeight="1">
      <c r="A462" s="26" t="n"/>
      <c r="B462" s="18" t="n"/>
      <c r="C462" s="20">
        <f>IF($B462="","",IF($R462="なし","※仕入先にないコード",INDEX('仕入先'!$C$5:$C$54,$R462)&amp;""))</f>
        <v/>
      </c>
      <c r="D462" s="26" t="n"/>
      <c r="E462" s="18" t="n"/>
      <c r="F462" s="19" t="n"/>
      <c r="G462" s="27" t="n"/>
      <c r="H462" s="29">
        <f>IF(OR($B462="",NOT(ISNUMBER($R462)),NOT(ISNUMBER($S462))),"",IF(OR(INDEX('仕入先'!$D$5:$D$54,$R462)="",INDEX('仕入先'!$E$5:$E$54,$R462)="",INDEX('仕入先'!$F$5:$F$54,$R462)=""),"",IF(INDEX('仕入先'!$F$5:$F$54,$R462)="末",DATE(YEAR($S462),(MONTH($S462)+IF(INDEX('仕入先'!$D$5:$D$54,$R462)="末",0,IF(DAY($S462)&lt;=INDEX('仕入先'!$D$5:$D$54,$R462),0,1))+N(INDEX('仕入先'!$E$5:$E$54,$R462)))+1,0),DATE(YEAR($S462),(MONTH($S462)+IF(INDEX('仕入先'!$D$5:$D$54,$R462)="末",0,IF(DAY($S462)&lt;=INDEX('仕入先'!$D$5:$D$54,$R462),0,1))+N(INDEX('仕入先'!$E$5:$E$54,$R462))),MIN(INDEX('仕入先'!$F$5:$F$54,$R462),DAY(DATE(YEAR($S462),(MONTH($S462)+IF(INDEX('仕入先'!$D$5:$D$54,$R462)="末",0,IF(DAY($S462)&lt;=INDEX('仕入先'!$D$5:$D$54,$R462),0,1))+N(INDEX('仕入先'!$E$5:$E$54,$R462)))+1,0)))))))</f>
        <v/>
      </c>
      <c r="I462" s="26" t="n"/>
      <c r="J462" s="29">
        <f>IF($B462="","",IF(ISNUMBER($I462),$I462,$H462))</f>
        <v/>
      </c>
      <c r="K462" s="26" t="n"/>
      <c r="L462" s="27" t="n"/>
      <c r="M462" s="27" t="n"/>
      <c r="N462" s="28">
        <f>IF($B462="","",N($G462)-N($L462)-N($M462))</f>
        <v/>
      </c>
      <c r="O462" s="30">
        <f>IF($B462="","",IF(AND(OR(N($L462)&lt;&gt;0,N($M462)&lt;&gt;0),NOT(ISNUMBER($K462))),"支払日なし",IF($N462=0,IF(N($G462)=0,"請求額0","支払済"),IF($N462&lt;0,"払いすぎ",IF(N($L462)+N($M462)=0,"未払","一部支払")))))</f>
        <v/>
      </c>
      <c r="P462" s="30">
        <f>IF(OR($B462="",N($N462)&lt;=0,NOT(ISNUMBER($J462))),"",IF($J462&lt;'設定'!$B$7,"期日超過 "&amp;('設定'!$B$7-$J462)&amp;"日",IF($J462='設定'!$B$7,"今日","あと "&amp;($J462-'設定'!$B$7)&amp;"日")))</f>
        <v/>
      </c>
      <c r="Q462" s="56" t="n"/>
      <c r="R462" s="32">
        <f>IF($B462="","",IFERROR(MATCH($B462,'仕入先'!$B$5:$B$54,0),"なし"))</f>
        <v/>
      </c>
      <c r="S462" s="33">
        <f>IF($B462="","",IF(ISNUMBER($D462),$D462,IF(ISNUMBER($A462),$A462,"")))</f>
        <v/>
      </c>
      <c r="T462" s="34">
        <f>IF(OR($B462="",N($N462)&lt;=0),"",IF(ISNUMBER($J462),$J462,99999)+ROW()/1000000)</f>
        <v/>
      </c>
      <c r="U462" s="35">
        <f>IF(OR($B462="",$B462&lt;&gt;'買掛帳'!$B$3,NOT(ISNUMBER($S462))),"",IF(AND($S462&gt;='買掛帳'!$Q$3,$S462&lt;='買掛帳'!$Q$4),$S462+ROW()/10000000,""))</f>
        <v/>
      </c>
      <c r="V462" s="35">
        <f>IF(OR($B462="",$B462&lt;&gt;'買掛帳'!$B$3,NOT(ISNUMBER($K462)),N($L462)+N($M462)=0),"",IF(AND($K462&gt;='買掛帳'!$Q$3,$K462&lt;='買掛帳'!$Q$4),$K462+0.5+ROW()/10000000,""))</f>
        <v/>
      </c>
    </row>
    <row r="463" ht="18" customHeight="1">
      <c r="A463" s="26" t="n"/>
      <c r="B463" s="18" t="n"/>
      <c r="C463" s="20">
        <f>IF($B463="","",IF($R463="なし","※仕入先にないコード",INDEX('仕入先'!$C$5:$C$54,$R463)&amp;""))</f>
        <v/>
      </c>
      <c r="D463" s="26" t="n"/>
      <c r="E463" s="18" t="n"/>
      <c r="F463" s="19" t="n"/>
      <c r="G463" s="27" t="n"/>
      <c r="H463" s="29">
        <f>IF(OR($B463="",NOT(ISNUMBER($R463)),NOT(ISNUMBER($S463))),"",IF(OR(INDEX('仕入先'!$D$5:$D$54,$R463)="",INDEX('仕入先'!$E$5:$E$54,$R463)="",INDEX('仕入先'!$F$5:$F$54,$R463)=""),"",IF(INDEX('仕入先'!$F$5:$F$54,$R463)="末",DATE(YEAR($S463),(MONTH($S463)+IF(INDEX('仕入先'!$D$5:$D$54,$R463)="末",0,IF(DAY($S463)&lt;=INDEX('仕入先'!$D$5:$D$54,$R463),0,1))+N(INDEX('仕入先'!$E$5:$E$54,$R463)))+1,0),DATE(YEAR($S463),(MONTH($S463)+IF(INDEX('仕入先'!$D$5:$D$54,$R463)="末",0,IF(DAY($S463)&lt;=INDEX('仕入先'!$D$5:$D$54,$R463),0,1))+N(INDEX('仕入先'!$E$5:$E$54,$R463))),MIN(INDEX('仕入先'!$F$5:$F$54,$R463),DAY(DATE(YEAR($S463),(MONTH($S463)+IF(INDEX('仕入先'!$D$5:$D$54,$R463)="末",0,IF(DAY($S463)&lt;=INDEX('仕入先'!$D$5:$D$54,$R463),0,1))+N(INDEX('仕入先'!$E$5:$E$54,$R463)))+1,0)))))))</f>
        <v/>
      </c>
      <c r="I463" s="26" t="n"/>
      <c r="J463" s="29">
        <f>IF($B463="","",IF(ISNUMBER($I463),$I463,$H463))</f>
        <v/>
      </c>
      <c r="K463" s="26" t="n"/>
      <c r="L463" s="27" t="n"/>
      <c r="M463" s="27" t="n"/>
      <c r="N463" s="28">
        <f>IF($B463="","",N($G463)-N($L463)-N($M463))</f>
        <v/>
      </c>
      <c r="O463" s="30">
        <f>IF($B463="","",IF(AND(OR(N($L463)&lt;&gt;0,N($M463)&lt;&gt;0),NOT(ISNUMBER($K463))),"支払日なし",IF($N463=0,IF(N($G463)=0,"請求額0","支払済"),IF($N463&lt;0,"払いすぎ",IF(N($L463)+N($M463)=0,"未払","一部支払")))))</f>
        <v/>
      </c>
      <c r="P463" s="30">
        <f>IF(OR($B463="",N($N463)&lt;=0,NOT(ISNUMBER($J463))),"",IF($J463&lt;'設定'!$B$7,"期日超過 "&amp;('設定'!$B$7-$J463)&amp;"日",IF($J463='設定'!$B$7,"今日","あと "&amp;($J463-'設定'!$B$7)&amp;"日")))</f>
        <v/>
      </c>
      <c r="Q463" s="56" t="n"/>
      <c r="R463" s="32">
        <f>IF($B463="","",IFERROR(MATCH($B463,'仕入先'!$B$5:$B$54,0),"なし"))</f>
        <v/>
      </c>
      <c r="S463" s="33">
        <f>IF($B463="","",IF(ISNUMBER($D463),$D463,IF(ISNUMBER($A463),$A463,"")))</f>
        <v/>
      </c>
      <c r="T463" s="34">
        <f>IF(OR($B463="",N($N463)&lt;=0),"",IF(ISNUMBER($J463),$J463,99999)+ROW()/1000000)</f>
        <v/>
      </c>
      <c r="U463" s="35">
        <f>IF(OR($B463="",$B463&lt;&gt;'買掛帳'!$B$3,NOT(ISNUMBER($S463))),"",IF(AND($S463&gt;='買掛帳'!$Q$3,$S463&lt;='買掛帳'!$Q$4),$S463+ROW()/10000000,""))</f>
        <v/>
      </c>
      <c r="V463" s="35">
        <f>IF(OR($B463="",$B463&lt;&gt;'買掛帳'!$B$3,NOT(ISNUMBER($K463)),N($L463)+N($M463)=0),"",IF(AND($K463&gt;='買掛帳'!$Q$3,$K463&lt;='買掛帳'!$Q$4),$K463+0.5+ROW()/10000000,""))</f>
        <v/>
      </c>
    </row>
    <row r="464" ht="18" customHeight="1">
      <c r="A464" s="26" t="n"/>
      <c r="B464" s="18" t="n"/>
      <c r="C464" s="20">
        <f>IF($B464="","",IF($R464="なし","※仕入先にないコード",INDEX('仕入先'!$C$5:$C$54,$R464)&amp;""))</f>
        <v/>
      </c>
      <c r="D464" s="26" t="n"/>
      <c r="E464" s="18" t="n"/>
      <c r="F464" s="19" t="n"/>
      <c r="G464" s="27" t="n"/>
      <c r="H464" s="29">
        <f>IF(OR($B464="",NOT(ISNUMBER($R464)),NOT(ISNUMBER($S464))),"",IF(OR(INDEX('仕入先'!$D$5:$D$54,$R464)="",INDEX('仕入先'!$E$5:$E$54,$R464)="",INDEX('仕入先'!$F$5:$F$54,$R464)=""),"",IF(INDEX('仕入先'!$F$5:$F$54,$R464)="末",DATE(YEAR($S464),(MONTH($S464)+IF(INDEX('仕入先'!$D$5:$D$54,$R464)="末",0,IF(DAY($S464)&lt;=INDEX('仕入先'!$D$5:$D$54,$R464),0,1))+N(INDEX('仕入先'!$E$5:$E$54,$R464)))+1,0),DATE(YEAR($S464),(MONTH($S464)+IF(INDEX('仕入先'!$D$5:$D$54,$R464)="末",0,IF(DAY($S464)&lt;=INDEX('仕入先'!$D$5:$D$54,$R464),0,1))+N(INDEX('仕入先'!$E$5:$E$54,$R464))),MIN(INDEX('仕入先'!$F$5:$F$54,$R464),DAY(DATE(YEAR($S464),(MONTH($S464)+IF(INDEX('仕入先'!$D$5:$D$54,$R464)="末",0,IF(DAY($S464)&lt;=INDEX('仕入先'!$D$5:$D$54,$R464),0,1))+N(INDEX('仕入先'!$E$5:$E$54,$R464)))+1,0)))))))</f>
        <v/>
      </c>
      <c r="I464" s="26" t="n"/>
      <c r="J464" s="29">
        <f>IF($B464="","",IF(ISNUMBER($I464),$I464,$H464))</f>
        <v/>
      </c>
      <c r="K464" s="26" t="n"/>
      <c r="L464" s="27" t="n"/>
      <c r="M464" s="27" t="n"/>
      <c r="N464" s="28">
        <f>IF($B464="","",N($G464)-N($L464)-N($M464))</f>
        <v/>
      </c>
      <c r="O464" s="30">
        <f>IF($B464="","",IF(AND(OR(N($L464)&lt;&gt;0,N($M464)&lt;&gt;0),NOT(ISNUMBER($K464))),"支払日なし",IF($N464=0,IF(N($G464)=0,"請求額0","支払済"),IF($N464&lt;0,"払いすぎ",IF(N($L464)+N($M464)=0,"未払","一部支払")))))</f>
        <v/>
      </c>
      <c r="P464" s="30">
        <f>IF(OR($B464="",N($N464)&lt;=0,NOT(ISNUMBER($J464))),"",IF($J464&lt;'設定'!$B$7,"期日超過 "&amp;('設定'!$B$7-$J464)&amp;"日",IF($J464='設定'!$B$7,"今日","あと "&amp;($J464-'設定'!$B$7)&amp;"日")))</f>
        <v/>
      </c>
      <c r="Q464" s="56" t="n"/>
      <c r="R464" s="32">
        <f>IF($B464="","",IFERROR(MATCH($B464,'仕入先'!$B$5:$B$54,0),"なし"))</f>
        <v/>
      </c>
      <c r="S464" s="33">
        <f>IF($B464="","",IF(ISNUMBER($D464),$D464,IF(ISNUMBER($A464),$A464,"")))</f>
        <v/>
      </c>
      <c r="T464" s="34">
        <f>IF(OR($B464="",N($N464)&lt;=0),"",IF(ISNUMBER($J464),$J464,99999)+ROW()/1000000)</f>
        <v/>
      </c>
      <c r="U464" s="35">
        <f>IF(OR($B464="",$B464&lt;&gt;'買掛帳'!$B$3,NOT(ISNUMBER($S464))),"",IF(AND($S464&gt;='買掛帳'!$Q$3,$S464&lt;='買掛帳'!$Q$4),$S464+ROW()/10000000,""))</f>
        <v/>
      </c>
      <c r="V464" s="35">
        <f>IF(OR($B464="",$B464&lt;&gt;'買掛帳'!$B$3,NOT(ISNUMBER($K464)),N($L464)+N($M464)=0),"",IF(AND($K464&gt;='買掛帳'!$Q$3,$K464&lt;='買掛帳'!$Q$4),$K464+0.5+ROW()/10000000,""))</f>
        <v/>
      </c>
    </row>
    <row r="465" ht="18" customHeight="1">
      <c r="A465" s="26" t="n"/>
      <c r="B465" s="18" t="n"/>
      <c r="C465" s="20">
        <f>IF($B465="","",IF($R465="なし","※仕入先にないコード",INDEX('仕入先'!$C$5:$C$54,$R465)&amp;""))</f>
        <v/>
      </c>
      <c r="D465" s="26" t="n"/>
      <c r="E465" s="18" t="n"/>
      <c r="F465" s="19" t="n"/>
      <c r="G465" s="27" t="n"/>
      <c r="H465" s="29">
        <f>IF(OR($B465="",NOT(ISNUMBER($R465)),NOT(ISNUMBER($S465))),"",IF(OR(INDEX('仕入先'!$D$5:$D$54,$R465)="",INDEX('仕入先'!$E$5:$E$54,$R465)="",INDEX('仕入先'!$F$5:$F$54,$R465)=""),"",IF(INDEX('仕入先'!$F$5:$F$54,$R465)="末",DATE(YEAR($S465),(MONTH($S465)+IF(INDEX('仕入先'!$D$5:$D$54,$R465)="末",0,IF(DAY($S465)&lt;=INDEX('仕入先'!$D$5:$D$54,$R465),0,1))+N(INDEX('仕入先'!$E$5:$E$54,$R465)))+1,0),DATE(YEAR($S465),(MONTH($S465)+IF(INDEX('仕入先'!$D$5:$D$54,$R465)="末",0,IF(DAY($S465)&lt;=INDEX('仕入先'!$D$5:$D$54,$R465),0,1))+N(INDEX('仕入先'!$E$5:$E$54,$R465))),MIN(INDEX('仕入先'!$F$5:$F$54,$R465),DAY(DATE(YEAR($S465),(MONTH($S465)+IF(INDEX('仕入先'!$D$5:$D$54,$R465)="末",0,IF(DAY($S465)&lt;=INDEX('仕入先'!$D$5:$D$54,$R465),0,1))+N(INDEX('仕入先'!$E$5:$E$54,$R465)))+1,0)))))))</f>
        <v/>
      </c>
      <c r="I465" s="26" t="n"/>
      <c r="J465" s="29">
        <f>IF($B465="","",IF(ISNUMBER($I465),$I465,$H465))</f>
        <v/>
      </c>
      <c r="K465" s="26" t="n"/>
      <c r="L465" s="27" t="n"/>
      <c r="M465" s="27" t="n"/>
      <c r="N465" s="28">
        <f>IF($B465="","",N($G465)-N($L465)-N($M465))</f>
        <v/>
      </c>
      <c r="O465" s="30">
        <f>IF($B465="","",IF(AND(OR(N($L465)&lt;&gt;0,N($M465)&lt;&gt;0),NOT(ISNUMBER($K465))),"支払日なし",IF($N465=0,IF(N($G465)=0,"請求額0","支払済"),IF($N465&lt;0,"払いすぎ",IF(N($L465)+N($M465)=0,"未払","一部支払")))))</f>
        <v/>
      </c>
      <c r="P465" s="30">
        <f>IF(OR($B465="",N($N465)&lt;=0,NOT(ISNUMBER($J465))),"",IF($J465&lt;'設定'!$B$7,"期日超過 "&amp;('設定'!$B$7-$J465)&amp;"日",IF($J465='設定'!$B$7,"今日","あと "&amp;($J465-'設定'!$B$7)&amp;"日")))</f>
        <v/>
      </c>
      <c r="Q465" s="56" t="n"/>
      <c r="R465" s="32">
        <f>IF($B465="","",IFERROR(MATCH($B465,'仕入先'!$B$5:$B$54,0),"なし"))</f>
        <v/>
      </c>
      <c r="S465" s="33">
        <f>IF($B465="","",IF(ISNUMBER($D465),$D465,IF(ISNUMBER($A465),$A465,"")))</f>
        <v/>
      </c>
      <c r="T465" s="34">
        <f>IF(OR($B465="",N($N465)&lt;=0),"",IF(ISNUMBER($J465),$J465,99999)+ROW()/1000000)</f>
        <v/>
      </c>
      <c r="U465" s="35">
        <f>IF(OR($B465="",$B465&lt;&gt;'買掛帳'!$B$3,NOT(ISNUMBER($S465))),"",IF(AND($S465&gt;='買掛帳'!$Q$3,$S465&lt;='買掛帳'!$Q$4),$S465+ROW()/10000000,""))</f>
        <v/>
      </c>
      <c r="V465" s="35">
        <f>IF(OR($B465="",$B465&lt;&gt;'買掛帳'!$B$3,NOT(ISNUMBER($K465)),N($L465)+N($M465)=0),"",IF(AND($K465&gt;='買掛帳'!$Q$3,$K465&lt;='買掛帳'!$Q$4),$K465+0.5+ROW()/10000000,""))</f>
        <v/>
      </c>
    </row>
    <row r="466" ht="18" customHeight="1">
      <c r="A466" s="26" t="n"/>
      <c r="B466" s="18" t="n"/>
      <c r="C466" s="20">
        <f>IF($B466="","",IF($R466="なし","※仕入先にないコード",INDEX('仕入先'!$C$5:$C$54,$R466)&amp;""))</f>
        <v/>
      </c>
      <c r="D466" s="26" t="n"/>
      <c r="E466" s="18" t="n"/>
      <c r="F466" s="19" t="n"/>
      <c r="G466" s="27" t="n"/>
      <c r="H466" s="29">
        <f>IF(OR($B466="",NOT(ISNUMBER($R466)),NOT(ISNUMBER($S466))),"",IF(OR(INDEX('仕入先'!$D$5:$D$54,$R466)="",INDEX('仕入先'!$E$5:$E$54,$R466)="",INDEX('仕入先'!$F$5:$F$54,$R466)=""),"",IF(INDEX('仕入先'!$F$5:$F$54,$R466)="末",DATE(YEAR($S466),(MONTH($S466)+IF(INDEX('仕入先'!$D$5:$D$54,$R466)="末",0,IF(DAY($S466)&lt;=INDEX('仕入先'!$D$5:$D$54,$R466),0,1))+N(INDEX('仕入先'!$E$5:$E$54,$R466)))+1,0),DATE(YEAR($S466),(MONTH($S466)+IF(INDEX('仕入先'!$D$5:$D$54,$R466)="末",0,IF(DAY($S466)&lt;=INDEX('仕入先'!$D$5:$D$54,$R466),0,1))+N(INDEX('仕入先'!$E$5:$E$54,$R466))),MIN(INDEX('仕入先'!$F$5:$F$54,$R466),DAY(DATE(YEAR($S466),(MONTH($S466)+IF(INDEX('仕入先'!$D$5:$D$54,$R466)="末",0,IF(DAY($S466)&lt;=INDEX('仕入先'!$D$5:$D$54,$R466),0,1))+N(INDEX('仕入先'!$E$5:$E$54,$R466)))+1,0)))))))</f>
        <v/>
      </c>
      <c r="I466" s="26" t="n"/>
      <c r="J466" s="29">
        <f>IF($B466="","",IF(ISNUMBER($I466),$I466,$H466))</f>
        <v/>
      </c>
      <c r="K466" s="26" t="n"/>
      <c r="L466" s="27" t="n"/>
      <c r="M466" s="27" t="n"/>
      <c r="N466" s="28">
        <f>IF($B466="","",N($G466)-N($L466)-N($M466))</f>
        <v/>
      </c>
      <c r="O466" s="30">
        <f>IF($B466="","",IF(AND(OR(N($L466)&lt;&gt;0,N($M466)&lt;&gt;0),NOT(ISNUMBER($K466))),"支払日なし",IF($N466=0,IF(N($G466)=0,"請求額0","支払済"),IF($N466&lt;0,"払いすぎ",IF(N($L466)+N($M466)=0,"未払","一部支払")))))</f>
        <v/>
      </c>
      <c r="P466" s="30">
        <f>IF(OR($B466="",N($N466)&lt;=0,NOT(ISNUMBER($J466))),"",IF($J466&lt;'設定'!$B$7,"期日超過 "&amp;('設定'!$B$7-$J466)&amp;"日",IF($J466='設定'!$B$7,"今日","あと "&amp;($J466-'設定'!$B$7)&amp;"日")))</f>
        <v/>
      </c>
      <c r="Q466" s="56" t="n"/>
      <c r="R466" s="32">
        <f>IF($B466="","",IFERROR(MATCH($B466,'仕入先'!$B$5:$B$54,0),"なし"))</f>
        <v/>
      </c>
      <c r="S466" s="33">
        <f>IF($B466="","",IF(ISNUMBER($D466),$D466,IF(ISNUMBER($A466),$A466,"")))</f>
        <v/>
      </c>
      <c r="T466" s="34">
        <f>IF(OR($B466="",N($N466)&lt;=0),"",IF(ISNUMBER($J466),$J466,99999)+ROW()/1000000)</f>
        <v/>
      </c>
      <c r="U466" s="35">
        <f>IF(OR($B466="",$B466&lt;&gt;'買掛帳'!$B$3,NOT(ISNUMBER($S466))),"",IF(AND($S466&gt;='買掛帳'!$Q$3,$S466&lt;='買掛帳'!$Q$4),$S466+ROW()/10000000,""))</f>
        <v/>
      </c>
      <c r="V466" s="35">
        <f>IF(OR($B466="",$B466&lt;&gt;'買掛帳'!$B$3,NOT(ISNUMBER($K466)),N($L466)+N($M466)=0),"",IF(AND($K466&gt;='買掛帳'!$Q$3,$K466&lt;='買掛帳'!$Q$4),$K466+0.5+ROW()/10000000,""))</f>
        <v/>
      </c>
    </row>
    <row r="467" ht="18" customHeight="1">
      <c r="A467" s="26" t="n"/>
      <c r="B467" s="18" t="n"/>
      <c r="C467" s="20">
        <f>IF($B467="","",IF($R467="なし","※仕入先にないコード",INDEX('仕入先'!$C$5:$C$54,$R467)&amp;""))</f>
        <v/>
      </c>
      <c r="D467" s="26" t="n"/>
      <c r="E467" s="18" t="n"/>
      <c r="F467" s="19" t="n"/>
      <c r="G467" s="27" t="n"/>
      <c r="H467" s="29">
        <f>IF(OR($B467="",NOT(ISNUMBER($R467)),NOT(ISNUMBER($S467))),"",IF(OR(INDEX('仕入先'!$D$5:$D$54,$R467)="",INDEX('仕入先'!$E$5:$E$54,$R467)="",INDEX('仕入先'!$F$5:$F$54,$R467)=""),"",IF(INDEX('仕入先'!$F$5:$F$54,$R467)="末",DATE(YEAR($S467),(MONTH($S467)+IF(INDEX('仕入先'!$D$5:$D$54,$R467)="末",0,IF(DAY($S467)&lt;=INDEX('仕入先'!$D$5:$D$54,$R467),0,1))+N(INDEX('仕入先'!$E$5:$E$54,$R467)))+1,0),DATE(YEAR($S467),(MONTH($S467)+IF(INDEX('仕入先'!$D$5:$D$54,$R467)="末",0,IF(DAY($S467)&lt;=INDEX('仕入先'!$D$5:$D$54,$R467),0,1))+N(INDEX('仕入先'!$E$5:$E$54,$R467))),MIN(INDEX('仕入先'!$F$5:$F$54,$R467),DAY(DATE(YEAR($S467),(MONTH($S467)+IF(INDEX('仕入先'!$D$5:$D$54,$R467)="末",0,IF(DAY($S467)&lt;=INDEX('仕入先'!$D$5:$D$54,$R467),0,1))+N(INDEX('仕入先'!$E$5:$E$54,$R467)))+1,0)))))))</f>
        <v/>
      </c>
      <c r="I467" s="26" t="n"/>
      <c r="J467" s="29">
        <f>IF($B467="","",IF(ISNUMBER($I467),$I467,$H467))</f>
        <v/>
      </c>
      <c r="K467" s="26" t="n"/>
      <c r="L467" s="27" t="n"/>
      <c r="M467" s="27" t="n"/>
      <c r="N467" s="28">
        <f>IF($B467="","",N($G467)-N($L467)-N($M467))</f>
        <v/>
      </c>
      <c r="O467" s="30">
        <f>IF($B467="","",IF(AND(OR(N($L467)&lt;&gt;0,N($M467)&lt;&gt;0),NOT(ISNUMBER($K467))),"支払日なし",IF($N467=0,IF(N($G467)=0,"請求額0","支払済"),IF($N467&lt;0,"払いすぎ",IF(N($L467)+N($M467)=0,"未払","一部支払")))))</f>
        <v/>
      </c>
      <c r="P467" s="30">
        <f>IF(OR($B467="",N($N467)&lt;=0,NOT(ISNUMBER($J467))),"",IF($J467&lt;'設定'!$B$7,"期日超過 "&amp;('設定'!$B$7-$J467)&amp;"日",IF($J467='設定'!$B$7,"今日","あと "&amp;($J467-'設定'!$B$7)&amp;"日")))</f>
        <v/>
      </c>
      <c r="Q467" s="56" t="n"/>
      <c r="R467" s="32">
        <f>IF($B467="","",IFERROR(MATCH($B467,'仕入先'!$B$5:$B$54,0),"なし"))</f>
        <v/>
      </c>
      <c r="S467" s="33">
        <f>IF($B467="","",IF(ISNUMBER($D467),$D467,IF(ISNUMBER($A467),$A467,"")))</f>
        <v/>
      </c>
      <c r="T467" s="34">
        <f>IF(OR($B467="",N($N467)&lt;=0),"",IF(ISNUMBER($J467),$J467,99999)+ROW()/1000000)</f>
        <v/>
      </c>
      <c r="U467" s="35">
        <f>IF(OR($B467="",$B467&lt;&gt;'買掛帳'!$B$3,NOT(ISNUMBER($S467))),"",IF(AND($S467&gt;='買掛帳'!$Q$3,$S467&lt;='買掛帳'!$Q$4),$S467+ROW()/10000000,""))</f>
        <v/>
      </c>
      <c r="V467" s="35">
        <f>IF(OR($B467="",$B467&lt;&gt;'買掛帳'!$B$3,NOT(ISNUMBER($K467)),N($L467)+N($M467)=0),"",IF(AND($K467&gt;='買掛帳'!$Q$3,$K467&lt;='買掛帳'!$Q$4),$K467+0.5+ROW()/10000000,""))</f>
        <v/>
      </c>
    </row>
    <row r="468" ht="18" customHeight="1">
      <c r="A468" s="26" t="n"/>
      <c r="B468" s="18" t="n"/>
      <c r="C468" s="20">
        <f>IF($B468="","",IF($R468="なし","※仕入先にないコード",INDEX('仕入先'!$C$5:$C$54,$R468)&amp;""))</f>
        <v/>
      </c>
      <c r="D468" s="26" t="n"/>
      <c r="E468" s="18" t="n"/>
      <c r="F468" s="19" t="n"/>
      <c r="G468" s="27" t="n"/>
      <c r="H468" s="29">
        <f>IF(OR($B468="",NOT(ISNUMBER($R468)),NOT(ISNUMBER($S468))),"",IF(OR(INDEX('仕入先'!$D$5:$D$54,$R468)="",INDEX('仕入先'!$E$5:$E$54,$R468)="",INDEX('仕入先'!$F$5:$F$54,$R468)=""),"",IF(INDEX('仕入先'!$F$5:$F$54,$R468)="末",DATE(YEAR($S468),(MONTH($S468)+IF(INDEX('仕入先'!$D$5:$D$54,$R468)="末",0,IF(DAY($S468)&lt;=INDEX('仕入先'!$D$5:$D$54,$R468),0,1))+N(INDEX('仕入先'!$E$5:$E$54,$R468)))+1,0),DATE(YEAR($S468),(MONTH($S468)+IF(INDEX('仕入先'!$D$5:$D$54,$R468)="末",0,IF(DAY($S468)&lt;=INDEX('仕入先'!$D$5:$D$54,$R468),0,1))+N(INDEX('仕入先'!$E$5:$E$54,$R468))),MIN(INDEX('仕入先'!$F$5:$F$54,$R468),DAY(DATE(YEAR($S468),(MONTH($S468)+IF(INDEX('仕入先'!$D$5:$D$54,$R468)="末",0,IF(DAY($S468)&lt;=INDEX('仕入先'!$D$5:$D$54,$R468),0,1))+N(INDEX('仕入先'!$E$5:$E$54,$R468)))+1,0)))))))</f>
        <v/>
      </c>
      <c r="I468" s="26" t="n"/>
      <c r="J468" s="29">
        <f>IF($B468="","",IF(ISNUMBER($I468),$I468,$H468))</f>
        <v/>
      </c>
      <c r="K468" s="26" t="n"/>
      <c r="L468" s="27" t="n"/>
      <c r="M468" s="27" t="n"/>
      <c r="N468" s="28">
        <f>IF($B468="","",N($G468)-N($L468)-N($M468))</f>
        <v/>
      </c>
      <c r="O468" s="30">
        <f>IF($B468="","",IF(AND(OR(N($L468)&lt;&gt;0,N($M468)&lt;&gt;0),NOT(ISNUMBER($K468))),"支払日なし",IF($N468=0,IF(N($G468)=0,"請求額0","支払済"),IF($N468&lt;0,"払いすぎ",IF(N($L468)+N($M468)=0,"未払","一部支払")))))</f>
        <v/>
      </c>
      <c r="P468" s="30">
        <f>IF(OR($B468="",N($N468)&lt;=0,NOT(ISNUMBER($J468))),"",IF($J468&lt;'設定'!$B$7,"期日超過 "&amp;('設定'!$B$7-$J468)&amp;"日",IF($J468='設定'!$B$7,"今日","あと "&amp;($J468-'設定'!$B$7)&amp;"日")))</f>
        <v/>
      </c>
      <c r="Q468" s="56" t="n"/>
      <c r="R468" s="32">
        <f>IF($B468="","",IFERROR(MATCH($B468,'仕入先'!$B$5:$B$54,0),"なし"))</f>
        <v/>
      </c>
      <c r="S468" s="33">
        <f>IF($B468="","",IF(ISNUMBER($D468),$D468,IF(ISNUMBER($A468),$A468,"")))</f>
        <v/>
      </c>
      <c r="T468" s="34">
        <f>IF(OR($B468="",N($N468)&lt;=0),"",IF(ISNUMBER($J468),$J468,99999)+ROW()/1000000)</f>
        <v/>
      </c>
      <c r="U468" s="35">
        <f>IF(OR($B468="",$B468&lt;&gt;'買掛帳'!$B$3,NOT(ISNUMBER($S468))),"",IF(AND($S468&gt;='買掛帳'!$Q$3,$S468&lt;='買掛帳'!$Q$4),$S468+ROW()/10000000,""))</f>
        <v/>
      </c>
      <c r="V468" s="35">
        <f>IF(OR($B468="",$B468&lt;&gt;'買掛帳'!$B$3,NOT(ISNUMBER($K468)),N($L468)+N($M468)=0),"",IF(AND($K468&gt;='買掛帳'!$Q$3,$K468&lt;='買掛帳'!$Q$4),$K468+0.5+ROW()/10000000,""))</f>
        <v/>
      </c>
    </row>
    <row r="469" ht="18" customHeight="1">
      <c r="A469" s="26" t="n"/>
      <c r="B469" s="18" t="n"/>
      <c r="C469" s="20">
        <f>IF($B469="","",IF($R469="なし","※仕入先にないコード",INDEX('仕入先'!$C$5:$C$54,$R469)&amp;""))</f>
        <v/>
      </c>
      <c r="D469" s="26" t="n"/>
      <c r="E469" s="18" t="n"/>
      <c r="F469" s="19" t="n"/>
      <c r="G469" s="27" t="n"/>
      <c r="H469" s="29">
        <f>IF(OR($B469="",NOT(ISNUMBER($R469)),NOT(ISNUMBER($S469))),"",IF(OR(INDEX('仕入先'!$D$5:$D$54,$R469)="",INDEX('仕入先'!$E$5:$E$54,$R469)="",INDEX('仕入先'!$F$5:$F$54,$R469)=""),"",IF(INDEX('仕入先'!$F$5:$F$54,$R469)="末",DATE(YEAR($S469),(MONTH($S469)+IF(INDEX('仕入先'!$D$5:$D$54,$R469)="末",0,IF(DAY($S469)&lt;=INDEX('仕入先'!$D$5:$D$54,$R469),0,1))+N(INDEX('仕入先'!$E$5:$E$54,$R469)))+1,0),DATE(YEAR($S469),(MONTH($S469)+IF(INDEX('仕入先'!$D$5:$D$54,$R469)="末",0,IF(DAY($S469)&lt;=INDEX('仕入先'!$D$5:$D$54,$R469),0,1))+N(INDEX('仕入先'!$E$5:$E$54,$R469))),MIN(INDEX('仕入先'!$F$5:$F$54,$R469),DAY(DATE(YEAR($S469),(MONTH($S469)+IF(INDEX('仕入先'!$D$5:$D$54,$R469)="末",0,IF(DAY($S469)&lt;=INDEX('仕入先'!$D$5:$D$54,$R469),0,1))+N(INDEX('仕入先'!$E$5:$E$54,$R469)))+1,0)))))))</f>
        <v/>
      </c>
      <c r="I469" s="26" t="n"/>
      <c r="J469" s="29">
        <f>IF($B469="","",IF(ISNUMBER($I469),$I469,$H469))</f>
        <v/>
      </c>
      <c r="K469" s="26" t="n"/>
      <c r="L469" s="27" t="n"/>
      <c r="M469" s="27" t="n"/>
      <c r="N469" s="28">
        <f>IF($B469="","",N($G469)-N($L469)-N($M469))</f>
        <v/>
      </c>
      <c r="O469" s="30">
        <f>IF($B469="","",IF(AND(OR(N($L469)&lt;&gt;0,N($M469)&lt;&gt;0),NOT(ISNUMBER($K469))),"支払日なし",IF($N469=0,IF(N($G469)=0,"請求額0","支払済"),IF($N469&lt;0,"払いすぎ",IF(N($L469)+N($M469)=0,"未払","一部支払")))))</f>
        <v/>
      </c>
      <c r="P469" s="30">
        <f>IF(OR($B469="",N($N469)&lt;=0,NOT(ISNUMBER($J469))),"",IF($J469&lt;'設定'!$B$7,"期日超過 "&amp;('設定'!$B$7-$J469)&amp;"日",IF($J469='設定'!$B$7,"今日","あと "&amp;($J469-'設定'!$B$7)&amp;"日")))</f>
        <v/>
      </c>
      <c r="Q469" s="56" t="n"/>
      <c r="R469" s="32">
        <f>IF($B469="","",IFERROR(MATCH($B469,'仕入先'!$B$5:$B$54,0),"なし"))</f>
        <v/>
      </c>
      <c r="S469" s="33">
        <f>IF($B469="","",IF(ISNUMBER($D469),$D469,IF(ISNUMBER($A469),$A469,"")))</f>
        <v/>
      </c>
      <c r="T469" s="34">
        <f>IF(OR($B469="",N($N469)&lt;=0),"",IF(ISNUMBER($J469),$J469,99999)+ROW()/1000000)</f>
        <v/>
      </c>
      <c r="U469" s="35">
        <f>IF(OR($B469="",$B469&lt;&gt;'買掛帳'!$B$3,NOT(ISNUMBER($S469))),"",IF(AND($S469&gt;='買掛帳'!$Q$3,$S469&lt;='買掛帳'!$Q$4),$S469+ROW()/10000000,""))</f>
        <v/>
      </c>
      <c r="V469" s="35">
        <f>IF(OR($B469="",$B469&lt;&gt;'買掛帳'!$B$3,NOT(ISNUMBER($K469)),N($L469)+N($M469)=0),"",IF(AND($K469&gt;='買掛帳'!$Q$3,$K469&lt;='買掛帳'!$Q$4),$K469+0.5+ROW()/10000000,""))</f>
        <v/>
      </c>
    </row>
    <row r="470" ht="18" customHeight="1">
      <c r="A470" s="26" t="n"/>
      <c r="B470" s="18" t="n"/>
      <c r="C470" s="20">
        <f>IF($B470="","",IF($R470="なし","※仕入先にないコード",INDEX('仕入先'!$C$5:$C$54,$R470)&amp;""))</f>
        <v/>
      </c>
      <c r="D470" s="26" t="n"/>
      <c r="E470" s="18" t="n"/>
      <c r="F470" s="19" t="n"/>
      <c r="G470" s="27" t="n"/>
      <c r="H470" s="29">
        <f>IF(OR($B470="",NOT(ISNUMBER($R470)),NOT(ISNUMBER($S470))),"",IF(OR(INDEX('仕入先'!$D$5:$D$54,$R470)="",INDEX('仕入先'!$E$5:$E$54,$R470)="",INDEX('仕入先'!$F$5:$F$54,$R470)=""),"",IF(INDEX('仕入先'!$F$5:$F$54,$R470)="末",DATE(YEAR($S470),(MONTH($S470)+IF(INDEX('仕入先'!$D$5:$D$54,$R470)="末",0,IF(DAY($S470)&lt;=INDEX('仕入先'!$D$5:$D$54,$R470),0,1))+N(INDEX('仕入先'!$E$5:$E$54,$R470)))+1,0),DATE(YEAR($S470),(MONTH($S470)+IF(INDEX('仕入先'!$D$5:$D$54,$R470)="末",0,IF(DAY($S470)&lt;=INDEX('仕入先'!$D$5:$D$54,$R470),0,1))+N(INDEX('仕入先'!$E$5:$E$54,$R470))),MIN(INDEX('仕入先'!$F$5:$F$54,$R470),DAY(DATE(YEAR($S470),(MONTH($S470)+IF(INDEX('仕入先'!$D$5:$D$54,$R470)="末",0,IF(DAY($S470)&lt;=INDEX('仕入先'!$D$5:$D$54,$R470),0,1))+N(INDEX('仕入先'!$E$5:$E$54,$R470)))+1,0)))))))</f>
        <v/>
      </c>
      <c r="I470" s="26" t="n"/>
      <c r="J470" s="29">
        <f>IF($B470="","",IF(ISNUMBER($I470),$I470,$H470))</f>
        <v/>
      </c>
      <c r="K470" s="26" t="n"/>
      <c r="L470" s="27" t="n"/>
      <c r="M470" s="27" t="n"/>
      <c r="N470" s="28">
        <f>IF($B470="","",N($G470)-N($L470)-N($M470))</f>
        <v/>
      </c>
      <c r="O470" s="30">
        <f>IF($B470="","",IF(AND(OR(N($L470)&lt;&gt;0,N($M470)&lt;&gt;0),NOT(ISNUMBER($K470))),"支払日なし",IF($N470=0,IF(N($G470)=0,"請求額0","支払済"),IF($N470&lt;0,"払いすぎ",IF(N($L470)+N($M470)=0,"未払","一部支払")))))</f>
        <v/>
      </c>
      <c r="P470" s="30">
        <f>IF(OR($B470="",N($N470)&lt;=0,NOT(ISNUMBER($J470))),"",IF($J470&lt;'設定'!$B$7,"期日超過 "&amp;('設定'!$B$7-$J470)&amp;"日",IF($J470='設定'!$B$7,"今日","あと "&amp;($J470-'設定'!$B$7)&amp;"日")))</f>
        <v/>
      </c>
      <c r="Q470" s="56" t="n"/>
      <c r="R470" s="32">
        <f>IF($B470="","",IFERROR(MATCH($B470,'仕入先'!$B$5:$B$54,0),"なし"))</f>
        <v/>
      </c>
      <c r="S470" s="33">
        <f>IF($B470="","",IF(ISNUMBER($D470),$D470,IF(ISNUMBER($A470),$A470,"")))</f>
        <v/>
      </c>
      <c r="T470" s="34">
        <f>IF(OR($B470="",N($N470)&lt;=0),"",IF(ISNUMBER($J470),$J470,99999)+ROW()/1000000)</f>
        <v/>
      </c>
      <c r="U470" s="35">
        <f>IF(OR($B470="",$B470&lt;&gt;'買掛帳'!$B$3,NOT(ISNUMBER($S470))),"",IF(AND($S470&gt;='買掛帳'!$Q$3,$S470&lt;='買掛帳'!$Q$4),$S470+ROW()/10000000,""))</f>
        <v/>
      </c>
      <c r="V470" s="35">
        <f>IF(OR($B470="",$B470&lt;&gt;'買掛帳'!$B$3,NOT(ISNUMBER($K470)),N($L470)+N($M470)=0),"",IF(AND($K470&gt;='買掛帳'!$Q$3,$K470&lt;='買掛帳'!$Q$4),$K470+0.5+ROW()/10000000,""))</f>
        <v/>
      </c>
    </row>
    <row r="471" ht="18" customHeight="1">
      <c r="A471" s="26" t="n"/>
      <c r="B471" s="18" t="n"/>
      <c r="C471" s="20">
        <f>IF($B471="","",IF($R471="なし","※仕入先にないコード",INDEX('仕入先'!$C$5:$C$54,$R471)&amp;""))</f>
        <v/>
      </c>
      <c r="D471" s="26" t="n"/>
      <c r="E471" s="18" t="n"/>
      <c r="F471" s="19" t="n"/>
      <c r="G471" s="27" t="n"/>
      <c r="H471" s="29">
        <f>IF(OR($B471="",NOT(ISNUMBER($R471)),NOT(ISNUMBER($S471))),"",IF(OR(INDEX('仕入先'!$D$5:$D$54,$R471)="",INDEX('仕入先'!$E$5:$E$54,$R471)="",INDEX('仕入先'!$F$5:$F$54,$R471)=""),"",IF(INDEX('仕入先'!$F$5:$F$54,$R471)="末",DATE(YEAR($S471),(MONTH($S471)+IF(INDEX('仕入先'!$D$5:$D$54,$R471)="末",0,IF(DAY($S471)&lt;=INDEX('仕入先'!$D$5:$D$54,$R471),0,1))+N(INDEX('仕入先'!$E$5:$E$54,$R471)))+1,0),DATE(YEAR($S471),(MONTH($S471)+IF(INDEX('仕入先'!$D$5:$D$54,$R471)="末",0,IF(DAY($S471)&lt;=INDEX('仕入先'!$D$5:$D$54,$R471),0,1))+N(INDEX('仕入先'!$E$5:$E$54,$R471))),MIN(INDEX('仕入先'!$F$5:$F$54,$R471),DAY(DATE(YEAR($S471),(MONTH($S471)+IF(INDEX('仕入先'!$D$5:$D$54,$R471)="末",0,IF(DAY($S471)&lt;=INDEX('仕入先'!$D$5:$D$54,$R471),0,1))+N(INDEX('仕入先'!$E$5:$E$54,$R471)))+1,0)))))))</f>
        <v/>
      </c>
      <c r="I471" s="26" t="n"/>
      <c r="J471" s="29">
        <f>IF($B471="","",IF(ISNUMBER($I471),$I471,$H471))</f>
        <v/>
      </c>
      <c r="K471" s="26" t="n"/>
      <c r="L471" s="27" t="n"/>
      <c r="M471" s="27" t="n"/>
      <c r="N471" s="28">
        <f>IF($B471="","",N($G471)-N($L471)-N($M471))</f>
        <v/>
      </c>
      <c r="O471" s="30">
        <f>IF($B471="","",IF(AND(OR(N($L471)&lt;&gt;0,N($M471)&lt;&gt;0),NOT(ISNUMBER($K471))),"支払日なし",IF($N471=0,IF(N($G471)=0,"請求額0","支払済"),IF($N471&lt;0,"払いすぎ",IF(N($L471)+N($M471)=0,"未払","一部支払")))))</f>
        <v/>
      </c>
      <c r="P471" s="30">
        <f>IF(OR($B471="",N($N471)&lt;=0,NOT(ISNUMBER($J471))),"",IF($J471&lt;'設定'!$B$7,"期日超過 "&amp;('設定'!$B$7-$J471)&amp;"日",IF($J471='設定'!$B$7,"今日","あと "&amp;($J471-'設定'!$B$7)&amp;"日")))</f>
        <v/>
      </c>
      <c r="Q471" s="56" t="n"/>
      <c r="R471" s="32">
        <f>IF($B471="","",IFERROR(MATCH($B471,'仕入先'!$B$5:$B$54,0),"なし"))</f>
        <v/>
      </c>
      <c r="S471" s="33">
        <f>IF($B471="","",IF(ISNUMBER($D471),$D471,IF(ISNUMBER($A471),$A471,"")))</f>
        <v/>
      </c>
      <c r="T471" s="34">
        <f>IF(OR($B471="",N($N471)&lt;=0),"",IF(ISNUMBER($J471),$J471,99999)+ROW()/1000000)</f>
        <v/>
      </c>
      <c r="U471" s="35">
        <f>IF(OR($B471="",$B471&lt;&gt;'買掛帳'!$B$3,NOT(ISNUMBER($S471))),"",IF(AND($S471&gt;='買掛帳'!$Q$3,$S471&lt;='買掛帳'!$Q$4),$S471+ROW()/10000000,""))</f>
        <v/>
      </c>
      <c r="V471" s="35">
        <f>IF(OR($B471="",$B471&lt;&gt;'買掛帳'!$B$3,NOT(ISNUMBER($K471)),N($L471)+N($M471)=0),"",IF(AND($K471&gt;='買掛帳'!$Q$3,$K471&lt;='買掛帳'!$Q$4),$K471+0.5+ROW()/10000000,""))</f>
        <v/>
      </c>
    </row>
    <row r="472" ht="18" customHeight="1">
      <c r="A472" s="26" t="n"/>
      <c r="B472" s="18" t="n"/>
      <c r="C472" s="20">
        <f>IF($B472="","",IF($R472="なし","※仕入先にないコード",INDEX('仕入先'!$C$5:$C$54,$R472)&amp;""))</f>
        <v/>
      </c>
      <c r="D472" s="26" t="n"/>
      <c r="E472" s="18" t="n"/>
      <c r="F472" s="19" t="n"/>
      <c r="G472" s="27" t="n"/>
      <c r="H472" s="29">
        <f>IF(OR($B472="",NOT(ISNUMBER($R472)),NOT(ISNUMBER($S472))),"",IF(OR(INDEX('仕入先'!$D$5:$D$54,$R472)="",INDEX('仕入先'!$E$5:$E$54,$R472)="",INDEX('仕入先'!$F$5:$F$54,$R472)=""),"",IF(INDEX('仕入先'!$F$5:$F$54,$R472)="末",DATE(YEAR($S472),(MONTH($S472)+IF(INDEX('仕入先'!$D$5:$D$54,$R472)="末",0,IF(DAY($S472)&lt;=INDEX('仕入先'!$D$5:$D$54,$R472),0,1))+N(INDEX('仕入先'!$E$5:$E$54,$R472)))+1,0),DATE(YEAR($S472),(MONTH($S472)+IF(INDEX('仕入先'!$D$5:$D$54,$R472)="末",0,IF(DAY($S472)&lt;=INDEX('仕入先'!$D$5:$D$54,$R472),0,1))+N(INDEX('仕入先'!$E$5:$E$54,$R472))),MIN(INDEX('仕入先'!$F$5:$F$54,$R472),DAY(DATE(YEAR($S472),(MONTH($S472)+IF(INDEX('仕入先'!$D$5:$D$54,$R472)="末",0,IF(DAY($S472)&lt;=INDEX('仕入先'!$D$5:$D$54,$R472),0,1))+N(INDEX('仕入先'!$E$5:$E$54,$R472)))+1,0)))))))</f>
        <v/>
      </c>
      <c r="I472" s="26" t="n"/>
      <c r="J472" s="29">
        <f>IF($B472="","",IF(ISNUMBER($I472),$I472,$H472))</f>
        <v/>
      </c>
      <c r="K472" s="26" t="n"/>
      <c r="L472" s="27" t="n"/>
      <c r="M472" s="27" t="n"/>
      <c r="N472" s="28">
        <f>IF($B472="","",N($G472)-N($L472)-N($M472))</f>
        <v/>
      </c>
      <c r="O472" s="30">
        <f>IF($B472="","",IF(AND(OR(N($L472)&lt;&gt;0,N($M472)&lt;&gt;0),NOT(ISNUMBER($K472))),"支払日なし",IF($N472=0,IF(N($G472)=0,"請求額0","支払済"),IF($N472&lt;0,"払いすぎ",IF(N($L472)+N($M472)=0,"未払","一部支払")))))</f>
        <v/>
      </c>
      <c r="P472" s="30">
        <f>IF(OR($B472="",N($N472)&lt;=0,NOT(ISNUMBER($J472))),"",IF($J472&lt;'設定'!$B$7,"期日超過 "&amp;('設定'!$B$7-$J472)&amp;"日",IF($J472='設定'!$B$7,"今日","あと "&amp;($J472-'設定'!$B$7)&amp;"日")))</f>
        <v/>
      </c>
      <c r="Q472" s="56" t="n"/>
      <c r="R472" s="32">
        <f>IF($B472="","",IFERROR(MATCH($B472,'仕入先'!$B$5:$B$54,0),"なし"))</f>
        <v/>
      </c>
      <c r="S472" s="33">
        <f>IF($B472="","",IF(ISNUMBER($D472),$D472,IF(ISNUMBER($A472),$A472,"")))</f>
        <v/>
      </c>
      <c r="T472" s="34">
        <f>IF(OR($B472="",N($N472)&lt;=0),"",IF(ISNUMBER($J472),$J472,99999)+ROW()/1000000)</f>
        <v/>
      </c>
      <c r="U472" s="35">
        <f>IF(OR($B472="",$B472&lt;&gt;'買掛帳'!$B$3,NOT(ISNUMBER($S472))),"",IF(AND($S472&gt;='買掛帳'!$Q$3,$S472&lt;='買掛帳'!$Q$4),$S472+ROW()/10000000,""))</f>
        <v/>
      </c>
      <c r="V472" s="35">
        <f>IF(OR($B472="",$B472&lt;&gt;'買掛帳'!$B$3,NOT(ISNUMBER($K472)),N($L472)+N($M472)=0),"",IF(AND($K472&gt;='買掛帳'!$Q$3,$K472&lt;='買掛帳'!$Q$4),$K472+0.5+ROW()/10000000,""))</f>
        <v/>
      </c>
    </row>
    <row r="473" ht="18" customHeight="1">
      <c r="A473" s="26" t="n"/>
      <c r="B473" s="18" t="n"/>
      <c r="C473" s="20">
        <f>IF($B473="","",IF($R473="なし","※仕入先にないコード",INDEX('仕入先'!$C$5:$C$54,$R473)&amp;""))</f>
        <v/>
      </c>
      <c r="D473" s="26" t="n"/>
      <c r="E473" s="18" t="n"/>
      <c r="F473" s="19" t="n"/>
      <c r="G473" s="27" t="n"/>
      <c r="H473" s="29">
        <f>IF(OR($B473="",NOT(ISNUMBER($R473)),NOT(ISNUMBER($S473))),"",IF(OR(INDEX('仕入先'!$D$5:$D$54,$R473)="",INDEX('仕入先'!$E$5:$E$54,$R473)="",INDEX('仕入先'!$F$5:$F$54,$R473)=""),"",IF(INDEX('仕入先'!$F$5:$F$54,$R473)="末",DATE(YEAR($S473),(MONTH($S473)+IF(INDEX('仕入先'!$D$5:$D$54,$R473)="末",0,IF(DAY($S473)&lt;=INDEX('仕入先'!$D$5:$D$54,$R473),0,1))+N(INDEX('仕入先'!$E$5:$E$54,$R473)))+1,0),DATE(YEAR($S473),(MONTH($S473)+IF(INDEX('仕入先'!$D$5:$D$54,$R473)="末",0,IF(DAY($S473)&lt;=INDEX('仕入先'!$D$5:$D$54,$R473),0,1))+N(INDEX('仕入先'!$E$5:$E$54,$R473))),MIN(INDEX('仕入先'!$F$5:$F$54,$R473),DAY(DATE(YEAR($S473),(MONTH($S473)+IF(INDEX('仕入先'!$D$5:$D$54,$R473)="末",0,IF(DAY($S473)&lt;=INDEX('仕入先'!$D$5:$D$54,$R473),0,1))+N(INDEX('仕入先'!$E$5:$E$54,$R473)))+1,0)))))))</f>
        <v/>
      </c>
      <c r="I473" s="26" t="n"/>
      <c r="J473" s="29">
        <f>IF($B473="","",IF(ISNUMBER($I473),$I473,$H473))</f>
        <v/>
      </c>
      <c r="K473" s="26" t="n"/>
      <c r="L473" s="27" t="n"/>
      <c r="M473" s="27" t="n"/>
      <c r="N473" s="28">
        <f>IF($B473="","",N($G473)-N($L473)-N($M473))</f>
        <v/>
      </c>
      <c r="O473" s="30">
        <f>IF($B473="","",IF(AND(OR(N($L473)&lt;&gt;0,N($M473)&lt;&gt;0),NOT(ISNUMBER($K473))),"支払日なし",IF($N473=0,IF(N($G473)=0,"請求額0","支払済"),IF($N473&lt;0,"払いすぎ",IF(N($L473)+N($M473)=0,"未払","一部支払")))))</f>
        <v/>
      </c>
      <c r="P473" s="30">
        <f>IF(OR($B473="",N($N473)&lt;=0,NOT(ISNUMBER($J473))),"",IF($J473&lt;'設定'!$B$7,"期日超過 "&amp;('設定'!$B$7-$J473)&amp;"日",IF($J473='設定'!$B$7,"今日","あと "&amp;($J473-'設定'!$B$7)&amp;"日")))</f>
        <v/>
      </c>
      <c r="Q473" s="56" t="n"/>
      <c r="R473" s="32">
        <f>IF($B473="","",IFERROR(MATCH($B473,'仕入先'!$B$5:$B$54,0),"なし"))</f>
        <v/>
      </c>
      <c r="S473" s="33">
        <f>IF($B473="","",IF(ISNUMBER($D473),$D473,IF(ISNUMBER($A473),$A473,"")))</f>
        <v/>
      </c>
      <c r="T473" s="34">
        <f>IF(OR($B473="",N($N473)&lt;=0),"",IF(ISNUMBER($J473),$J473,99999)+ROW()/1000000)</f>
        <v/>
      </c>
      <c r="U473" s="35">
        <f>IF(OR($B473="",$B473&lt;&gt;'買掛帳'!$B$3,NOT(ISNUMBER($S473))),"",IF(AND($S473&gt;='買掛帳'!$Q$3,$S473&lt;='買掛帳'!$Q$4),$S473+ROW()/10000000,""))</f>
        <v/>
      </c>
      <c r="V473" s="35">
        <f>IF(OR($B473="",$B473&lt;&gt;'買掛帳'!$B$3,NOT(ISNUMBER($K473)),N($L473)+N($M473)=0),"",IF(AND($K473&gt;='買掛帳'!$Q$3,$K473&lt;='買掛帳'!$Q$4),$K473+0.5+ROW()/10000000,""))</f>
        <v/>
      </c>
    </row>
    <row r="474" ht="18" customHeight="1">
      <c r="A474" s="26" t="n"/>
      <c r="B474" s="18" t="n"/>
      <c r="C474" s="20">
        <f>IF($B474="","",IF($R474="なし","※仕入先にないコード",INDEX('仕入先'!$C$5:$C$54,$R474)&amp;""))</f>
        <v/>
      </c>
      <c r="D474" s="26" t="n"/>
      <c r="E474" s="18" t="n"/>
      <c r="F474" s="19" t="n"/>
      <c r="G474" s="27" t="n"/>
      <c r="H474" s="29">
        <f>IF(OR($B474="",NOT(ISNUMBER($R474)),NOT(ISNUMBER($S474))),"",IF(OR(INDEX('仕入先'!$D$5:$D$54,$R474)="",INDEX('仕入先'!$E$5:$E$54,$R474)="",INDEX('仕入先'!$F$5:$F$54,$R474)=""),"",IF(INDEX('仕入先'!$F$5:$F$54,$R474)="末",DATE(YEAR($S474),(MONTH($S474)+IF(INDEX('仕入先'!$D$5:$D$54,$R474)="末",0,IF(DAY($S474)&lt;=INDEX('仕入先'!$D$5:$D$54,$R474),0,1))+N(INDEX('仕入先'!$E$5:$E$54,$R474)))+1,0),DATE(YEAR($S474),(MONTH($S474)+IF(INDEX('仕入先'!$D$5:$D$54,$R474)="末",0,IF(DAY($S474)&lt;=INDEX('仕入先'!$D$5:$D$54,$R474),0,1))+N(INDEX('仕入先'!$E$5:$E$54,$R474))),MIN(INDEX('仕入先'!$F$5:$F$54,$R474),DAY(DATE(YEAR($S474),(MONTH($S474)+IF(INDEX('仕入先'!$D$5:$D$54,$R474)="末",0,IF(DAY($S474)&lt;=INDEX('仕入先'!$D$5:$D$54,$R474),0,1))+N(INDEX('仕入先'!$E$5:$E$54,$R474)))+1,0)))))))</f>
        <v/>
      </c>
      <c r="I474" s="26" t="n"/>
      <c r="J474" s="29">
        <f>IF($B474="","",IF(ISNUMBER($I474),$I474,$H474))</f>
        <v/>
      </c>
      <c r="K474" s="26" t="n"/>
      <c r="L474" s="27" t="n"/>
      <c r="M474" s="27" t="n"/>
      <c r="N474" s="28">
        <f>IF($B474="","",N($G474)-N($L474)-N($M474))</f>
        <v/>
      </c>
      <c r="O474" s="30">
        <f>IF($B474="","",IF(AND(OR(N($L474)&lt;&gt;0,N($M474)&lt;&gt;0),NOT(ISNUMBER($K474))),"支払日なし",IF($N474=0,IF(N($G474)=0,"請求額0","支払済"),IF($N474&lt;0,"払いすぎ",IF(N($L474)+N($M474)=0,"未払","一部支払")))))</f>
        <v/>
      </c>
      <c r="P474" s="30">
        <f>IF(OR($B474="",N($N474)&lt;=0,NOT(ISNUMBER($J474))),"",IF($J474&lt;'設定'!$B$7,"期日超過 "&amp;('設定'!$B$7-$J474)&amp;"日",IF($J474='設定'!$B$7,"今日","あと "&amp;($J474-'設定'!$B$7)&amp;"日")))</f>
        <v/>
      </c>
      <c r="Q474" s="56" t="n"/>
      <c r="R474" s="32">
        <f>IF($B474="","",IFERROR(MATCH($B474,'仕入先'!$B$5:$B$54,0),"なし"))</f>
        <v/>
      </c>
      <c r="S474" s="33">
        <f>IF($B474="","",IF(ISNUMBER($D474),$D474,IF(ISNUMBER($A474),$A474,"")))</f>
        <v/>
      </c>
      <c r="T474" s="34">
        <f>IF(OR($B474="",N($N474)&lt;=0),"",IF(ISNUMBER($J474),$J474,99999)+ROW()/1000000)</f>
        <v/>
      </c>
      <c r="U474" s="35">
        <f>IF(OR($B474="",$B474&lt;&gt;'買掛帳'!$B$3,NOT(ISNUMBER($S474))),"",IF(AND($S474&gt;='買掛帳'!$Q$3,$S474&lt;='買掛帳'!$Q$4),$S474+ROW()/10000000,""))</f>
        <v/>
      </c>
      <c r="V474" s="35">
        <f>IF(OR($B474="",$B474&lt;&gt;'買掛帳'!$B$3,NOT(ISNUMBER($K474)),N($L474)+N($M474)=0),"",IF(AND($K474&gt;='買掛帳'!$Q$3,$K474&lt;='買掛帳'!$Q$4),$K474+0.5+ROW()/10000000,""))</f>
        <v/>
      </c>
    </row>
    <row r="475" ht="18" customHeight="1">
      <c r="A475" s="26" t="n"/>
      <c r="B475" s="18" t="n"/>
      <c r="C475" s="20">
        <f>IF($B475="","",IF($R475="なし","※仕入先にないコード",INDEX('仕入先'!$C$5:$C$54,$R475)&amp;""))</f>
        <v/>
      </c>
      <c r="D475" s="26" t="n"/>
      <c r="E475" s="18" t="n"/>
      <c r="F475" s="19" t="n"/>
      <c r="G475" s="27" t="n"/>
      <c r="H475" s="29">
        <f>IF(OR($B475="",NOT(ISNUMBER($R475)),NOT(ISNUMBER($S475))),"",IF(OR(INDEX('仕入先'!$D$5:$D$54,$R475)="",INDEX('仕入先'!$E$5:$E$54,$R475)="",INDEX('仕入先'!$F$5:$F$54,$R475)=""),"",IF(INDEX('仕入先'!$F$5:$F$54,$R475)="末",DATE(YEAR($S475),(MONTH($S475)+IF(INDEX('仕入先'!$D$5:$D$54,$R475)="末",0,IF(DAY($S475)&lt;=INDEX('仕入先'!$D$5:$D$54,$R475),0,1))+N(INDEX('仕入先'!$E$5:$E$54,$R475)))+1,0),DATE(YEAR($S475),(MONTH($S475)+IF(INDEX('仕入先'!$D$5:$D$54,$R475)="末",0,IF(DAY($S475)&lt;=INDEX('仕入先'!$D$5:$D$54,$R475),0,1))+N(INDEX('仕入先'!$E$5:$E$54,$R475))),MIN(INDEX('仕入先'!$F$5:$F$54,$R475),DAY(DATE(YEAR($S475),(MONTH($S475)+IF(INDEX('仕入先'!$D$5:$D$54,$R475)="末",0,IF(DAY($S475)&lt;=INDEX('仕入先'!$D$5:$D$54,$R475),0,1))+N(INDEX('仕入先'!$E$5:$E$54,$R475)))+1,0)))))))</f>
        <v/>
      </c>
      <c r="I475" s="26" t="n"/>
      <c r="J475" s="29">
        <f>IF($B475="","",IF(ISNUMBER($I475),$I475,$H475))</f>
        <v/>
      </c>
      <c r="K475" s="26" t="n"/>
      <c r="L475" s="27" t="n"/>
      <c r="M475" s="27" t="n"/>
      <c r="N475" s="28">
        <f>IF($B475="","",N($G475)-N($L475)-N($M475))</f>
        <v/>
      </c>
      <c r="O475" s="30">
        <f>IF($B475="","",IF(AND(OR(N($L475)&lt;&gt;0,N($M475)&lt;&gt;0),NOT(ISNUMBER($K475))),"支払日なし",IF($N475=0,IF(N($G475)=0,"請求額0","支払済"),IF($N475&lt;0,"払いすぎ",IF(N($L475)+N($M475)=0,"未払","一部支払")))))</f>
        <v/>
      </c>
      <c r="P475" s="30">
        <f>IF(OR($B475="",N($N475)&lt;=0,NOT(ISNUMBER($J475))),"",IF($J475&lt;'設定'!$B$7,"期日超過 "&amp;('設定'!$B$7-$J475)&amp;"日",IF($J475='設定'!$B$7,"今日","あと "&amp;($J475-'設定'!$B$7)&amp;"日")))</f>
        <v/>
      </c>
      <c r="Q475" s="56" t="n"/>
      <c r="R475" s="32">
        <f>IF($B475="","",IFERROR(MATCH($B475,'仕入先'!$B$5:$B$54,0),"なし"))</f>
        <v/>
      </c>
      <c r="S475" s="33">
        <f>IF($B475="","",IF(ISNUMBER($D475),$D475,IF(ISNUMBER($A475),$A475,"")))</f>
        <v/>
      </c>
      <c r="T475" s="34">
        <f>IF(OR($B475="",N($N475)&lt;=0),"",IF(ISNUMBER($J475),$J475,99999)+ROW()/1000000)</f>
        <v/>
      </c>
      <c r="U475" s="35">
        <f>IF(OR($B475="",$B475&lt;&gt;'買掛帳'!$B$3,NOT(ISNUMBER($S475))),"",IF(AND($S475&gt;='買掛帳'!$Q$3,$S475&lt;='買掛帳'!$Q$4),$S475+ROW()/10000000,""))</f>
        <v/>
      </c>
      <c r="V475" s="35">
        <f>IF(OR($B475="",$B475&lt;&gt;'買掛帳'!$B$3,NOT(ISNUMBER($K475)),N($L475)+N($M475)=0),"",IF(AND($K475&gt;='買掛帳'!$Q$3,$K475&lt;='買掛帳'!$Q$4),$K475+0.5+ROW()/10000000,""))</f>
        <v/>
      </c>
    </row>
    <row r="476" ht="18" customHeight="1">
      <c r="A476" s="26" t="n"/>
      <c r="B476" s="18" t="n"/>
      <c r="C476" s="20">
        <f>IF($B476="","",IF($R476="なし","※仕入先にないコード",INDEX('仕入先'!$C$5:$C$54,$R476)&amp;""))</f>
        <v/>
      </c>
      <c r="D476" s="26" t="n"/>
      <c r="E476" s="18" t="n"/>
      <c r="F476" s="19" t="n"/>
      <c r="G476" s="27" t="n"/>
      <c r="H476" s="29">
        <f>IF(OR($B476="",NOT(ISNUMBER($R476)),NOT(ISNUMBER($S476))),"",IF(OR(INDEX('仕入先'!$D$5:$D$54,$R476)="",INDEX('仕入先'!$E$5:$E$54,$R476)="",INDEX('仕入先'!$F$5:$F$54,$R476)=""),"",IF(INDEX('仕入先'!$F$5:$F$54,$R476)="末",DATE(YEAR($S476),(MONTH($S476)+IF(INDEX('仕入先'!$D$5:$D$54,$R476)="末",0,IF(DAY($S476)&lt;=INDEX('仕入先'!$D$5:$D$54,$R476),0,1))+N(INDEX('仕入先'!$E$5:$E$54,$R476)))+1,0),DATE(YEAR($S476),(MONTH($S476)+IF(INDEX('仕入先'!$D$5:$D$54,$R476)="末",0,IF(DAY($S476)&lt;=INDEX('仕入先'!$D$5:$D$54,$R476),0,1))+N(INDEX('仕入先'!$E$5:$E$54,$R476))),MIN(INDEX('仕入先'!$F$5:$F$54,$R476),DAY(DATE(YEAR($S476),(MONTH($S476)+IF(INDEX('仕入先'!$D$5:$D$54,$R476)="末",0,IF(DAY($S476)&lt;=INDEX('仕入先'!$D$5:$D$54,$R476),0,1))+N(INDEX('仕入先'!$E$5:$E$54,$R476)))+1,0)))))))</f>
        <v/>
      </c>
      <c r="I476" s="26" t="n"/>
      <c r="J476" s="29">
        <f>IF($B476="","",IF(ISNUMBER($I476),$I476,$H476))</f>
        <v/>
      </c>
      <c r="K476" s="26" t="n"/>
      <c r="L476" s="27" t="n"/>
      <c r="M476" s="27" t="n"/>
      <c r="N476" s="28">
        <f>IF($B476="","",N($G476)-N($L476)-N($M476))</f>
        <v/>
      </c>
      <c r="O476" s="30">
        <f>IF($B476="","",IF(AND(OR(N($L476)&lt;&gt;0,N($M476)&lt;&gt;0),NOT(ISNUMBER($K476))),"支払日なし",IF($N476=0,IF(N($G476)=0,"請求額0","支払済"),IF($N476&lt;0,"払いすぎ",IF(N($L476)+N($M476)=0,"未払","一部支払")))))</f>
        <v/>
      </c>
      <c r="P476" s="30">
        <f>IF(OR($B476="",N($N476)&lt;=0,NOT(ISNUMBER($J476))),"",IF($J476&lt;'設定'!$B$7,"期日超過 "&amp;('設定'!$B$7-$J476)&amp;"日",IF($J476='設定'!$B$7,"今日","あと "&amp;($J476-'設定'!$B$7)&amp;"日")))</f>
        <v/>
      </c>
      <c r="Q476" s="56" t="n"/>
      <c r="R476" s="32">
        <f>IF($B476="","",IFERROR(MATCH($B476,'仕入先'!$B$5:$B$54,0),"なし"))</f>
        <v/>
      </c>
      <c r="S476" s="33">
        <f>IF($B476="","",IF(ISNUMBER($D476),$D476,IF(ISNUMBER($A476),$A476,"")))</f>
        <v/>
      </c>
      <c r="T476" s="34">
        <f>IF(OR($B476="",N($N476)&lt;=0),"",IF(ISNUMBER($J476),$J476,99999)+ROW()/1000000)</f>
        <v/>
      </c>
      <c r="U476" s="35">
        <f>IF(OR($B476="",$B476&lt;&gt;'買掛帳'!$B$3,NOT(ISNUMBER($S476))),"",IF(AND($S476&gt;='買掛帳'!$Q$3,$S476&lt;='買掛帳'!$Q$4),$S476+ROW()/10000000,""))</f>
        <v/>
      </c>
      <c r="V476" s="35">
        <f>IF(OR($B476="",$B476&lt;&gt;'買掛帳'!$B$3,NOT(ISNUMBER($K476)),N($L476)+N($M476)=0),"",IF(AND($K476&gt;='買掛帳'!$Q$3,$K476&lt;='買掛帳'!$Q$4),$K476+0.5+ROW()/10000000,""))</f>
        <v/>
      </c>
    </row>
    <row r="477" ht="18" customHeight="1">
      <c r="A477" s="26" t="n"/>
      <c r="B477" s="18" t="n"/>
      <c r="C477" s="20">
        <f>IF($B477="","",IF($R477="なし","※仕入先にないコード",INDEX('仕入先'!$C$5:$C$54,$R477)&amp;""))</f>
        <v/>
      </c>
      <c r="D477" s="26" t="n"/>
      <c r="E477" s="18" t="n"/>
      <c r="F477" s="19" t="n"/>
      <c r="G477" s="27" t="n"/>
      <c r="H477" s="29">
        <f>IF(OR($B477="",NOT(ISNUMBER($R477)),NOT(ISNUMBER($S477))),"",IF(OR(INDEX('仕入先'!$D$5:$D$54,$R477)="",INDEX('仕入先'!$E$5:$E$54,$R477)="",INDEX('仕入先'!$F$5:$F$54,$R477)=""),"",IF(INDEX('仕入先'!$F$5:$F$54,$R477)="末",DATE(YEAR($S477),(MONTH($S477)+IF(INDEX('仕入先'!$D$5:$D$54,$R477)="末",0,IF(DAY($S477)&lt;=INDEX('仕入先'!$D$5:$D$54,$R477),0,1))+N(INDEX('仕入先'!$E$5:$E$54,$R477)))+1,0),DATE(YEAR($S477),(MONTH($S477)+IF(INDEX('仕入先'!$D$5:$D$54,$R477)="末",0,IF(DAY($S477)&lt;=INDEX('仕入先'!$D$5:$D$54,$R477),0,1))+N(INDEX('仕入先'!$E$5:$E$54,$R477))),MIN(INDEX('仕入先'!$F$5:$F$54,$R477),DAY(DATE(YEAR($S477),(MONTH($S477)+IF(INDEX('仕入先'!$D$5:$D$54,$R477)="末",0,IF(DAY($S477)&lt;=INDEX('仕入先'!$D$5:$D$54,$R477),0,1))+N(INDEX('仕入先'!$E$5:$E$54,$R477)))+1,0)))))))</f>
        <v/>
      </c>
      <c r="I477" s="26" t="n"/>
      <c r="J477" s="29">
        <f>IF($B477="","",IF(ISNUMBER($I477),$I477,$H477))</f>
        <v/>
      </c>
      <c r="K477" s="26" t="n"/>
      <c r="L477" s="27" t="n"/>
      <c r="M477" s="27" t="n"/>
      <c r="N477" s="28">
        <f>IF($B477="","",N($G477)-N($L477)-N($M477))</f>
        <v/>
      </c>
      <c r="O477" s="30">
        <f>IF($B477="","",IF(AND(OR(N($L477)&lt;&gt;0,N($M477)&lt;&gt;0),NOT(ISNUMBER($K477))),"支払日なし",IF($N477=0,IF(N($G477)=0,"請求額0","支払済"),IF($N477&lt;0,"払いすぎ",IF(N($L477)+N($M477)=0,"未払","一部支払")))))</f>
        <v/>
      </c>
      <c r="P477" s="30">
        <f>IF(OR($B477="",N($N477)&lt;=0,NOT(ISNUMBER($J477))),"",IF($J477&lt;'設定'!$B$7,"期日超過 "&amp;('設定'!$B$7-$J477)&amp;"日",IF($J477='設定'!$B$7,"今日","あと "&amp;($J477-'設定'!$B$7)&amp;"日")))</f>
        <v/>
      </c>
      <c r="Q477" s="56" t="n"/>
      <c r="R477" s="32">
        <f>IF($B477="","",IFERROR(MATCH($B477,'仕入先'!$B$5:$B$54,0),"なし"))</f>
        <v/>
      </c>
      <c r="S477" s="33">
        <f>IF($B477="","",IF(ISNUMBER($D477),$D477,IF(ISNUMBER($A477),$A477,"")))</f>
        <v/>
      </c>
      <c r="T477" s="34">
        <f>IF(OR($B477="",N($N477)&lt;=0),"",IF(ISNUMBER($J477),$J477,99999)+ROW()/1000000)</f>
        <v/>
      </c>
      <c r="U477" s="35">
        <f>IF(OR($B477="",$B477&lt;&gt;'買掛帳'!$B$3,NOT(ISNUMBER($S477))),"",IF(AND($S477&gt;='買掛帳'!$Q$3,$S477&lt;='買掛帳'!$Q$4),$S477+ROW()/10000000,""))</f>
        <v/>
      </c>
      <c r="V477" s="35">
        <f>IF(OR($B477="",$B477&lt;&gt;'買掛帳'!$B$3,NOT(ISNUMBER($K477)),N($L477)+N($M477)=0),"",IF(AND($K477&gt;='買掛帳'!$Q$3,$K477&lt;='買掛帳'!$Q$4),$K477+0.5+ROW()/10000000,""))</f>
        <v/>
      </c>
    </row>
    <row r="478" ht="18" customHeight="1">
      <c r="A478" s="26" t="n"/>
      <c r="B478" s="18" t="n"/>
      <c r="C478" s="20">
        <f>IF($B478="","",IF($R478="なし","※仕入先にないコード",INDEX('仕入先'!$C$5:$C$54,$R478)&amp;""))</f>
        <v/>
      </c>
      <c r="D478" s="26" t="n"/>
      <c r="E478" s="18" t="n"/>
      <c r="F478" s="19" t="n"/>
      <c r="G478" s="27" t="n"/>
      <c r="H478" s="29">
        <f>IF(OR($B478="",NOT(ISNUMBER($R478)),NOT(ISNUMBER($S478))),"",IF(OR(INDEX('仕入先'!$D$5:$D$54,$R478)="",INDEX('仕入先'!$E$5:$E$54,$R478)="",INDEX('仕入先'!$F$5:$F$54,$R478)=""),"",IF(INDEX('仕入先'!$F$5:$F$54,$R478)="末",DATE(YEAR($S478),(MONTH($S478)+IF(INDEX('仕入先'!$D$5:$D$54,$R478)="末",0,IF(DAY($S478)&lt;=INDEX('仕入先'!$D$5:$D$54,$R478),0,1))+N(INDEX('仕入先'!$E$5:$E$54,$R478)))+1,0),DATE(YEAR($S478),(MONTH($S478)+IF(INDEX('仕入先'!$D$5:$D$54,$R478)="末",0,IF(DAY($S478)&lt;=INDEX('仕入先'!$D$5:$D$54,$R478),0,1))+N(INDEX('仕入先'!$E$5:$E$54,$R478))),MIN(INDEX('仕入先'!$F$5:$F$54,$R478),DAY(DATE(YEAR($S478),(MONTH($S478)+IF(INDEX('仕入先'!$D$5:$D$54,$R478)="末",0,IF(DAY($S478)&lt;=INDEX('仕入先'!$D$5:$D$54,$R478),0,1))+N(INDEX('仕入先'!$E$5:$E$54,$R478)))+1,0)))))))</f>
        <v/>
      </c>
      <c r="I478" s="26" t="n"/>
      <c r="J478" s="29">
        <f>IF($B478="","",IF(ISNUMBER($I478),$I478,$H478))</f>
        <v/>
      </c>
      <c r="K478" s="26" t="n"/>
      <c r="L478" s="27" t="n"/>
      <c r="M478" s="27" t="n"/>
      <c r="N478" s="28">
        <f>IF($B478="","",N($G478)-N($L478)-N($M478))</f>
        <v/>
      </c>
      <c r="O478" s="30">
        <f>IF($B478="","",IF(AND(OR(N($L478)&lt;&gt;0,N($M478)&lt;&gt;0),NOT(ISNUMBER($K478))),"支払日なし",IF($N478=0,IF(N($G478)=0,"請求額0","支払済"),IF($N478&lt;0,"払いすぎ",IF(N($L478)+N($M478)=0,"未払","一部支払")))))</f>
        <v/>
      </c>
      <c r="P478" s="30">
        <f>IF(OR($B478="",N($N478)&lt;=0,NOT(ISNUMBER($J478))),"",IF($J478&lt;'設定'!$B$7,"期日超過 "&amp;('設定'!$B$7-$J478)&amp;"日",IF($J478='設定'!$B$7,"今日","あと "&amp;($J478-'設定'!$B$7)&amp;"日")))</f>
        <v/>
      </c>
      <c r="Q478" s="56" t="n"/>
      <c r="R478" s="32">
        <f>IF($B478="","",IFERROR(MATCH($B478,'仕入先'!$B$5:$B$54,0),"なし"))</f>
        <v/>
      </c>
      <c r="S478" s="33">
        <f>IF($B478="","",IF(ISNUMBER($D478),$D478,IF(ISNUMBER($A478),$A478,"")))</f>
        <v/>
      </c>
      <c r="T478" s="34">
        <f>IF(OR($B478="",N($N478)&lt;=0),"",IF(ISNUMBER($J478),$J478,99999)+ROW()/1000000)</f>
        <v/>
      </c>
      <c r="U478" s="35">
        <f>IF(OR($B478="",$B478&lt;&gt;'買掛帳'!$B$3,NOT(ISNUMBER($S478))),"",IF(AND($S478&gt;='買掛帳'!$Q$3,$S478&lt;='買掛帳'!$Q$4),$S478+ROW()/10000000,""))</f>
        <v/>
      </c>
      <c r="V478" s="35">
        <f>IF(OR($B478="",$B478&lt;&gt;'買掛帳'!$B$3,NOT(ISNUMBER($K478)),N($L478)+N($M478)=0),"",IF(AND($K478&gt;='買掛帳'!$Q$3,$K478&lt;='買掛帳'!$Q$4),$K478+0.5+ROW()/10000000,""))</f>
        <v/>
      </c>
    </row>
    <row r="479" ht="18" customHeight="1">
      <c r="A479" s="26" t="n"/>
      <c r="B479" s="18" t="n"/>
      <c r="C479" s="20">
        <f>IF($B479="","",IF($R479="なし","※仕入先にないコード",INDEX('仕入先'!$C$5:$C$54,$R479)&amp;""))</f>
        <v/>
      </c>
      <c r="D479" s="26" t="n"/>
      <c r="E479" s="18" t="n"/>
      <c r="F479" s="19" t="n"/>
      <c r="G479" s="27" t="n"/>
      <c r="H479" s="29">
        <f>IF(OR($B479="",NOT(ISNUMBER($R479)),NOT(ISNUMBER($S479))),"",IF(OR(INDEX('仕入先'!$D$5:$D$54,$R479)="",INDEX('仕入先'!$E$5:$E$54,$R479)="",INDEX('仕入先'!$F$5:$F$54,$R479)=""),"",IF(INDEX('仕入先'!$F$5:$F$54,$R479)="末",DATE(YEAR($S479),(MONTH($S479)+IF(INDEX('仕入先'!$D$5:$D$54,$R479)="末",0,IF(DAY($S479)&lt;=INDEX('仕入先'!$D$5:$D$54,$R479),0,1))+N(INDEX('仕入先'!$E$5:$E$54,$R479)))+1,0),DATE(YEAR($S479),(MONTH($S479)+IF(INDEX('仕入先'!$D$5:$D$54,$R479)="末",0,IF(DAY($S479)&lt;=INDEX('仕入先'!$D$5:$D$54,$R479),0,1))+N(INDEX('仕入先'!$E$5:$E$54,$R479))),MIN(INDEX('仕入先'!$F$5:$F$54,$R479),DAY(DATE(YEAR($S479),(MONTH($S479)+IF(INDEX('仕入先'!$D$5:$D$54,$R479)="末",0,IF(DAY($S479)&lt;=INDEX('仕入先'!$D$5:$D$54,$R479),0,1))+N(INDEX('仕入先'!$E$5:$E$54,$R479)))+1,0)))))))</f>
        <v/>
      </c>
      <c r="I479" s="26" t="n"/>
      <c r="J479" s="29">
        <f>IF($B479="","",IF(ISNUMBER($I479),$I479,$H479))</f>
        <v/>
      </c>
      <c r="K479" s="26" t="n"/>
      <c r="L479" s="27" t="n"/>
      <c r="M479" s="27" t="n"/>
      <c r="N479" s="28">
        <f>IF($B479="","",N($G479)-N($L479)-N($M479))</f>
        <v/>
      </c>
      <c r="O479" s="30">
        <f>IF($B479="","",IF(AND(OR(N($L479)&lt;&gt;0,N($M479)&lt;&gt;0),NOT(ISNUMBER($K479))),"支払日なし",IF($N479=0,IF(N($G479)=0,"請求額0","支払済"),IF($N479&lt;0,"払いすぎ",IF(N($L479)+N($M479)=0,"未払","一部支払")))))</f>
        <v/>
      </c>
      <c r="P479" s="30">
        <f>IF(OR($B479="",N($N479)&lt;=0,NOT(ISNUMBER($J479))),"",IF($J479&lt;'設定'!$B$7,"期日超過 "&amp;('設定'!$B$7-$J479)&amp;"日",IF($J479='設定'!$B$7,"今日","あと "&amp;($J479-'設定'!$B$7)&amp;"日")))</f>
        <v/>
      </c>
      <c r="Q479" s="56" t="n"/>
      <c r="R479" s="32">
        <f>IF($B479="","",IFERROR(MATCH($B479,'仕入先'!$B$5:$B$54,0),"なし"))</f>
        <v/>
      </c>
      <c r="S479" s="33">
        <f>IF($B479="","",IF(ISNUMBER($D479),$D479,IF(ISNUMBER($A479),$A479,"")))</f>
        <v/>
      </c>
      <c r="T479" s="34">
        <f>IF(OR($B479="",N($N479)&lt;=0),"",IF(ISNUMBER($J479),$J479,99999)+ROW()/1000000)</f>
        <v/>
      </c>
      <c r="U479" s="35">
        <f>IF(OR($B479="",$B479&lt;&gt;'買掛帳'!$B$3,NOT(ISNUMBER($S479))),"",IF(AND($S479&gt;='買掛帳'!$Q$3,$S479&lt;='買掛帳'!$Q$4),$S479+ROW()/10000000,""))</f>
        <v/>
      </c>
      <c r="V479" s="35">
        <f>IF(OR($B479="",$B479&lt;&gt;'買掛帳'!$B$3,NOT(ISNUMBER($K479)),N($L479)+N($M479)=0),"",IF(AND($K479&gt;='買掛帳'!$Q$3,$K479&lt;='買掛帳'!$Q$4),$K479+0.5+ROW()/10000000,""))</f>
        <v/>
      </c>
    </row>
    <row r="480" ht="18" customHeight="1">
      <c r="A480" s="26" t="n"/>
      <c r="B480" s="18" t="n"/>
      <c r="C480" s="20">
        <f>IF($B480="","",IF($R480="なし","※仕入先にないコード",INDEX('仕入先'!$C$5:$C$54,$R480)&amp;""))</f>
        <v/>
      </c>
      <c r="D480" s="26" t="n"/>
      <c r="E480" s="18" t="n"/>
      <c r="F480" s="19" t="n"/>
      <c r="G480" s="27" t="n"/>
      <c r="H480" s="29">
        <f>IF(OR($B480="",NOT(ISNUMBER($R480)),NOT(ISNUMBER($S480))),"",IF(OR(INDEX('仕入先'!$D$5:$D$54,$R480)="",INDEX('仕入先'!$E$5:$E$54,$R480)="",INDEX('仕入先'!$F$5:$F$54,$R480)=""),"",IF(INDEX('仕入先'!$F$5:$F$54,$R480)="末",DATE(YEAR($S480),(MONTH($S480)+IF(INDEX('仕入先'!$D$5:$D$54,$R480)="末",0,IF(DAY($S480)&lt;=INDEX('仕入先'!$D$5:$D$54,$R480),0,1))+N(INDEX('仕入先'!$E$5:$E$54,$R480)))+1,0),DATE(YEAR($S480),(MONTH($S480)+IF(INDEX('仕入先'!$D$5:$D$54,$R480)="末",0,IF(DAY($S480)&lt;=INDEX('仕入先'!$D$5:$D$54,$R480),0,1))+N(INDEX('仕入先'!$E$5:$E$54,$R480))),MIN(INDEX('仕入先'!$F$5:$F$54,$R480),DAY(DATE(YEAR($S480),(MONTH($S480)+IF(INDEX('仕入先'!$D$5:$D$54,$R480)="末",0,IF(DAY($S480)&lt;=INDEX('仕入先'!$D$5:$D$54,$R480),0,1))+N(INDEX('仕入先'!$E$5:$E$54,$R480)))+1,0)))))))</f>
        <v/>
      </c>
      <c r="I480" s="26" t="n"/>
      <c r="J480" s="29">
        <f>IF($B480="","",IF(ISNUMBER($I480),$I480,$H480))</f>
        <v/>
      </c>
      <c r="K480" s="26" t="n"/>
      <c r="L480" s="27" t="n"/>
      <c r="M480" s="27" t="n"/>
      <c r="N480" s="28">
        <f>IF($B480="","",N($G480)-N($L480)-N($M480))</f>
        <v/>
      </c>
      <c r="O480" s="30">
        <f>IF($B480="","",IF(AND(OR(N($L480)&lt;&gt;0,N($M480)&lt;&gt;0),NOT(ISNUMBER($K480))),"支払日なし",IF($N480=0,IF(N($G480)=0,"請求額0","支払済"),IF($N480&lt;0,"払いすぎ",IF(N($L480)+N($M480)=0,"未払","一部支払")))))</f>
        <v/>
      </c>
      <c r="P480" s="30">
        <f>IF(OR($B480="",N($N480)&lt;=0,NOT(ISNUMBER($J480))),"",IF($J480&lt;'設定'!$B$7,"期日超過 "&amp;('設定'!$B$7-$J480)&amp;"日",IF($J480='設定'!$B$7,"今日","あと "&amp;($J480-'設定'!$B$7)&amp;"日")))</f>
        <v/>
      </c>
      <c r="Q480" s="56" t="n"/>
      <c r="R480" s="32">
        <f>IF($B480="","",IFERROR(MATCH($B480,'仕入先'!$B$5:$B$54,0),"なし"))</f>
        <v/>
      </c>
      <c r="S480" s="33">
        <f>IF($B480="","",IF(ISNUMBER($D480),$D480,IF(ISNUMBER($A480),$A480,"")))</f>
        <v/>
      </c>
      <c r="T480" s="34">
        <f>IF(OR($B480="",N($N480)&lt;=0),"",IF(ISNUMBER($J480),$J480,99999)+ROW()/1000000)</f>
        <v/>
      </c>
      <c r="U480" s="35">
        <f>IF(OR($B480="",$B480&lt;&gt;'買掛帳'!$B$3,NOT(ISNUMBER($S480))),"",IF(AND($S480&gt;='買掛帳'!$Q$3,$S480&lt;='買掛帳'!$Q$4),$S480+ROW()/10000000,""))</f>
        <v/>
      </c>
      <c r="V480" s="35">
        <f>IF(OR($B480="",$B480&lt;&gt;'買掛帳'!$B$3,NOT(ISNUMBER($K480)),N($L480)+N($M480)=0),"",IF(AND($K480&gt;='買掛帳'!$Q$3,$K480&lt;='買掛帳'!$Q$4),$K480+0.5+ROW()/10000000,""))</f>
        <v/>
      </c>
    </row>
    <row r="481" ht="18" customHeight="1">
      <c r="A481" s="26" t="n"/>
      <c r="B481" s="18" t="n"/>
      <c r="C481" s="20">
        <f>IF($B481="","",IF($R481="なし","※仕入先にないコード",INDEX('仕入先'!$C$5:$C$54,$R481)&amp;""))</f>
        <v/>
      </c>
      <c r="D481" s="26" t="n"/>
      <c r="E481" s="18" t="n"/>
      <c r="F481" s="19" t="n"/>
      <c r="G481" s="27" t="n"/>
      <c r="H481" s="29">
        <f>IF(OR($B481="",NOT(ISNUMBER($R481)),NOT(ISNUMBER($S481))),"",IF(OR(INDEX('仕入先'!$D$5:$D$54,$R481)="",INDEX('仕入先'!$E$5:$E$54,$R481)="",INDEX('仕入先'!$F$5:$F$54,$R481)=""),"",IF(INDEX('仕入先'!$F$5:$F$54,$R481)="末",DATE(YEAR($S481),(MONTH($S481)+IF(INDEX('仕入先'!$D$5:$D$54,$R481)="末",0,IF(DAY($S481)&lt;=INDEX('仕入先'!$D$5:$D$54,$R481),0,1))+N(INDEX('仕入先'!$E$5:$E$54,$R481)))+1,0),DATE(YEAR($S481),(MONTH($S481)+IF(INDEX('仕入先'!$D$5:$D$54,$R481)="末",0,IF(DAY($S481)&lt;=INDEX('仕入先'!$D$5:$D$54,$R481),0,1))+N(INDEX('仕入先'!$E$5:$E$54,$R481))),MIN(INDEX('仕入先'!$F$5:$F$54,$R481),DAY(DATE(YEAR($S481),(MONTH($S481)+IF(INDEX('仕入先'!$D$5:$D$54,$R481)="末",0,IF(DAY($S481)&lt;=INDEX('仕入先'!$D$5:$D$54,$R481),0,1))+N(INDEX('仕入先'!$E$5:$E$54,$R481)))+1,0)))))))</f>
        <v/>
      </c>
      <c r="I481" s="26" t="n"/>
      <c r="J481" s="29">
        <f>IF($B481="","",IF(ISNUMBER($I481),$I481,$H481))</f>
        <v/>
      </c>
      <c r="K481" s="26" t="n"/>
      <c r="L481" s="27" t="n"/>
      <c r="M481" s="27" t="n"/>
      <c r="N481" s="28">
        <f>IF($B481="","",N($G481)-N($L481)-N($M481))</f>
        <v/>
      </c>
      <c r="O481" s="30">
        <f>IF($B481="","",IF(AND(OR(N($L481)&lt;&gt;0,N($M481)&lt;&gt;0),NOT(ISNUMBER($K481))),"支払日なし",IF($N481=0,IF(N($G481)=0,"請求額0","支払済"),IF($N481&lt;0,"払いすぎ",IF(N($L481)+N($M481)=0,"未払","一部支払")))))</f>
        <v/>
      </c>
      <c r="P481" s="30">
        <f>IF(OR($B481="",N($N481)&lt;=0,NOT(ISNUMBER($J481))),"",IF($J481&lt;'設定'!$B$7,"期日超過 "&amp;('設定'!$B$7-$J481)&amp;"日",IF($J481='設定'!$B$7,"今日","あと "&amp;($J481-'設定'!$B$7)&amp;"日")))</f>
        <v/>
      </c>
      <c r="Q481" s="56" t="n"/>
      <c r="R481" s="32">
        <f>IF($B481="","",IFERROR(MATCH($B481,'仕入先'!$B$5:$B$54,0),"なし"))</f>
        <v/>
      </c>
      <c r="S481" s="33">
        <f>IF($B481="","",IF(ISNUMBER($D481),$D481,IF(ISNUMBER($A481),$A481,"")))</f>
        <v/>
      </c>
      <c r="T481" s="34">
        <f>IF(OR($B481="",N($N481)&lt;=0),"",IF(ISNUMBER($J481),$J481,99999)+ROW()/1000000)</f>
        <v/>
      </c>
      <c r="U481" s="35">
        <f>IF(OR($B481="",$B481&lt;&gt;'買掛帳'!$B$3,NOT(ISNUMBER($S481))),"",IF(AND($S481&gt;='買掛帳'!$Q$3,$S481&lt;='買掛帳'!$Q$4),$S481+ROW()/10000000,""))</f>
        <v/>
      </c>
      <c r="V481" s="35">
        <f>IF(OR($B481="",$B481&lt;&gt;'買掛帳'!$B$3,NOT(ISNUMBER($K481)),N($L481)+N($M481)=0),"",IF(AND($K481&gt;='買掛帳'!$Q$3,$K481&lt;='買掛帳'!$Q$4),$K481+0.5+ROW()/10000000,""))</f>
        <v/>
      </c>
    </row>
    <row r="482" ht="18" customHeight="1">
      <c r="A482" s="26" t="n"/>
      <c r="B482" s="18" t="n"/>
      <c r="C482" s="20">
        <f>IF($B482="","",IF($R482="なし","※仕入先にないコード",INDEX('仕入先'!$C$5:$C$54,$R482)&amp;""))</f>
        <v/>
      </c>
      <c r="D482" s="26" t="n"/>
      <c r="E482" s="18" t="n"/>
      <c r="F482" s="19" t="n"/>
      <c r="G482" s="27" t="n"/>
      <c r="H482" s="29">
        <f>IF(OR($B482="",NOT(ISNUMBER($R482)),NOT(ISNUMBER($S482))),"",IF(OR(INDEX('仕入先'!$D$5:$D$54,$R482)="",INDEX('仕入先'!$E$5:$E$54,$R482)="",INDEX('仕入先'!$F$5:$F$54,$R482)=""),"",IF(INDEX('仕入先'!$F$5:$F$54,$R482)="末",DATE(YEAR($S482),(MONTH($S482)+IF(INDEX('仕入先'!$D$5:$D$54,$R482)="末",0,IF(DAY($S482)&lt;=INDEX('仕入先'!$D$5:$D$54,$R482),0,1))+N(INDEX('仕入先'!$E$5:$E$54,$R482)))+1,0),DATE(YEAR($S482),(MONTH($S482)+IF(INDEX('仕入先'!$D$5:$D$54,$R482)="末",0,IF(DAY($S482)&lt;=INDEX('仕入先'!$D$5:$D$54,$R482),0,1))+N(INDEX('仕入先'!$E$5:$E$54,$R482))),MIN(INDEX('仕入先'!$F$5:$F$54,$R482),DAY(DATE(YEAR($S482),(MONTH($S482)+IF(INDEX('仕入先'!$D$5:$D$54,$R482)="末",0,IF(DAY($S482)&lt;=INDEX('仕入先'!$D$5:$D$54,$R482),0,1))+N(INDEX('仕入先'!$E$5:$E$54,$R482)))+1,0)))))))</f>
        <v/>
      </c>
      <c r="I482" s="26" t="n"/>
      <c r="J482" s="29">
        <f>IF($B482="","",IF(ISNUMBER($I482),$I482,$H482))</f>
        <v/>
      </c>
      <c r="K482" s="26" t="n"/>
      <c r="L482" s="27" t="n"/>
      <c r="M482" s="27" t="n"/>
      <c r="N482" s="28">
        <f>IF($B482="","",N($G482)-N($L482)-N($M482))</f>
        <v/>
      </c>
      <c r="O482" s="30">
        <f>IF($B482="","",IF(AND(OR(N($L482)&lt;&gt;0,N($M482)&lt;&gt;0),NOT(ISNUMBER($K482))),"支払日なし",IF($N482=0,IF(N($G482)=0,"請求額0","支払済"),IF($N482&lt;0,"払いすぎ",IF(N($L482)+N($M482)=0,"未払","一部支払")))))</f>
        <v/>
      </c>
      <c r="P482" s="30">
        <f>IF(OR($B482="",N($N482)&lt;=0,NOT(ISNUMBER($J482))),"",IF($J482&lt;'設定'!$B$7,"期日超過 "&amp;('設定'!$B$7-$J482)&amp;"日",IF($J482='設定'!$B$7,"今日","あと "&amp;($J482-'設定'!$B$7)&amp;"日")))</f>
        <v/>
      </c>
      <c r="Q482" s="56" t="n"/>
      <c r="R482" s="32">
        <f>IF($B482="","",IFERROR(MATCH($B482,'仕入先'!$B$5:$B$54,0),"なし"))</f>
        <v/>
      </c>
      <c r="S482" s="33">
        <f>IF($B482="","",IF(ISNUMBER($D482),$D482,IF(ISNUMBER($A482),$A482,"")))</f>
        <v/>
      </c>
      <c r="T482" s="34">
        <f>IF(OR($B482="",N($N482)&lt;=0),"",IF(ISNUMBER($J482),$J482,99999)+ROW()/1000000)</f>
        <v/>
      </c>
      <c r="U482" s="35">
        <f>IF(OR($B482="",$B482&lt;&gt;'買掛帳'!$B$3,NOT(ISNUMBER($S482))),"",IF(AND($S482&gt;='買掛帳'!$Q$3,$S482&lt;='買掛帳'!$Q$4),$S482+ROW()/10000000,""))</f>
        <v/>
      </c>
      <c r="V482" s="35">
        <f>IF(OR($B482="",$B482&lt;&gt;'買掛帳'!$B$3,NOT(ISNUMBER($K482)),N($L482)+N($M482)=0),"",IF(AND($K482&gt;='買掛帳'!$Q$3,$K482&lt;='買掛帳'!$Q$4),$K482+0.5+ROW()/10000000,""))</f>
        <v/>
      </c>
    </row>
    <row r="483" ht="18" customHeight="1">
      <c r="A483" s="26" t="n"/>
      <c r="B483" s="18" t="n"/>
      <c r="C483" s="20">
        <f>IF($B483="","",IF($R483="なし","※仕入先にないコード",INDEX('仕入先'!$C$5:$C$54,$R483)&amp;""))</f>
        <v/>
      </c>
      <c r="D483" s="26" t="n"/>
      <c r="E483" s="18" t="n"/>
      <c r="F483" s="19" t="n"/>
      <c r="G483" s="27" t="n"/>
      <c r="H483" s="29">
        <f>IF(OR($B483="",NOT(ISNUMBER($R483)),NOT(ISNUMBER($S483))),"",IF(OR(INDEX('仕入先'!$D$5:$D$54,$R483)="",INDEX('仕入先'!$E$5:$E$54,$R483)="",INDEX('仕入先'!$F$5:$F$54,$R483)=""),"",IF(INDEX('仕入先'!$F$5:$F$54,$R483)="末",DATE(YEAR($S483),(MONTH($S483)+IF(INDEX('仕入先'!$D$5:$D$54,$R483)="末",0,IF(DAY($S483)&lt;=INDEX('仕入先'!$D$5:$D$54,$R483),0,1))+N(INDEX('仕入先'!$E$5:$E$54,$R483)))+1,0),DATE(YEAR($S483),(MONTH($S483)+IF(INDEX('仕入先'!$D$5:$D$54,$R483)="末",0,IF(DAY($S483)&lt;=INDEX('仕入先'!$D$5:$D$54,$R483),0,1))+N(INDEX('仕入先'!$E$5:$E$54,$R483))),MIN(INDEX('仕入先'!$F$5:$F$54,$R483),DAY(DATE(YEAR($S483),(MONTH($S483)+IF(INDEX('仕入先'!$D$5:$D$54,$R483)="末",0,IF(DAY($S483)&lt;=INDEX('仕入先'!$D$5:$D$54,$R483),0,1))+N(INDEX('仕入先'!$E$5:$E$54,$R483)))+1,0)))))))</f>
        <v/>
      </c>
      <c r="I483" s="26" t="n"/>
      <c r="J483" s="29">
        <f>IF($B483="","",IF(ISNUMBER($I483),$I483,$H483))</f>
        <v/>
      </c>
      <c r="K483" s="26" t="n"/>
      <c r="L483" s="27" t="n"/>
      <c r="M483" s="27" t="n"/>
      <c r="N483" s="28">
        <f>IF($B483="","",N($G483)-N($L483)-N($M483))</f>
        <v/>
      </c>
      <c r="O483" s="30">
        <f>IF($B483="","",IF(AND(OR(N($L483)&lt;&gt;0,N($M483)&lt;&gt;0),NOT(ISNUMBER($K483))),"支払日なし",IF($N483=0,IF(N($G483)=0,"請求額0","支払済"),IF($N483&lt;0,"払いすぎ",IF(N($L483)+N($M483)=0,"未払","一部支払")))))</f>
        <v/>
      </c>
      <c r="P483" s="30">
        <f>IF(OR($B483="",N($N483)&lt;=0,NOT(ISNUMBER($J483))),"",IF($J483&lt;'設定'!$B$7,"期日超過 "&amp;('設定'!$B$7-$J483)&amp;"日",IF($J483='設定'!$B$7,"今日","あと "&amp;($J483-'設定'!$B$7)&amp;"日")))</f>
        <v/>
      </c>
      <c r="Q483" s="56" t="n"/>
      <c r="R483" s="32">
        <f>IF($B483="","",IFERROR(MATCH($B483,'仕入先'!$B$5:$B$54,0),"なし"))</f>
        <v/>
      </c>
      <c r="S483" s="33">
        <f>IF($B483="","",IF(ISNUMBER($D483),$D483,IF(ISNUMBER($A483),$A483,"")))</f>
        <v/>
      </c>
      <c r="T483" s="34">
        <f>IF(OR($B483="",N($N483)&lt;=0),"",IF(ISNUMBER($J483),$J483,99999)+ROW()/1000000)</f>
        <v/>
      </c>
      <c r="U483" s="35">
        <f>IF(OR($B483="",$B483&lt;&gt;'買掛帳'!$B$3,NOT(ISNUMBER($S483))),"",IF(AND($S483&gt;='買掛帳'!$Q$3,$S483&lt;='買掛帳'!$Q$4),$S483+ROW()/10000000,""))</f>
        <v/>
      </c>
      <c r="V483" s="35">
        <f>IF(OR($B483="",$B483&lt;&gt;'買掛帳'!$B$3,NOT(ISNUMBER($K483)),N($L483)+N($M483)=0),"",IF(AND($K483&gt;='買掛帳'!$Q$3,$K483&lt;='買掛帳'!$Q$4),$K483+0.5+ROW()/10000000,""))</f>
        <v/>
      </c>
    </row>
    <row r="484" ht="18" customHeight="1">
      <c r="A484" s="26" t="n"/>
      <c r="B484" s="18" t="n"/>
      <c r="C484" s="20">
        <f>IF($B484="","",IF($R484="なし","※仕入先にないコード",INDEX('仕入先'!$C$5:$C$54,$R484)&amp;""))</f>
        <v/>
      </c>
      <c r="D484" s="26" t="n"/>
      <c r="E484" s="18" t="n"/>
      <c r="F484" s="19" t="n"/>
      <c r="G484" s="27" t="n"/>
      <c r="H484" s="29">
        <f>IF(OR($B484="",NOT(ISNUMBER($R484)),NOT(ISNUMBER($S484))),"",IF(OR(INDEX('仕入先'!$D$5:$D$54,$R484)="",INDEX('仕入先'!$E$5:$E$54,$R484)="",INDEX('仕入先'!$F$5:$F$54,$R484)=""),"",IF(INDEX('仕入先'!$F$5:$F$54,$R484)="末",DATE(YEAR($S484),(MONTH($S484)+IF(INDEX('仕入先'!$D$5:$D$54,$R484)="末",0,IF(DAY($S484)&lt;=INDEX('仕入先'!$D$5:$D$54,$R484),0,1))+N(INDEX('仕入先'!$E$5:$E$54,$R484)))+1,0),DATE(YEAR($S484),(MONTH($S484)+IF(INDEX('仕入先'!$D$5:$D$54,$R484)="末",0,IF(DAY($S484)&lt;=INDEX('仕入先'!$D$5:$D$54,$R484),0,1))+N(INDEX('仕入先'!$E$5:$E$54,$R484))),MIN(INDEX('仕入先'!$F$5:$F$54,$R484),DAY(DATE(YEAR($S484),(MONTH($S484)+IF(INDEX('仕入先'!$D$5:$D$54,$R484)="末",0,IF(DAY($S484)&lt;=INDEX('仕入先'!$D$5:$D$54,$R484),0,1))+N(INDEX('仕入先'!$E$5:$E$54,$R484)))+1,0)))))))</f>
        <v/>
      </c>
      <c r="I484" s="26" t="n"/>
      <c r="J484" s="29">
        <f>IF($B484="","",IF(ISNUMBER($I484),$I484,$H484))</f>
        <v/>
      </c>
      <c r="K484" s="26" t="n"/>
      <c r="L484" s="27" t="n"/>
      <c r="M484" s="27" t="n"/>
      <c r="N484" s="28">
        <f>IF($B484="","",N($G484)-N($L484)-N($M484))</f>
        <v/>
      </c>
      <c r="O484" s="30">
        <f>IF($B484="","",IF(AND(OR(N($L484)&lt;&gt;0,N($M484)&lt;&gt;0),NOT(ISNUMBER($K484))),"支払日なし",IF($N484=0,IF(N($G484)=0,"請求額0","支払済"),IF($N484&lt;0,"払いすぎ",IF(N($L484)+N($M484)=0,"未払","一部支払")))))</f>
        <v/>
      </c>
      <c r="P484" s="30">
        <f>IF(OR($B484="",N($N484)&lt;=0,NOT(ISNUMBER($J484))),"",IF($J484&lt;'設定'!$B$7,"期日超過 "&amp;('設定'!$B$7-$J484)&amp;"日",IF($J484='設定'!$B$7,"今日","あと "&amp;($J484-'設定'!$B$7)&amp;"日")))</f>
        <v/>
      </c>
      <c r="Q484" s="56" t="n"/>
      <c r="R484" s="32">
        <f>IF($B484="","",IFERROR(MATCH($B484,'仕入先'!$B$5:$B$54,0),"なし"))</f>
        <v/>
      </c>
      <c r="S484" s="33">
        <f>IF($B484="","",IF(ISNUMBER($D484),$D484,IF(ISNUMBER($A484),$A484,"")))</f>
        <v/>
      </c>
      <c r="T484" s="34">
        <f>IF(OR($B484="",N($N484)&lt;=0),"",IF(ISNUMBER($J484),$J484,99999)+ROW()/1000000)</f>
        <v/>
      </c>
      <c r="U484" s="35">
        <f>IF(OR($B484="",$B484&lt;&gt;'買掛帳'!$B$3,NOT(ISNUMBER($S484))),"",IF(AND($S484&gt;='買掛帳'!$Q$3,$S484&lt;='買掛帳'!$Q$4),$S484+ROW()/10000000,""))</f>
        <v/>
      </c>
      <c r="V484" s="35">
        <f>IF(OR($B484="",$B484&lt;&gt;'買掛帳'!$B$3,NOT(ISNUMBER($K484)),N($L484)+N($M484)=0),"",IF(AND($K484&gt;='買掛帳'!$Q$3,$K484&lt;='買掛帳'!$Q$4),$K484+0.5+ROW()/10000000,""))</f>
        <v/>
      </c>
    </row>
    <row r="485" ht="18" customHeight="1">
      <c r="A485" s="26" t="n"/>
      <c r="B485" s="18" t="n"/>
      <c r="C485" s="20">
        <f>IF($B485="","",IF($R485="なし","※仕入先にないコード",INDEX('仕入先'!$C$5:$C$54,$R485)&amp;""))</f>
        <v/>
      </c>
      <c r="D485" s="26" t="n"/>
      <c r="E485" s="18" t="n"/>
      <c r="F485" s="19" t="n"/>
      <c r="G485" s="27" t="n"/>
      <c r="H485" s="29">
        <f>IF(OR($B485="",NOT(ISNUMBER($R485)),NOT(ISNUMBER($S485))),"",IF(OR(INDEX('仕入先'!$D$5:$D$54,$R485)="",INDEX('仕入先'!$E$5:$E$54,$R485)="",INDEX('仕入先'!$F$5:$F$54,$R485)=""),"",IF(INDEX('仕入先'!$F$5:$F$54,$R485)="末",DATE(YEAR($S485),(MONTH($S485)+IF(INDEX('仕入先'!$D$5:$D$54,$R485)="末",0,IF(DAY($S485)&lt;=INDEX('仕入先'!$D$5:$D$54,$R485),0,1))+N(INDEX('仕入先'!$E$5:$E$54,$R485)))+1,0),DATE(YEAR($S485),(MONTH($S485)+IF(INDEX('仕入先'!$D$5:$D$54,$R485)="末",0,IF(DAY($S485)&lt;=INDEX('仕入先'!$D$5:$D$54,$R485),0,1))+N(INDEX('仕入先'!$E$5:$E$54,$R485))),MIN(INDEX('仕入先'!$F$5:$F$54,$R485),DAY(DATE(YEAR($S485),(MONTH($S485)+IF(INDEX('仕入先'!$D$5:$D$54,$R485)="末",0,IF(DAY($S485)&lt;=INDEX('仕入先'!$D$5:$D$54,$R485),0,1))+N(INDEX('仕入先'!$E$5:$E$54,$R485)))+1,0)))))))</f>
        <v/>
      </c>
      <c r="I485" s="26" t="n"/>
      <c r="J485" s="29">
        <f>IF($B485="","",IF(ISNUMBER($I485),$I485,$H485))</f>
        <v/>
      </c>
      <c r="K485" s="26" t="n"/>
      <c r="L485" s="27" t="n"/>
      <c r="M485" s="27" t="n"/>
      <c r="N485" s="28">
        <f>IF($B485="","",N($G485)-N($L485)-N($M485))</f>
        <v/>
      </c>
      <c r="O485" s="30">
        <f>IF($B485="","",IF(AND(OR(N($L485)&lt;&gt;0,N($M485)&lt;&gt;0),NOT(ISNUMBER($K485))),"支払日なし",IF($N485=0,IF(N($G485)=0,"請求額0","支払済"),IF($N485&lt;0,"払いすぎ",IF(N($L485)+N($M485)=0,"未払","一部支払")))))</f>
        <v/>
      </c>
      <c r="P485" s="30">
        <f>IF(OR($B485="",N($N485)&lt;=0,NOT(ISNUMBER($J485))),"",IF($J485&lt;'設定'!$B$7,"期日超過 "&amp;('設定'!$B$7-$J485)&amp;"日",IF($J485='設定'!$B$7,"今日","あと "&amp;($J485-'設定'!$B$7)&amp;"日")))</f>
        <v/>
      </c>
      <c r="Q485" s="56" t="n"/>
      <c r="R485" s="32">
        <f>IF($B485="","",IFERROR(MATCH($B485,'仕入先'!$B$5:$B$54,0),"なし"))</f>
        <v/>
      </c>
      <c r="S485" s="33">
        <f>IF($B485="","",IF(ISNUMBER($D485),$D485,IF(ISNUMBER($A485),$A485,"")))</f>
        <v/>
      </c>
      <c r="T485" s="34">
        <f>IF(OR($B485="",N($N485)&lt;=0),"",IF(ISNUMBER($J485),$J485,99999)+ROW()/1000000)</f>
        <v/>
      </c>
      <c r="U485" s="35">
        <f>IF(OR($B485="",$B485&lt;&gt;'買掛帳'!$B$3,NOT(ISNUMBER($S485))),"",IF(AND($S485&gt;='買掛帳'!$Q$3,$S485&lt;='買掛帳'!$Q$4),$S485+ROW()/10000000,""))</f>
        <v/>
      </c>
      <c r="V485" s="35">
        <f>IF(OR($B485="",$B485&lt;&gt;'買掛帳'!$B$3,NOT(ISNUMBER($K485)),N($L485)+N($M485)=0),"",IF(AND($K485&gt;='買掛帳'!$Q$3,$K485&lt;='買掛帳'!$Q$4),$K485+0.5+ROW()/10000000,""))</f>
        <v/>
      </c>
    </row>
    <row r="486" ht="18" customHeight="1">
      <c r="A486" s="26" t="n"/>
      <c r="B486" s="18" t="n"/>
      <c r="C486" s="20">
        <f>IF($B486="","",IF($R486="なし","※仕入先にないコード",INDEX('仕入先'!$C$5:$C$54,$R486)&amp;""))</f>
        <v/>
      </c>
      <c r="D486" s="26" t="n"/>
      <c r="E486" s="18" t="n"/>
      <c r="F486" s="19" t="n"/>
      <c r="G486" s="27" t="n"/>
      <c r="H486" s="29">
        <f>IF(OR($B486="",NOT(ISNUMBER($R486)),NOT(ISNUMBER($S486))),"",IF(OR(INDEX('仕入先'!$D$5:$D$54,$R486)="",INDEX('仕入先'!$E$5:$E$54,$R486)="",INDEX('仕入先'!$F$5:$F$54,$R486)=""),"",IF(INDEX('仕入先'!$F$5:$F$54,$R486)="末",DATE(YEAR($S486),(MONTH($S486)+IF(INDEX('仕入先'!$D$5:$D$54,$R486)="末",0,IF(DAY($S486)&lt;=INDEX('仕入先'!$D$5:$D$54,$R486),0,1))+N(INDEX('仕入先'!$E$5:$E$54,$R486)))+1,0),DATE(YEAR($S486),(MONTH($S486)+IF(INDEX('仕入先'!$D$5:$D$54,$R486)="末",0,IF(DAY($S486)&lt;=INDEX('仕入先'!$D$5:$D$54,$R486),0,1))+N(INDEX('仕入先'!$E$5:$E$54,$R486))),MIN(INDEX('仕入先'!$F$5:$F$54,$R486),DAY(DATE(YEAR($S486),(MONTH($S486)+IF(INDEX('仕入先'!$D$5:$D$54,$R486)="末",0,IF(DAY($S486)&lt;=INDEX('仕入先'!$D$5:$D$54,$R486),0,1))+N(INDEX('仕入先'!$E$5:$E$54,$R486)))+1,0)))))))</f>
        <v/>
      </c>
      <c r="I486" s="26" t="n"/>
      <c r="J486" s="29">
        <f>IF($B486="","",IF(ISNUMBER($I486),$I486,$H486))</f>
        <v/>
      </c>
      <c r="K486" s="26" t="n"/>
      <c r="L486" s="27" t="n"/>
      <c r="M486" s="27" t="n"/>
      <c r="N486" s="28">
        <f>IF($B486="","",N($G486)-N($L486)-N($M486))</f>
        <v/>
      </c>
      <c r="O486" s="30">
        <f>IF($B486="","",IF(AND(OR(N($L486)&lt;&gt;0,N($M486)&lt;&gt;0),NOT(ISNUMBER($K486))),"支払日なし",IF($N486=0,IF(N($G486)=0,"請求額0","支払済"),IF($N486&lt;0,"払いすぎ",IF(N($L486)+N($M486)=0,"未払","一部支払")))))</f>
        <v/>
      </c>
      <c r="P486" s="30">
        <f>IF(OR($B486="",N($N486)&lt;=0,NOT(ISNUMBER($J486))),"",IF($J486&lt;'設定'!$B$7,"期日超過 "&amp;('設定'!$B$7-$J486)&amp;"日",IF($J486='設定'!$B$7,"今日","あと "&amp;($J486-'設定'!$B$7)&amp;"日")))</f>
        <v/>
      </c>
      <c r="Q486" s="56" t="n"/>
      <c r="R486" s="32">
        <f>IF($B486="","",IFERROR(MATCH($B486,'仕入先'!$B$5:$B$54,0),"なし"))</f>
        <v/>
      </c>
      <c r="S486" s="33">
        <f>IF($B486="","",IF(ISNUMBER($D486),$D486,IF(ISNUMBER($A486),$A486,"")))</f>
        <v/>
      </c>
      <c r="T486" s="34">
        <f>IF(OR($B486="",N($N486)&lt;=0),"",IF(ISNUMBER($J486),$J486,99999)+ROW()/1000000)</f>
        <v/>
      </c>
      <c r="U486" s="35">
        <f>IF(OR($B486="",$B486&lt;&gt;'買掛帳'!$B$3,NOT(ISNUMBER($S486))),"",IF(AND($S486&gt;='買掛帳'!$Q$3,$S486&lt;='買掛帳'!$Q$4),$S486+ROW()/10000000,""))</f>
        <v/>
      </c>
      <c r="V486" s="35">
        <f>IF(OR($B486="",$B486&lt;&gt;'買掛帳'!$B$3,NOT(ISNUMBER($K486)),N($L486)+N($M486)=0),"",IF(AND($K486&gt;='買掛帳'!$Q$3,$K486&lt;='買掛帳'!$Q$4),$K486+0.5+ROW()/10000000,""))</f>
        <v/>
      </c>
    </row>
    <row r="487" ht="18" customHeight="1">
      <c r="A487" s="26" t="n"/>
      <c r="B487" s="18" t="n"/>
      <c r="C487" s="20">
        <f>IF($B487="","",IF($R487="なし","※仕入先にないコード",INDEX('仕入先'!$C$5:$C$54,$R487)&amp;""))</f>
        <v/>
      </c>
      <c r="D487" s="26" t="n"/>
      <c r="E487" s="18" t="n"/>
      <c r="F487" s="19" t="n"/>
      <c r="G487" s="27" t="n"/>
      <c r="H487" s="29">
        <f>IF(OR($B487="",NOT(ISNUMBER($R487)),NOT(ISNUMBER($S487))),"",IF(OR(INDEX('仕入先'!$D$5:$D$54,$R487)="",INDEX('仕入先'!$E$5:$E$54,$R487)="",INDEX('仕入先'!$F$5:$F$54,$R487)=""),"",IF(INDEX('仕入先'!$F$5:$F$54,$R487)="末",DATE(YEAR($S487),(MONTH($S487)+IF(INDEX('仕入先'!$D$5:$D$54,$R487)="末",0,IF(DAY($S487)&lt;=INDEX('仕入先'!$D$5:$D$54,$R487),0,1))+N(INDEX('仕入先'!$E$5:$E$54,$R487)))+1,0),DATE(YEAR($S487),(MONTH($S487)+IF(INDEX('仕入先'!$D$5:$D$54,$R487)="末",0,IF(DAY($S487)&lt;=INDEX('仕入先'!$D$5:$D$54,$R487),0,1))+N(INDEX('仕入先'!$E$5:$E$54,$R487))),MIN(INDEX('仕入先'!$F$5:$F$54,$R487),DAY(DATE(YEAR($S487),(MONTH($S487)+IF(INDEX('仕入先'!$D$5:$D$54,$R487)="末",0,IF(DAY($S487)&lt;=INDEX('仕入先'!$D$5:$D$54,$R487),0,1))+N(INDEX('仕入先'!$E$5:$E$54,$R487)))+1,0)))))))</f>
        <v/>
      </c>
      <c r="I487" s="26" t="n"/>
      <c r="J487" s="29">
        <f>IF($B487="","",IF(ISNUMBER($I487),$I487,$H487))</f>
        <v/>
      </c>
      <c r="K487" s="26" t="n"/>
      <c r="L487" s="27" t="n"/>
      <c r="M487" s="27" t="n"/>
      <c r="N487" s="28">
        <f>IF($B487="","",N($G487)-N($L487)-N($M487))</f>
        <v/>
      </c>
      <c r="O487" s="30">
        <f>IF($B487="","",IF(AND(OR(N($L487)&lt;&gt;0,N($M487)&lt;&gt;0),NOT(ISNUMBER($K487))),"支払日なし",IF($N487=0,IF(N($G487)=0,"請求額0","支払済"),IF($N487&lt;0,"払いすぎ",IF(N($L487)+N($M487)=0,"未払","一部支払")))))</f>
        <v/>
      </c>
      <c r="P487" s="30">
        <f>IF(OR($B487="",N($N487)&lt;=0,NOT(ISNUMBER($J487))),"",IF($J487&lt;'設定'!$B$7,"期日超過 "&amp;('設定'!$B$7-$J487)&amp;"日",IF($J487='設定'!$B$7,"今日","あと "&amp;($J487-'設定'!$B$7)&amp;"日")))</f>
        <v/>
      </c>
      <c r="Q487" s="56" t="n"/>
      <c r="R487" s="32">
        <f>IF($B487="","",IFERROR(MATCH($B487,'仕入先'!$B$5:$B$54,0),"なし"))</f>
        <v/>
      </c>
      <c r="S487" s="33">
        <f>IF($B487="","",IF(ISNUMBER($D487),$D487,IF(ISNUMBER($A487),$A487,"")))</f>
        <v/>
      </c>
      <c r="T487" s="34">
        <f>IF(OR($B487="",N($N487)&lt;=0),"",IF(ISNUMBER($J487),$J487,99999)+ROW()/1000000)</f>
        <v/>
      </c>
      <c r="U487" s="35">
        <f>IF(OR($B487="",$B487&lt;&gt;'買掛帳'!$B$3,NOT(ISNUMBER($S487))),"",IF(AND($S487&gt;='買掛帳'!$Q$3,$S487&lt;='買掛帳'!$Q$4),$S487+ROW()/10000000,""))</f>
        <v/>
      </c>
      <c r="V487" s="35">
        <f>IF(OR($B487="",$B487&lt;&gt;'買掛帳'!$B$3,NOT(ISNUMBER($K487)),N($L487)+N($M487)=0),"",IF(AND($K487&gt;='買掛帳'!$Q$3,$K487&lt;='買掛帳'!$Q$4),$K487+0.5+ROW()/10000000,""))</f>
        <v/>
      </c>
    </row>
    <row r="488" ht="18" customHeight="1">
      <c r="A488" s="26" t="n"/>
      <c r="B488" s="18" t="n"/>
      <c r="C488" s="20">
        <f>IF($B488="","",IF($R488="なし","※仕入先にないコード",INDEX('仕入先'!$C$5:$C$54,$R488)&amp;""))</f>
        <v/>
      </c>
      <c r="D488" s="26" t="n"/>
      <c r="E488" s="18" t="n"/>
      <c r="F488" s="19" t="n"/>
      <c r="G488" s="27" t="n"/>
      <c r="H488" s="29">
        <f>IF(OR($B488="",NOT(ISNUMBER($R488)),NOT(ISNUMBER($S488))),"",IF(OR(INDEX('仕入先'!$D$5:$D$54,$R488)="",INDEX('仕入先'!$E$5:$E$54,$R488)="",INDEX('仕入先'!$F$5:$F$54,$R488)=""),"",IF(INDEX('仕入先'!$F$5:$F$54,$R488)="末",DATE(YEAR($S488),(MONTH($S488)+IF(INDEX('仕入先'!$D$5:$D$54,$R488)="末",0,IF(DAY($S488)&lt;=INDEX('仕入先'!$D$5:$D$54,$R488),0,1))+N(INDEX('仕入先'!$E$5:$E$54,$R488)))+1,0),DATE(YEAR($S488),(MONTH($S488)+IF(INDEX('仕入先'!$D$5:$D$54,$R488)="末",0,IF(DAY($S488)&lt;=INDEX('仕入先'!$D$5:$D$54,$R488),0,1))+N(INDEX('仕入先'!$E$5:$E$54,$R488))),MIN(INDEX('仕入先'!$F$5:$F$54,$R488),DAY(DATE(YEAR($S488),(MONTH($S488)+IF(INDEX('仕入先'!$D$5:$D$54,$R488)="末",0,IF(DAY($S488)&lt;=INDEX('仕入先'!$D$5:$D$54,$R488),0,1))+N(INDEX('仕入先'!$E$5:$E$54,$R488)))+1,0)))))))</f>
        <v/>
      </c>
      <c r="I488" s="26" t="n"/>
      <c r="J488" s="29">
        <f>IF($B488="","",IF(ISNUMBER($I488),$I488,$H488))</f>
        <v/>
      </c>
      <c r="K488" s="26" t="n"/>
      <c r="L488" s="27" t="n"/>
      <c r="M488" s="27" t="n"/>
      <c r="N488" s="28">
        <f>IF($B488="","",N($G488)-N($L488)-N($M488))</f>
        <v/>
      </c>
      <c r="O488" s="30">
        <f>IF($B488="","",IF(AND(OR(N($L488)&lt;&gt;0,N($M488)&lt;&gt;0),NOT(ISNUMBER($K488))),"支払日なし",IF($N488=0,IF(N($G488)=0,"請求額0","支払済"),IF($N488&lt;0,"払いすぎ",IF(N($L488)+N($M488)=0,"未払","一部支払")))))</f>
        <v/>
      </c>
      <c r="P488" s="30">
        <f>IF(OR($B488="",N($N488)&lt;=0,NOT(ISNUMBER($J488))),"",IF($J488&lt;'設定'!$B$7,"期日超過 "&amp;('設定'!$B$7-$J488)&amp;"日",IF($J488='設定'!$B$7,"今日","あと "&amp;($J488-'設定'!$B$7)&amp;"日")))</f>
        <v/>
      </c>
      <c r="Q488" s="56" t="n"/>
      <c r="R488" s="32">
        <f>IF($B488="","",IFERROR(MATCH($B488,'仕入先'!$B$5:$B$54,0),"なし"))</f>
        <v/>
      </c>
      <c r="S488" s="33">
        <f>IF($B488="","",IF(ISNUMBER($D488),$D488,IF(ISNUMBER($A488),$A488,"")))</f>
        <v/>
      </c>
      <c r="T488" s="34">
        <f>IF(OR($B488="",N($N488)&lt;=0),"",IF(ISNUMBER($J488),$J488,99999)+ROW()/1000000)</f>
        <v/>
      </c>
      <c r="U488" s="35">
        <f>IF(OR($B488="",$B488&lt;&gt;'買掛帳'!$B$3,NOT(ISNUMBER($S488))),"",IF(AND($S488&gt;='買掛帳'!$Q$3,$S488&lt;='買掛帳'!$Q$4),$S488+ROW()/10000000,""))</f>
        <v/>
      </c>
      <c r="V488" s="35">
        <f>IF(OR($B488="",$B488&lt;&gt;'買掛帳'!$B$3,NOT(ISNUMBER($K488)),N($L488)+N($M488)=0),"",IF(AND($K488&gt;='買掛帳'!$Q$3,$K488&lt;='買掛帳'!$Q$4),$K488+0.5+ROW()/10000000,""))</f>
        <v/>
      </c>
    </row>
    <row r="489" ht="18" customHeight="1">
      <c r="A489" s="26" t="n"/>
      <c r="B489" s="18" t="n"/>
      <c r="C489" s="20">
        <f>IF($B489="","",IF($R489="なし","※仕入先にないコード",INDEX('仕入先'!$C$5:$C$54,$R489)&amp;""))</f>
        <v/>
      </c>
      <c r="D489" s="26" t="n"/>
      <c r="E489" s="18" t="n"/>
      <c r="F489" s="19" t="n"/>
      <c r="G489" s="27" t="n"/>
      <c r="H489" s="29">
        <f>IF(OR($B489="",NOT(ISNUMBER($R489)),NOT(ISNUMBER($S489))),"",IF(OR(INDEX('仕入先'!$D$5:$D$54,$R489)="",INDEX('仕入先'!$E$5:$E$54,$R489)="",INDEX('仕入先'!$F$5:$F$54,$R489)=""),"",IF(INDEX('仕入先'!$F$5:$F$54,$R489)="末",DATE(YEAR($S489),(MONTH($S489)+IF(INDEX('仕入先'!$D$5:$D$54,$R489)="末",0,IF(DAY($S489)&lt;=INDEX('仕入先'!$D$5:$D$54,$R489),0,1))+N(INDEX('仕入先'!$E$5:$E$54,$R489)))+1,0),DATE(YEAR($S489),(MONTH($S489)+IF(INDEX('仕入先'!$D$5:$D$54,$R489)="末",0,IF(DAY($S489)&lt;=INDEX('仕入先'!$D$5:$D$54,$R489),0,1))+N(INDEX('仕入先'!$E$5:$E$54,$R489))),MIN(INDEX('仕入先'!$F$5:$F$54,$R489),DAY(DATE(YEAR($S489),(MONTH($S489)+IF(INDEX('仕入先'!$D$5:$D$54,$R489)="末",0,IF(DAY($S489)&lt;=INDEX('仕入先'!$D$5:$D$54,$R489),0,1))+N(INDEX('仕入先'!$E$5:$E$54,$R489)))+1,0)))))))</f>
        <v/>
      </c>
      <c r="I489" s="26" t="n"/>
      <c r="J489" s="29">
        <f>IF($B489="","",IF(ISNUMBER($I489),$I489,$H489))</f>
        <v/>
      </c>
      <c r="K489" s="26" t="n"/>
      <c r="L489" s="27" t="n"/>
      <c r="M489" s="27" t="n"/>
      <c r="N489" s="28">
        <f>IF($B489="","",N($G489)-N($L489)-N($M489))</f>
        <v/>
      </c>
      <c r="O489" s="30">
        <f>IF($B489="","",IF(AND(OR(N($L489)&lt;&gt;0,N($M489)&lt;&gt;0),NOT(ISNUMBER($K489))),"支払日なし",IF($N489=0,IF(N($G489)=0,"請求額0","支払済"),IF($N489&lt;0,"払いすぎ",IF(N($L489)+N($M489)=0,"未払","一部支払")))))</f>
        <v/>
      </c>
      <c r="P489" s="30">
        <f>IF(OR($B489="",N($N489)&lt;=0,NOT(ISNUMBER($J489))),"",IF($J489&lt;'設定'!$B$7,"期日超過 "&amp;('設定'!$B$7-$J489)&amp;"日",IF($J489='設定'!$B$7,"今日","あと "&amp;($J489-'設定'!$B$7)&amp;"日")))</f>
        <v/>
      </c>
      <c r="Q489" s="56" t="n"/>
      <c r="R489" s="32">
        <f>IF($B489="","",IFERROR(MATCH($B489,'仕入先'!$B$5:$B$54,0),"なし"))</f>
        <v/>
      </c>
      <c r="S489" s="33">
        <f>IF($B489="","",IF(ISNUMBER($D489),$D489,IF(ISNUMBER($A489),$A489,"")))</f>
        <v/>
      </c>
      <c r="T489" s="34">
        <f>IF(OR($B489="",N($N489)&lt;=0),"",IF(ISNUMBER($J489),$J489,99999)+ROW()/1000000)</f>
        <v/>
      </c>
      <c r="U489" s="35">
        <f>IF(OR($B489="",$B489&lt;&gt;'買掛帳'!$B$3,NOT(ISNUMBER($S489))),"",IF(AND($S489&gt;='買掛帳'!$Q$3,$S489&lt;='買掛帳'!$Q$4),$S489+ROW()/10000000,""))</f>
        <v/>
      </c>
      <c r="V489" s="35">
        <f>IF(OR($B489="",$B489&lt;&gt;'買掛帳'!$B$3,NOT(ISNUMBER($K489)),N($L489)+N($M489)=0),"",IF(AND($K489&gt;='買掛帳'!$Q$3,$K489&lt;='買掛帳'!$Q$4),$K489+0.5+ROW()/10000000,""))</f>
        <v/>
      </c>
    </row>
    <row r="490" ht="18" customHeight="1">
      <c r="A490" s="26" t="n"/>
      <c r="B490" s="18" t="n"/>
      <c r="C490" s="20">
        <f>IF($B490="","",IF($R490="なし","※仕入先にないコード",INDEX('仕入先'!$C$5:$C$54,$R490)&amp;""))</f>
        <v/>
      </c>
      <c r="D490" s="26" t="n"/>
      <c r="E490" s="18" t="n"/>
      <c r="F490" s="19" t="n"/>
      <c r="G490" s="27" t="n"/>
      <c r="H490" s="29">
        <f>IF(OR($B490="",NOT(ISNUMBER($R490)),NOT(ISNUMBER($S490))),"",IF(OR(INDEX('仕入先'!$D$5:$D$54,$R490)="",INDEX('仕入先'!$E$5:$E$54,$R490)="",INDEX('仕入先'!$F$5:$F$54,$R490)=""),"",IF(INDEX('仕入先'!$F$5:$F$54,$R490)="末",DATE(YEAR($S490),(MONTH($S490)+IF(INDEX('仕入先'!$D$5:$D$54,$R490)="末",0,IF(DAY($S490)&lt;=INDEX('仕入先'!$D$5:$D$54,$R490),0,1))+N(INDEX('仕入先'!$E$5:$E$54,$R490)))+1,0),DATE(YEAR($S490),(MONTH($S490)+IF(INDEX('仕入先'!$D$5:$D$54,$R490)="末",0,IF(DAY($S490)&lt;=INDEX('仕入先'!$D$5:$D$54,$R490),0,1))+N(INDEX('仕入先'!$E$5:$E$54,$R490))),MIN(INDEX('仕入先'!$F$5:$F$54,$R490),DAY(DATE(YEAR($S490),(MONTH($S490)+IF(INDEX('仕入先'!$D$5:$D$54,$R490)="末",0,IF(DAY($S490)&lt;=INDEX('仕入先'!$D$5:$D$54,$R490),0,1))+N(INDEX('仕入先'!$E$5:$E$54,$R490)))+1,0)))))))</f>
        <v/>
      </c>
      <c r="I490" s="26" t="n"/>
      <c r="J490" s="29">
        <f>IF($B490="","",IF(ISNUMBER($I490),$I490,$H490))</f>
        <v/>
      </c>
      <c r="K490" s="26" t="n"/>
      <c r="L490" s="27" t="n"/>
      <c r="M490" s="27" t="n"/>
      <c r="N490" s="28">
        <f>IF($B490="","",N($G490)-N($L490)-N($M490))</f>
        <v/>
      </c>
      <c r="O490" s="30">
        <f>IF($B490="","",IF(AND(OR(N($L490)&lt;&gt;0,N($M490)&lt;&gt;0),NOT(ISNUMBER($K490))),"支払日なし",IF($N490=0,IF(N($G490)=0,"請求額0","支払済"),IF($N490&lt;0,"払いすぎ",IF(N($L490)+N($M490)=0,"未払","一部支払")))))</f>
        <v/>
      </c>
      <c r="P490" s="30">
        <f>IF(OR($B490="",N($N490)&lt;=0,NOT(ISNUMBER($J490))),"",IF($J490&lt;'設定'!$B$7,"期日超過 "&amp;('設定'!$B$7-$J490)&amp;"日",IF($J490='設定'!$B$7,"今日","あと "&amp;($J490-'設定'!$B$7)&amp;"日")))</f>
        <v/>
      </c>
      <c r="Q490" s="56" t="n"/>
      <c r="R490" s="32">
        <f>IF($B490="","",IFERROR(MATCH($B490,'仕入先'!$B$5:$B$54,0),"なし"))</f>
        <v/>
      </c>
      <c r="S490" s="33">
        <f>IF($B490="","",IF(ISNUMBER($D490),$D490,IF(ISNUMBER($A490),$A490,"")))</f>
        <v/>
      </c>
      <c r="T490" s="34">
        <f>IF(OR($B490="",N($N490)&lt;=0),"",IF(ISNUMBER($J490),$J490,99999)+ROW()/1000000)</f>
        <v/>
      </c>
      <c r="U490" s="35">
        <f>IF(OR($B490="",$B490&lt;&gt;'買掛帳'!$B$3,NOT(ISNUMBER($S490))),"",IF(AND($S490&gt;='買掛帳'!$Q$3,$S490&lt;='買掛帳'!$Q$4),$S490+ROW()/10000000,""))</f>
        <v/>
      </c>
      <c r="V490" s="35">
        <f>IF(OR($B490="",$B490&lt;&gt;'買掛帳'!$B$3,NOT(ISNUMBER($K490)),N($L490)+N($M490)=0),"",IF(AND($K490&gt;='買掛帳'!$Q$3,$K490&lt;='買掛帳'!$Q$4),$K490+0.5+ROW()/10000000,""))</f>
        <v/>
      </c>
    </row>
    <row r="491" ht="18" customHeight="1">
      <c r="A491" s="26" t="n"/>
      <c r="B491" s="18" t="n"/>
      <c r="C491" s="20">
        <f>IF($B491="","",IF($R491="なし","※仕入先にないコード",INDEX('仕入先'!$C$5:$C$54,$R491)&amp;""))</f>
        <v/>
      </c>
      <c r="D491" s="26" t="n"/>
      <c r="E491" s="18" t="n"/>
      <c r="F491" s="19" t="n"/>
      <c r="G491" s="27" t="n"/>
      <c r="H491" s="29">
        <f>IF(OR($B491="",NOT(ISNUMBER($R491)),NOT(ISNUMBER($S491))),"",IF(OR(INDEX('仕入先'!$D$5:$D$54,$R491)="",INDEX('仕入先'!$E$5:$E$54,$R491)="",INDEX('仕入先'!$F$5:$F$54,$R491)=""),"",IF(INDEX('仕入先'!$F$5:$F$54,$R491)="末",DATE(YEAR($S491),(MONTH($S491)+IF(INDEX('仕入先'!$D$5:$D$54,$R491)="末",0,IF(DAY($S491)&lt;=INDEX('仕入先'!$D$5:$D$54,$R491),0,1))+N(INDEX('仕入先'!$E$5:$E$54,$R491)))+1,0),DATE(YEAR($S491),(MONTH($S491)+IF(INDEX('仕入先'!$D$5:$D$54,$R491)="末",0,IF(DAY($S491)&lt;=INDEX('仕入先'!$D$5:$D$54,$R491),0,1))+N(INDEX('仕入先'!$E$5:$E$54,$R491))),MIN(INDEX('仕入先'!$F$5:$F$54,$R491),DAY(DATE(YEAR($S491),(MONTH($S491)+IF(INDEX('仕入先'!$D$5:$D$54,$R491)="末",0,IF(DAY($S491)&lt;=INDEX('仕入先'!$D$5:$D$54,$R491),0,1))+N(INDEX('仕入先'!$E$5:$E$54,$R491)))+1,0)))))))</f>
        <v/>
      </c>
      <c r="I491" s="26" t="n"/>
      <c r="J491" s="29">
        <f>IF($B491="","",IF(ISNUMBER($I491),$I491,$H491))</f>
        <v/>
      </c>
      <c r="K491" s="26" t="n"/>
      <c r="L491" s="27" t="n"/>
      <c r="M491" s="27" t="n"/>
      <c r="N491" s="28">
        <f>IF($B491="","",N($G491)-N($L491)-N($M491))</f>
        <v/>
      </c>
      <c r="O491" s="30">
        <f>IF($B491="","",IF(AND(OR(N($L491)&lt;&gt;0,N($M491)&lt;&gt;0),NOT(ISNUMBER($K491))),"支払日なし",IF($N491=0,IF(N($G491)=0,"請求額0","支払済"),IF($N491&lt;0,"払いすぎ",IF(N($L491)+N($M491)=0,"未払","一部支払")))))</f>
        <v/>
      </c>
      <c r="P491" s="30">
        <f>IF(OR($B491="",N($N491)&lt;=0,NOT(ISNUMBER($J491))),"",IF($J491&lt;'設定'!$B$7,"期日超過 "&amp;('設定'!$B$7-$J491)&amp;"日",IF($J491='設定'!$B$7,"今日","あと "&amp;($J491-'設定'!$B$7)&amp;"日")))</f>
        <v/>
      </c>
      <c r="Q491" s="56" t="n"/>
      <c r="R491" s="32">
        <f>IF($B491="","",IFERROR(MATCH($B491,'仕入先'!$B$5:$B$54,0),"なし"))</f>
        <v/>
      </c>
      <c r="S491" s="33">
        <f>IF($B491="","",IF(ISNUMBER($D491),$D491,IF(ISNUMBER($A491),$A491,"")))</f>
        <v/>
      </c>
      <c r="T491" s="34">
        <f>IF(OR($B491="",N($N491)&lt;=0),"",IF(ISNUMBER($J491),$J491,99999)+ROW()/1000000)</f>
        <v/>
      </c>
      <c r="U491" s="35">
        <f>IF(OR($B491="",$B491&lt;&gt;'買掛帳'!$B$3,NOT(ISNUMBER($S491))),"",IF(AND($S491&gt;='買掛帳'!$Q$3,$S491&lt;='買掛帳'!$Q$4),$S491+ROW()/10000000,""))</f>
        <v/>
      </c>
      <c r="V491" s="35">
        <f>IF(OR($B491="",$B491&lt;&gt;'買掛帳'!$B$3,NOT(ISNUMBER($K491)),N($L491)+N($M491)=0),"",IF(AND($K491&gt;='買掛帳'!$Q$3,$K491&lt;='買掛帳'!$Q$4),$K491+0.5+ROW()/10000000,""))</f>
        <v/>
      </c>
    </row>
    <row r="492" ht="18" customHeight="1">
      <c r="A492" s="26" t="n"/>
      <c r="B492" s="18" t="n"/>
      <c r="C492" s="20">
        <f>IF($B492="","",IF($R492="なし","※仕入先にないコード",INDEX('仕入先'!$C$5:$C$54,$R492)&amp;""))</f>
        <v/>
      </c>
      <c r="D492" s="26" t="n"/>
      <c r="E492" s="18" t="n"/>
      <c r="F492" s="19" t="n"/>
      <c r="G492" s="27" t="n"/>
      <c r="H492" s="29">
        <f>IF(OR($B492="",NOT(ISNUMBER($R492)),NOT(ISNUMBER($S492))),"",IF(OR(INDEX('仕入先'!$D$5:$D$54,$R492)="",INDEX('仕入先'!$E$5:$E$54,$R492)="",INDEX('仕入先'!$F$5:$F$54,$R492)=""),"",IF(INDEX('仕入先'!$F$5:$F$54,$R492)="末",DATE(YEAR($S492),(MONTH($S492)+IF(INDEX('仕入先'!$D$5:$D$54,$R492)="末",0,IF(DAY($S492)&lt;=INDEX('仕入先'!$D$5:$D$54,$R492),0,1))+N(INDEX('仕入先'!$E$5:$E$54,$R492)))+1,0),DATE(YEAR($S492),(MONTH($S492)+IF(INDEX('仕入先'!$D$5:$D$54,$R492)="末",0,IF(DAY($S492)&lt;=INDEX('仕入先'!$D$5:$D$54,$R492),0,1))+N(INDEX('仕入先'!$E$5:$E$54,$R492))),MIN(INDEX('仕入先'!$F$5:$F$54,$R492),DAY(DATE(YEAR($S492),(MONTH($S492)+IF(INDEX('仕入先'!$D$5:$D$54,$R492)="末",0,IF(DAY($S492)&lt;=INDEX('仕入先'!$D$5:$D$54,$R492),0,1))+N(INDEX('仕入先'!$E$5:$E$54,$R492)))+1,0)))))))</f>
        <v/>
      </c>
      <c r="I492" s="26" t="n"/>
      <c r="J492" s="29">
        <f>IF($B492="","",IF(ISNUMBER($I492),$I492,$H492))</f>
        <v/>
      </c>
      <c r="K492" s="26" t="n"/>
      <c r="L492" s="27" t="n"/>
      <c r="M492" s="27" t="n"/>
      <c r="N492" s="28">
        <f>IF($B492="","",N($G492)-N($L492)-N($M492))</f>
        <v/>
      </c>
      <c r="O492" s="30">
        <f>IF($B492="","",IF(AND(OR(N($L492)&lt;&gt;0,N($M492)&lt;&gt;0),NOT(ISNUMBER($K492))),"支払日なし",IF($N492=0,IF(N($G492)=0,"請求額0","支払済"),IF($N492&lt;0,"払いすぎ",IF(N($L492)+N($M492)=0,"未払","一部支払")))))</f>
        <v/>
      </c>
      <c r="P492" s="30">
        <f>IF(OR($B492="",N($N492)&lt;=0,NOT(ISNUMBER($J492))),"",IF($J492&lt;'設定'!$B$7,"期日超過 "&amp;('設定'!$B$7-$J492)&amp;"日",IF($J492='設定'!$B$7,"今日","あと "&amp;($J492-'設定'!$B$7)&amp;"日")))</f>
        <v/>
      </c>
      <c r="Q492" s="56" t="n"/>
      <c r="R492" s="32">
        <f>IF($B492="","",IFERROR(MATCH($B492,'仕入先'!$B$5:$B$54,0),"なし"))</f>
        <v/>
      </c>
      <c r="S492" s="33">
        <f>IF($B492="","",IF(ISNUMBER($D492),$D492,IF(ISNUMBER($A492),$A492,"")))</f>
        <v/>
      </c>
      <c r="T492" s="34">
        <f>IF(OR($B492="",N($N492)&lt;=0),"",IF(ISNUMBER($J492),$J492,99999)+ROW()/1000000)</f>
        <v/>
      </c>
      <c r="U492" s="35">
        <f>IF(OR($B492="",$B492&lt;&gt;'買掛帳'!$B$3,NOT(ISNUMBER($S492))),"",IF(AND($S492&gt;='買掛帳'!$Q$3,$S492&lt;='買掛帳'!$Q$4),$S492+ROW()/10000000,""))</f>
        <v/>
      </c>
      <c r="V492" s="35">
        <f>IF(OR($B492="",$B492&lt;&gt;'買掛帳'!$B$3,NOT(ISNUMBER($K492)),N($L492)+N($M492)=0),"",IF(AND($K492&gt;='買掛帳'!$Q$3,$K492&lt;='買掛帳'!$Q$4),$K492+0.5+ROW()/10000000,""))</f>
        <v/>
      </c>
    </row>
    <row r="493" ht="18" customHeight="1">
      <c r="A493" s="26" t="n"/>
      <c r="B493" s="18" t="n"/>
      <c r="C493" s="20">
        <f>IF($B493="","",IF($R493="なし","※仕入先にないコード",INDEX('仕入先'!$C$5:$C$54,$R493)&amp;""))</f>
        <v/>
      </c>
      <c r="D493" s="26" t="n"/>
      <c r="E493" s="18" t="n"/>
      <c r="F493" s="19" t="n"/>
      <c r="G493" s="27" t="n"/>
      <c r="H493" s="29">
        <f>IF(OR($B493="",NOT(ISNUMBER($R493)),NOT(ISNUMBER($S493))),"",IF(OR(INDEX('仕入先'!$D$5:$D$54,$R493)="",INDEX('仕入先'!$E$5:$E$54,$R493)="",INDEX('仕入先'!$F$5:$F$54,$R493)=""),"",IF(INDEX('仕入先'!$F$5:$F$54,$R493)="末",DATE(YEAR($S493),(MONTH($S493)+IF(INDEX('仕入先'!$D$5:$D$54,$R493)="末",0,IF(DAY($S493)&lt;=INDEX('仕入先'!$D$5:$D$54,$R493),0,1))+N(INDEX('仕入先'!$E$5:$E$54,$R493)))+1,0),DATE(YEAR($S493),(MONTH($S493)+IF(INDEX('仕入先'!$D$5:$D$54,$R493)="末",0,IF(DAY($S493)&lt;=INDEX('仕入先'!$D$5:$D$54,$R493),0,1))+N(INDEX('仕入先'!$E$5:$E$54,$R493))),MIN(INDEX('仕入先'!$F$5:$F$54,$R493),DAY(DATE(YEAR($S493),(MONTH($S493)+IF(INDEX('仕入先'!$D$5:$D$54,$R493)="末",0,IF(DAY($S493)&lt;=INDEX('仕入先'!$D$5:$D$54,$R493),0,1))+N(INDEX('仕入先'!$E$5:$E$54,$R493)))+1,0)))))))</f>
        <v/>
      </c>
      <c r="I493" s="26" t="n"/>
      <c r="J493" s="29">
        <f>IF($B493="","",IF(ISNUMBER($I493),$I493,$H493))</f>
        <v/>
      </c>
      <c r="K493" s="26" t="n"/>
      <c r="L493" s="27" t="n"/>
      <c r="M493" s="27" t="n"/>
      <c r="N493" s="28">
        <f>IF($B493="","",N($G493)-N($L493)-N($M493))</f>
        <v/>
      </c>
      <c r="O493" s="30">
        <f>IF($B493="","",IF(AND(OR(N($L493)&lt;&gt;0,N($M493)&lt;&gt;0),NOT(ISNUMBER($K493))),"支払日なし",IF($N493=0,IF(N($G493)=0,"請求額0","支払済"),IF($N493&lt;0,"払いすぎ",IF(N($L493)+N($M493)=0,"未払","一部支払")))))</f>
        <v/>
      </c>
      <c r="P493" s="30">
        <f>IF(OR($B493="",N($N493)&lt;=0,NOT(ISNUMBER($J493))),"",IF($J493&lt;'設定'!$B$7,"期日超過 "&amp;('設定'!$B$7-$J493)&amp;"日",IF($J493='設定'!$B$7,"今日","あと "&amp;($J493-'設定'!$B$7)&amp;"日")))</f>
        <v/>
      </c>
      <c r="Q493" s="56" t="n"/>
      <c r="R493" s="32">
        <f>IF($B493="","",IFERROR(MATCH($B493,'仕入先'!$B$5:$B$54,0),"なし"))</f>
        <v/>
      </c>
      <c r="S493" s="33">
        <f>IF($B493="","",IF(ISNUMBER($D493),$D493,IF(ISNUMBER($A493),$A493,"")))</f>
        <v/>
      </c>
      <c r="T493" s="34">
        <f>IF(OR($B493="",N($N493)&lt;=0),"",IF(ISNUMBER($J493),$J493,99999)+ROW()/1000000)</f>
        <v/>
      </c>
      <c r="U493" s="35">
        <f>IF(OR($B493="",$B493&lt;&gt;'買掛帳'!$B$3,NOT(ISNUMBER($S493))),"",IF(AND($S493&gt;='買掛帳'!$Q$3,$S493&lt;='買掛帳'!$Q$4),$S493+ROW()/10000000,""))</f>
        <v/>
      </c>
      <c r="V493" s="35">
        <f>IF(OR($B493="",$B493&lt;&gt;'買掛帳'!$B$3,NOT(ISNUMBER($K493)),N($L493)+N($M493)=0),"",IF(AND($K493&gt;='買掛帳'!$Q$3,$K493&lt;='買掛帳'!$Q$4),$K493+0.5+ROW()/10000000,""))</f>
        <v/>
      </c>
    </row>
    <row r="494" ht="18" customHeight="1">
      <c r="A494" s="26" t="n"/>
      <c r="B494" s="18" t="n"/>
      <c r="C494" s="20">
        <f>IF($B494="","",IF($R494="なし","※仕入先にないコード",INDEX('仕入先'!$C$5:$C$54,$R494)&amp;""))</f>
        <v/>
      </c>
      <c r="D494" s="26" t="n"/>
      <c r="E494" s="18" t="n"/>
      <c r="F494" s="19" t="n"/>
      <c r="G494" s="27" t="n"/>
      <c r="H494" s="29">
        <f>IF(OR($B494="",NOT(ISNUMBER($R494)),NOT(ISNUMBER($S494))),"",IF(OR(INDEX('仕入先'!$D$5:$D$54,$R494)="",INDEX('仕入先'!$E$5:$E$54,$R494)="",INDEX('仕入先'!$F$5:$F$54,$R494)=""),"",IF(INDEX('仕入先'!$F$5:$F$54,$R494)="末",DATE(YEAR($S494),(MONTH($S494)+IF(INDEX('仕入先'!$D$5:$D$54,$R494)="末",0,IF(DAY($S494)&lt;=INDEX('仕入先'!$D$5:$D$54,$R494),0,1))+N(INDEX('仕入先'!$E$5:$E$54,$R494)))+1,0),DATE(YEAR($S494),(MONTH($S494)+IF(INDEX('仕入先'!$D$5:$D$54,$R494)="末",0,IF(DAY($S494)&lt;=INDEX('仕入先'!$D$5:$D$54,$R494),0,1))+N(INDEX('仕入先'!$E$5:$E$54,$R494))),MIN(INDEX('仕入先'!$F$5:$F$54,$R494),DAY(DATE(YEAR($S494),(MONTH($S494)+IF(INDEX('仕入先'!$D$5:$D$54,$R494)="末",0,IF(DAY($S494)&lt;=INDEX('仕入先'!$D$5:$D$54,$R494),0,1))+N(INDEX('仕入先'!$E$5:$E$54,$R494)))+1,0)))))))</f>
        <v/>
      </c>
      <c r="I494" s="26" t="n"/>
      <c r="J494" s="29">
        <f>IF($B494="","",IF(ISNUMBER($I494),$I494,$H494))</f>
        <v/>
      </c>
      <c r="K494" s="26" t="n"/>
      <c r="L494" s="27" t="n"/>
      <c r="M494" s="27" t="n"/>
      <c r="N494" s="28">
        <f>IF($B494="","",N($G494)-N($L494)-N($M494))</f>
        <v/>
      </c>
      <c r="O494" s="30">
        <f>IF($B494="","",IF(AND(OR(N($L494)&lt;&gt;0,N($M494)&lt;&gt;0),NOT(ISNUMBER($K494))),"支払日なし",IF($N494=0,IF(N($G494)=0,"請求額0","支払済"),IF($N494&lt;0,"払いすぎ",IF(N($L494)+N($M494)=0,"未払","一部支払")))))</f>
        <v/>
      </c>
      <c r="P494" s="30">
        <f>IF(OR($B494="",N($N494)&lt;=0,NOT(ISNUMBER($J494))),"",IF($J494&lt;'設定'!$B$7,"期日超過 "&amp;('設定'!$B$7-$J494)&amp;"日",IF($J494='設定'!$B$7,"今日","あと "&amp;($J494-'設定'!$B$7)&amp;"日")))</f>
        <v/>
      </c>
      <c r="Q494" s="56" t="n"/>
      <c r="R494" s="32">
        <f>IF($B494="","",IFERROR(MATCH($B494,'仕入先'!$B$5:$B$54,0),"なし"))</f>
        <v/>
      </c>
      <c r="S494" s="33">
        <f>IF($B494="","",IF(ISNUMBER($D494),$D494,IF(ISNUMBER($A494),$A494,"")))</f>
        <v/>
      </c>
      <c r="T494" s="34">
        <f>IF(OR($B494="",N($N494)&lt;=0),"",IF(ISNUMBER($J494),$J494,99999)+ROW()/1000000)</f>
        <v/>
      </c>
      <c r="U494" s="35">
        <f>IF(OR($B494="",$B494&lt;&gt;'買掛帳'!$B$3,NOT(ISNUMBER($S494))),"",IF(AND($S494&gt;='買掛帳'!$Q$3,$S494&lt;='買掛帳'!$Q$4),$S494+ROW()/10000000,""))</f>
        <v/>
      </c>
      <c r="V494" s="35">
        <f>IF(OR($B494="",$B494&lt;&gt;'買掛帳'!$B$3,NOT(ISNUMBER($K494)),N($L494)+N($M494)=0),"",IF(AND($K494&gt;='買掛帳'!$Q$3,$K494&lt;='買掛帳'!$Q$4),$K494+0.5+ROW()/10000000,""))</f>
        <v/>
      </c>
    </row>
    <row r="495" ht="18" customHeight="1">
      <c r="A495" s="26" t="n"/>
      <c r="B495" s="18" t="n"/>
      <c r="C495" s="20">
        <f>IF($B495="","",IF($R495="なし","※仕入先にないコード",INDEX('仕入先'!$C$5:$C$54,$R495)&amp;""))</f>
        <v/>
      </c>
      <c r="D495" s="26" t="n"/>
      <c r="E495" s="18" t="n"/>
      <c r="F495" s="19" t="n"/>
      <c r="G495" s="27" t="n"/>
      <c r="H495" s="29">
        <f>IF(OR($B495="",NOT(ISNUMBER($R495)),NOT(ISNUMBER($S495))),"",IF(OR(INDEX('仕入先'!$D$5:$D$54,$R495)="",INDEX('仕入先'!$E$5:$E$54,$R495)="",INDEX('仕入先'!$F$5:$F$54,$R495)=""),"",IF(INDEX('仕入先'!$F$5:$F$54,$R495)="末",DATE(YEAR($S495),(MONTH($S495)+IF(INDEX('仕入先'!$D$5:$D$54,$R495)="末",0,IF(DAY($S495)&lt;=INDEX('仕入先'!$D$5:$D$54,$R495),0,1))+N(INDEX('仕入先'!$E$5:$E$54,$R495)))+1,0),DATE(YEAR($S495),(MONTH($S495)+IF(INDEX('仕入先'!$D$5:$D$54,$R495)="末",0,IF(DAY($S495)&lt;=INDEX('仕入先'!$D$5:$D$54,$R495),0,1))+N(INDEX('仕入先'!$E$5:$E$54,$R495))),MIN(INDEX('仕入先'!$F$5:$F$54,$R495),DAY(DATE(YEAR($S495),(MONTH($S495)+IF(INDEX('仕入先'!$D$5:$D$54,$R495)="末",0,IF(DAY($S495)&lt;=INDEX('仕入先'!$D$5:$D$54,$R495),0,1))+N(INDEX('仕入先'!$E$5:$E$54,$R495)))+1,0)))))))</f>
        <v/>
      </c>
      <c r="I495" s="26" t="n"/>
      <c r="J495" s="29">
        <f>IF($B495="","",IF(ISNUMBER($I495),$I495,$H495))</f>
        <v/>
      </c>
      <c r="K495" s="26" t="n"/>
      <c r="L495" s="27" t="n"/>
      <c r="M495" s="27" t="n"/>
      <c r="N495" s="28">
        <f>IF($B495="","",N($G495)-N($L495)-N($M495))</f>
        <v/>
      </c>
      <c r="O495" s="30">
        <f>IF($B495="","",IF(AND(OR(N($L495)&lt;&gt;0,N($M495)&lt;&gt;0),NOT(ISNUMBER($K495))),"支払日なし",IF($N495=0,IF(N($G495)=0,"請求額0","支払済"),IF($N495&lt;0,"払いすぎ",IF(N($L495)+N($M495)=0,"未払","一部支払")))))</f>
        <v/>
      </c>
      <c r="P495" s="30">
        <f>IF(OR($B495="",N($N495)&lt;=0,NOT(ISNUMBER($J495))),"",IF($J495&lt;'設定'!$B$7,"期日超過 "&amp;('設定'!$B$7-$J495)&amp;"日",IF($J495='設定'!$B$7,"今日","あと "&amp;($J495-'設定'!$B$7)&amp;"日")))</f>
        <v/>
      </c>
      <c r="Q495" s="56" t="n"/>
      <c r="R495" s="32">
        <f>IF($B495="","",IFERROR(MATCH($B495,'仕入先'!$B$5:$B$54,0),"なし"))</f>
        <v/>
      </c>
      <c r="S495" s="33">
        <f>IF($B495="","",IF(ISNUMBER($D495),$D495,IF(ISNUMBER($A495),$A495,"")))</f>
        <v/>
      </c>
      <c r="T495" s="34">
        <f>IF(OR($B495="",N($N495)&lt;=0),"",IF(ISNUMBER($J495),$J495,99999)+ROW()/1000000)</f>
        <v/>
      </c>
      <c r="U495" s="35">
        <f>IF(OR($B495="",$B495&lt;&gt;'買掛帳'!$B$3,NOT(ISNUMBER($S495))),"",IF(AND($S495&gt;='買掛帳'!$Q$3,$S495&lt;='買掛帳'!$Q$4),$S495+ROW()/10000000,""))</f>
        <v/>
      </c>
      <c r="V495" s="35">
        <f>IF(OR($B495="",$B495&lt;&gt;'買掛帳'!$B$3,NOT(ISNUMBER($K495)),N($L495)+N($M495)=0),"",IF(AND($K495&gt;='買掛帳'!$Q$3,$K495&lt;='買掛帳'!$Q$4),$K495+0.5+ROW()/10000000,""))</f>
        <v/>
      </c>
    </row>
    <row r="496" ht="18" customHeight="1">
      <c r="A496" s="26" t="n"/>
      <c r="B496" s="18" t="n"/>
      <c r="C496" s="20">
        <f>IF($B496="","",IF($R496="なし","※仕入先にないコード",INDEX('仕入先'!$C$5:$C$54,$R496)&amp;""))</f>
        <v/>
      </c>
      <c r="D496" s="26" t="n"/>
      <c r="E496" s="18" t="n"/>
      <c r="F496" s="19" t="n"/>
      <c r="G496" s="27" t="n"/>
      <c r="H496" s="29">
        <f>IF(OR($B496="",NOT(ISNUMBER($R496)),NOT(ISNUMBER($S496))),"",IF(OR(INDEX('仕入先'!$D$5:$D$54,$R496)="",INDEX('仕入先'!$E$5:$E$54,$R496)="",INDEX('仕入先'!$F$5:$F$54,$R496)=""),"",IF(INDEX('仕入先'!$F$5:$F$54,$R496)="末",DATE(YEAR($S496),(MONTH($S496)+IF(INDEX('仕入先'!$D$5:$D$54,$R496)="末",0,IF(DAY($S496)&lt;=INDEX('仕入先'!$D$5:$D$54,$R496),0,1))+N(INDEX('仕入先'!$E$5:$E$54,$R496)))+1,0),DATE(YEAR($S496),(MONTH($S496)+IF(INDEX('仕入先'!$D$5:$D$54,$R496)="末",0,IF(DAY($S496)&lt;=INDEX('仕入先'!$D$5:$D$54,$R496),0,1))+N(INDEX('仕入先'!$E$5:$E$54,$R496))),MIN(INDEX('仕入先'!$F$5:$F$54,$R496),DAY(DATE(YEAR($S496),(MONTH($S496)+IF(INDEX('仕入先'!$D$5:$D$54,$R496)="末",0,IF(DAY($S496)&lt;=INDEX('仕入先'!$D$5:$D$54,$R496),0,1))+N(INDEX('仕入先'!$E$5:$E$54,$R496)))+1,0)))))))</f>
        <v/>
      </c>
      <c r="I496" s="26" t="n"/>
      <c r="J496" s="29">
        <f>IF($B496="","",IF(ISNUMBER($I496),$I496,$H496))</f>
        <v/>
      </c>
      <c r="K496" s="26" t="n"/>
      <c r="L496" s="27" t="n"/>
      <c r="M496" s="27" t="n"/>
      <c r="N496" s="28">
        <f>IF($B496="","",N($G496)-N($L496)-N($M496))</f>
        <v/>
      </c>
      <c r="O496" s="30">
        <f>IF($B496="","",IF(AND(OR(N($L496)&lt;&gt;0,N($M496)&lt;&gt;0),NOT(ISNUMBER($K496))),"支払日なし",IF($N496=0,IF(N($G496)=0,"請求額0","支払済"),IF($N496&lt;0,"払いすぎ",IF(N($L496)+N($M496)=0,"未払","一部支払")))))</f>
        <v/>
      </c>
      <c r="P496" s="30">
        <f>IF(OR($B496="",N($N496)&lt;=0,NOT(ISNUMBER($J496))),"",IF($J496&lt;'設定'!$B$7,"期日超過 "&amp;('設定'!$B$7-$J496)&amp;"日",IF($J496='設定'!$B$7,"今日","あと "&amp;($J496-'設定'!$B$7)&amp;"日")))</f>
        <v/>
      </c>
      <c r="Q496" s="56" t="n"/>
      <c r="R496" s="32">
        <f>IF($B496="","",IFERROR(MATCH($B496,'仕入先'!$B$5:$B$54,0),"なし"))</f>
        <v/>
      </c>
      <c r="S496" s="33">
        <f>IF($B496="","",IF(ISNUMBER($D496),$D496,IF(ISNUMBER($A496),$A496,"")))</f>
        <v/>
      </c>
      <c r="T496" s="34">
        <f>IF(OR($B496="",N($N496)&lt;=0),"",IF(ISNUMBER($J496),$J496,99999)+ROW()/1000000)</f>
        <v/>
      </c>
      <c r="U496" s="35">
        <f>IF(OR($B496="",$B496&lt;&gt;'買掛帳'!$B$3,NOT(ISNUMBER($S496))),"",IF(AND($S496&gt;='買掛帳'!$Q$3,$S496&lt;='買掛帳'!$Q$4),$S496+ROW()/10000000,""))</f>
        <v/>
      </c>
      <c r="V496" s="35">
        <f>IF(OR($B496="",$B496&lt;&gt;'買掛帳'!$B$3,NOT(ISNUMBER($K496)),N($L496)+N($M496)=0),"",IF(AND($K496&gt;='買掛帳'!$Q$3,$K496&lt;='買掛帳'!$Q$4),$K496+0.5+ROW()/10000000,""))</f>
        <v/>
      </c>
    </row>
    <row r="497" ht="18" customHeight="1">
      <c r="A497" s="26" t="n"/>
      <c r="B497" s="18" t="n"/>
      <c r="C497" s="20">
        <f>IF($B497="","",IF($R497="なし","※仕入先にないコード",INDEX('仕入先'!$C$5:$C$54,$R497)&amp;""))</f>
        <v/>
      </c>
      <c r="D497" s="26" t="n"/>
      <c r="E497" s="18" t="n"/>
      <c r="F497" s="19" t="n"/>
      <c r="G497" s="27" t="n"/>
      <c r="H497" s="29">
        <f>IF(OR($B497="",NOT(ISNUMBER($R497)),NOT(ISNUMBER($S497))),"",IF(OR(INDEX('仕入先'!$D$5:$D$54,$R497)="",INDEX('仕入先'!$E$5:$E$54,$R497)="",INDEX('仕入先'!$F$5:$F$54,$R497)=""),"",IF(INDEX('仕入先'!$F$5:$F$54,$R497)="末",DATE(YEAR($S497),(MONTH($S497)+IF(INDEX('仕入先'!$D$5:$D$54,$R497)="末",0,IF(DAY($S497)&lt;=INDEX('仕入先'!$D$5:$D$54,$R497),0,1))+N(INDEX('仕入先'!$E$5:$E$54,$R497)))+1,0),DATE(YEAR($S497),(MONTH($S497)+IF(INDEX('仕入先'!$D$5:$D$54,$R497)="末",0,IF(DAY($S497)&lt;=INDEX('仕入先'!$D$5:$D$54,$R497),0,1))+N(INDEX('仕入先'!$E$5:$E$54,$R497))),MIN(INDEX('仕入先'!$F$5:$F$54,$R497),DAY(DATE(YEAR($S497),(MONTH($S497)+IF(INDEX('仕入先'!$D$5:$D$54,$R497)="末",0,IF(DAY($S497)&lt;=INDEX('仕入先'!$D$5:$D$54,$R497),0,1))+N(INDEX('仕入先'!$E$5:$E$54,$R497)))+1,0)))))))</f>
        <v/>
      </c>
      <c r="I497" s="26" t="n"/>
      <c r="J497" s="29">
        <f>IF($B497="","",IF(ISNUMBER($I497),$I497,$H497))</f>
        <v/>
      </c>
      <c r="K497" s="26" t="n"/>
      <c r="L497" s="27" t="n"/>
      <c r="M497" s="27" t="n"/>
      <c r="N497" s="28">
        <f>IF($B497="","",N($G497)-N($L497)-N($M497))</f>
        <v/>
      </c>
      <c r="O497" s="30">
        <f>IF($B497="","",IF(AND(OR(N($L497)&lt;&gt;0,N($M497)&lt;&gt;0),NOT(ISNUMBER($K497))),"支払日なし",IF($N497=0,IF(N($G497)=0,"請求額0","支払済"),IF($N497&lt;0,"払いすぎ",IF(N($L497)+N($M497)=0,"未払","一部支払")))))</f>
        <v/>
      </c>
      <c r="P497" s="30">
        <f>IF(OR($B497="",N($N497)&lt;=0,NOT(ISNUMBER($J497))),"",IF($J497&lt;'設定'!$B$7,"期日超過 "&amp;('設定'!$B$7-$J497)&amp;"日",IF($J497='設定'!$B$7,"今日","あと "&amp;($J497-'設定'!$B$7)&amp;"日")))</f>
        <v/>
      </c>
      <c r="Q497" s="56" t="n"/>
      <c r="R497" s="32">
        <f>IF($B497="","",IFERROR(MATCH($B497,'仕入先'!$B$5:$B$54,0),"なし"))</f>
        <v/>
      </c>
      <c r="S497" s="33">
        <f>IF($B497="","",IF(ISNUMBER($D497),$D497,IF(ISNUMBER($A497),$A497,"")))</f>
        <v/>
      </c>
      <c r="T497" s="34">
        <f>IF(OR($B497="",N($N497)&lt;=0),"",IF(ISNUMBER($J497),$J497,99999)+ROW()/1000000)</f>
        <v/>
      </c>
      <c r="U497" s="35">
        <f>IF(OR($B497="",$B497&lt;&gt;'買掛帳'!$B$3,NOT(ISNUMBER($S497))),"",IF(AND($S497&gt;='買掛帳'!$Q$3,$S497&lt;='買掛帳'!$Q$4),$S497+ROW()/10000000,""))</f>
        <v/>
      </c>
      <c r="V497" s="35">
        <f>IF(OR($B497="",$B497&lt;&gt;'買掛帳'!$B$3,NOT(ISNUMBER($K497)),N($L497)+N($M497)=0),"",IF(AND($K497&gt;='買掛帳'!$Q$3,$K497&lt;='買掛帳'!$Q$4),$K497+0.5+ROW()/10000000,""))</f>
        <v/>
      </c>
    </row>
    <row r="498" ht="18" customHeight="1">
      <c r="A498" s="26" t="n"/>
      <c r="B498" s="18" t="n"/>
      <c r="C498" s="20">
        <f>IF($B498="","",IF($R498="なし","※仕入先にないコード",INDEX('仕入先'!$C$5:$C$54,$R498)&amp;""))</f>
        <v/>
      </c>
      <c r="D498" s="26" t="n"/>
      <c r="E498" s="18" t="n"/>
      <c r="F498" s="19" t="n"/>
      <c r="G498" s="27" t="n"/>
      <c r="H498" s="29">
        <f>IF(OR($B498="",NOT(ISNUMBER($R498)),NOT(ISNUMBER($S498))),"",IF(OR(INDEX('仕入先'!$D$5:$D$54,$R498)="",INDEX('仕入先'!$E$5:$E$54,$R498)="",INDEX('仕入先'!$F$5:$F$54,$R498)=""),"",IF(INDEX('仕入先'!$F$5:$F$54,$R498)="末",DATE(YEAR($S498),(MONTH($S498)+IF(INDEX('仕入先'!$D$5:$D$54,$R498)="末",0,IF(DAY($S498)&lt;=INDEX('仕入先'!$D$5:$D$54,$R498),0,1))+N(INDEX('仕入先'!$E$5:$E$54,$R498)))+1,0),DATE(YEAR($S498),(MONTH($S498)+IF(INDEX('仕入先'!$D$5:$D$54,$R498)="末",0,IF(DAY($S498)&lt;=INDEX('仕入先'!$D$5:$D$54,$R498),0,1))+N(INDEX('仕入先'!$E$5:$E$54,$R498))),MIN(INDEX('仕入先'!$F$5:$F$54,$R498),DAY(DATE(YEAR($S498),(MONTH($S498)+IF(INDEX('仕入先'!$D$5:$D$54,$R498)="末",0,IF(DAY($S498)&lt;=INDEX('仕入先'!$D$5:$D$54,$R498),0,1))+N(INDEX('仕入先'!$E$5:$E$54,$R498)))+1,0)))))))</f>
        <v/>
      </c>
      <c r="I498" s="26" t="n"/>
      <c r="J498" s="29">
        <f>IF($B498="","",IF(ISNUMBER($I498),$I498,$H498))</f>
        <v/>
      </c>
      <c r="K498" s="26" t="n"/>
      <c r="L498" s="27" t="n"/>
      <c r="M498" s="27" t="n"/>
      <c r="N498" s="28">
        <f>IF($B498="","",N($G498)-N($L498)-N($M498))</f>
        <v/>
      </c>
      <c r="O498" s="30">
        <f>IF($B498="","",IF(AND(OR(N($L498)&lt;&gt;0,N($M498)&lt;&gt;0),NOT(ISNUMBER($K498))),"支払日なし",IF($N498=0,IF(N($G498)=0,"請求額0","支払済"),IF($N498&lt;0,"払いすぎ",IF(N($L498)+N($M498)=0,"未払","一部支払")))))</f>
        <v/>
      </c>
      <c r="P498" s="30">
        <f>IF(OR($B498="",N($N498)&lt;=0,NOT(ISNUMBER($J498))),"",IF($J498&lt;'設定'!$B$7,"期日超過 "&amp;('設定'!$B$7-$J498)&amp;"日",IF($J498='設定'!$B$7,"今日","あと "&amp;($J498-'設定'!$B$7)&amp;"日")))</f>
        <v/>
      </c>
      <c r="Q498" s="56" t="n"/>
      <c r="R498" s="32">
        <f>IF($B498="","",IFERROR(MATCH($B498,'仕入先'!$B$5:$B$54,0),"なし"))</f>
        <v/>
      </c>
      <c r="S498" s="33">
        <f>IF($B498="","",IF(ISNUMBER($D498),$D498,IF(ISNUMBER($A498),$A498,"")))</f>
        <v/>
      </c>
      <c r="T498" s="34">
        <f>IF(OR($B498="",N($N498)&lt;=0),"",IF(ISNUMBER($J498),$J498,99999)+ROW()/1000000)</f>
        <v/>
      </c>
      <c r="U498" s="35">
        <f>IF(OR($B498="",$B498&lt;&gt;'買掛帳'!$B$3,NOT(ISNUMBER($S498))),"",IF(AND($S498&gt;='買掛帳'!$Q$3,$S498&lt;='買掛帳'!$Q$4),$S498+ROW()/10000000,""))</f>
        <v/>
      </c>
      <c r="V498" s="35">
        <f>IF(OR($B498="",$B498&lt;&gt;'買掛帳'!$B$3,NOT(ISNUMBER($K498)),N($L498)+N($M498)=0),"",IF(AND($K498&gt;='買掛帳'!$Q$3,$K498&lt;='買掛帳'!$Q$4),$K498+0.5+ROW()/10000000,""))</f>
        <v/>
      </c>
    </row>
    <row r="499" ht="18" customHeight="1">
      <c r="A499" s="26" t="n"/>
      <c r="B499" s="18" t="n"/>
      <c r="C499" s="20">
        <f>IF($B499="","",IF($R499="なし","※仕入先にないコード",INDEX('仕入先'!$C$5:$C$54,$R499)&amp;""))</f>
        <v/>
      </c>
      <c r="D499" s="26" t="n"/>
      <c r="E499" s="18" t="n"/>
      <c r="F499" s="19" t="n"/>
      <c r="G499" s="27" t="n"/>
      <c r="H499" s="29">
        <f>IF(OR($B499="",NOT(ISNUMBER($R499)),NOT(ISNUMBER($S499))),"",IF(OR(INDEX('仕入先'!$D$5:$D$54,$R499)="",INDEX('仕入先'!$E$5:$E$54,$R499)="",INDEX('仕入先'!$F$5:$F$54,$R499)=""),"",IF(INDEX('仕入先'!$F$5:$F$54,$R499)="末",DATE(YEAR($S499),(MONTH($S499)+IF(INDEX('仕入先'!$D$5:$D$54,$R499)="末",0,IF(DAY($S499)&lt;=INDEX('仕入先'!$D$5:$D$54,$R499),0,1))+N(INDEX('仕入先'!$E$5:$E$54,$R499)))+1,0),DATE(YEAR($S499),(MONTH($S499)+IF(INDEX('仕入先'!$D$5:$D$54,$R499)="末",0,IF(DAY($S499)&lt;=INDEX('仕入先'!$D$5:$D$54,$R499),0,1))+N(INDEX('仕入先'!$E$5:$E$54,$R499))),MIN(INDEX('仕入先'!$F$5:$F$54,$R499),DAY(DATE(YEAR($S499),(MONTH($S499)+IF(INDEX('仕入先'!$D$5:$D$54,$R499)="末",0,IF(DAY($S499)&lt;=INDEX('仕入先'!$D$5:$D$54,$R499),0,1))+N(INDEX('仕入先'!$E$5:$E$54,$R499)))+1,0)))))))</f>
        <v/>
      </c>
      <c r="I499" s="26" t="n"/>
      <c r="J499" s="29">
        <f>IF($B499="","",IF(ISNUMBER($I499),$I499,$H499))</f>
        <v/>
      </c>
      <c r="K499" s="26" t="n"/>
      <c r="L499" s="27" t="n"/>
      <c r="M499" s="27" t="n"/>
      <c r="N499" s="28">
        <f>IF($B499="","",N($G499)-N($L499)-N($M499))</f>
        <v/>
      </c>
      <c r="O499" s="30">
        <f>IF($B499="","",IF(AND(OR(N($L499)&lt;&gt;0,N($M499)&lt;&gt;0),NOT(ISNUMBER($K499))),"支払日なし",IF($N499=0,IF(N($G499)=0,"請求額0","支払済"),IF($N499&lt;0,"払いすぎ",IF(N($L499)+N($M499)=0,"未払","一部支払")))))</f>
        <v/>
      </c>
      <c r="P499" s="30">
        <f>IF(OR($B499="",N($N499)&lt;=0,NOT(ISNUMBER($J499))),"",IF($J499&lt;'設定'!$B$7,"期日超過 "&amp;('設定'!$B$7-$J499)&amp;"日",IF($J499='設定'!$B$7,"今日","あと "&amp;($J499-'設定'!$B$7)&amp;"日")))</f>
        <v/>
      </c>
      <c r="Q499" s="56" t="n"/>
      <c r="R499" s="32">
        <f>IF($B499="","",IFERROR(MATCH($B499,'仕入先'!$B$5:$B$54,0),"なし"))</f>
        <v/>
      </c>
      <c r="S499" s="33">
        <f>IF($B499="","",IF(ISNUMBER($D499),$D499,IF(ISNUMBER($A499),$A499,"")))</f>
        <v/>
      </c>
      <c r="T499" s="34">
        <f>IF(OR($B499="",N($N499)&lt;=0),"",IF(ISNUMBER($J499),$J499,99999)+ROW()/1000000)</f>
        <v/>
      </c>
      <c r="U499" s="35">
        <f>IF(OR($B499="",$B499&lt;&gt;'買掛帳'!$B$3,NOT(ISNUMBER($S499))),"",IF(AND($S499&gt;='買掛帳'!$Q$3,$S499&lt;='買掛帳'!$Q$4),$S499+ROW()/10000000,""))</f>
        <v/>
      </c>
      <c r="V499" s="35">
        <f>IF(OR($B499="",$B499&lt;&gt;'買掛帳'!$B$3,NOT(ISNUMBER($K499)),N($L499)+N($M499)=0),"",IF(AND($K499&gt;='買掛帳'!$Q$3,$K499&lt;='買掛帳'!$Q$4),$K499+0.5+ROW()/10000000,""))</f>
        <v/>
      </c>
    </row>
    <row r="500" ht="18" customHeight="1">
      <c r="A500" s="26" t="n"/>
      <c r="B500" s="18" t="n"/>
      <c r="C500" s="20">
        <f>IF($B500="","",IF($R500="なし","※仕入先にないコード",INDEX('仕入先'!$C$5:$C$54,$R500)&amp;""))</f>
        <v/>
      </c>
      <c r="D500" s="26" t="n"/>
      <c r="E500" s="18" t="n"/>
      <c r="F500" s="19" t="n"/>
      <c r="G500" s="27" t="n"/>
      <c r="H500" s="29">
        <f>IF(OR($B500="",NOT(ISNUMBER($R500)),NOT(ISNUMBER($S500))),"",IF(OR(INDEX('仕入先'!$D$5:$D$54,$R500)="",INDEX('仕入先'!$E$5:$E$54,$R500)="",INDEX('仕入先'!$F$5:$F$54,$R500)=""),"",IF(INDEX('仕入先'!$F$5:$F$54,$R500)="末",DATE(YEAR($S500),(MONTH($S500)+IF(INDEX('仕入先'!$D$5:$D$54,$R500)="末",0,IF(DAY($S500)&lt;=INDEX('仕入先'!$D$5:$D$54,$R500),0,1))+N(INDEX('仕入先'!$E$5:$E$54,$R500)))+1,0),DATE(YEAR($S500),(MONTH($S500)+IF(INDEX('仕入先'!$D$5:$D$54,$R500)="末",0,IF(DAY($S500)&lt;=INDEX('仕入先'!$D$5:$D$54,$R500),0,1))+N(INDEX('仕入先'!$E$5:$E$54,$R500))),MIN(INDEX('仕入先'!$F$5:$F$54,$R500),DAY(DATE(YEAR($S500),(MONTH($S500)+IF(INDEX('仕入先'!$D$5:$D$54,$R500)="末",0,IF(DAY($S500)&lt;=INDEX('仕入先'!$D$5:$D$54,$R500),0,1))+N(INDEX('仕入先'!$E$5:$E$54,$R500)))+1,0)))))))</f>
        <v/>
      </c>
      <c r="I500" s="26" t="n"/>
      <c r="J500" s="29">
        <f>IF($B500="","",IF(ISNUMBER($I500),$I500,$H500))</f>
        <v/>
      </c>
      <c r="K500" s="26" t="n"/>
      <c r="L500" s="27" t="n"/>
      <c r="M500" s="27" t="n"/>
      <c r="N500" s="28">
        <f>IF($B500="","",N($G500)-N($L500)-N($M500))</f>
        <v/>
      </c>
      <c r="O500" s="30">
        <f>IF($B500="","",IF(AND(OR(N($L500)&lt;&gt;0,N($M500)&lt;&gt;0),NOT(ISNUMBER($K500))),"支払日なし",IF($N500=0,IF(N($G500)=0,"請求額0","支払済"),IF($N500&lt;0,"払いすぎ",IF(N($L500)+N($M500)=0,"未払","一部支払")))))</f>
        <v/>
      </c>
      <c r="P500" s="30">
        <f>IF(OR($B500="",N($N500)&lt;=0,NOT(ISNUMBER($J500))),"",IF($J500&lt;'設定'!$B$7,"期日超過 "&amp;('設定'!$B$7-$J500)&amp;"日",IF($J500='設定'!$B$7,"今日","あと "&amp;($J500-'設定'!$B$7)&amp;"日")))</f>
        <v/>
      </c>
      <c r="Q500" s="56" t="n"/>
      <c r="R500" s="32">
        <f>IF($B500="","",IFERROR(MATCH($B500,'仕入先'!$B$5:$B$54,0),"なし"))</f>
        <v/>
      </c>
      <c r="S500" s="33">
        <f>IF($B500="","",IF(ISNUMBER($D500),$D500,IF(ISNUMBER($A500),$A500,"")))</f>
        <v/>
      </c>
      <c r="T500" s="34">
        <f>IF(OR($B500="",N($N500)&lt;=0),"",IF(ISNUMBER($J500),$J500,99999)+ROW()/1000000)</f>
        <v/>
      </c>
      <c r="U500" s="35">
        <f>IF(OR($B500="",$B500&lt;&gt;'買掛帳'!$B$3,NOT(ISNUMBER($S500))),"",IF(AND($S500&gt;='買掛帳'!$Q$3,$S500&lt;='買掛帳'!$Q$4),$S500+ROW()/10000000,""))</f>
        <v/>
      </c>
      <c r="V500" s="35">
        <f>IF(OR($B500="",$B500&lt;&gt;'買掛帳'!$B$3,NOT(ISNUMBER($K500)),N($L500)+N($M500)=0),"",IF(AND($K500&gt;='買掛帳'!$Q$3,$K500&lt;='買掛帳'!$Q$4),$K500+0.5+ROW()/10000000,""))</f>
        <v/>
      </c>
    </row>
    <row r="501" ht="18" customHeight="1">
      <c r="A501" s="26" t="n"/>
      <c r="B501" s="18" t="n"/>
      <c r="C501" s="20">
        <f>IF($B501="","",IF($R501="なし","※仕入先にないコード",INDEX('仕入先'!$C$5:$C$54,$R501)&amp;""))</f>
        <v/>
      </c>
      <c r="D501" s="26" t="n"/>
      <c r="E501" s="18" t="n"/>
      <c r="F501" s="19" t="n"/>
      <c r="G501" s="27" t="n"/>
      <c r="H501" s="29">
        <f>IF(OR($B501="",NOT(ISNUMBER($R501)),NOT(ISNUMBER($S501))),"",IF(OR(INDEX('仕入先'!$D$5:$D$54,$R501)="",INDEX('仕入先'!$E$5:$E$54,$R501)="",INDEX('仕入先'!$F$5:$F$54,$R501)=""),"",IF(INDEX('仕入先'!$F$5:$F$54,$R501)="末",DATE(YEAR($S501),(MONTH($S501)+IF(INDEX('仕入先'!$D$5:$D$54,$R501)="末",0,IF(DAY($S501)&lt;=INDEX('仕入先'!$D$5:$D$54,$R501),0,1))+N(INDEX('仕入先'!$E$5:$E$54,$R501)))+1,0),DATE(YEAR($S501),(MONTH($S501)+IF(INDEX('仕入先'!$D$5:$D$54,$R501)="末",0,IF(DAY($S501)&lt;=INDEX('仕入先'!$D$5:$D$54,$R501),0,1))+N(INDEX('仕入先'!$E$5:$E$54,$R501))),MIN(INDEX('仕入先'!$F$5:$F$54,$R501),DAY(DATE(YEAR($S501),(MONTH($S501)+IF(INDEX('仕入先'!$D$5:$D$54,$R501)="末",0,IF(DAY($S501)&lt;=INDEX('仕入先'!$D$5:$D$54,$R501),0,1))+N(INDEX('仕入先'!$E$5:$E$54,$R501)))+1,0)))))))</f>
        <v/>
      </c>
      <c r="I501" s="26" t="n"/>
      <c r="J501" s="29">
        <f>IF($B501="","",IF(ISNUMBER($I501),$I501,$H501))</f>
        <v/>
      </c>
      <c r="K501" s="26" t="n"/>
      <c r="L501" s="27" t="n"/>
      <c r="M501" s="27" t="n"/>
      <c r="N501" s="28">
        <f>IF($B501="","",N($G501)-N($L501)-N($M501))</f>
        <v/>
      </c>
      <c r="O501" s="30">
        <f>IF($B501="","",IF(AND(OR(N($L501)&lt;&gt;0,N($M501)&lt;&gt;0),NOT(ISNUMBER($K501))),"支払日なし",IF($N501=0,IF(N($G501)=0,"請求額0","支払済"),IF($N501&lt;0,"払いすぎ",IF(N($L501)+N($M501)=0,"未払","一部支払")))))</f>
        <v/>
      </c>
      <c r="P501" s="30">
        <f>IF(OR($B501="",N($N501)&lt;=0,NOT(ISNUMBER($J501))),"",IF($J501&lt;'設定'!$B$7,"期日超過 "&amp;('設定'!$B$7-$J501)&amp;"日",IF($J501='設定'!$B$7,"今日","あと "&amp;($J501-'設定'!$B$7)&amp;"日")))</f>
        <v/>
      </c>
      <c r="Q501" s="56" t="n"/>
      <c r="R501" s="32">
        <f>IF($B501="","",IFERROR(MATCH($B501,'仕入先'!$B$5:$B$54,0),"なし"))</f>
        <v/>
      </c>
      <c r="S501" s="33">
        <f>IF($B501="","",IF(ISNUMBER($D501),$D501,IF(ISNUMBER($A501),$A501,"")))</f>
        <v/>
      </c>
      <c r="T501" s="34">
        <f>IF(OR($B501="",N($N501)&lt;=0),"",IF(ISNUMBER($J501),$J501,99999)+ROW()/1000000)</f>
        <v/>
      </c>
      <c r="U501" s="35">
        <f>IF(OR($B501="",$B501&lt;&gt;'買掛帳'!$B$3,NOT(ISNUMBER($S501))),"",IF(AND($S501&gt;='買掛帳'!$Q$3,$S501&lt;='買掛帳'!$Q$4),$S501+ROW()/10000000,""))</f>
        <v/>
      </c>
      <c r="V501" s="35">
        <f>IF(OR($B501="",$B501&lt;&gt;'買掛帳'!$B$3,NOT(ISNUMBER($K501)),N($L501)+N($M501)=0),"",IF(AND($K501&gt;='買掛帳'!$Q$3,$K501&lt;='買掛帳'!$Q$4),$K501+0.5+ROW()/10000000,""))</f>
        <v/>
      </c>
    </row>
    <row r="502" ht="18" customHeight="1">
      <c r="A502" s="26" t="n"/>
      <c r="B502" s="18" t="n"/>
      <c r="C502" s="20">
        <f>IF($B502="","",IF($R502="なし","※仕入先にないコード",INDEX('仕入先'!$C$5:$C$54,$R502)&amp;""))</f>
        <v/>
      </c>
      <c r="D502" s="26" t="n"/>
      <c r="E502" s="18" t="n"/>
      <c r="F502" s="19" t="n"/>
      <c r="G502" s="27" t="n"/>
      <c r="H502" s="29">
        <f>IF(OR($B502="",NOT(ISNUMBER($R502)),NOT(ISNUMBER($S502))),"",IF(OR(INDEX('仕入先'!$D$5:$D$54,$R502)="",INDEX('仕入先'!$E$5:$E$54,$R502)="",INDEX('仕入先'!$F$5:$F$54,$R502)=""),"",IF(INDEX('仕入先'!$F$5:$F$54,$R502)="末",DATE(YEAR($S502),(MONTH($S502)+IF(INDEX('仕入先'!$D$5:$D$54,$R502)="末",0,IF(DAY($S502)&lt;=INDEX('仕入先'!$D$5:$D$54,$R502),0,1))+N(INDEX('仕入先'!$E$5:$E$54,$R502)))+1,0),DATE(YEAR($S502),(MONTH($S502)+IF(INDEX('仕入先'!$D$5:$D$54,$R502)="末",0,IF(DAY($S502)&lt;=INDEX('仕入先'!$D$5:$D$54,$R502),0,1))+N(INDEX('仕入先'!$E$5:$E$54,$R502))),MIN(INDEX('仕入先'!$F$5:$F$54,$R502),DAY(DATE(YEAR($S502),(MONTH($S502)+IF(INDEX('仕入先'!$D$5:$D$54,$R502)="末",0,IF(DAY($S502)&lt;=INDEX('仕入先'!$D$5:$D$54,$R502),0,1))+N(INDEX('仕入先'!$E$5:$E$54,$R502)))+1,0)))))))</f>
        <v/>
      </c>
      <c r="I502" s="26" t="n"/>
      <c r="J502" s="29">
        <f>IF($B502="","",IF(ISNUMBER($I502),$I502,$H502))</f>
        <v/>
      </c>
      <c r="K502" s="26" t="n"/>
      <c r="L502" s="27" t="n"/>
      <c r="M502" s="27" t="n"/>
      <c r="N502" s="28">
        <f>IF($B502="","",N($G502)-N($L502)-N($M502))</f>
        <v/>
      </c>
      <c r="O502" s="30">
        <f>IF($B502="","",IF(AND(OR(N($L502)&lt;&gt;0,N($M502)&lt;&gt;0),NOT(ISNUMBER($K502))),"支払日なし",IF($N502=0,IF(N($G502)=0,"請求額0","支払済"),IF($N502&lt;0,"払いすぎ",IF(N($L502)+N($M502)=0,"未払","一部支払")))))</f>
        <v/>
      </c>
      <c r="P502" s="30">
        <f>IF(OR($B502="",N($N502)&lt;=0,NOT(ISNUMBER($J502))),"",IF($J502&lt;'設定'!$B$7,"期日超過 "&amp;('設定'!$B$7-$J502)&amp;"日",IF($J502='設定'!$B$7,"今日","あと "&amp;($J502-'設定'!$B$7)&amp;"日")))</f>
        <v/>
      </c>
      <c r="Q502" s="56" t="n"/>
      <c r="R502" s="32">
        <f>IF($B502="","",IFERROR(MATCH($B502,'仕入先'!$B$5:$B$54,0),"なし"))</f>
        <v/>
      </c>
      <c r="S502" s="33">
        <f>IF($B502="","",IF(ISNUMBER($D502),$D502,IF(ISNUMBER($A502),$A502,"")))</f>
        <v/>
      </c>
      <c r="T502" s="34">
        <f>IF(OR($B502="",N($N502)&lt;=0),"",IF(ISNUMBER($J502),$J502,99999)+ROW()/1000000)</f>
        <v/>
      </c>
      <c r="U502" s="35">
        <f>IF(OR($B502="",$B502&lt;&gt;'買掛帳'!$B$3,NOT(ISNUMBER($S502))),"",IF(AND($S502&gt;='買掛帳'!$Q$3,$S502&lt;='買掛帳'!$Q$4),$S502+ROW()/10000000,""))</f>
        <v/>
      </c>
      <c r="V502" s="35">
        <f>IF(OR($B502="",$B502&lt;&gt;'買掛帳'!$B$3,NOT(ISNUMBER($K502)),N($L502)+N($M502)=0),"",IF(AND($K502&gt;='買掛帳'!$Q$3,$K502&lt;='買掛帳'!$Q$4),$K502+0.5+ROW()/10000000,""))</f>
        <v/>
      </c>
    </row>
    <row r="503" ht="18" customHeight="1">
      <c r="A503" s="26" t="n"/>
      <c r="B503" s="18" t="n"/>
      <c r="C503" s="20">
        <f>IF($B503="","",IF($R503="なし","※仕入先にないコード",INDEX('仕入先'!$C$5:$C$54,$R503)&amp;""))</f>
        <v/>
      </c>
      <c r="D503" s="26" t="n"/>
      <c r="E503" s="18" t="n"/>
      <c r="F503" s="19" t="n"/>
      <c r="G503" s="27" t="n"/>
      <c r="H503" s="29">
        <f>IF(OR($B503="",NOT(ISNUMBER($R503)),NOT(ISNUMBER($S503))),"",IF(OR(INDEX('仕入先'!$D$5:$D$54,$R503)="",INDEX('仕入先'!$E$5:$E$54,$R503)="",INDEX('仕入先'!$F$5:$F$54,$R503)=""),"",IF(INDEX('仕入先'!$F$5:$F$54,$R503)="末",DATE(YEAR($S503),(MONTH($S503)+IF(INDEX('仕入先'!$D$5:$D$54,$R503)="末",0,IF(DAY($S503)&lt;=INDEX('仕入先'!$D$5:$D$54,$R503),0,1))+N(INDEX('仕入先'!$E$5:$E$54,$R503)))+1,0),DATE(YEAR($S503),(MONTH($S503)+IF(INDEX('仕入先'!$D$5:$D$54,$R503)="末",0,IF(DAY($S503)&lt;=INDEX('仕入先'!$D$5:$D$54,$R503),0,1))+N(INDEX('仕入先'!$E$5:$E$54,$R503))),MIN(INDEX('仕入先'!$F$5:$F$54,$R503),DAY(DATE(YEAR($S503),(MONTH($S503)+IF(INDEX('仕入先'!$D$5:$D$54,$R503)="末",0,IF(DAY($S503)&lt;=INDEX('仕入先'!$D$5:$D$54,$R503),0,1))+N(INDEX('仕入先'!$E$5:$E$54,$R503)))+1,0)))))))</f>
        <v/>
      </c>
      <c r="I503" s="26" t="n"/>
      <c r="J503" s="29">
        <f>IF($B503="","",IF(ISNUMBER($I503),$I503,$H503))</f>
        <v/>
      </c>
      <c r="K503" s="26" t="n"/>
      <c r="L503" s="27" t="n"/>
      <c r="M503" s="27" t="n"/>
      <c r="N503" s="28">
        <f>IF($B503="","",N($G503)-N($L503)-N($M503))</f>
        <v/>
      </c>
      <c r="O503" s="30">
        <f>IF($B503="","",IF(AND(OR(N($L503)&lt;&gt;0,N($M503)&lt;&gt;0),NOT(ISNUMBER($K503))),"支払日なし",IF($N503=0,IF(N($G503)=0,"請求額0","支払済"),IF($N503&lt;0,"払いすぎ",IF(N($L503)+N($M503)=0,"未払","一部支払")))))</f>
        <v/>
      </c>
      <c r="P503" s="30">
        <f>IF(OR($B503="",N($N503)&lt;=0,NOT(ISNUMBER($J503))),"",IF($J503&lt;'設定'!$B$7,"期日超過 "&amp;('設定'!$B$7-$J503)&amp;"日",IF($J503='設定'!$B$7,"今日","あと "&amp;($J503-'設定'!$B$7)&amp;"日")))</f>
        <v/>
      </c>
      <c r="Q503" s="56" t="n"/>
      <c r="R503" s="32">
        <f>IF($B503="","",IFERROR(MATCH($B503,'仕入先'!$B$5:$B$54,0),"なし"))</f>
        <v/>
      </c>
      <c r="S503" s="33">
        <f>IF($B503="","",IF(ISNUMBER($D503),$D503,IF(ISNUMBER($A503),$A503,"")))</f>
        <v/>
      </c>
      <c r="T503" s="34">
        <f>IF(OR($B503="",N($N503)&lt;=0),"",IF(ISNUMBER($J503),$J503,99999)+ROW()/1000000)</f>
        <v/>
      </c>
      <c r="U503" s="35">
        <f>IF(OR($B503="",$B503&lt;&gt;'買掛帳'!$B$3,NOT(ISNUMBER($S503))),"",IF(AND($S503&gt;='買掛帳'!$Q$3,$S503&lt;='買掛帳'!$Q$4),$S503+ROW()/10000000,""))</f>
        <v/>
      </c>
      <c r="V503" s="35">
        <f>IF(OR($B503="",$B503&lt;&gt;'買掛帳'!$B$3,NOT(ISNUMBER($K503)),N($L503)+N($M503)=0),"",IF(AND($K503&gt;='買掛帳'!$Q$3,$K503&lt;='買掛帳'!$Q$4),$K503+0.5+ROW()/10000000,""))</f>
        <v/>
      </c>
    </row>
    <row r="504" ht="18" customHeight="1">
      <c r="A504" s="26" t="n"/>
      <c r="B504" s="18" t="n"/>
      <c r="C504" s="20">
        <f>IF($B504="","",IF($R504="なし","※仕入先にないコード",INDEX('仕入先'!$C$5:$C$54,$R504)&amp;""))</f>
        <v/>
      </c>
      <c r="D504" s="26" t="n"/>
      <c r="E504" s="18" t="n"/>
      <c r="F504" s="19" t="n"/>
      <c r="G504" s="27" t="n"/>
      <c r="H504" s="29">
        <f>IF(OR($B504="",NOT(ISNUMBER($R504)),NOT(ISNUMBER($S504))),"",IF(OR(INDEX('仕入先'!$D$5:$D$54,$R504)="",INDEX('仕入先'!$E$5:$E$54,$R504)="",INDEX('仕入先'!$F$5:$F$54,$R504)=""),"",IF(INDEX('仕入先'!$F$5:$F$54,$R504)="末",DATE(YEAR($S504),(MONTH($S504)+IF(INDEX('仕入先'!$D$5:$D$54,$R504)="末",0,IF(DAY($S504)&lt;=INDEX('仕入先'!$D$5:$D$54,$R504),0,1))+N(INDEX('仕入先'!$E$5:$E$54,$R504)))+1,0),DATE(YEAR($S504),(MONTH($S504)+IF(INDEX('仕入先'!$D$5:$D$54,$R504)="末",0,IF(DAY($S504)&lt;=INDEX('仕入先'!$D$5:$D$54,$R504),0,1))+N(INDEX('仕入先'!$E$5:$E$54,$R504))),MIN(INDEX('仕入先'!$F$5:$F$54,$R504),DAY(DATE(YEAR($S504),(MONTH($S504)+IF(INDEX('仕入先'!$D$5:$D$54,$R504)="末",0,IF(DAY($S504)&lt;=INDEX('仕入先'!$D$5:$D$54,$R504),0,1))+N(INDEX('仕入先'!$E$5:$E$54,$R504)))+1,0)))))))</f>
        <v/>
      </c>
      <c r="I504" s="26" t="n"/>
      <c r="J504" s="29">
        <f>IF($B504="","",IF(ISNUMBER($I504),$I504,$H504))</f>
        <v/>
      </c>
      <c r="K504" s="26" t="n"/>
      <c r="L504" s="27" t="n"/>
      <c r="M504" s="27" t="n"/>
      <c r="N504" s="28">
        <f>IF($B504="","",N($G504)-N($L504)-N($M504))</f>
        <v/>
      </c>
      <c r="O504" s="30">
        <f>IF($B504="","",IF(AND(OR(N($L504)&lt;&gt;0,N($M504)&lt;&gt;0),NOT(ISNUMBER($K504))),"支払日なし",IF($N504=0,IF(N($G504)=0,"請求額0","支払済"),IF($N504&lt;0,"払いすぎ",IF(N($L504)+N($M504)=0,"未払","一部支払")))))</f>
        <v/>
      </c>
      <c r="P504" s="30">
        <f>IF(OR($B504="",N($N504)&lt;=0,NOT(ISNUMBER($J504))),"",IF($J504&lt;'設定'!$B$7,"期日超過 "&amp;('設定'!$B$7-$J504)&amp;"日",IF($J504='設定'!$B$7,"今日","あと "&amp;($J504-'設定'!$B$7)&amp;"日")))</f>
        <v/>
      </c>
      <c r="Q504" s="56" t="n"/>
      <c r="R504" s="32">
        <f>IF($B504="","",IFERROR(MATCH($B504,'仕入先'!$B$5:$B$54,0),"なし"))</f>
        <v/>
      </c>
      <c r="S504" s="33">
        <f>IF($B504="","",IF(ISNUMBER($D504),$D504,IF(ISNUMBER($A504),$A504,"")))</f>
        <v/>
      </c>
      <c r="T504" s="34">
        <f>IF(OR($B504="",N($N504)&lt;=0),"",IF(ISNUMBER($J504),$J504,99999)+ROW()/1000000)</f>
        <v/>
      </c>
      <c r="U504" s="35">
        <f>IF(OR($B504="",$B504&lt;&gt;'買掛帳'!$B$3,NOT(ISNUMBER($S504))),"",IF(AND($S504&gt;='買掛帳'!$Q$3,$S504&lt;='買掛帳'!$Q$4),$S504+ROW()/10000000,""))</f>
        <v/>
      </c>
      <c r="V504" s="35">
        <f>IF(OR($B504="",$B504&lt;&gt;'買掛帳'!$B$3,NOT(ISNUMBER($K504)),N($L504)+N($M504)=0),"",IF(AND($K504&gt;='買掛帳'!$Q$3,$K504&lt;='買掛帳'!$Q$4),$K504+0.5+ROW()/10000000,""))</f>
        <v/>
      </c>
    </row>
  </sheetData>
  <autoFilter ref="A4:P504"/>
  <mergeCells count="3">
    <mergeCell ref="L3:M3"/>
    <mergeCell ref="A1:P1"/>
    <mergeCell ref="A2:P2"/>
  </mergeCells>
  <conditionalFormatting sqref="C5:C504">
    <cfRule type="expression" priority="1" dxfId="0">
      <formula>$C5="※仕入先にないコード"</formula>
    </cfRule>
  </conditionalFormatting>
  <conditionalFormatting sqref="O5:P504">
    <cfRule type="expression" priority="2" dxfId="0">
      <formula>OR(LEFT($P5,4)="期日超過",$O5="支払日なし",$O5="払いすぎ")</formula>
    </cfRule>
  </conditionalFormatting>
  <dataValidations count="7">
    <dataValidation sqref="A5:A504" showDropDown="0" showInputMessage="0" showErrorMessage="1" allowBlank="1" errorTitle="日付で入力してください" error="2026/9/30 のように、日付として入力してください。" type="date" operator="greaterThanOrEqual">
      <formula1>36526</formula1>
    </dataValidation>
    <dataValidation sqref="D5:D504" showDropDown="0" showInputMessage="0" showErrorMessage="1" allowBlank="1" errorTitle="日付で入力してください" error="2026/9/30 のように、日付として入力してください。" type="date" operator="greaterThanOrEqual">
      <formula1>36526</formula1>
    </dataValidation>
    <dataValidation sqref="I5:I504" showDropDown="0" showInputMessage="0" showErrorMessage="1" allowBlank="1" errorTitle="日付で入力してください" error="2026/9/30 のように、日付として入力してください。" type="date" operator="greaterThanOrEqual">
      <formula1>36526</formula1>
    </dataValidation>
    <dataValidation sqref="K5:K504" showDropDown="0" showInputMessage="0" showErrorMessage="1" allowBlank="1" errorTitle="日付で入力してください" error="2026/9/30 のように、日付として入力してください。" type="date" operator="greaterThanOrEqual">
      <formula1>36526</formula1>
    </dataValidation>
    <dataValidation sqref="B5:B504" showDropDown="0" showInputMessage="0" showErrorMessage="1" allowBlank="1" errorTitle="一覧から選んでください" error="「仕入先」シートのコードから選んでください。" type="list">
      <formula1>='仕入先'!$B$5:$B$54</formula1>
    </dataValidation>
    <dataValidation sqref="G5:G504" showDropDown="0" showInputMessage="0" showErrorMessage="1" allowBlank="1" errorTitle="金額" error="円単位の整数で入れてください。" type="whole" operator="between">
      <formula1>-9999999999</formula1>
      <formula2>9999999999</formula2>
    </dataValidation>
    <dataValidation sqref="L5:M504" showDropDown="0" showInputMessage="0" showErrorMessage="1" allowBlank="1" errorTitle="金額" error="円単位の整数で入れてください。" type="whole" operator="between">
      <formula1>-9999999999</formula1>
      <formula2>9999999999</formula2>
    </dataValidation>
  </dataValidations>
  <pageMargins left="0.4" right="0.4" top="0.45" bottom="0.45" header="0.2" footer="0.2"/>
  <pageSetup orientation="landscape" paperSize="9" fitToHeight="0" fitToWidth="1"/>
</worksheet>
</file>

<file path=xl/worksheets/sheet11.xml><?xml version="1.0" encoding="utf-8"?>
<worksheet xmlns="http://schemas.openxmlformats.org/spreadsheetml/2006/main">
  <sheetPr>
    <tabColor rgb="00B9C4CF"/>
    <outlinePr summaryBelow="1" summaryRight="1"/>
    <pageSetUpPr fitToPage="1"/>
  </sheetPr>
  <dimension ref="A1:Q325"/>
  <sheetViews>
    <sheetView showGridLines="0" tabSelected="0" workbookViewId="0">
      <pane ySplit="23" topLeftCell="A24" activePane="bottomLeft" state="frozen"/>
      <selection pane="bottomLeft" activeCell="A1" sqref="A1"/>
    </sheetView>
  </sheetViews>
  <sheetFormatPr baseColWidth="8" defaultRowHeight="15"/>
  <cols>
    <col width="11" customWidth="1" min="1" max="1"/>
    <col width="7" customWidth="1" min="2" max="2"/>
    <col width="12" customWidth="1" min="3" max="3"/>
    <col width="30" customWidth="1" min="4" max="4"/>
    <col width="13" customWidth="1" min="5" max="5"/>
    <col width="13" customWidth="1" min="6" max="6"/>
    <col width="12" customWidth="1" min="7" max="7"/>
    <col width="14" customWidth="1" min="8" max="8"/>
    <col width="2" customWidth="1" min="9" max="9"/>
    <col width="5" customWidth="1" min="10" max="10"/>
    <col width="5" customWidth="1" min="11" max="11"/>
    <col width="12" customWidth="1" min="12" max="12"/>
    <col width="12" customWidth="1" min="13" max="13"/>
    <col width="5" customWidth="1" min="14" max="14"/>
    <col width="6" customWidth="1" min="15" max="15"/>
    <col width="2" customWidth="1" min="16" max="16"/>
    <col width="11" customWidth="1" min="17" max="17"/>
  </cols>
  <sheetData>
    <row r="1" ht="26" customHeight="1">
      <c r="A1" s="55" t="inlineStr">
        <is>
          <t>買掛帳（仕入先ごと・日付順）</t>
        </is>
      </c>
      <c r="B1" s="56" t="n"/>
      <c r="C1" s="56" t="n"/>
      <c r="D1" s="56" t="n"/>
      <c r="E1" s="56" t="n"/>
      <c r="F1" s="56" t="n"/>
      <c r="G1" s="56" t="n"/>
      <c r="H1" s="56" t="n"/>
      <c r="I1" s="56" t="n"/>
      <c r="J1" s="56" t="n"/>
      <c r="K1" s="56" t="n"/>
      <c r="L1" s="56" t="n"/>
      <c r="M1" s="56" t="n"/>
      <c r="N1" s="56" t="n"/>
      <c r="O1" s="56" t="n"/>
      <c r="P1" s="56" t="n"/>
      <c r="Q1" s="56" t="n"/>
    </row>
    <row r="2" ht="30" customHeight="1">
      <c r="A2" s="59" t="inlineStr">
        <is>
          <t>仕入先コードを選ぶと、その仕入先の仕入と支払が日付順に並び、差引残高が出ます。期間を空にすると、設定の期首日から1年間です。同じ日は仕入を先に並べます。この帳簿に入力はしません（仕入請求台帳に入れます）。</t>
        </is>
      </c>
      <c r="B2" s="56" t="n"/>
      <c r="C2" s="56" t="n"/>
      <c r="D2" s="56" t="n"/>
      <c r="E2" s="56" t="n"/>
      <c r="F2" s="56" t="n"/>
      <c r="G2" s="56" t="n"/>
      <c r="H2" s="56" t="n"/>
      <c r="I2" s="56" t="n"/>
      <c r="J2" s="56" t="n"/>
      <c r="K2" s="56" t="n"/>
      <c r="L2" s="56" t="n"/>
      <c r="M2" s="56" t="n"/>
      <c r="N2" s="56" t="n"/>
      <c r="O2" s="56" t="n"/>
      <c r="P2" s="56" t="n"/>
      <c r="Q2" s="68" t="inlineStr">
        <is>
          <t>作業:期間</t>
        </is>
      </c>
    </row>
    <row r="3" ht="26" customHeight="1">
      <c r="A3" s="60" t="inlineStr">
        <is>
          <t>仕入先コード</t>
        </is>
      </c>
      <c r="B3" s="69" t="n"/>
      <c r="C3" s="70">
        <f>IF($B$3="","（コードを選ぶ）",IFERROR(INDEX('仕入先'!$C$5:$C$54,MATCH($B$3,'仕入先'!$B$5:$B$54,0))&amp;"","※仕入先にないコード"))</f>
        <v/>
      </c>
      <c r="D3" s="66" t="n"/>
      <c r="E3" s="60" t="inlineStr">
        <is>
          <t>支払条件</t>
        </is>
      </c>
      <c r="F3" s="20">
        <f>IF($B$3="","",IFERROR(INDEX('仕入先'!$G$5:$G$54,MATCH($B$3,'仕入先'!$B$5:$B$54,0))&amp;"",""))</f>
        <v/>
      </c>
      <c r="G3" s="65" t="n"/>
      <c r="H3" s="66" t="n"/>
      <c r="I3" s="56" t="n"/>
      <c r="J3" s="56" t="n"/>
      <c r="K3" s="56" t="n"/>
      <c r="L3" s="56" t="n"/>
      <c r="M3" s="56" t="n"/>
      <c r="N3" s="56" t="n"/>
      <c r="O3" s="56" t="n"/>
      <c r="P3" s="56" t="n"/>
      <c r="Q3" s="71">
        <f>IF(ISNUMBER($B$4),$B$4,IF(ISNUMBER('設定'!$B$5),'設定'!$B$5,DATE(YEAR('設定'!$B$7),1,1)))</f>
        <v/>
      </c>
    </row>
    <row r="4" ht="20" customHeight="1">
      <c r="A4" s="60" t="inlineStr">
        <is>
          <t>期間</t>
        </is>
      </c>
      <c r="B4" s="26" t="n"/>
      <c r="C4" s="60" t="inlineStr">
        <is>
          <t>〜</t>
        </is>
      </c>
      <c r="D4" s="9" t="n"/>
      <c r="E4" s="42">
        <f>"対象: "&amp;TEXT($Q$3,"yyyy/m/d")&amp;" 〜 "&amp;TEXT($Q$4,"yyyy/m/d")</f>
        <v/>
      </c>
      <c r="F4" s="65" t="n"/>
      <c r="G4" s="65" t="n"/>
      <c r="H4" s="66" t="n"/>
      <c r="I4" s="56" t="n"/>
      <c r="J4" s="56" t="n"/>
      <c r="K4" s="56" t="n"/>
      <c r="L4" s="56" t="n"/>
      <c r="M4" s="56" t="n"/>
      <c r="N4" s="56" t="n"/>
      <c r="O4" s="56" t="n"/>
      <c r="P4" s="56" t="n"/>
      <c r="Q4" s="71">
        <f>IF(ISNUMBER($D$4),$D$4,DATE(YEAR($Q$3)+1,MONTH($Q$3),DAY($Q$3))-1)</f>
        <v/>
      </c>
    </row>
    <row r="5">
      <c r="A5" s="56" t="n"/>
      <c r="B5" s="56" t="n"/>
      <c r="C5" s="56" t="n"/>
      <c r="D5" s="56" t="n"/>
      <c r="E5" s="56" t="n"/>
      <c r="F5" s="56" t="n"/>
      <c r="G5" s="56" t="n"/>
      <c r="H5" s="56" t="n"/>
      <c r="I5" s="56" t="n"/>
      <c r="J5" s="56" t="n"/>
      <c r="K5" s="56" t="n"/>
      <c r="L5" s="56" t="n"/>
      <c r="M5" s="56" t="n"/>
      <c r="N5" s="56" t="n"/>
      <c r="O5" s="56" t="n"/>
      <c r="P5" s="56" t="n"/>
      <c r="Q5" s="56" t="n"/>
    </row>
    <row r="6" ht="20" customHeight="1">
      <c r="A6" s="61" t="inlineStr">
        <is>
          <t>月別の推移（期間の始まりの月から12か月）</t>
        </is>
      </c>
      <c r="B6" s="62" t="n"/>
      <c r="C6" s="62" t="n"/>
      <c r="D6" s="62" t="n"/>
      <c r="E6" s="62" t="n"/>
      <c r="F6" s="62" t="n"/>
      <c r="G6" s="62" t="n"/>
      <c r="H6" s="62" t="n"/>
      <c r="I6" s="56" t="n"/>
      <c r="J6" s="56" t="n"/>
      <c r="K6" s="56" t="n"/>
      <c r="L6" s="56" t="n"/>
      <c r="M6" s="56" t="n"/>
      <c r="N6" s="56" t="n"/>
      <c r="O6" s="56" t="n"/>
      <c r="P6" s="56" t="n"/>
      <c r="Q6" s="56" t="n"/>
    </row>
    <row r="7">
      <c r="A7" s="15" t="inlineStr">
        <is>
          <t>月</t>
        </is>
      </c>
      <c r="B7" s="66" t="n"/>
      <c r="C7" s="15" t="inlineStr">
        <is>
          <t>前月繰越</t>
        </is>
      </c>
      <c r="D7" s="15" t="inlineStr">
        <is>
          <t>仕入金額</t>
        </is>
      </c>
      <c r="E7" s="15" t="inlineStr">
        <is>
          <t>支払金額</t>
        </is>
      </c>
      <c r="F7" s="15" t="inlineStr">
        <is>
          <t>値引・相殺</t>
        </is>
      </c>
      <c r="G7" s="15" t="inlineStr">
        <is>
          <t>月末残高</t>
        </is>
      </c>
      <c r="H7" s="66" t="n"/>
      <c r="I7" s="56" t="n"/>
      <c r="J7" s="56" t="n"/>
      <c r="K7" s="56" t="n"/>
      <c r="L7" s="56" t="n"/>
      <c r="M7" s="56" t="n"/>
      <c r="N7" s="56" t="n"/>
      <c r="O7" s="56" t="n"/>
      <c r="P7" s="56" t="n"/>
      <c r="Q7" s="56" t="n"/>
    </row>
    <row r="8" ht="18" customHeight="1">
      <c r="A8" s="44">
        <f>IF($B$3="","",DATE(YEAR($Q$3),MONTH($Q$3)+0,1))</f>
        <v/>
      </c>
      <c r="B8" s="66" t="n"/>
      <c r="C8" s="28">
        <f>IF($B$3="","",SUMIFS('仕入請求台帳'!$G$5:$G$504,'仕入請求台帳'!$B$5:$B$504,$B$3,'仕入請求台帳'!$S$5:$S$504,"&lt;"&amp;DATE(YEAR($Q$3),MONTH($Q$3)+0,1))-SUMIFS('仕入請求台帳'!$L$5:$L$504,'仕入請求台帳'!$B$5:$B$504,$B$3,'仕入請求台帳'!$K$5:$K$504,"&lt;"&amp;DATE(YEAR($Q$3),MONTH($Q$3)+0,1))-SUMIFS('仕入請求台帳'!$M$5:$M$504,'仕入請求台帳'!$B$5:$B$504,$B$3,'仕入請求台帳'!$K$5:$K$504,"&lt;"&amp;DATE(YEAR($Q$3),MONTH($Q$3)+0,1)))</f>
        <v/>
      </c>
      <c r="D8" s="28">
        <f>IF($B$3="","",SUMIFS('仕入請求台帳'!$G$5:$G$504,'仕入請求台帳'!$B$5:$B$504,$B$3,'仕入請求台帳'!$S$5:$S$504,"&gt;="&amp;DATE(YEAR($Q$3),MONTH($Q$3)+0,1),'仕入請求台帳'!$S$5:$S$504,"&lt;"&amp;DATE(YEAR($Q$3),MONTH($Q$3)+1,1)))</f>
        <v/>
      </c>
      <c r="E8" s="28">
        <f>IF($B$3="","",SUMIFS('仕入請求台帳'!$L$5:$L$504,'仕入請求台帳'!$B$5:$B$504,$B$3,'仕入請求台帳'!$K$5:$K$504,"&gt;="&amp;DATE(YEAR($Q$3),MONTH($Q$3)+0,1),'仕入請求台帳'!$K$5:$K$504,"&lt;"&amp;DATE(YEAR($Q$3),MONTH($Q$3)+1,1)))</f>
        <v/>
      </c>
      <c r="F8" s="28">
        <f>IF($B$3="","",SUMIFS('仕入請求台帳'!$M$5:$M$504,'仕入請求台帳'!$B$5:$B$504,$B$3,'仕入請求台帳'!$K$5:$K$504,"&gt;="&amp;DATE(YEAR($Q$3),MONTH($Q$3)+0,1),'仕入請求台帳'!$K$5:$K$504,"&lt;"&amp;DATE(YEAR($Q$3),MONTH($Q$3)+1,1)))</f>
        <v/>
      </c>
      <c r="G8" s="28">
        <f>IF($B$3="","",$C8+$D8-$E8-$F8)</f>
        <v/>
      </c>
      <c r="H8" s="66" t="n"/>
      <c r="I8" s="56" t="n"/>
      <c r="J8" s="56" t="n"/>
      <c r="K8" s="56" t="n"/>
      <c r="L8" s="56" t="n"/>
      <c r="M8" s="56" t="n"/>
      <c r="N8" s="56" t="n"/>
      <c r="O8" s="56" t="n"/>
      <c r="P8" s="56" t="n"/>
      <c r="Q8" s="56" t="n"/>
    </row>
    <row r="9" ht="18" customHeight="1">
      <c r="A9" s="44">
        <f>IF($B$3="","",DATE(YEAR($Q$3),MONTH($Q$3)+1,1))</f>
        <v/>
      </c>
      <c r="B9" s="66" t="n"/>
      <c r="C9" s="28">
        <f>IF($B$3="","",$G8)</f>
        <v/>
      </c>
      <c r="D9" s="28">
        <f>IF($B$3="","",SUMIFS('仕入請求台帳'!$G$5:$G$504,'仕入請求台帳'!$B$5:$B$504,$B$3,'仕入請求台帳'!$S$5:$S$504,"&gt;="&amp;DATE(YEAR($Q$3),MONTH($Q$3)+1,1),'仕入請求台帳'!$S$5:$S$504,"&lt;"&amp;DATE(YEAR($Q$3),MONTH($Q$3)+2,1)))</f>
        <v/>
      </c>
      <c r="E9" s="28">
        <f>IF($B$3="","",SUMIFS('仕入請求台帳'!$L$5:$L$504,'仕入請求台帳'!$B$5:$B$504,$B$3,'仕入請求台帳'!$K$5:$K$504,"&gt;="&amp;DATE(YEAR($Q$3),MONTH($Q$3)+1,1),'仕入請求台帳'!$K$5:$K$504,"&lt;"&amp;DATE(YEAR($Q$3),MONTH($Q$3)+2,1)))</f>
        <v/>
      </c>
      <c r="F9" s="28">
        <f>IF($B$3="","",SUMIFS('仕入請求台帳'!$M$5:$M$504,'仕入請求台帳'!$B$5:$B$504,$B$3,'仕入請求台帳'!$K$5:$K$504,"&gt;="&amp;DATE(YEAR($Q$3),MONTH($Q$3)+1,1),'仕入請求台帳'!$K$5:$K$504,"&lt;"&amp;DATE(YEAR($Q$3),MONTH($Q$3)+2,1)))</f>
        <v/>
      </c>
      <c r="G9" s="28">
        <f>IF($B$3="","",$C9+$D9-$E9-$F9)</f>
        <v/>
      </c>
      <c r="H9" s="66" t="n"/>
      <c r="I9" s="56" t="n"/>
      <c r="J9" s="56" t="n"/>
      <c r="K9" s="56" t="n"/>
      <c r="L9" s="56" t="n"/>
      <c r="M9" s="56" t="n"/>
      <c r="N9" s="56" t="n"/>
      <c r="O9" s="56" t="n"/>
      <c r="P9" s="56" t="n"/>
      <c r="Q9" s="56" t="n"/>
    </row>
    <row r="10" ht="18" customHeight="1">
      <c r="A10" s="44">
        <f>IF($B$3="","",DATE(YEAR($Q$3),MONTH($Q$3)+2,1))</f>
        <v/>
      </c>
      <c r="B10" s="66" t="n"/>
      <c r="C10" s="28">
        <f>IF($B$3="","",$G9)</f>
        <v/>
      </c>
      <c r="D10" s="28">
        <f>IF($B$3="","",SUMIFS('仕入請求台帳'!$G$5:$G$504,'仕入請求台帳'!$B$5:$B$504,$B$3,'仕入請求台帳'!$S$5:$S$504,"&gt;="&amp;DATE(YEAR($Q$3),MONTH($Q$3)+2,1),'仕入請求台帳'!$S$5:$S$504,"&lt;"&amp;DATE(YEAR($Q$3),MONTH($Q$3)+3,1)))</f>
        <v/>
      </c>
      <c r="E10" s="28">
        <f>IF($B$3="","",SUMIFS('仕入請求台帳'!$L$5:$L$504,'仕入請求台帳'!$B$5:$B$504,$B$3,'仕入請求台帳'!$K$5:$K$504,"&gt;="&amp;DATE(YEAR($Q$3),MONTH($Q$3)+2,1),'仕入請求台帳'!$K$5:$K$504,"&lt;"&amp;DATE(YEAR($Q$3),MONTH($Q$3)+3,1)))</f>
        <v/>
      </c>
      <c r="F10" s="28">
        <f>IF($B$3="","",SUMIFS('仕入請求台帳'!$M$5:$M$504,'仕入請求台帳'!$B$5:$B$504,$B$3,'仕入請求台帳'!$K$5:$K$504,"&gt;="&amp;DATE(YEAR($Q$3),MONTH($Q$3)+2,1),'仕入請求台帳'!$K$5:$K$504,"&lt;"&amp;DATE(YEAR($Q$3),MONTH($Q$3)+3,1)))</f>
        <v/>
      </c>
      <c r="G10" s="28">
        <f>IF($B$3="","",$C10+$D10-$E10-$F10)</f>
        <v/>
      </c>
      <c r="H10" s="66" t="n"/>
      <c r="I10" s="56" t="n"/>
      <c r="J10" s="56" t="n"/>
      <c r="K10" s="56" t="n"/>
      <c r="L10" s="56" t="n"/>
      <c r="M10" s="56" t="n"/>
      <c r="N10" s="56" t="n"/>
      <c r="O10" s="56" t="n"/>
      <c r="P10" s="56" t="n"/>
      <c r="Q10" s="56" t="n"/>
    </row>
    <row r="11" ht="18" customHeight="1">
      <c r="A11" s="44">
        <f>IF($B$3="","",DATE(YEAR($Q$3),MONTH($Q$3)+3,1))</f>
        <v/>
      </c>
      <c r="B11" s="66" t="n"/>
      <c r="C11" s="28">
        <f>IF($B$3="","",$G10)</f>
        <v/>
      </c>
      <c r="D11" s="28">
        <f>IF($B$3="","",SUMIFS('仕入請求台帳'!$G$5:$G$504,'仕入請求台帳'!$B$5:$B$504,$B$3,'仕入請求台帳'!$S$5:$S$504,"&gt;="&amp;DATE(YEAR($Q$3),MONTH($Q$3)+3,1),'仕入請求台帳'!$S$5:$S$504,"&lt;"&amp;DATE(YEAR($Q$3),MONTH($Q$3)+4,1)))</f>
        <v/>
      </c>
      <c r="E11" s="28">
        <f>IF($B$3="","",SUMIFS('仕入請求台帳'!$L$5:$L$504,'仕入請求台帳'!$B$5:$B$504,$B$3,'仕入請求台帳'!$K$5:$K$504,"&gt;="&amp;DATE(YEAR($Q$3),MONTH($Q$3)+3,1),'仕入請求台帳'!$K$5:$K$504,"&lt;"&amp;DATE(YEAR($Q$3),MONTH($Q$3)+4,1)))</f>
        <v/>
      </c>
      <c r="F11" s="28">
        <f>IF($B$3="","",SUMIFS('仕入請求台帳'!$M$5:$M$504,'仕入請求台帳'!$B$5:$B$504,$B$3,'仕入請求台帳'!$K$5:$K$504,"&gt;="&amp;DATE(YEAR($Q$3),MONTH($Q$3)+3,1),'仕入請求台帳'!$K$5:$K$504,"&lt;"&amp;DATE(YEAR($Q$3),MONTH($Q$3)+4,1)))</f>
        <v/>
      </c>
      <c r="G11" s="28">
        <f>IF($B$3="","",$C11+$D11-$E11-$F11)</f>
        <v/>
      </c>
      <c r="H11" s="66" t="n"/>
      <c r="I11" s="56" t="n"/>
      <c r="J11" s="56" t="n"/>
      <c r="K11" s="56" t="n"/>
      <c r="L11" s="56" t="n"/>
      <c r="M11" s="56" t="n"/>
      <c r="N11" s="56" t="n"/>
      <c r="O11" s="56" t="n"/>
      <c r="P11" s="56" t="n"/>
      <c r="Q11" s="56" t="n"/>
    </row>
    <row r="12" ht="18" customHeight="1">
      <c r="A12" s="44">
        <f>IF($B$3="","",DATE(YEAR($Q$3),MONTH($Q$3)+4,1))</f>
        <v/>
      </c>
      <c r="B12" s="66" t="n"/>
      <c r="C12" s="28">
        <f>IF($B$3="","",$G11)</f>
        <v/>
      </c>
      <c r="D12" s="28">
        <f>IF($B$3="","",SUMIFS('仕入請求台帳'!$G$5:$G$504,'仕入請求台帳'!$B$5:$B$504,$B$3,'仕入請求台帳'!$S$5:$S$504,"&gt;="&amp;DATE(YEAR($Q$3),MONTH($Q$3)+4,1),'仕入請求台帳'!$S$5:$S$504,"&lt;"&amp;DATE(YEAR($Q$3),MONTH($Q$3)+5,1)))</f>
        <v/>
      </c>
      <c r="E12" s="28">
        <f>IF($B$3="","",SUMIFS('仕入請求台帳'!$L$5:$L$504,'仕入請求台帳'!$B$5:$B$504,$B$3,'仕入請求台帳'!$K$5:$K$504,"&gt;="&amp;DATE(YEAR($Q$3),MONTH($Q$3)+4,1),'仕入請求台帳'!$K$5:$K$504,"&lt;"&amp;DATE(YEAR($Q$3),MONTH($Q$3)+5,1)))</f>
        <v/>
      </c>
      <c r="F12" s="28">
        <f>IF($B$3="","",SUMIFS('仕入請求台帳'!$M$5:$M$504,'仕入請求台帳'!$B$5:$B$504,$B$3,'仕入請求台帳'!$K$5:$K$504,"&gt;="&amp;DATE(YEAR($Q$3),MONTH($Q$3)+4,1),'仕入請求台帳'!$K$5:$K$504,"&lt;"&amp;DATE(YEAR($Q$3),MONTH($Q$3)+5,1)))</f>
        <v/>
      </c>
      <c r="G12" s="28">
        <f>IF($B$3="","",$C12+$D12-$E12-$F12)</f>
        <v/>
      </c>
      <c r="H12" s="66" t="n"/>
      <c r="I12" s="56" t="n"/>
      <c r="J12" s="56" t="n"/>
      <c r="K12" s="56" t="n"/>
      <c r="L12" s="56" t="n"/>
      <c r="M12" s="56" t="n"/>
      <c r="N12" s="56" t="n"/>
      <c r="O12" s="56" t="n"/>
      <c r="P12" s="56" t="n"/>
      <c r="Q12" s="56" t="n"/>
    </row>
    <row r="13" ht="18" customHeight="1">
      <c r="A13" s="44">
        <f>IF($B$3="","",DATE(YEAR($Q$3),MONTH($Q$3)+5,1))</f>
        <v/>
      </c>
      <c r="B13" s="66" t="n"/>
      <c r="C13" s="28">
        <f>IF($B$3="","",$G12)</f>
        <v/>
      </c>
      <c r="D13" s="28">
        <f>IF($B$3="","",SUMIFS('仕入請求台帳'!$G$5:$G$504,'仕入請求台帳'!$B$5:$B$504,$B$3,'仕入請求台帳'!$S$5:$S$504,"&gt;="&amp;DATE(YEAR($Q$3),MONTH($Q$3)+5,1),'仕入請求台帳'!$S$5:$S$504,"&lt;"&amp;DATE(YEAR($Q$3),MONTH($Q$3)+6,1)))</f>
        <v/>
      </c>
      <c r="E13" s="28">
        <f>IF($B$3="","",SUMIFS('仕入請求台帳'!$L$5:$L$504,'仕入請求台帳'!$B$5:$B$504,$B$3,'仕入請求台帳'!$K$5:$K$504,"&gt;="&amp;DATE(YEAR($Q$3),MONTH($Q$3)+5,1),'仕入請求台帳'!$K$5:$K$504,"&lt;"&amp;DATE(YEAR($Q$3),MONTH($Q$3)+6,1)))</f>
        <v/>
      </c>
      <c r="F13" s="28">
        <f>IF($B$3="","",SUMIFS('仕入請求台帳'!$M$5:$M$504,'仕入請求台帳'!$B$5:$B$504,$B$3,'仕入請求台帳'!$K$5:$K$504,"&gt;="&amp;DATE(YEAR($Q$3),MONTH($Q$3)+5,1),'仕入請求台帳'!$K$5:$K$504,"&lt;"&amp;DATE(YEAR($Q$3),MONTH($Q$3)+6,1)))</f>
        <v/>
      </c>
      <c r="G13" s="28">
        <f>IF($B$3="","",$C13+$D13-$E13-$F13)</f>
        <v/>
      </c>
      <c r="H13" s="66" t="n"/>
      <c r="I13" s="56" t="n"/>
      <c r="J13" s="56" t="n"/>
      <c r="K13" s="56" t="n"/>
      <c r="L13" s="56" t="n"/>
      <c r="M13" s="56" t="n"/>
      <c r="N13" s="56" t="n"/>
      <c r="O13" s="56" t="n"/>
      <c r="P13" s="56" t="n"/>
      <c r="Q13" s="56" t="n"/>
    </row>
    <row r="14" ht="18" customHeight="1">
      <c r="A14" s="44">
        <f>IF($B$3="","",DATE(YEAR($Q$3),MONTH($Q$3)+6,1))</f>
        <v/>
      </c>
      <c r="B14" s="66" t="n"/>
      <c r="C14" s="28">
        <f>IF($B$3="","",$G13)</f>
        <v/>
      </c>
      <c r="D14" s="28">
        <f>IF($B$3="","",SUMIFS('仕入請求台帳'!$G$5:$G$504,'仕入請求台帳'!$B$5:$B$504,$B$3,'仕入請求台帳'!$S$5:$S$504,"&gt;="&amp;DATE(YEAR($Q$3),MONTH($Q$3)+6,1),'仕入請求台帳'!$S$5:$S$504,"&lt;"&amp;DATE(YEAR($Q$3),MONTH($Q$3)+7,1)))</f>
        <v/>
      </c>
      <c r="E14" s="28">
        <f>IF($B$3="","",SUMIFS('仕入請求台帳'!$L$5:$L$504,'仕入請求台帳'!$B$5:$B$504,$B$3,'仕入請求台帳'!$K$5:$K$504,"&gt;="&amp;DATE(YEAR($Q$3),MONTH($Q$3)+6,1),'仕入請求台帳'!$K$5:$K$504,"&lt;"&amp;DATE(YEAR($Q$3),MONTH($Q$3)+7,1)))</f>
        <v/>
      </c>
      <c r="F14" s="28">
        <f>IF($B$3="","",SUMIFS('仕入請求台帳'!$M$5:$M$504,'仕入請求台帳'!$B$5:$B$504,$B$3,'仕入請求台帳'!$K$5:$K$504,"&gt;="&amp;DATE(YEAR($Q$3),MONTH($Q$3)+6,1),'仕入請求台帳'!$K$5:$K$504,"&lt;"&amp;DATE(YEAR($Q$3),MONTH($Q$3)+7,1)))</f>
        <v/>
      </c>
      <c r="G14" s="28">
        <f>IF($B$3="","",$C14+$D14-$E14-$F14)</f>
        <v/>
      </c>
      <c r="H14" s="66" t="n"/>
      <c r="I14" s="56" t="n"/>
      <c r="J14" s="56" t="n"/>
      <c r="K14" s="56" t="n"/>
      <c r="L14" s="56" t="n"/>
      <c r="M14" s="56" t="n"/>
      <c r="N14" s="56" t="n"/>
      <c r="O14" s="56" t="n"/>
      <c r="P14" s="56" t="n"/>
      <c r="Q14" s="56" t="n"/>
    </row>
    <row r="15" ht="18" customHeight="1">
      <c r="A15" s="44">
        <f>IF($B$3="","",DATE(YEAR($Q$3),MONTH($Q$3)+7,1))</f>
        <v/>
      </c>
      <c r="B15" s="66" t="n"/>
      <c r="C15" s="28">
        <f>IF($B$3="","",$G14)</f>
        <v/>
      </c>
      <c r="D15" s="28">
        <f>IF($B$3="","",SUMIFS('仕入請求台帳'!$G$5:$G$504,'仕入請求台帳'!$B$5:$B$504,$B$3,'仕入請求台帳'!$S$5:$S$504,"&gt;="&amp;DATE(YEAR($Q$3),MONTH($Q$3)+7,1),'仕入請求台帳'!$S$5:$S$504,"&lt;"&amp;DATE(YEAR($Q$3),MONTH($Q$3)+8,1)))</f>
        <v/>
      </c>
      <c r="E15" s="28">
        <f>IF($B$3="","",SUMIFS('仕入請求台帳'!$L$5:$L$504,'仕入請求台帳'!$B$5:$B$504,$B$3,'仕入請求台帳'!$K$5:$K$504,"&gt;="&amp;DATE(YEAR($Q$3),MONTH($Q$3)+7,1),'仕入請求台帳'!$K$5:$K$504,"&lt;"&amp;DATE(YEAR($Q$3),MONTH($Q$3)+8,1)))</f>
        <v/>
      </c>
      <c r="F15" s="28">
        <f>IF($B$3="","",SUMIFS('仕入請求台帳'!$M$5:$M$504,'仕入請求台帳'!$B$5:$B$504,$B$3,'仕入請求台帳'!$K$5:$K$504,"&gt;="&amp;DATE(YEAR($Q$3),MONTH($Q$3)+7,1),'仕入請求台帳'!$K$5:$K$504,"&lt;"&amp;DATE(YEAR($Q$3),MONTH($Q$3)+8,1)))</f>
        <v/>
      </c>
      <c r="G15" s="28">
        <f>IF($B$3="","",$C15+$D15-$E15-$F15)</f>
        <v/>
      </c>
      <c r="H15" s="66" t="n"/>
      <c r="I15" s="56" t="n"/>
      <c r="J15" s="56" t="n"/>
      <c r="K15" s="56" t="n"/>
      <c r="L15" s="56" t="n"/>
      <c r="M15" s="56" t="n"/>
      <c r="N15" s="56" t="n"/>
      <c r="O15" s="56" t="n"/>
      <c r="P15" s="56" t="n"/>
      <c r="Q15" s="56" t="n"/>
    </row>
    <row r="16" ht="18" customHeight="1">
      <c r="A16" s="44">
        <f>IF($B$3="","",DATE(YEAR($Q$3),MONTH($Q$3)+8,1))</f>
        <v/>
      </c>
      <c r="B16" s="66" t="n"/>
      <c r="C16" s="28">
        <f>IF($B$3="","",$G15)</f>
        <v/>
      </c>
      <c r="D16" s="28">
        <f>IF($B$3="","",SUMIFS('仕入請求台帳'!$G$5:$G$504,'仕入請求台帳'!$B$5:$B$504,$B$3,'仕入請求台帳'!$S$5:$S$504,"&gt;="&amp;DATE(YEAR($Q$3),MONTH($Q$3)+8,1),'仕入請求台帳'!$S$5:$S$504,"&lt;"&amp;DATE(YEAR($Q$3),MONTH($Q$3)+9,1)))</f>
        <v/>
      </c>
      <c r="E16" s="28">
        <f>IF($B$3="","",SUMIFS('仕入請求台帳'!$L$5:$L$504,'仕入請求台帳'!$B$5:$B$504,$B$3,'仕入請求台帳'!$K$5:$K$504,"&gt;="&amp;DATE(YEAR($Q$3),MONTH($Q$3)+8,1),'仕入請求台帳'!$K$5:$K$504,"&lt;"&amp;DATE(YEAR($Q$3),MONTH($Q$3)+9,1)))</f>
        <v/>
      </c>
      <c r="F16" s="28">
        <f>IF($B$3="","",SUMIFS('仕入請求台帳'!$M$5:$M$504,'仕入請求台帳'!$B$5:$B$504,$B$3,'仕入請求台帳'!$K$5:$K$504,"&gt;="&amp;DATE(YEAR($Q$3),MONTH($Q$3)+8,1),'仕入請求台帳'!$K$5:$K$504,"&lt;"&amp;DATE(YEAR($Q$3),MONTH($Q$3)+9,1)))</f>
        <v/>
      </c>
      <c r="G16" s="28">
        <f>IF($B$3="","",$C16+$D16-$E16-$F16)</f>
        <v/>
      </c>
      <c r="H16" s="66" t="n"/>
      <c r="I16" s="56" t="n"/>
      <c r="J16" s="56" t="n"/>
      <c r="K16" s="56" t="n"/>
      <c r="L16" s="56" t="n"/>
      <c r="M16" s="56" t="n"/>
      <c r="N16" s="56" t="n"/>
      <c r="O16" s="56" t="n"/>
      <c r="P16" s="56" t="n"/>
      <c r="Q16" s="56" t="n"/>
    </row>
    <row r="17" ht="18" customHeight="1">
      <c r="A17" s="44">
        <f>IF($B$3="","",DATE(YEAR($Q$3),MONTH($Q$3)+9,1))</f>
        <v/>
      </c>
      <c r="B17" s="66" t="n"/>
      <c r="C17" s="28">
        <f>IF($B$3="","",$G16)</f>
        <v/>
      </c>
      <c r="D17" s="28">
        <f>IF($B$3="","",SUMIFS('仕入請求台帳'!$G$5:$G$504,'仕入請求台帳'!$B$5:$B$504,$B$3,'仕入請求台帳'!$S$5:$S$504,"&gt;="&amp;DATE(YEAR($Q$3),MONTH($Q$3)+9,1),'仕入請求台帳'!$S$5:$S$504,"&lt;"&amp;DATE(YEAR($Q$3),MONTH($Q$3)+10,1)))</f>
        <v/>
      </c>
      <c r="E17" s="28">
        <f>IF($B$3="","",SUMIFS('仕入請求台帳'!$L$5:$L$504,'仕入請求台帳'!$B$5:$B$504,$B$3,'仕入請求台帳'!$K$5:$K$504,"&gt;="&amp;DATE(YEAR($Q$3),MONTH($Q$3)+9,1),'仕入請求台帳'!$K$5:$K$504,"&lt;"&amp;DATE(YEAR($Q$3),MONTH($Q$3)+10,1)))</f>
        <v/>
      </c>
      <c r="F17" s="28">
        <f>IF($B$3="","",SUMIFS('仕入請求台帳'!$M$5:$M$504,'仕入請求台帳'!$B$5:$B$504,$B$3,'仕入請求台帳'!$K$5:$K$504,"&gt;="&amp;DATE(YEAR($Q$3),MONTH($Q$3)+9,1),'仕入請求台帳'!$K$5:$K$504,"&lt;"&amp;DATE(YEAR($Q$3),MONTH($Q$3)+10,1)))</f>
        <v/>
      </c>
      <c r="G17" s="28">
        <f>IF($B$3="","",$C17+$D17-$E17-$F17)</f>
        <v/>
      </c>
      <c r="H17" s="66" t="n"/>
      <c r="I17" s="56" t="n"/>
      <c r="J17" s="56" t="n"/>
      <c r="K17" s="56" t="n"/>
      <c r="L17" s="56" t="n"/>
      <c r="M17" s="56" t="n"/>
      <c r="N17" s="56" t="n"/>
      <c r="O17" s="56" t="n"/>
      <c r="P17" s="56" t="n"/>
      <c r="Q17" s="56" t="n"/>
    </row>
    <row r="18" ht="18" customHeight="1">
      <c r="A18" s="44">
        <f>IF($B$3="","",DATE(YEAR($Q$3),MONTH($Q$3)+10,1))</f>
        <v/>
      </c>
      <c r="B18" s="66" t="n"/>
      <c r="C18" s="28">
        <f>IF($B$3="","",$G17)</f>
        <v/>
      </c>
      <c r="D18" s="28">
        <f>IF($B$3="","",SUMIFS('仕入請求台帳'!$G$5:$G$504,'仕入請求台帳'!$B$5:$B$504,$B$3,'仕入請求台帳'!$S$5:$S$504,"&gt;="&amp;DATE(YEAR($Q$3),MONTH($Q$3)+10,1),'仕入請求台帳'!$S$5:$S$504,"&lt;"&amp;DATE(YEAR($Q$3),MONTH($Q$3)+11,1)))</f>
        <v/>
      </c>
      <c r="E18" s="28">
        <f>IF($B$3="","",SUMIFS('仕入請求台帳'!$L$5:$L$504,'仕入請求台帳'!$B$5:$B$504,$B$3,'仕入請求台帳'!$K$5:$K$504,"&gt;="&amp;DATE(YEAR($Q$3),MONTH($Q$3)+10,1),'仕入請求台帳'!$K$5:$K$504,"&lt;"&amp;DATE(YEAR($Q$3),MONTH($Q$3)+11,1)))</f>
        <v/>
      </c>
      <c r="F18" s="28">
        <f>IF($B$3="","",SUMIFS('仕入請求台帳'!$M$5:$M$504,'仕入請求台帳'!$B$5:$B$504,$B$3,'仕入請求台帳'!$K$5:$K$504,"&gt;="&amp;DATE(YEAR($Q$3),MONTH($Q$3)+10,1),'仕入請求台帳'!$K$5:$K$504,"&lt;"&amp;DATE(YEAR($Q$3),MONTH($Q$3)+11,1)))</f>
        <v/>
      </c>
      <c r="G18" s="28">
        <f>IF($B$3="","",$C18+$D18-$E18-$F18)</f>
        <v/>
      </c>
      <c r="H18" s="66" t="n"/>
      <c r="I18" s="56" t="n"/>
      <c r="J18" s="56" t="n"/>
      <c r="K18" s="56" t="n"/>
      <c r="L18" s="56" t="n"/>
      <c r="M18" s="56" t="n"/>
      <c r="N18" s="56" t="n"/>
      <c r="O18" s="56" t="n"/>
      <c r="P18" s="56" t="n"/>
      <c r="Q18" s="56" t="n"/>
    </row>
    <row r="19" ht="18" customHeight="1">
      <c r="A19" s="44">
        <f>IF($B$3="","",DATE(YEAR($Q$3),MONTH($Q$3)+11,1))</f>
        <v/>
      </c>
      <c r="B19" s="66" t="n"/>
      <c r="C19" s="28">
        <f>IF($B$3="","",$G18)</f>
        <v/>
      </c>
      <c r="D19" s="28">
        <f>IF($B$3="","",SUMIFS('仕入請求台帳'!$G$5:$G$504,'仕入請求台帳'!$B$5:$B$504,$B$3,'仕入請求台帳'!$S$5:$S$504,"&gt;="&amp;DATE(YEAR($Q$3),MONTH($Q$3)+11,1),'仕入請求台帳'!$S$5:$S$504,"&lt;"&amp;DATE(YEAR($Q$3),MONTH($Q$3)+12,1)))</f>
        <v/>
      </c>
      <c r="E19" s="28">
        <f>IF($B$3="","",SUMIFS('仕入請求台帳'!$L$5:$L$504,'仕入請求台帳'!$B$5:$B$504,$B$3,'仕入請求台帳'!$K$5:$K$504,"&gt;="&amp;DATE(YEAR($Q$3),MONTH($Q$3)+11,1),'仕入請求台帳'!$K$5:$K$504,"&lt;"&amp;DATE(YEAR($Q$3),MONTH($Q$3)+12,1)))</f>
        <v/>
      </c>
      <c r="F19" s="28">
        <f>IF($B$3="","",SUMIFS('仕入請求台帳'!$M$5:$M$504,'仕入請求台帳'!$B$5:$B$504,$B$3,'仕入請求台帳'!$K$5:$K$504,"&gt;="&amp;DATE(YEAR($Q$3),MONTH($Q$3)+11,1),'仕入請求台帳'!$K$5:$K$504,"&lt;"&amp;DATE(YEAR($Q$3),MONTH($Q$3)+12,1)))</f>
        <v/>
      </c>
      <c r="G19" s="28">
        <f>IF($B$3="","",$C19+$D19-$E19-$F19)</f>
        <v/>
      </c>
      <c r="H19" s="66" t="n"/>
      <c r="I19" s="56" t="n"/>
      <c r="J19" s="56" t="n"/>
      <c r="K19" s="56" t="n"/>
      <c r="L19" s="56" t="n"/>
      <c r="M19" s="56" t="n"/>
      <c r="N19" s="56" t="n"/>
      <c r="O19" s="56" t="n"/>
      <c r="P19" s="56" t="n"/>
      <c r="Q19" s="56" t="n"/>
    </row>
    <row r="20">
      <c r="A20" s="56" t="n"/>
      <c r="B20" s="56" t="n"/>
      <c r="C20" s="56" t="n"/>
      <c r="D20" s="56" t="n"/>
      <c r="E20" s="56" t="n"/>
      <c r="F20" s="56" t="n"/>
      <c r="G20" s="56" t="n"/>
      <c r="H20" s="56" t="n"/>
      <c r="I20" s="56" t="n"/>
      <c r="J20" s="56" t="n"/>
      <c r="K20" s="56" t="n"/>
      <c r="L20" s="56" t="n"/>
      <c r="M20" s="56" t="n"/>
      <c r="N20" s="56" t="n"/>
      <c r="O20" s="56" t="n"/>
      <c r="P20" s="56" t="n"/>
      <c r="Q20" s="56" t="n"/>
    </row>
    <row r="21" ht="20" customHeight="1">
      <c r="A21" s="61" t="inlineStr">
        <is>
          <t>買掛帳（期間内を日付順に・300行まで）</t>
        </is>
      </c>
      <c r="B21" s="62" t="n"/>
      <c r="C21" s="62" t="n"/>
      <c r="D21" s="62" t="n"/>
      <c r="E21" s="62" t="n"/>
      <c r="F21" s="62" t="n"/>
      <c r="G21" s="62" t="n"/>
      <c r="H21" s="62" t="n"/>
      <c r="I21" s="56" t="n"/>
      <c r="J21" s="56" t="n"/>
      <c r="K21" s="56" t="n"/>
      <c r="L21" s="56" t="n"/>
      <c r="M21" s="56" t="n"/>
      <c r="N21" s="56" t="n"/>
      <c r="O21" s="56" t="n"/>
      <c r="P21" s="56" t="n"/>
      <c r="Q21" s="56" t="n"/>
    </row>
    <row r="22" ht="30" customHeight="1">
      <c r="A22" s="15" t="inlineStr">
        <is>
          <t>日付</t>
        </is>
      </c>
      <c r="B22" s="15" t="inlineStr">
        <is>
          <t>区分</t>
        </is>
      </c>
      <c r="C22" s="15" t="inlineStr">
        <is>
          <t>請求書No</t>
        </is>
      </c>
      <c r="D22" s="15" t="inlineStr">
        <is>
          <t>摘要</t>
        </is>
      </c>
      <c r="E22" s="15" t="inlineStr">
        <is>
          <t>仕入金額</t>
        </is>
      </c>
      <c r="F22" s="15" t="inlineStr">
        <is>
          <t>支払金額</t>
        </is>
      </c>
      <c r="G22" s="15" t="inlineStr">
        <is>
          <t>値引・相殺</t>
        </is>
      </c>
      <c r="H22" s="15" t="inlineStr">
        <is>
          <t>差引残高</t>
        </is>
      </c>
      <c r="I22" s="56" t="n"/>
      <c r="J22" s="25" t="inlineStr">
        <is>
          <t>増の件数</t>
        </is>
      </c>
      <c r="K22" s="25" t="inlineStr">
        <is>
          <t>減の件数</t>
        </is>
      </c>
      <c r="L22" s="25" t="inlineStr">
        <is>
          <t>次の増</t>
        </is>
      </c>
      <c r="M22" s="25" t="inlineStr">
        <is>
          <t>次の減</t>
        </is>
      </c>
      <c r="N22" s="25" t="inlineStr">
        <is>
          <t>どちら</t>
        </is>
      </c>
      <c r="O22" s="25" t="inlineStr">
        <is>
          <t>元の行</t>
        </is>
      </c>
      <c r="P22" s="56" t="n"/>
      <c r="Q22" s="56" t="n"/>
    </row>
    <row r="23" ht="18" customHeight="1">
      <c r="A23" s="29">
        <f>IF($B$3="","",$Q$3)</f>
        <v/>
      </c>
      <c r="B23" s="30">
        <f>IF($B$3="","","繰越")</f>
        <v/>
      </c>
      <c r="C23" s="14" t="n"/>
      <c r="D23" s="20">
        <f>IF($B$3="","","期間の始まりより前からの繰越")</f>
        <v/>
      </c>
      <c r="E23" s="14" t="n"/>
      <c r="F23" s="14" t="n"/>
      <c r="G23" s="14" t="n"/>
      <c r="H23" s="67">
        <f>IF($B$3="","",SUMIFS('仕入請求台帳'!$G$5:$G$504,'仕入請求台帳'!$B$5:$B$504,$B$3,'仕入請求台帳'!$S$5:$S$504,"&lt;"&amp;$Q$3)-SUMIFS('仕入請求台帳'!$L$5:$L$504,'仕入請求台帳'!$B$5:$B$504,$B$3,'仕入請求台帳'!$K$5:$K$504,"&lt;"&amp;$Q$3)-SUMIFS('仕入請求台帳'!$M$5:$M$504,'仕入請求台帳'!$B$5:$B$504,$B$3,'仕入請求台帳'!$K$5:$K$504,"&lt;"&amp;$Q$3))</f>
        <v/>
      </c>
      <c r="I23" s="56" t="n"/>
      <c r="J23" s="56" t="n"/>
      <c r="K23" s="56" t="n"/>
      <c r="L23" s="56" t="n"/>
      <c r="M23" s="56" t="n"/>
      <c r="N23" s="56" t="n"/>
      <c r="O23" s="56" t="n"/>
      <c r="P23" s="56" t="n"/>
      <c r="Q23" s="56" t="n"/>
    </row>
    <row r="24" ht="18" customHeight="1">
      <c r="A24" s="45">
        <f>IF($N24="","",IF($N24="増",INDEX('仕入請求台帳'!$S$5:$S$504,$O24),INDEX('仕入請求台帳'!$K$5:$K$504,$O24)))</f>
        <v/>
      </c>
      <c r="B24" s="46">
        <f>IF($N24="","",IF($N24="増","仕入","支払"))</f>
        <v/>
      </c>
      <c r="C24" s="46">
        <f>IF($N24="","",IF($N24="増",INDEX('仕入請求台帳'!$E$5:$E$504,$O24)&amp;"",INDEX('仕入請求台帳'!$E$5:$E$504,$O24)&amp;""))</f>
        <v/>
      </c>
      <c r="D24" s="47">
        <f>IF($N24="","",IF($N24="増",INDEX('仕入請求台帳'!$F$5:$F$504,$O24)&amp;"","支払"))</f>
        <v/>
      </c>
      <c r="E24" s="48">
        <f>IF($N24&lt;&gt;"増","",INDEX('仕入請求台帳'!$G$5:$G$504,$O24))</f>
        <v/>
      </c>
      <c r="F24" s="48">
        <f>IF($N24&lt;&gt;"減","",N(INDEX('仕入請求台帳'!$L$5:$L$504,$O24)))</f>
        <v/>
      </c>
      <c r="G24" s="48">
        <f>IF($N24&lt;&gt;"減","",N(INDEX('仕入請求台帳'!$M$5:$M$504,$O24)))</f>
        <v/>
      </c>
      <c r="H24" s="49">
        <f>IF($N24="","",$H23+N($E24)-N($F24)-N($G24))</f>
        <v/>
      </c>
      <c r="I24" s="56" t="n"/>
      <c r="J24" s="32">
        <f>0</f>
        <v/>
      </c>
      <c r="K24" s="32">
        <f>0</f>
        <v/>
      </c>
      <c r="L24" s="35">
        <f>IF($B$3="",1E+9,IFERROR(SMALL('仕入請求台帳'!$U$5:$U$504,$J24+1),1E+9))</f>
        <v/>
      </c>
      <c r="M24" s="35">
        <f>IF($B$3="",1E+9,IFERROR(SMALL('仕入請求台帳'!$V$5:$V$504,$K24+1),1E+9))</f>
        <v/>
      </c>
      <c r="N24" s="32">
        <f>IF(MIN($L24,$M24)&gt;=1E+9,"",IF($L24&lt;=$M24,"増","減"))</f>
        <v/>
      </c>
      <c r="O24" s="32">
        <f>IF($N24="","",IF($N24="増",MATCH($L24,'仕入請求台帳'!$U$5:$U$504,0),MATCH($M24,'仕入請求台帳'!$V$5:$V$504,0)))</f>
        <v/>
      </c>
      <c r="P24" s="56" t="n"/>
      <c r="Q24" s="56" t="n"/>
    </row>
    <row r="25" ht="18" customHeight="1">
      <c r="A25" s="45">
        <f>IF($N25="","",IF($N25="増",INDEX('仕入請求台帳'!$S$5:$S$504,$O25),INDEX('仕入請求台帳'!$K$5:$K$504,$O25)))</f>
        <v/>
      </c>
      <c r="B25" s="46">
        <f>IF($N25="","",IF($N25="増","仕入","支払"))</f>
        <v/>
      </c>
      <c r="C25" s="46">
        <f>IF($N25="","",IF($N25="増",INDEX('仕入請求台帳'!$E$5:$E$504,$O25)&amp;"",INDEX('仕入請求台帳'!$E$5:$E$504,$O25)&amp;""))</f>
        <v/>
      </c>
      <c r="D25" s="47">
        <f>IF($N25="","",IF($N25="増",INDEX('仕入請求台帳'!$F$5:$F$504,$O25)&amp;"","支払"))</f>
        <v/>
      </c>
      <c r="E25" s="48">
        <f>IF($N25&lt;&gt;"増","",INDEX('仕入請求台帳'!$G$5:$G$504,$O25))</f>
        <v/>
      </c>
      <c r="F25" s="48">
        <f>IF($N25&lt;&gt;"減","",N(INDEX('仕入請求台帳'!$L$5:$L$504,$O25)))</f>
        <v/>
      </c>
      <c r="G25" s="48">
        <f>IF($N25&lt;&gt;"減","",N(INDEX('仕入請求台帳'!$M$5:$M$504,$O25)))</f>
        <v/>
      </c>
      <c r="H25" s="49">
        <f>IF($N25="","",$H24+N($E25)-N($F25)-N($G25))</f>
        <v/>
      </c>
      <c r="I25" s="56" t="n"/>
      <c r="J25" s="32">
        <f>$J24+IF($N24="増",1,0)</f>
        <v/>
      </c>
      <c r="K25" s="32">
        <f>$K24+IF($N24="減",1,0)</f>
        <v/>
      </c>
      <c r="L25" s="35">
        <f>IF($B$3="",1E+9,IFERROR(SMALL('仕入請求台帳'!$U$5:$U$504,$J25+1),1E+9))</f>
        <v/>
      </c>
      <c r="M25" s="35">
        <f>IF($B$3="",1E+9,IFERROR(SMALL('仕入請求台帳'!$V$5:$V$504,$K25+1),1E+9))</f>
        <v/>
      </c>
      <c r="N25" s="32">
        <f>IF(MIN($L25,$M25)&gt;=1E+9,"",IF($L25&lt;=$M25,"増","減"))</f>
        <v/>
      </c>
      <c r="O25" s="32">
        <f>IF($N25="","",IF($N25="増",MATCH($L25,'仕入請求台帳'!$U$5:$U$504,0),MATCH($M25,'仕入請求台帳'!$V$5:$V$504,0)))</f>
        <v/>
      </c>
      <c r="P25" s="56" t="n"/>
      <c r="Q25" s="56" t="n"/>
    </row>
    <row r="26" ht="18" customHeight="1">
      <c r="A26" s="45">
        <f>IF($N26="","",IF($N26="増",INDEX('仕入請求台帳'!$S$5:$S$504,$O26),INDEX('仕入請求台帳'!$K$5:$K$504,$O26)))</f>
        <v/>
      </c>
      <c r="B26" s="46">
        <f>IF($N26="","",IF($N26="増","仕入","支払"))</f>
        <v/>
      </c>
      <c r="C26" s="46">
        <f>IF($N26="","",IF($N26="増",INDEX('仕入請求台帳'!$E$5:$E$504,$O26)&amp;"",INDEX('仕入請求台帳'!$E$5:$E$504,$O26)&amp;""))</f>
        <v/>
      </c>
      <c r="D26" s="47">
        <f>IF($N26="","",IF($N26="増",INDEX('仕入請求台帳'!$F$5:$F$504,$O26)&amp;"","支払"))</f>
        <v/>
      </c>
      <c r="E26" s="48">
        <f>IF($N26&lt;&gt;"増","",INDEX('仕入請求台帳'!$G$5:$G$504,$O26))</f>
        <v/>
      </c>
      <c r="F26" s="48">
        <f>IF($N26&lt;&gt;"減","",N(INDEX('仕入請求台帳'!$L$5:$L$504,$O26)))</f>
        <v/>
      </c>
      <c r="G26" s="48">
        <f>IF($N26&lt;&gt;"減","",N(INDEX('仕入請求台帳'!$M$5:$M$504,$O26)))</f>
        <v/>
      </c>
      <c r="H26" s="49">
        <f>IF($N26="","",$H25+N($E26)-N($F26)-N($G26))</f>
        <v/>
      </c>
      <c r="I26" s="56" t="n"/>
      <c r="J26" s="32">
        <f>$J25+IF($N25="増",1,0)</f>
        <v/>
      </c>
      <c r="K26" s="32">
        <f>$K25+IF($N25="減",1,0)</f>
        <v/>
      </c>
      <c r="L26" s="35">
        <f>IF($B$3="",1E+9,IFERROR(SMALL('仕入請求台帳'!$U$5:$U$504,$J26+1),1E+9))</f>
        <v/>
      </c>
      <c r="M26" s="35">
        <f>IF($B$3="",1E+9,IFERROR(SMALL('仕入請求台帳'!$V$5:$V$504,$K26+1),1E+9))</f>
        <v/>
      </c>
      <c r="N26" s="32">
        <f>IF(MIN($L26,$M26)&gt;=1E+9,"",IF($L26&lt;=$M26,"増","減"))</f>
        <v/>
      </c>
      <c r="O26" s="32">
        <f>IF($N26="","",IF($N26="増",MATCH($L26,'仕入請求台帳'!$U$5:$U$504,0),MATCH($M26,'仕入請求台帳'!$V$5:$V$504,0)))</f>
        <v/>
      </c>
      <c r="P26" s="56" t="n"/>
      <c r="Q26" s="56" t="n"/>
    </row>
    <row r="27" ht="18" customHeight="1">
      <c r="A27" s="45">
        <f>IF($N27="","",IF($N27="増",INDEX('仕入請求台帳'!$S$5:$S$504,$O27),INDEX('仕入請求台帳'!$K$5:$K$504,$O27)))</f>
        <v/>
      </c>
      <c r="B27" s="46">
        <f>IF($N27="","",IF($N27="増","仕入","支払"))</f>
        <v/>
      </c>
      <c r="C27" s="46">
        <f>IF($N27="","",IF($N27="増",INDEX('仕入請求台帳'!$E$5:$E$504,$O27)&amp;"",INDEX('仕入請求台帳'!$E$5:$E$504,$O27)&amp;""))</f>
        <v/>
      </c>
      <c r="D27" s="47">
        <f>IF($N27="","",IF($N27="増",INDEX('仕入請求台帳'!$F$5:$F$504,$O27)&amp;"","支払"))</f>
        <v/>
      </c>
      <c r="E27" s="48">
        <f>IF($N27&lt;&gt;"増","",INDEX('仕入請求台帳'!$G$5:$G$504,$O27))</f>
        <v/>
      </c>
      <c r="F27" s="48">
        <f>IF($N27&lt;&gt;"減","",N(INDEX('仕入請求台帳'!$L$5:$L$504,$O27)))</f>
        <v/>
      </c>
      <c r="G27" s="48">
        <f>IF($N27&lt;&gt;"減","",N(INDEX('仕入請求台帳'!$M$5:$M$504,$O27)))</f>
        <v/>
      </c>
      <c r="H27" s="49">
        <f>IF($N27="","",$H26+N($E27)-N($F27)-N($G27))</f>
        <v/>
      </c>
      <c r="I27" s="56" t="n"/>
      <c r="J27" s="32">
        <f>$J26+IF($N26="増",1,0)</f>
        <v/>
      </c>
      <c r="K27" s="32">
        <f>$K26+IF($N26="減",1,0)</f>
        <v/>
      </c>
      <c r="L27" s="35">
        <f>IF($B$3="",1E+9,IFERROR(SMALL('仕入請求台帳'!$U$5:$U$504,$J27+1),1E+9))</f>
        <v/>
      </c>
      <c r="M27" s="35">
        <f>IF($B$3="",1E+9,IFERROR(SMALL('仕入請求台帳'!$V$5:$V$504,$K27+1),1E+9))</f>
        <v/>
      </c>
      <c r="N27" s="32">
        <f>IF(MIN($L27,$M27)&gt;=1E+9,"",IF($L27&lt;=$M27,"増","減"))</f>
        <v/>
      </c>
      <c r="O27" s="32">
        <f>IF($N27="","",IF($N27="増",MATCH($L27,'仕入請求台帳'!$U$5:$U$504,0),MATCH($M27,'仕入請求台帳'!$V$5:$V$504,0)))</f>
        <v/>
      </c>
      <c r="P27" s="56" t="n"/>
      <c r="Q27" s="56" t="n"/>
    </row>
    <row r="28" ht="18" customHeight="1">
      <c r="A28" s="45">
        <f>IF($N28="","",IF($N28="増",INDEX('仕入請求台帳'!$S$5:$S$504,$O28),INDEX('仕入請求台帳'!$K$5:$K$504,$O28)))</f>
        <v/>
      </c>
      <c r="B28" s="46">
        <f>IF($N28="","",IF($N28="増","仕入","支払"))</f>
        <v/>
      </c>
      <c r="C28" s="46">
        <f>IF($N28="","",IF($N28="増",INDEX('仕入請求台帳'!$E$5:$E$504,$O28)&amp;"",INDEX('仕入請求台帳'!$E$5:$E$504,$O28)&amp;""))</f>
        <v/>
      </c>
      <c r="D28" s="47">
        <f>IF($N28="","",IF($N28="増",INDEX('仕入請求台帳'!$F$5:$F$504,$O28)&amp;"","支払"))</f>
        <v/>
      </c>
      <c r="E28" s="48">
        <f>IF($N28&lt;&gt;"増","",INDEX('仕入請求台帳'!$G$5:$G$504,$O28))</f>
        <v/>
      </c>
      <c r="F28" s="48">
        <f>IF($N28&lt;&gt;"減","",N(INDEX('仕入請求台帳'!$L$5:$L$504,$O28)))</f>
        <v/>
      </c>
      <c r="G28" s="48">
        <f>IF($N28&lt;&gt;"減","",N(INDEX('仕入請求台帳'!$M$5:$M$504,$O28)))</f>
        <v/>
      </c>
      <c r="H28" s="49">
        <f>IF($N28="","",$H27+N($E28)-N($F28)-N($G28))</f>
        <v/>
      </c>
      <c r="I28" s="56" t="n"/>
      <c r="J28" s="32">
        <f>$J27+IF($N27="増",1,0)</f>
        <v/>
      </c>
      <c r="K28" s="32">
        <f>$K27+IF($N27="減",1,0)</f>
        <v/>
      </c>
      <c r="L28" s="35">
        <f>IF($B$3="",1E+9,IFERROR(SMALL('仕入請求台帳'!$U$5:$U$504,$J28+1),1E+9))</f>
        <v/>
      </c>
      <c r="M28" s="35">
        <f>IF($B$3="",1E+9,IFERROR(SMALL('仕入請求台帳'!$V$5:$V$504,$K28+1),1E+9))</f>
        <v/>
      </c>
      <c r="N28" s="32">
        <f>IF(MIN($L28,$M28)&gt;=1E+9,"",IF($L28&lt;=$M28,"増","減"))</f>
        <v/>
      </c>
      <c r="O28" s="32">
        <f>IF($N28="","",IF($N28="増",MATCH($L28,'仕入請求台帳'!$U$5:$U$504,0),MATCH($M28,'仕入請求台帳'!$V$5:$V$504,0)))</f>
        <v/>
      </c>
      <c r="P28" s="56" t="n"/>
      <c r="Q28" s="56" t="n"/>
    </row>
    <row r="29" ht="18" customHeight="1">
      <c r="A29" s="45">
        <f>IF($N29="","",IF($N29="増",INDEX('仕入請求台帳'!$S$5:$S$504,$O29),INDEX('仕入請求台帳'!$K$5:$K$504,$O29)))</f>
        <v/>
      </c>
      <c r="B29" s="46">
        <f>IF($N29="","",IF($N29="増","仕入","支払"))</f>
        <v/>
      </c>
      <c r="C29" s="46">
        <f>IF($N29="","",IF($N29="増",INDEX('仕入請求台帳'!$E$5:$E$504,$O29)&amp;"",INDEX('仕入請求台帳'!$E$5:$E$504,$O29)&amp;""))</f>
        <v/>
      </c>
      <c r="D29" s="47">
        <f>IF($N29="","",IF($N29="増",INDEX('仕入請求台帳'!$F$5:$F$504,$O29)&amp;"","支払"))</f>
        <v/>
      </c>
      <c r="E29" s="48">
        <f>IF($N29&lt;&gt;"増","",INDEX('仕入請求台帳'!$G$5:$G$504,$O29))</f>
        <v/>
      </c>
      <c r="F29" s="48">
        <f>IF($N29&lt;&gt;"減","",N(INDEX('仕入請求台帳'!$L$5:$L$504,$O29)))</f>
        <v/>
      </c>
      <c r="G29" s="48">
        <f>IF($N29&lt;&gt;"減","",N(INDEX('仕入請求台帳'!$M$5:$M$504,$O29)))</f>
        <v/>
      </c>
      <c r="H29" s="49">
        <f>IF($N29="","",$H28+N($E29)-N($F29)-N($G29))</f>
        <v/>
      </c>
      <c r="I29" s="56" t="n"/>
      <c r="J29" s="32">
        <f>$J28+IF($N28="増",1,0)</f>
        <v/>
      </c>
      <c r="K29" s="32">
        <f>$K28+IF($N28="減",1,0)</f>
        <v/>
      </c>
      <c r="L29" s="35">
        <f>IF($B$3="",1E+9,IFERROR(SMALL('仕入請求台帳'!$U$5:$U$504,$J29+1),1E+9))</f>
        <v/>
      </c>
      <c r="M29" s="35">
        <f>IF($B$3="",1E+9,IFERROR(SMALL('仕入請求台帳'!$V$5:$V$504,$K29+1),1E+9))</f>
        <v/>
      </c>
      <c r="N29" s="32">
        <f>IF(MIN($L29,$M29)&gt;=1E+9,"",IF($L29&lt;=$M29,"増","減"))</f>
        <v/>
      </c>
      <c r="O29" s="32">
        <f>IF($N29="","",IF($N29="増",MATCH($L29,'仕入請求台帳'!$U$5:$U$504,0),MATCH($M29,'仕入請求台帳'!$V$5:$V$504,0)))</f>
        <v/>
      </c>
      <c r="P29" s="56" t="n"/>
      <c r="Q29" s="56" t="n"/>
    </row>
    <row r="30" ht="18" customHeight="1">
      <c r="A30" s="45">
        <f>IF($N30="","",IF($N30="増",INDEX('仕入請求台帳'!$S$5:$S$504,$O30),INDEX('仕入請求台帳'!$K$5:$K$504,$O30)))</f>
        <v/>
      </c>
      <c r="B30" s="46">
        <f>IF($N30="","",IF($N30="増","仕入","支払"))</f>
        <v/>
      </c>
      <c r="C30" s="46">
        <f>IF($N30="","",IF($N30="増",INDEX('仕入請求台帳'!$E$5:$E$504,$O30)&amp;"",INDEX('仕入請求台帳'!$E$5:$E$504,$O30)&amp;""))</f>
        <v/>
      </c>
      <c r="D30" s="47">
        <f>IF($N30="","",IF($N30="増",INDEX('仕入請求台帳'!$F$5:$F$504,$O30)&amp;"","支払"))</f>
        <v/>
      </c>
      <c r="E30" s="48">
        <f>IF($N30&lt;&gt;"増","",INDEX('仕入請求台帳'!$G$5:$G$504,$O30))</f>
        <v/>
      </c>
      <c r="F30" s="48">
        <f>IF($N30&lt;&gt;"減","",N(INDEX('仕入請求台帳'!$L$5:$L$504,$O30)))</f>
        <v/>
      </c>
      <c r="G30" s="48">
        <f>IF($N30&lt;&gt;"減","",N(INDEX('仕入請求台帳'!$M$5:$M$504,$O30)))</f>
        <v/>
      </c>
      <c r="H30" s="49">
        <f>IF($N30="","",$H29+N($E30)-N($F30)-N($G30))</f>
        <v/>
      </c>
      <c r="I30" s="56" t="n"/>
      <c r="J30" s="32">
        <f>$J29+IF($N29="増",1,0)</f>
        <v/>
      </c>
      <c r="K30" s="32">
        <f>$K29+IF($N29="減",1,0)</f>
        <v/>
      </c>
      <c r="L30" s="35">
        <f>IF($B$3="",1E+9,IFERROR(SMALL('仕入請求台帳'!$U$5:$U$504,$J30+1),1E+9))</f>
        <v/>
      </c>
      <c r="M30" s="35">
        <f>IF($B$3="",1E+9,IFERROR(SMALL('仕入請求台帳'!$V$5:$V$504,$K30+1),1E+9))</f>
        <v/>
      </c>
      <c r="N30" s="32">
        <f>IF(MIN($L30,$M30)&gt;=1E+9,"",IF($L30&lt;=$M30,"増","減"))</f>
        <v/>
      </c>
      <c r="O30" s="32">
        <f>IF($N30="","",IF($N30="増",MATCH($L30,'仕入請求台帳'!$U$5:$U$504,0),MATCH($M30,'仕入請求台帳'!$V$5:$V$504,0)))</f>
        <v/>
      </c>
      <c r="P30" s="56" t="n"/>
      <c r="Q30" s="56" t="n"/>
    </row>
    <row r="31" ht="18" customHeight="1">
      <c r="A31" s="45">
        <f>IF($N31="","",IF($N31="増",INDEX('仕入請求台帳'!$S$5:$S$504,$O31),INDEX('仕入請求台帳'!$K$5:$K$504,$O31)))</f>
        <v/>
      </c>
      <c r="B31" s="46">
        <f>IF($N31="","",IF($N31="増","仕入","支払"))</f>
        <v/>
      </c>
      <c r="C31" s="46">
        <f>IF($N31="","",IF($N31="増",INDEX('仕入請求台帳'!$E$5:$E$504,$O31)&amp;"",INDEX('仕入請求台帳'!$E$5:$E$504,$O31)&amp;""))</f>
        <v/>
      </c>
      <c r="D31" s="47">
        <f>IF($N31="","",IF($N31="増",INDEX('仕入請求台帳'!$F$5:$F$504,$O31)&amp;"","支払"))</f>
        <v/>
      </c>
      <c r="E31" s="48">
        <f>IF($N31&lt;&gt;"増","",INDEX('仕入請求台帳'!$G$5:$G$504,$O31))</f>
        <v/>
      </c>
      <c r="F31" s="48">
        <f>IF($N31&lt;&gt;"減","",N(INDEX('仕入請求台帳'!$L$5:$L$504,$O31)))</f>
        <v/>
      </c>
      <c r="G31" s="48">
        <f>IF($N31&lt;&gt;"減","",N(INDEX('仕入請求台帳'!$M$5:$M$504,$O31)))</f>
        <v/>
      </c>
      <c r="H31" s="49">
        <f>IF($N31="","",$H30+N($E31)-N($F31)-N($G31))</f>
        <v/>
      </c>
      <c r="I31" s="56" t="n"/>
      <c r="J31" s="32">
        <f>$J30+IF($N30="増",1,0)</f>
        <v/>
      </c>
      <c r="K31" s="32">
        <f>$K30+IF($N30="減",1,0)</f>
        <v/>
      </c>
      <c r="L31" s="35">
        <f>IF($B$3="",1E+9,IFERROR(SMALL('仕入請求台帳'!$U$5:$U$504,$J31+1),1E+9))</f>
        <v/>
      </c>
      <c r="M31" s="35">
        <f>IF($B$3="",1E+9,IFERROR(SMALL('仕入請求台帳'!$V$5:$V$504,$K31+1),1E+9))</f>
        <v/>
      </c>
      <c r="N31" s="32">
        <f>IF(MIN($L31,$M31)&gt;=1E+9,"",IF($L31&lt;=$M31,"増","減"))</f>
        <v/>
      </c>
      <c r="O31" s="32">
        <f>IF($N31="","",IF($N31="増",MATCH($L31,'仕入請求台帳'!$U$5:$U$504,0),MATCH($M31,'仕入請求台帳'!$V$5:$V$504,0)))</f>
        <v/>
      </c>
      <c r="P31" s="56" t="n"/>
      <c r="Q31" s="56" t="n"/>
    </row>
    <row r="32" ht="18" customHeight="1">
      <c r="A32" s="45">
        <f>IF($N32="","",IF($N32="増",INDEX('仕入請求台帳'!$S$5:$S$504,$O32),INDEX('仕入請求台帳'!$K$5:$K$504,$O32)))</f>
        <v/>
      </c>
      <c r="B32" s="46">
        <f>IF($N32="","",IF($N32="増","仕入","支払"))</f>
        <v/>
      </c>
      <c r="C32" s="46">
        <f>IF($N32="","",IF($N32="増",INDEX('仕入請求台帳'!$E$5:$E$504,$O32)&amp;"",INDEX('仕入請求台帳'!$E$5:$E$504,$O32)&amp;""))</f>
        <v/>
      </c>
      <c r="D32" s="47">
        <f>IF($N32="","",IF($N32="増",INDEX('仕入請求台帳'!$F$5:$F$504,$O32)&amp;"","支払"))</f>
        <v/>
      </c>
      <c r="E32" s="48">
        <f>IF($N32&lt;&gt;"増","",INDEX('仕入請求台帳'!$G$5:$G$504,$O32))</f>
        <v/>
      </c>
      <c r="F32" s="48">
        <f>IF($N32&lt;&gt;"減","",N(INDEX('仕入請求台帳'!$L$5:$L$504,$O32)))</f>
        <v/>
      </c>
      <c r="G32" s="48">
        <f>IF($N32&lt;&gt;"減","",N(INDEX('仕入請求台帳'!$M$5:$M$504,$O32)))</f>
        <v/>
      </c>
      <c r="H32" s="49">
        <f>IF($N32="","",$H31+N($E32)-N($F32)-N($G32))</f>
        <v/>
      </c>
      <c r="I32" s="56" t="n"/>
      <c r="J32" s="32">
        <f>$J31+IF($N31="増",1,0)</f>
        <v/>
      </c>
      <c r="K32" s="32">
        <f>$K31+IF($N31="減",1,0)</f>
        <v/>
      </c>
      <c r="L32" s="35">
        <f>IF($B$3="",1E+9,IFERROR(SMALL('仕入請求台帳'!$U$5:$U$504,$J32+1),1E+9))</f>
        <v/>
      </c>
      <c r="M32" s="35">
        <f>IF($B$3="",1E+9,IFERROR(SMALL('仕入請求台帳'!$V$5:$V$504,$K32+1),1E+9))</f>
        <v/>
      </c>
      <c r="N32" s="32">
        <f>IF(MIN($L32,$M32)&gt;=1E+9,"",IF($L32&lt;=$M32,"増","減"))</f>
        <v/>
      </c>
      <c r="O32" s="32">
        <f>IF($N32="","",IF($N32="増",MATCH($L32,'仕入請求台帳'!$U$5:$U$504,0),MATCH($M32,'仕入請求台帳'!$V$5:$V$504,0)))</f>
        <v/>
      </c>
      <c r="P32" s="56" t="n"/>
      <c r="Q32" s="56" t="n"/>
    </row>
    <row r="33" ht="18" customHeight="1">
      <c r="A33" s="45">
        <f>IF($N33="","",IF($N33="増",INDEX('仕入請求台帳'!$S$5:$S$504,$O33),INDEX('仕入請求台帳'!$K$5:$K$504,$O33)))</f>
        <v/>
      </c>
      <c r="B33" s="46">
        <f>IF($N33="","",IF($N33="増","仕入","支払"))</f>
        <v/>
      </c>
      <c r="C33" s="46">
        <f>IF($N33="","",IF($N33="増",INDEX('仕入請求台帳'!$E$5:$E$504,$O33)&amp;"",INDEX('仕入請求台帳'!$E$5:$E$504,$O33)&amp;""))</f>
        <v/>
      </c>
      <c r="D33" s="47">
        <f>IF($N33="","",IF($N33="増",INDEX('仕入請求台帳'!$F$5:$F$504,$O33)&amp;"","支払"))</f>
        <v/>
      </c>
      <c r="E33" s="48">
        <f>IF($N33&lt;&gt;"増","",INDEX('仕入請求台帳'!$G$5:$G$504,$O33))</f>
        <v/>
      </c>
      <c r="F33" s="48">
        <f>IF($N33&lt;&gt;"減","",N(INDEX('仕入請求台帳'!$L$5:$L$504,$O33)))</f>
        <v/>
      </c>
      <c r="G33" s="48">
        <f>IF($N33&lt;&gt;"減","",N(INDEX('仕入請求台帳'!$M$5:$M$504,$O33)))</f>
        <v/>
      </c>
      <c r="H33" s="49">
        <f>IF($N33="","",$H32+N($E33)-N($F33)-N($G33))</f>
        <v/>
      </c>
      <c r="I33" s="56" t="n"/>
      <c r="J33" s="32">
        <f>$J32+IF($N32="増",1,0)</f>
        <v/>
      </c>
      <c r="K33" s="32">
        <f>$K32+IF($N32="減",1,0)</f>
        <v/>
      </c>
      <c r="L33" s="35">
        <f>IF($B$3="",1E+9,IFERROR(SMALL('仕入請求台帳'!$U$5:$U$504,$J33+1),1E+9))</f>
        <v/>
      </c>
      <c r="M33" s="35">
        <f>IF($B$3="",1E+9,IFERROR(SMALL('仕入請求台帳'!$V$5:$V$504,$K33+1),1E+9))</f>
        <v/>
      </c>
      <c r="N33" s="32">
        <f>IF(MIN($L33,$M33)&gt;=1E+9,"",IF($L33&lt;=$M33,"増","減"))</f>
        <v/>
      </c>
      <c r="O33" s="32">
        <f>IF($N33="","",IF($N33="増",MATCH($L33,'仕入請求台帳'!$U$5:$U$504,0),MATCH($M33,'仕入請求台帳'!$V$5:$V$504,0)))</f>
        <v/>
      </c>
      <c r="P33" s="56" t="n"/>
      <c r="Q33" s="56" t="n"/>
    </row>
    <row r="34" ht="18" customHeight="1">
      <c r="A34" s="45">
        <f>IF($N34="","",IF($N34="増",INDEX('仕入請求台帳'!$S$5:$S$504,$O34),INDEX('仕入請求台帳'!$K$5:$K$504,$O34)))</f>
        <v/>
      </c>
      <c r="B34" s="46">
        <f>IF($N34="","",IF($N34="増","仕入","支払"))</f>
        <v/>
      </c>
      <c r="C34" s="46">
        <f>IF($N34="","",IF($N34="増",INDEX('仕入請求台帳'!$E$5:$E$504,$O34)&amp;"",INDEX('仕入請求台帳'!$E$5:$E$504,$O34)&amp;""))</f>
        <v/>
      </c>
      <c r="D34" s="47">
        <f>IF($N34="","",IF($N34="増",INDEX('仕入請求台帳'!$F$5:$F$504,$O34)&amp;"","支払"))</f>
        <v/>
      </c>
      <c r="E34" s="48">
        <f>IF($N34&lt;&gt;"増","",INDEX('仕入請求台帳'!$G$5:$G$504,$O34))</f>
        <v/>
      </c>
      <c r="F34" s="48">
        <f>IF($N34&lt;&gt;"減","",N(INDEX('仕入請求台帳'!$L$5:$L$504,$O34)))</f>
        <v/>
      </c>
      <c r="G34" s="48">
        <f>IF($N34&lt;&gt;"減","",N(INDEX('仕入請求台帳'!$M$5:$M$504,$O34)))</f>
        <v/>
      </c>
      <c r="H34" s="49">
        <f>IF($N34="","",$H33+N($E34)-N($F34)-N($G34))</f>
        <v/>
      </c>
      <c r="I34" s="56" t="n"/>
      <c r="J34" s="32">
        <f>$J33+IF($N33="増",1,0)</f>
        <v/>
      </c>
      <c r="K34" s="32">
        <f>$K33+IF($N33="減",1,0)</f>
        <v/>
      </c>
      <c r="L34" s="35">
        <f>IF($B$3="",1E+9,IFERROR(SMALL('仕入請求台帳'!$U$5:$U$504,$J34+1),1E+9))</f>
        <v/>
      </c>
      <c r="M34" s="35">
        <f>IF($B$3="",1E+9,IFERROR(SMALL('仕入請求台帳'!$V$5:$V$504,$K34+1),1E+9))</f>
        <v/>
      </c>
      <c r="N34" s="32">
        <f>IF(MIN($L34,$M34)&gt;=1E+9,"",IF($L34&lt;=$M34,"増","減"))</f>
        <v/>
      </c>
      <c r="O34" s="32">
        <f>IF($N34="","",IF($N34="増",MATCH($L34,'仕入請求台帳'!$U$5:$U$504,0),MATCH($M34,'仕入請求台帳'!$V$5:$V$504,0)))</f>
        <v/>
      </c>
      <c r="P34" s="56" t="n"/>
      <c r="Q34" s="56" t="n"/>
    </row>
    <row r="35" ht="18" customHeight="1">
      <c r="A35" s="45">
        <f>IF($N35="","",IF($N35="増",INDEX('仕入請求台帳'!$S$5:$S$504,$O35),INDEX('仕入請求台帳'!$K$5:$K$504,$O35)))</f>
        <v/>
      </c>
      <c r="B35" s="46">
        <f>IF($N35="","",IF($N35="増","仕入","支払"))</f>
        <v/>
      </c>
      <c r="C35" s="46">
        <f>IF($N35="","",IF($N35="増",INDEX('仕入請求台帳'!$E$5:$E$504,$O35)&amp;"",INDEX('仕入請求台帳'!$E$5:$E$504,$O35)&amp;""))</f>
        <v/>
      </c>
      <c r="D35" s="47">
        <f>IF($N35="","",IF($N35="増",INDEX('仕入請求台帳'!$F$5:$F$504,$O35)&amp;"","支払"))</f>
        <v/>
      </c>
      <c r="E35" s="48">
        <f>IF($N35&lt;&gt;"増","",INDEX('仕入請求台帳'!$G$5:$G$504,$O35))</f>
        <v/>
      </c>
      <c r="F35" s="48">
        <f>IF($N35&lt;&gt;"減","",N(INDEX('仕入請求台帳'!$L$5:$L$504,$O35)))</f>
        <v/>
      </c>
      <c r="G35" s="48">
        <f>IF($N35&lt;&gt;"減","",N(INDEX('仕入請求台帳'!$M$5:$M$504,$O35)))</f>
        <v/>
      </c>
      <c r="H35" s="49">
        <f>IF($N35="","",$H34+N($E35)-N($F35)-N($G35))</f>
        <v/>
      </c>
      <c r="I35" s="56" t="n"/>
      <c r="J35" s="32">
        <f>$J34+IF($N34="増",1,0)</f>
        <v/>
      </c>
      <c r="K35" s="32">
        <f>$K34+IF($N34="減",1,0)</f>
        <v/>
      </c>
      <c r="L35" s="35">
        <f>IF($B$3="",1E+9,IFERROR(SMALL('仕入請求台帳'!$U$5:$U$504,$J35+1),1E+9))</f>
        <v/>
      </c>
      <c r="M35" s="35">
        <f>IF($B$3="",1E+9,IFERROR(SMALL('仕入請求台帳'!$V$5:$V$504,$K35+1),1E+9))</f>
        <v/>
      </c>
      <c r="N35" s="32">
        <f>IF(MIN($L35,$M35)&gt;=1E+9,"",IF($L35&lt;=$M35,"増","減"))</f>
        <v/>
      </c>
      <c r="O35" s="32">
        <f>IF($N35="","",IF($N35="増",MATCH($L35,'仕入請求台帳'!$U$5:$U$504,0),MATCH($M35,'仕入請求台帳'!$V$5:$V$504,0)))</f>
        <v/>
      </c>
      <c r="P35" s="56" t="n"/>
      <c r="Q35" s="56" t="n"/>
    </row>
    <row r="36" ht="18" customHeight="1">
      <c r="A36" s="45">
        <f>IF($N36="","",IF($N36="増",INDEX('仕入請求台帳'!$S$5:$S$504,$O36),INDEX('仕入請求台帳'!$K$5:$K$504,$O36)))</f>
        <v/>
      </c>
      <c r="B36" s="46">
        <f>IF($N36="","",IF($N36="増","仕入","支払"))</f>
        <v/>
      </c>
      <c r="C36" s="46">
        <f>IF($N36="","",IF($N36="増",INDEX('仕入請求台帳'!$E$5:$E$504,$O36)&amp;"",INDEX('仕入請求台帳'!$E$5:$E$504,$O36)&amp;""))</f>
        <v/>
      </c>
      <c r="D36" s="47">
        <f>IF($N36="","",IF($N36="増",INDEX('仕入請求台帳'!$F$5:$F$504,$O36)&amp;"","支払"))</f>
        <v/>
      </c>
      <c r="E36" s="48">
        <f>IF($N36&lt;&gt;"増","",INDEX('仕入請求台帳'!$G$5:$G$504,$O36))</f>
        <v/>
      </c>
      <c r="F36" s="48">
        <f>IF($N36&lt;&gt;"減","",N(INDEX('仕入請求台帳'!$L$5:$L$504,$O36)))</f>
        <v/>
      </c>
      <c r="G36" s="48">
        <f>IF($N36&lt;&gt;"減","",N(INDEX('仕入請求台帳'!$M$5:$M$504,$O36)))</f>
        <v/>
      </c>
      <c r="H36" s="49">
        <f>IF($N36="","",$H35+N($E36)-N($F36)-N($G36))</f>
        <v/>
      </c>
      <c r="I36" s="56" t="n"/>
      <c r="J36" s="32">
        <f>$J35+IF($N35="増",1,0)</f>
        <v/>
      </c>
      <c r="K36" s="32">
        <f>$K35+IF($N35="減",1,0)</f>
        <v/>
      </c>
      <c r="L36" s="35">
        <f>IF($B$3="",1E+9,IFERROR(SMALL('仕入請求台帳'!$U$5:$U$504,$J36+1),1E+9))</f>
        <v/>
      </c>
      <c r="M36" s="35">
        <f>IF($B$3="",1E+9,IFERROR(SMALL('仕入請求台帳'!$V$5:$V$504,$K36+1),1E+9))</f>
        <v/>
      </c>
      <c r="N36" s="32">
        <f>IF(MIN($L36,$M36)&gt;=1E+9,"",IF($L36&lt;=$M36,"増","減"))</f>
        <v/>
      </c>
      <c r="O36" s="32">
        <f>IF($N36="","",IF($N36="増",MATCH($L36,'仕入請求台帳'!$U$5:$U$504,0),MATCH($M36,'仕入請求台帳'!$V$5:$V$504,0)))</f>
        <v/>
      </c>
      <c r="P36" s="56" t="n"/>
      <c r="Q36" s="56" t="n"/>
    </row>
    <row r="37" ht="18" customHeight="1">
      <c r="A37" s="45">
        <f>IF($N37="","",IF($N37="増",INDEX('仕入請求台帳'!$S$5:$S$504,$O37),INDEX('仕入請求台帳'!$K$5:$K$504,$O37)))</f>
        <v/>
      </c>
      <c r="B37" s="46">
        <f>IF($N37="","",IF($N37="増","仕入","支払"))</f>
        <v/>
      </c>
      <c r="C37" s="46">
        <f>IF($N37="","",IF($N37="増",INDEX('仕入請求台帳'!$E$5:$E$504,$O37)&amp;"",INDEX('仕入請求台帳'!$E$5:$E$504,$O37)&amp;""))</f>
        <v/>
      </c>
      <c r="D37" s="47">
        <f>IF($N37="","",IF($N37="増",INDEX('仕入請求台帳'!$F$5:$F$504,$O37)&amp;"","支払"))</f>
        <v/>
      </c>
      <c r="E37" s="48">
        <f>IF($N37&lt;&gt;"増","",INDEX('仕入請求台帳'!$G$5:$G$504,$O37))</f>
        <v/>
      </c>
      <c r="F37" s="48">
        <f>IF($N37&lt;&gt;"減","",N(INDEX('仕入請求台帳'!$L$5:$L$504,$O37)))</f>
        <v/>
      </c>
      <c r="G37" s="48">
        <f>IF($N37&lt;&gt;"減","",N(INDEX('仕入請求台帳'!$M$5:$M$504,$O37)))</f>
        <v/>
      </c>
      <c r="H37" s="49">
        <f>IF($N37="","",$H36+N($E37)-N($F37)-N($G37))</f>
        <v/>
      </c>
      <c r="I37" s="56" t="n"/>
      <c r="J37" s="32">
        <f>$J36+IF($N36="増",1,0)</f>
        <v/>
      </c>
      <c r="K37" s="32">
        <f>$K36+IF($N36="減",1,0)</f>
        <v/>
      </c>
      <c r="L37" s="35">
        <f>IF($B$3="",1E+9,IFERROR(SMALL('仕入請求台帳'!$U$5:$U$504,$J37+1),1E+9))</f>
        <v/>
      </c>
      <c r="M37" s="35">
        <f>IF($B$3="",1E+9,IFERROR(SMALL('仕入請求台帳'!$V$5:$V$504,$K37+1),1E+9))</f>
        <v/>
      </c>
      <c r="N37" s="32">
        <f>IF(MIN($L37,$M37)&gt;=1E+9,"",IF($L37&lt;=$M37,"増","減"))</f>
        <v/>
      </c>
      <c r="O37" s="32">
        <f>IF($N37="","",IF($N37="増",MATCH($L37,'仕入請求台帳'!$U$5:$U$504,0),MATCH($M37,'仕入請求台帳'!$V$5:$V$504,0)))</f>
        <v/>
      </c>
      <c r="P37" s="56" t="n"/>
      <c r="Q37" s="56" t="n"/>
    </row>
    <row r="38" ht="18" customHeight="1">
      <c r="A38" s="45">
        <f>IF($N38="","",IF($N38="増",INDEX('仕入請求台帳'!$S$5:$S$504,$O38),INDEX('仕入請求台帳'!$K$5:$K$504,$O38)))</f>
        <v/>
      </c>
      <c r="B38" s="46">
        <f>IF($N38="","",IF($N38="増","仕入","支払"))</f>
        <v/>
      </c>
      <c r="C38" s="46">
        <f>IF($N38="","",IF($N38="増",INDEX('仕入請求台帳'!$E$5:$E$504,$O38)&amp;"",INDEX('仕入請求台帳'!$E$5:$E$504,$O38)&amp;""))</f>
        <v/>
      </c>
      <c r="D38" s="47">
        <f>IF($N38="","",IF($N38="増",INDEX('仕入請求台帳'!$F$5:$F$504,$O38)&amp;"","支払"))</f>
        <v/>
      </c>
      <c r="E38" s="48">
        <f>IF($N38&lt;&gt;"増","",INDEX('仕入請求台帳'!$G$5:$G$504,$O38))</f>
        <v/>
      </c>
      <c r="F38" s="48">
        <f>IF($N38&lt;&gt;"減","",N(INDEX('仕入請求台帳'!$L$5:$L$504,$O38)))</f>
        <v/>
      </c>
      <c r="G38" s="48">
        <f>IF($N38&lt;&gt;"減","",N(INDEX('仕入請求台帳'!$M$5:$M$504,$O38)))</f>
        <v/>
      </c>
      <c r="H38" s="49">
        <f>IF($N38="","",$H37+N($E38)-N($F38)-N($G38))</f>
        <v/>
      </c>
      <c r="I38" s="56" t="n"/>
      <c r="J38" s="32">
        <f>$J37+IF($N37="増",1,0)</f>
        <v/>
      </c>
      <c r="K38" s="32">
        <f>$K37+IF($N37="減",1,0)</f>
        <v/>
      </c>
      <c r="L38" s="35">
        <f>IF($B$3="",1E+9,IFERROR(SMALL('仕入請求台帳'!$U$5:$U$504,$J38+1),1E+9))</f>
        <v/>
      </c>
      <c r="M38" s="35">
        <f>IF($B$3="",1E+9,IFERROR(SMALL('仕入請求台帳'!$V$5:$V$504,$K38+1),1E+9))</f>
        <v/>
      </c>
      <c r="N38" s="32">
        <f>IF(MIN($L38,$M38)&gt;=1E+9,"",IF($L38&lt;=$M38,"増","減"))</f>
        <v/>
      </c>
      <c r="O38" s="32">
        <f>IF($N38="","",IF($N38="増",MATCH($L38,'仕入請求台帳'!$U$5:$U$504,0),MATCH($M38,'仕入請求台帳'!$V$5:$V$504,0)))</f>
        <v/>
      </c>
      <c r="P38" s="56" t="n"/>
      <c r="Q38" s="56" t="n"/>
    </row>
    <row r="39" ht="18" customHeight="1">
      <c r="A39" s="45">
        <f>IF($N39="","",IF($N39="増",INDEX('仕入請求台帳'!$S$5:$S$504,$O39),INDEX('仕入請求台帳'!$K$5:$K$504,$O39)))</f>
        <v/>
      </c>
      <c r="B39" s="46">
        <f>IF($N39="","",IF($N39="増","仕入","支払"))</f>
        <v/>
      </c>
      <c r="C39" s="46">
        <f>IF($N39="","",IF($N39="増",INDEX('仕入請求台帳'!$E$5:$E$504,$O39)&amp;"",INDEX('仕入請求台帳'!$E$5:$E$504,$O39)&amp;""))</f>
        <v/>
      </c>
      <c r="D39" s="47">
        <f>IF($N39="","",IF($N39="増",INDEX('仕入請求台帳'!$F$5:$F$504,$O39)&amp;"","支払"))</f>
        <v/>
      </c>
      <c r="E39" s="48">
        <f>IF($N39&lt;&gt;"増","",INDEX('仕入請求台帳'!$G$5:$G$504,$O39))</f>
        <v/>
      </c>
      <c r="F39" s="48">
        <f>IF($N39&lt;&gt;"減","",N(INDEX('仕入請求台帳'!$L$5:$L$504,$O39)))</f>
        <v/>
      </c>
      <c r="G39" s="48">
        <f>IF($N39&lt;&gt;"減","",N(INDEX('仕入請求台帳'!$M$5:$M$504,$O39)))</f>
        <v/>
      </c>
      <c r="H39" s="49">
        <f>IF($N39="","",$H38+N($E39)-N($F39)-N($G39))</f>
        <v/>
      </c>
      <c r="I39" s="56" t="n"/>
      <c r="J39" s="32">
        <f>$J38+IF($N38="増",1,0)</f>
        <v/>
      </c>
      <c r="K39" s="32">
        <f>$K38+IF($N38="減",1,0)</f>
        <v/>
      </c>
      <c r="L39" s="35">
        <f>IF($B$3="",1E+9,IFERROR(SMALL('仕入請求台帳'!$U$5:$U$504,$J39+1),1E+9))</f>
        <v/>
      </c>
      <c r="M39" s="35">
        <f>IF($B$3="",1E+9,IFERROR(SMALL('仕入請求台帳'!$V$5:$V$504,$K39+1),1E+9))</f>
        <v/>
      </c>
      <c r="N39" s="32">
        <f>IF(MIN($L39,$M39)&gt;=1E+9,"",IF($L39&lt;=$M39,"増","減"))</f>
        <v/>
      </c>
      <c r="O39" s="32">
        <f>IF($N39="","",IF($N39="増",MATCH($L39,'仕入請求台帳'!$U$5:$U$504,0),MATCH($M39,'仕入請求台帳'!$V$5:$V$504,0)))</f>
        <v/>
      </c>
      <c r="P39" s="56" t="n"/>
      <c r="Q39" s="56" t="n"/>
    </row>
    <row r="40" ht="18" customHeight="1">
      <c r="A40" s="45">
        <f>IF($N40="","",IF($N40="増",INDEX('仕入請求台帳'!$S$5:$S$504,$O40),INDEX('仕入請求台帳'!$K$5:$K$504,$O40)))</f>
        <v/>
      </c>
      <c r="B40" s="46">
        <f>IF($N40="","",IF($N40="増","仕入","支払"))</f>
        <v/>
      </c>
      <c r="C40" s="46">
        <f>IF($N40="","",IF($N40="増",INDEX('仕入請求台帳'!$E$5:$E$504,$O40)&amp;"",INDEX('仕入請求台帳'!$E$5:$E$504,$O40)&amp;""))</f>
        <v/>
      </c>
      <c r="D40" s="47">
        <f>IF($N40="","",IF($N40="増",INDEX('仕入請求台帳'!$F$5:$F$504,$O40)&amp;"","支払"))</f>
        <v/>
      </c>
      <c r="E40" s="48">
        <f>IF($N40&lt;&gt;"増","",INDEX('仕入請求台帳'!$G$5:$G$504,$O40))</f>
        <v/>
      </c>
      <c r="F40" s="48">
        <f>IF($N40&lt;&gt;"減","",N(INDEX('仕入請求台帳'!$L$5:$L$504,$O40)))</f>
        <v/>
      </c>
      <c r="G40" s="48">
        <f>IF($N40&lt;&gt;"減","",N(INDEX('仕入請求台帳'!$M$5:$M$504,$O40)))</f>
        <v/>
      </c>
      <c r="H40" s="49">
        <f>IF($N40="","",$H39+N($E40)-N($F40)-N($G40))</f>
        <v/>
      </c>
      <c r="I40" s="56" t="n"/>
      <c r="J40" s="32">
        <f>$J39+IF($N39="増",1,0)</f>
        <v/>
      </c>
      <c r="K40" s="32">
        <f>$K39+IF($N39="減",1,0)</f>
        <v/>
      </c>
      <c r="L40" s="35">
        <f>IF($B$3="",1E+9,IFERROR(SMALL('仕入請求台帳'!$U$5:$U$504,$J40+1),1E+9))</f>
        <v/>
      </c>
      <c r="M40" s="35">
        <f>IF($B$3="",1E+9,IFERROR(SMALL('仕入請求台帳'!$V$5:$V$504,$K40+1),1E+9))</f>
        <v/>
      </c>
      <c r="N40" s="32">
        <f>IF(MIN($L40,$M40)&gt;=1E+9,"",IF($L40&lt;=$M40,"増","減"))</f>
        <v/>
      </c>
      <c r="O40" s="32">
        <f>IF($N40="","",IF($N40="増",MATCH($L40,'仕入請求台帳'!$U$5:$U$504,0),MATCH($M40,'仕入請求台帳'!$V$5:$V$504,0)))</f>
        <v/>
      </c>
      <c r="P40" s="56" t="n"/>
      <c r="Q40" s="56" t="n"/>
    </row>
    <row r="41" ht="18" customHeight="1">
      <c r="A41" s="45">
        <f>IF($N41="","",IF($N41="増",INDEX('仕入請求台帳'!$S$5:$S$504,$O41),INDEX('仕入請求台帳'!$K$5:$K$504,$O41)))</f>
        <v/>
      </c>
      <c r="B41" s="46">
        <f>IF($N41="","",IF($N41="増","仕入","支払"))</f>
        <v/>
      </c>
      <c r="C41" s="46">
        <f>IF($N41="","",IF($N41="増",INDEX('仕入請求台帳'!$E$5:$E$504,$O41)&amp;"",INDEX('仕入請求台帳'!$E$5:$E$504,$O41)&amp;""))</f>
        <v/>
      </c>
      <c r="D41" s="47">
        <f>IF($N41="","",IF($N41="増",INDEX('仕入請求台帳'!$F$5:$F$504,$O41)&amp;"","支払"))</f>
        <v/>
      </c>
      <c r="E41" s="48">
        <f>IF($N41&lt;&gt;"増","",INDEX('仕入請求台帳'!$G$5:$G$504,$O41))</f>
        <v/>
      </c>
      <c r="F41" s="48">
        <f>IF($N41&lt;&gt;"減","",N(INDEX('仕入請求台帳'!$L$5:$L$504,$O41)))</f>
        <v/>
      </c>
      <c r="G41" s="48">
        <f>IF($N41&lt;&gt;"減","",N(INDEX('仕入請求台帳'!$M$5:$M$504,$O41)))</f>
        <v/>
      </c>
      <c r="H41" s="49">
        <f>IF($N41="","",$H40+N($E41)-N($F41)-N($G41))</f>
        <v/>
      </c>
      <c r="I41" s="56" t="n"/>
      <c r="J41" s="32">
        <f>$J40+IF($N40="増",1,0)</f>
        <v/>
      </c>
      <c r="K41" s="32">
        <f>$K40+IF($N40="減",1,0)</f>
        <v/>
      </c>
      <c r="L41" s="35">
        <f>IF($B$3="",1E+9,IFERROR(SMALL('仕入請求台帳'!$U$5:$U$504,$J41+1),1E+9))</f>
        <v/>
      </c>
      <c r="M41" s="35">
        <f>IF($B$3="",1E+9,IFERROR(SMALL('仕入請求台帳'!$V$5:$V$504,$K41+1),1E+9))</f>
        <v/>
      </c>
      <c r="N41" s="32">
        <f>IF(MIN($L41,$M41)&gt;=1E+9,"",IF($L41&lt;=$M41,"増","減"))</f>
        <v/>
      </c>
      <c r="O41" s="32">
        <f>IF($N41="","",IF($N41="増",MATCH($L41,'仕入請求台帳'!$U$5:$U$504,0),MATCH($M41,'仕入請求台帳'!$V$5:$V$504,0)))</f>
        <v/>
      </c>
      <c r="P41" s="56" t="n"/>
      <c r="Q41" s="56" t="n"/>
    </row>
    <row r="42" ht="18" customHeight="1">
      <c r="A42" s="45">
        <f>IF($N42="","",IF($N42="増",INDEX('仕入請求台帳'!$S$5:$S$504,$O42),INDEX('仕入請求台帳'!$K$5:$K$504,$O42)))</f>
        <v/>
      </c>
      <c r="B42" s="46">
        <f>IF($N42="","",IF($N42="増","仕入","支払"))</f>
        <v/>
      </c>
      <c r="C42" s="46">
        <f>IF($N42="","",IF($N42="増",INDEX('仕入請求台帳'!$E$5:$E$504,$O42)&amp;"",INDEX('仕入請求台帳'!$E$5:$E$504,$O42)&amp;""))</f>
        <v/>
      </c>
      <c r="D42" s="47">
        <f>IF($N42="","",IF($N42="増",INDEX('仕入請求台帳'!$F$5:$F$504,$O42)&amp;"","支払"))</f>
        <v/>
      </c>
      <c r="E42" s="48">
        <f>IF($N42&lt;&gt;"増","",INDEX('仕入請求台帳'!$G$5:$G$504,$O42))</f>
        <v/>
      </c>
      <c r="F42" s="48">
        <f>IF($N42&lt;&gt;"減","",N(INDEX('仕入請求台帳'!$L$5:$L$504,$O42)))</f>
        <v/>
      </c>
      <c r="G42" s="48">
        <f>IF($N42&lt;&gt;"減","",N(INDEX('仕入請求台帳'!$M$5:$M$504,$O42)))</f>
        <v/>
      </c>
      <c r="H42" s="49">
        <f>IF($N42="","",$H41+N($E42)-N($F42)-N($G42))</f>
        <v/>
      </c>
      <c r="I42" s="56" t="n"/>
      <c r="J42" s="32">
        <f>$J41+IF($N41="増",1,0)</f>
        <v/>
      </c>
      <c r="K42" s="32">
        <f>$K41+IF($N41="減",1,0)</f>
        <v/>
      </c>
      <c r="L42" s="35">
        <f>IF($B$3="",1E+9,IFERROR(SMALL('仕入請求台帳'!$U$5:$U$504,$J42+1),1E+9))</f>
        <v/>
      </c>
      <c r="M42" s="35">
        <f>IF($B$3="",1E+9,IFERROR(SMALL('仕入請求台帳'!$V$5:$V$504,$K42+1),1E+9))</f>
        <v/>
      </c>
      <c r="N42" s="32">
        <f>IF(MIN($L42,$M42)&gt;=1E+9,"",IF($L42&lt;=$M42,"増","減"))</f>
        <v/>
      </c>
      <c r="O42" s="32">
        <f>IF($N42="","",IF($N42="増",MATCH($L42,'仕入請求台帳'!$U$5:$U$504,0),MATCH($M42,'仕入請求台帳'!$V$5:$V$504,0)))</f>
        <v/>
      </c>
      <c r="P42" s="56" t="n"/>
      <c r="Q42" s="56" t="n"/>
    </row>
    <row r="43" ht="18" customHeight="1">
      <c r="A43" s="45">
        <f>IF($N43="","",IF($N43="増",INDEX('仕入請求台帳'!$S$5:$S$504,$O43),INDEX('仕入請求台帳'!$K$5:$K$504,$O43)))</f>
        <v/>
      </c>
      <c r="B43" s="46">
        <f>IF($N43="","",IF($N43="増","仕入","支払"))</f>
        <v/>
      </c>
      <c r="C43" s="46">
        <f>IF($N43="","",IF($N43="増",INDEX('仕入請求台帳'!$E$5:$E$504,$O43)&amp;"",INDEX('仕入請求台帳'!$E$5:$E$504,$O43)&amp;""))</f>
        <v/>
      </c>
      <c r="D43" s="47">
        <f>IF($N43="","",IF($N43="増",INDEX('仕入請求台帳'!$F$5:$F$504,$O43)&amp;"","支払"))</f>
        <v/>
      </c>
      <c r="E43" s="48">
        <f>IF($N43&lt;&gt;"増","",INDEX('仕入請求台帳'!$G$5:$G$504,$O43))</f>
        <v/>
      </c>
      <c r="F43" s="48">
        <f>IF($N43&lt;&gt;"減","",N(INDEX('仕入請求台帳'!$L$5:$L$504,$O43)))</f>
        <v/>
      </c>
      <c r="G43" s="48">
        <f>IF($N43&lt;&gt;"減","",N(INDEX('仕入請求台帳'!$M$5:$M$504,$O43)))</f>
        <v/>
      </c>
      <c r="H43" s="49">
        <f>IF($N43="","",$H42+N($E43)-N($F43)-N($G43))</f>
        <v/>
      </c>
      <c r="I43" s="56" t="n"/>
      <c r="J43" s="32">
        <f>$J42+IF($N42="増",1,0)</f>
        <v/>
      </c>
      <c r="K43" s="32">
        <f>$K42+IF($N42="減",1,0)</f>
        <v/>
      </c>
      <c r="L43" s="35">
        <f>IF($B$3="",1E+9,IFERROR(SMALL('仕入請求台帳'!$U$5:$U$504,$J43+1),1E+9))</f>
        <v/>
      </c>
      <c r="M43" s="35">
        <f>IF($B$3="",1E+9,IFERROR(SMALL('仕入請求台帳'!$V$5:$V$504,$K43+1),1E+9))</f>
        <v/>
      </c>
      <c r="N43" s="32">
        <f>IF(MIN($L43,$M43)&gt;=1E+9,"",IF($L43&lt;=$M43,"増","減"))</f>
        <v/>
      </c>
      <c r="O43" s="32">
        <f>IF($N43="","",IF($N43="増",MATCH($L43,'仕入請求台帳'!$U$5:$U$504,0),MATCH($M43,'仕入請求台帳'!$V$5:$V$504,0)))</f>
        <v/>
      </c>
      <c r="P43" s="56" t="n"/>
      <c r="Q43" s="56" t="n"/>
    </row>
    <row r="44" ht="18" customHeight="1">
      <c r="A44" s="45">
        <f>IF($N44="","",IF($N44="増",INDEX('仕入請求台帳'!$S$5:$S$504,$O44),INDEX('仕入請求台帳'!$K$5:$K$504,$O44)))</f>
        <v/>
      </c>
      <c r="B44" s="46">
        <f>IF($N44="","",IF($N44="増","仕入","支払"))</f>
        <v/>
      </c>
      <c r="C44" s="46">
        <f>IF($N44="","",IF($N44="増",INDEX('仕入請求台帳'!$E$5:$E$504,$O44)&amp;"",INDEX('仕入請求台帳'!$E$5:$E$504,$O44)&amp;""))</f>
        <v/>
      </c>
      <c r="D44" s="47">
        <f>IF($N44="","",IF($N44="増",INDEX('仕入請求台帳'!$F$5:$F$504,$O44)&amp;"","支払"))</f>
        <v/>
      </c>
      <c r="E44" s="48">
        <f>IF($N44&lt;&gt;"増","",INDEX('仕入請求台帳'!$G$5:$G$504,$O44))</f>
        <v/>
      </c>
      <c r="F44" s="48">
        <f>IF($N44&lt;&gt;"減","",N(INDEX('仕入請求台帳'!$L$5:$L$504,$O44)))</f>
        <v/>
      </c>
      <c r="G44" s="48">
        <f>IF($N44&lt;&gt;"減","",N(INDEX('仕入請求台帳'!$M$5:$M$504,$O44)))</f>
        <v/>
      </c>
      <c r="H44" s="49">
        <f>IF($N44="","",$H43+N($E44)-N($F44)-N($G44))</f>
        <v/>
      </c>
      <c r="I44" s="56" t="n"/>
      <c r="J44" s="32">
        <f>$J43+IF($N43="増",1,0)</f>
        <v/>
      </c>
      <c r="K44" s="32">
        <f>$K43+IF($N43="減",1,0)</f>
        <v/>
      </c>
      <c r="L44" s="35">
        <f>IF($B$3="",1E+9,IFERROR(SMALL('仕入請求台帳'!$U$5:$U$504,$J44+1),1E+9))</f>
        <v/>
      </c>
      <c r="M44" s="35">
        <f>IF($B$3="",1E+9,IFERROR(SMALL('仕入請求台帳'!$V$5:$V$504,$K44+1),1E+9))</f>
        <v/>
      </c>
      <c r="N44" s="32">
        <f>IF(MIN($L44,$M44)&gt;=1E+9,"",IF($L44&lt;=$M44,"増","減"))</f>
        <v/>
      </c>
      <c r="O44" s="32">
        <f>IF($N44="","",IF($N44="増",MATCH($L44,'仕入請求台帳'!$U$5:$U$504,0),MATCH($M44,'仕入請求台帳'!$V$5:$V$504,0)))</f>
        <v/>
      </c>
      <c r="P44" s="56" t="n"/>
      <c r="Q44" s="56" t="n"/>
    </row>
    <row r="45" ht="18" customHeight="1">
      <c r="A45" s="45">
        <f>IF($N45="","",IF($N45="増",INDEX('仕入請求台帳'!$S$5:$S$504,$O45),INDEX('仕入請求台帳'!$K$5:$K$504,$O45)))</f>
        <v/>
      </c>
      <c r="B45" s="46">
        <f>IF($N45="","",IF($N45="増","仕入","支払"))</f>
        <v/>
      </c>
      <c r="C45" s="46">
        <f>IF($N45="","",IF($N45="増",INDEX('仕入請求台帳'!$E$5:$E$504,$O45)&amp;"",INDEX('仕入請求台帳'!$E$5:$E$504,$O45)&amp;""))</f>
        <v/>
      </c>
      <c r="D45" s="47">
        <f>IF($N45="","",IF($N45="増",INDEX('仕入請求台帳'!$F$5:$F$504,$O45)&amp;"","支払"))</f>
        <v/>
      </c>
      <c r="E45" s="48">
        <f>IF($N45&lt;&gt;"増","",INDEX('仕入請求台帳'!$G$5:$G$504,$O45))</f>
        <v/>
      </c>
      <c r="F45" s="48">
        <f>IF($N45&lt;&gt;"減","",N(INDEX('仕入請求台帳'!$L$5:$L$504,$O45)))</f>
        <v/>
      </c>
      <c r="G45" s="48">
        <f>IF($N45&lt;&gt;"減","",N(INDEX('仕入請求台帳'!$M$5:$M$504,$O45)))</f>
        <v/>
      </c>
      <c r="H45" s="49">
        <f>IF($N45="","",$H44+N($E45)-N($F45)-N($G45))</f>
        <v/>
      </c>
      <c r="I45" s="56" t="n"/>
      <c r="J45" s="32">
        <f>$J44+IF($N44="増",1,0)</f>
        <v/>
      </c>
      <c r="K45" s="32">
        <f>$K44+IF($N44="減",1,0)</f>
        <v/>
      </c>
      <c r="L45" s="35">
        <f>IF($B$3="",1E+9,IFERROR(SMALL('仕入請求台帳'!$U$5:$U$504,$J45+1),1E+9))</f>
        <v/>
      </c>
      <c r="M45" s="35">
        <f>IF($B$3="",1E+9,IFERROR(SMALL('仕入請求台帳'!$V$5:$V$504,$K45+1),1E+9))</f>
        <v/>
      </c>
      <c r="N45" s="32">
        <f>IF(MIN($L45,$M45)&gt;=1E+9,"",IF($L45&lt;=$M45,"増","減"))</f>
        <v/>
      </c>
      <c r="O45" s="32">
        <f>IF($N45="","",IF($N45="増",MATCH($L45,'仕入請求台帳'!$U$5:$U$504,0),MATCH($M45,'仕入請求台帳'!$V$5:$V$504,0)))</f>
        <v/>
      </c>
      <c r="P45" s="56" t="n"/>
      <c r="Q45" s="56" t="n"/>
    </row>
    <row r="46" ht="18" customHeight="1">
      <c r="A46" s="45">
        <f>IF($N46="","",IF($N46="増",INDEX('仕入請求台帳'!$S$5:$S$504,$O46),INDEX('仕入請求台帳'!$K$5:$K$504,$O46)))</f>
        <v/>
      </c>
      <c r="B46" s="46">
        <f>IF($N46="","",IF($N46="増","仕入","支払"))</f>
        <v/>
      </c>
      <c r="C46" s="46">
        <f>IF($N46="","",IF($N46="増",INDEX('仕入請求台帳'!$E$5:$E$504,$O46)&amp;"",INDEX('仕入請求台帳'!$E$5:$E$504,$O46)&amp;""))</f>
        <v/>
      </c>
      <c r="D46" s="47">
        <f>IF($N46="","",IF($N46="増",INDEX('仕入請求台帳'!$F$5:$F$504,$O46)&amp;"","支払"))</f>
        <v/>
      </c>
      <c r="E46" s="48">
        <f>IF($N46&lt;&gt;"増","",INDEX('仕入請求台帳'!$G$5:$G$504,$O46))</f>
        <v/>
      </c>
      <c r="F46" s="48">
        <f>IF($N46&lt;&gt;"減","",N(INDEX('仕入請求台帳'!$L$5:$L$504,$O46)))</f>
        <v/>
      </c>
      <c r="G46" s="48">
        <f>IF($N46&lt;&gt;"減","",N(INDEX('仕入請求台帳'!$M$5:$M$504,$O46)))</f>
        <v/>
      </c>
      <c r="H46" s="49">
        <f>IF($N46="","",$H45+N($E46)-N($F46)-N($G46))</f>
        <v/>
      </c>
      <c r="I46" s="56" t="n"/>
      <c r="J46" s="32">
        <f>$J45+IF($N45="増",1,0)</f>
        <v/>
      </c>
      <c r="K46" s="32">
        <f>$K45+IF($N45="減",1,0)</f>
        <v/>
      </c>
      <c r="L46" s="35">
        <f>IF($B$3="",1E+9,IFERROR(SMALL('仕入請求台帳'!$U$5:$U$504,$J46+1),1E+9))</f>
        <v/>
      </c>
      <c r="M46" s="35">
        <f>IF($B$3="",1E+9,IFERROR(SMALL('仕入請求台帳'!$V$5:$V$504,$K46+1),1E+9))</f>
        <v/>
      </c>
      <c r="N46" s="32">
        <f>IF(MIN($L46,$M46)&gt;=1E+9,"",IF($L46&lt;=$M46,"増","減"))</f>
        <v/>
      </c>
      <c r="O46" s="32">
        <f>IF($N46="","",IF($N46="増",MATCH($L46,'仕入請求台帳'!$U$5:$U$504,0),MATCH($M46,'仕入請求台帳'!$V$5:$V$504,0)))</f>
        <v/>
      </c>
      <c r="P46" s="56" t="n"/>
      <c r="Q46" s="56" t="n"/>
    </row>
    <row r="47" ht="18" customHeight="1">
      <c r="A47" s="45">
        <f>IF($N47="","",IF($N47="増",INDEX('仕入請求台帳'!$S$5:$S$504,$O47),INDEX('仕入請求台帳'!$K$5:$K$504,$O47)))</f>
        <v/>
      </c>
      <c r="B47" s="46">
        <f>IF($N47="","",IF($N47="増","仕入","支払"))</f>
        <v/>
      </c>
      <c r="C47" s="46">
        <f>IF($N47="","",IF($N47="増",INDEX('仕入請求台帳'!$E$5:$E$504,$O47)&amp;"",INDEX('仕入請求台帳'!$E$5:$E$504,$O47)&amp;""))</f>
        <v/>
      </c>
      <c r="D47" s="47">
        <f>IF($N47="","",IF($N47="増",INDEX('仕入請求台帳'!$F$5:$F$504,$O47)&amp;"","支払"))</f>
        <v/>
      </c>
      <c r="E47" s="48">
        <f>IF($N47&lt;&gt;"増","",INDEX('仕入請求台帳'!$G$5:$G$504,$O47))</f>
        <v/>
      </c>
      <c r="F47" s="48">
        <f>IF($N47&lt;&gt;"減","",N(INDEX('仕入請求台帳'!$L$5:$L$504,$O47)))</f>
        <v/>
      </c>
      <c r="G47" s="48">
        <f>IF($N47&lt;&gt;"減","",N(INDEX('仕入請求台帳'!$M$5:$M$504,$O47)))</f>
        <v/>
      </c>
      <c r="H47" s="49">
        <f>IF($N47="","",$H46+N($E47)-N($F47)-N($G47))</f>
        <v/>
      </c>
      <c r="I47" s="56" t="n"/>
      <c r="J47" s="32">
        <f>$J46+IF($N46="増",1,0)</f>
        <v/>
      </c>
      <c r="K47" s="32">
        <f>$K46+IF($N46="減",1,0)</f>
        <v/>
      </c>
      <c r="L47" s="35">
        <f>IF($B$3="",1E+9,IFERROR(SMALL('仕入請求台帳'!$U$5:$U$504,$J47+1),1E+9))</f>
        <v/>
      </c>
      <c r="M47" s="35">
        <f>IF($B$3="",1E+9,IFERROR(SMALL('仕入請求台帳'!$V$5:$V$504,$K47+1),1E+9))</f>
        <v/>
      </c>
      <c r="N47" s="32">
        <f>IF(MIN($L47,$M47)&gt;=1E+9,"",IF($L47&lt;=$M47,"増","減"))</f>
        <v/>
      </c>
      <c r="O47" s="32">
        <f>IF($N47="","",IF($N47="増",MATCH($L47,'仕入請求台帳'!$U$5:$U$504,0),MATCH($M47,'仕入請求台帳'!$V$5:$V$504,0)))</f>
        <v/>
      </c>
      <c r="P47" s="56" t="n"/>
      <c r="Q47" s="56" t="n"/>
    </row>
    <row r="48" ht="18" customHeight="1">
      <c r="A48" s="45">
        <f>IF($N48="","",IF($N48="増",INDEX('仕入請求台帳'!$S$5:$S$504,$O48),INDEX('仕入請求台帳'!$K$5:$K$504,$O48)))</f>
        <v/>
      </c>
      <c r="B48" s="46">
        <f>IF($N48="","",IF($N48="増","仕入","支払"))</f>
        <v/>
      </c>
      <c r="C48" s="46">
        <f>IF($N48="","",IF($N48="増",INDEX('仕入請求台帳'!$E$5:$E$504,$O48)&amp;"",INDEX('仕入請求台帳'!$E$5:$E$504,$O48)&amp;""))</f>
        <v/>
      </c>
      <c r="D48" s="47">
        <f>IF($N48="","",IF($N48="増",INDEX('仕入請求台帳'!$F$5:$F$504,$O48)&amp;"","支払"))</f>
        <v/>
      </c>
      <c r="E48" s="48">
        <f>IF($N48&lt;&gt;"増","",INDEX('仕入請求台帳'!$G$5:$G$504,$O48))</f>
        <v/>
      </c>
      <c r="F48" s="48">
        <f>IF($N48&lt;&gt;"減","",N(INDEX('仕入請求台帳'!$L$5:$L$504,$O48)))</f>
        <v/>
      </c>
      <c r="G48" s="48">
        <f>IF($N48&lt;&gt;"減","",N(INDEX('仕入請求台帳'!$M$5:$M$504,$O48)))</f>
        <v/>
      </c>
      <c r="H48" s="49">
        <f>IF($N48="","",$H47+N($E48)-N($F48)-N($G48))</f>
        <v/>
      </c>
      <c r="I48" s="56" t="n"/>
      <c r="J48" s="32">
        <f>$J47+IF($N47="増",1,0)</f>
        <v/>
      </c>
      <c r="K48" s="32">
        <f>$K47+IF($N47="減",1,0)</f>
        <v/>
      </c>
      <c r="L48" s="35">
        <f>IF($B$3="",1E+9,IFERROR(SMALL('仕入請求台帳'!$U$5:$U$504,$J48+1),1E+9))</f>
        <v/>
      </c>
      <c r="M48" s="35">
        <f>IF($B$3="",1E+9,IFERROR(SMALL('仕入請求台帳'!$V$5:$V$504,$K48+1),1E+9))</f>
        <v/>
      </c>
      <c r="N48" s="32">
        <f>IF(MIN($L48,$M48)&gt;=1E+9,"",IF($L48&lt;=$M48,"増","減"))</f>
        <v/>
      </c>
      <c r="O48" s="32">
        <f>IF($N48="","",IF($N48="増",MATCH($L48,'仕入請求台帳'!$U$5:$U$504,0),MATCH($M48,'仕入請求台帳'!$V$5:$V$504,0)))</f>
        <v/>
      </c>
      <c r="P48" s="56" t="n"/>
      <c r="Q48" s="56" t="n"/>
    </row>
    <row r="49" ht="18" customHeight="1">
      <c r="A49" s="45">
        <f>IF($N49="","",IF($N49="増",INDEX('仕入請求台帳'!$S$5:$S$504,$O49),INDEX('仕入請求台帳'!$K$5:$K$504,$O49)))</f>
        <v/>
      </c>
      <c r="B49" s="46">
        <f>IF($N49="","",IF($N49="増","仕入","支払"))</f>
        <v/>
      </c>
      <c r="C49" s="46">
        <f>IF($N49="","",IF($N49="増",INDEX('仕入請求台帳'!$E$5:$E$504,$O49)&amp;"",INDEX('仕入請求台帳'!$E$5:$E$504,$O49)&amp;""))</f>
        <v/>
      </c>
      <c r="D49" s="47">
        <f>IF($N49="","",IF($N49="増",INDEX('仕入請求台帳'!$F$5:$F$504,$O49)&amp;"","支払"))</f>
        <v/>
      </c>
      <c r="E49" s="48">
        <f>IF($N49&lt;&gt;"増","",INDEX('仕入請求台帳'!$G$5:$G$504,$O49))</f>
        <v/>
      </c>
      <c r="F49" s="48">
        <f>IF($N49&lt;&gt;"減","",N(INDEX('仕入請求台帳'!$L$5:$L$504,$O49)))</f>
        <v/>
      </c>
      <c r="G49" s="48">
        <f>IF($N49&lt;&gt;"減","",N(INDEX('仕入請求台帳'!$M$5:$M$504,$O49)))</f>
        <v/>
      </c>
      <c r="H49" s="49">
        <f>IF($N49="","",$H48+N($E49)-N($F49)-N($G49))</f>
        <v/>
      </c>
      <c r="I49" s="56" t="n"/>
      <c r="J49" s="32">
        <f>$J48+IF($N48="増",1,0)</f>
        <v/>
      </c>
      <c r="K49" s="32">
        <f>$K48+IF($N48="減",1,0)</f>
        <v/>
      </c>
      <c r="L49" s="35">
        <f>IF($B$3="",1E+9,IFERROR(SMALL('仕入請求台帳'!$U$5:$U$504,$J49+1),1E+9))</f>
        <v/>
      </c>
      <c r="M49" s="35">
        <f>IF($B$3="",1E+9,IFERROR(SMALL('仕入請求台帳'!$V$5:$V$504,$K49+1),1E+9))</f>
        <v/>
      </c>
      <c r="N49" s="32">
        <f>IF(MIN($L49,$M49)&gt;=1E+9,"",IF($L49&lt;=$M49,"増","減"))</f>
        <v/>
      </c>
      <c r="O49" s="32">
        <f>IF($N49="","",IF($N49="増",MATCH($L49,'仕入請求台帳'!$U$5:$U$504,0),MATCH($M49,'仕入請求台帳'!$V$5:$V$504,0)))</f>
        <v/>
      </c>
      <c r="P49" s="56" t="n"/>
      <c r="Q49" s="56" t="n"/>
    </row>
    <row r="50" ht="18" customHeight="1">
      <c r="A50" s="45">
        <f>IF($N50="","",IF($N50="増",INDEX('仕入請求台帳'!$S$5:$S$504,$O50),INDEX('仕入請求台帳'!$K$5:$K$504,$O50)))</f>
        <v/>
      </c>
      <c r="B50" s="46">
        <f>IF($N50="","",IF($N50="増","仕入","支払"))</f>
        <v/>
      </c>
      <c r="C50" s="46">
        <f>IF($N50="","",IF($N50="増",INDEX('仕入請求台帳'!$E$5:$E$504,$O50)&amp;"",INDEX('仕入請求台帳'!$E$5:$E$504,$O50)&amp;""))</f>
        <v/>
      </c>
      <c r="D50" s="47">
        <f>IF($N50="","",IF($N50="増",INDEX('仕入請求台帳'!$F$5:$F$504,$O50)&amp;"","支払"))</f>
        <v/>
      </c>
      <c r="E50" s="48">
        <f>IF($N50&lt;&gt;"増","",INDEX('仕入請求台帳'!$G$5:$G$504,$O50))</f>
        <v/>
      </c>
      <c r="F50" s="48">
        <f>IF($N50&lt;&gt;"減","",N(INDEX('仕入請求台帳'!$L$5:$L$504,$O50)))</f>
        <v/>
      </c>
      <c r="G50" s="48">
        <f>IF($N50&lt;&gt;"減","",N(INDEX('仕入請求台帳'!$M$5:$M$504,$O50)))</f>
        <v/>
      </c>
      <c r="H50" s="49">
        <f>IF($N50="","",$H49+N($E50)-N($F50)-N($G50))</f>
        <v/>
      </c>
      <c r="I50" s="56" t="n"/>
      <c r="J50" s="32">
        <f>$J49+IF($N49="増",1,0)</f>
        <v/>
      </c>
      <c r="K50" s="32">
        <f>$K49+IF($N49="減",1,0)</f>
        <v/>
      </c>
      <c r="L50" s="35">
        <f>IF($B$3="",1E+9,IFERROR(SMALL('仕入請求台帳'!$U$5:$U$504,$J50+1),1E+9))</f>
        <v/>
      </c>
      <c r="M50" s="35">
        <f>IF($B$3="",1E+9,IFERROR(SMALL('仕入請求台帳'!$V$5:$V$504,$K50+1),1E+9))</f>
        <v/>
      </c>
      <c r="N50" s="32">
        <f>IF(MIN($L50,$M50)&gt;=1E+9,"",IF($L50&lt;=$M50,"増","減"))</f>
        <v/>
      </c>
      <c r="O50" s="32">
        <f>IF($N50="","",IF($N50="増",MATCH($L50,'仕入請求台帳'!$U$5:$U$504,0),MATCH($M50,'仕入請求台帳'!$V$5:$V$504,0)))</f>
        <v/>
      </c>
      <c r="P50" s="56" t="n"/>
      <c r="Q50" s="56" t="n"/>
    </row>
    <row r="51" ht="18" customHeight="1">
      <c r="A51" s="45">
        <f>IF($N51="","",IF($N51="増",INDEX('仕入請求台帳'!$S$5:$S$504,$O51),INDEX('仕入請求台帳'!$K$5:$K$504,$O51)))</f>
        <v/>
      </c>
      <c r="B51" s="46">
        <f>IF($N51="","",IF($N51="増","仕入","支払"))</f>
        <v/>
      </c>
      <c r="C51" s="46">
        <f>IF($N51="","",IF($N51="増",INDEX('仕入請求台帳'!$E$5:$E$504,$O51)&amp;"",INDEX('仕入請求台帳'!$E$5:$E$504,$O51)&amp;""))</f>
        <v/>
      </c>
      <c r="D51" s="47">
        <f>IF($N51="","",IF($N51="増",INDEX('仕入請求台帳'!$F$5:$F$504,$O51)&amp;"","支払"))</f>
        <v/>
      </c>
      <c r="E51" s="48">
        <f>IF($N51&lt;&gt;"増","",INDEX('仕入請求台帳'!$G$5:$G$504,$O51))</f>
        <v/>
      </c>
      <c r="F51" s="48">
        <f>IF($N51&lt;&gt;"減","",N(INDEX('仕入請求台帳'!$L$5:$L$504,$O51)))</f>
        <v/>
      </c>
      <c r="G51" s="48">
        <f>IF($N51&lt;&gt;"減","",N(INDEX('仕入請求台帳'!$M$5:$M$504,$O51)))</f>
        <v/>
      </c>
      <c r="H51" s="49">
        <f>IF($N51="","",$H50+N($E51)-N($F51)-N($G51))</f>
        <v/>
      </c>
      <c r="I51" s="56" t="n"/>
      <c r="J51" s="32">
        <f>$J50+IF($N50="増",1,0)</f>
        <v/>
      </c>
      <c r="K51" s="32">
        <f>$K50+IF($N50="減",1,0)</f>
        <v/>
      </c>
      <c r="L51" s="35">
        <f>IF($B$3="",1E+9,IFERROR(SMALL('仕入請求台帳'!$U$5:$U$504,$J51+1),1E+9))</f>
        <v/>
      </c>
      <c r="M51" s="35">
        <f>IF($B$3="",1E+9,IFERROR(SMALL('仕入請求台帳'!$V$5:$V$504,$K51+1),1E+9))</f>
        <v/>
      </c>
      <c r="N51" s="32">
        <f>IF(MIN($L51,$M51)&gt;=1E+9,"",IF($L51&lt;=$M51,"増","減"))</f>
        <v/>
      </c>
      <c r="O51" s="32">
        <f>IF($N51="","",IF($N51="増",MATCH($L51,'仕入請求台帳'!$U$5:$U$504,0),MATCH($M51,'仕入請求台帳'!$V$5:$V$504,0)))</f>
        <v/>
      </c>
      <c r="P51" s="56" t="n"/>
      <c r="Q51" s="56" t="n"/>
    </row>
    <row r="52" ht="18" customHeight="1">
      <c r="A52" s="45">
        <f>IF($N52="","",IF($N52="増",INDEX('仕入請求台帳'!$S$5:$S$504,$O52),INDEX('仕入請求台帳'!$K$5:$K$504,$O52)))</f>
        <v/>
      </c>
      <c r="B52" s="46">
        <f>IF($N52="","",IF($N52="増","仕入","支払"))</f>
        <v/>
      </c>
      <c r="C52" s="46">
        <f>IF($N52="","",IF($N52="増",INDEX('仕入請求台帳'!$E$5:$E$504,$O52)&amp;"",INDEX('仕入請求台帳'!$E$5:$E$504,$O52)&amp;""))</f>
        <v/>
      </c>
      <c r="D52" s="47">
        <f>IF($N52="","",IF($N52="増",INDEX('仕入請求台帳'!$F$5:$F$504,$O52)&amp;"","支払"))</f>
        <v/>
      </c>
      <c r="E52" s="48">
        <f>IF($N52&lt;&gt;"増","",INDEX('仕入請求台帳'!$G$5:$G$504,$O52))</f>
        <v/>
      </c>
      <c r="F52" s="48">
        <f>IF($N52&lt;&gt;"減","",N(INDEX('仕入請求台帳'!$L$5:$L$504,$O52)))</f>
        <v/>
      </c>
      <c r="G52" s="48">
        <f>IF($N52&lt;&gt;"減","",N(INDEX('仕入請求台帳'!$M$5:$M$504,$O52)))</f>
        <v/>
      </c>
      <c r="H52" s="49">
        <f>IF($N52="","",$H51+N($E52)-N($F52)-N($G52))</f>
        <v/>
      </c>
      <c r="I52" s="56" t="n"/>
      <c r="J52" s="32">
        <f>$J51+IF($N51="増",1,0)</f>
        <v/>
      </c>
      <c r="K52" s="32">
        <f>$K51+IF($N51="減",1,0)</f>
        <v/>
      </c>
      <c r="L52" s="35">
        <f>IF($B$3="",1E+9,IFERROR(SMALL('仕入請求台帳'!$U$5:$U$504,$J52+1),1E+9))</f>
        <v/>
      </c>
      <c r="M52" s="35">
        <f>IF($B$3="",1E+9,IFERROR(SMALL('仕入請求台帳'!$V$5:$V$504,$K52+1),1E+9))</f>
        <v/>
      </c>
      <c r="N52" s="32">
        <f>IF(MIN($L52,$M52)&gt;=1E+9,"",IF($L52&lt;=$M52,"増","減"))</f>
        <v/>
      </c>
      <c r="O52" s="32">
        <f>IF($N52="","",IF($N52="増",MATCH($L52,'仕入請求台帳'!$U$5:$U$504,0),MATCH($M52,'仕入請求台帳'!$V$5:$V$504,0)))</f>
        <v/>
      </c>
      <c r="P52" s="56" t="n"/>
      <c r="Q52" s="56" t="n"/>
    </row>
    <row r="53" ht="18" customHeight="1">
      <c r="A53" s="45">
        <f>IF($N53="","",IF($N53="増",INDEX('仕入請求台帳'!$S$5:$S$504,$O53),INDEX('仕入請求台帳'!$K$5:$K$504,$O53)))</f>
        <v/>
      </c>
      <c r="B53" s="46">
        <f>IF($N53="","",IF($N53="増","仕入","支払"))</f>
        <v/>
      </c>
      <c r="C53" s="46">
        <f>IF($N53="","",IF($N53="増",INDEX('仕入請求台帳'!$E$5:$E$504,$O53)&amp;"",INDEX('仕入請求台帳'!$E$5:$E$504,$O53)&amp;""))</f>
        <v/>
      </c>
      <c r="D53" s="47">
        <f>IF($N53="","",IF($N53="増",INDEX('仕入請求台帳'!$F$5:$F$504,$O53)&amp;"","支払"))</f>
        <v/>
      </c>
      <c r="E53" s="48">
        <f>IF($N53&lt;&gt;"増","",INDEX('仕入請求台帳'!$G$5:$G$504,$O53))</f>
        <v/>
      </c>
      <c r="F53" s="48">
        <f>IF($N53&lt;&gt;"減","",N(INDEX('仕入請求台帳'!$L$5:$L$504,$O53)))</f>
        <v/>
      </c>
      <c r="G53" s="48">
        <f>IF($N53&lt;&gt;"減","",N(INDEX('仕入請求台帳'!$M$5:$M$504,$O53)))</f>
        <v/>
      </c>
      <c r="H53" s="49">
        <f>IF($N53="","",$H52+N($E53)-N($F53)-N($G53))</f>
        <v/>
      </c>
      <c r="I53" s="56" t="n"/>
      <c r="J53" s="32">
        <f>$J52+IF($N52="増",1,0)</f>
        <v/>
      </c>
      <c r="K53" s="32">
        <f>$K52+IF($N52="減",1,0)</f>
        <v/>
      </c>
      <c r="L53" s="35">
        <f>IF($B$3="",1E+9,IFERROR(SMALL('仕入請求台帳'!$U$5:$U$504,$J53+1),1E+9))</f>
        <v/>
      </c>
      <c r="M53" s="35">
        <f>IF($B$3="",1E+9,IFERROR(SMALL('仕入請求台帳'!$V$5:$V$504,$K53+1),1E+9))</f>
        <v/>
      </c>
      <c r="N53" s="32">
        <f>IF(MIN($L53,$M53)&gt;=1E+9,"",IF($L53&lt;=$M53,"増","減"))</f>
        <v/>
      </c>
      <c r="O53" s="32">
        <f>IF($N53="","",IF($N53="増",MATCH($L53,'仕入請求台帳'!$U$5:$U$504,0),MATCH($M53,'仕入請求台帳'!$V$5:$V$504,0)))</f>
        <v/>
      </c>
      <c r="P53" s="56" t="n"/>
      <c r="Q53" s="56" t="n"/>
    </row>
    <row r="54" ht="18" customHeight="1">
      <c r="A54" s="45">
        <f>IF($N54="","",IF($N54="増",INDEX('仕入請求台帳'!$S$5:$S$504,$O54),INDEX('仕入請求台帳'!$K$5:$K$504,$O54)))</f>
        <v/>
      </c>
      <c r="B54" s="46">
        <f>IF($N54="","",IF($N54="増","仕入","支払"))</f>
        <v/>
      </c>
      <c r="C54" s="46">
        <f>IF($N54="","",IF($N54="増",INDEX('仕入請求台帳'!$E$5:$E$504,$O54)&amp;"",INDEX('仕入請求台帳'!$E$5:$E$504,$O54)&amp;""))</f>
        <v/>
      </c>
      <c r="D54" s="47">
        <f>IF($N54="","",IF($N54="増",INDEX('仕入請求台帳'!$F$5:$F$504,$O54)&amp;"","支払"))</f>
        <v/>
      </c>
      <c r="E54" s="48">
        <f>IF($N54&lt;&gt;"増","",INDEX('仕入請求台帳'!$G$5:$G$504,$O54))</f>
        <v/>
      </c>
      <c r="F54" s="48">
        <f>IF($N54&lt;&gt;"減","",N(INDEX('仕入請求台帳'!$L$5:$L$504,$O54)))</f>
        <v/>
      </c>
      <c r="G54" s="48">
        <f>IF($N54&lt;&gt;"減","",N(INDEX('仕入請求台帳'!$M$5:$M$504,$O54)))</f>
        <v/>
      </c>
      <c r="H54" s="49">
        <f>IF($N54="","",$H53+N($E54)-N($F54)-N($G54))</f>
        <v/>
      </c>
      <c r="I54" s="56" t="n"/>
      <c r="J54" s="32">
        <f>$J53+IF($N53="増",1,0)</f>
        <v/>
      </c>
      <c r="K54" s="32">
        <f>$K53+IF($N53="減",1,0)</f>
        <v/>
      </c>
      <c r="L54" s="35">
        <f>IF($B$3="",1E+9,IFERROR(SMALL('仕入請求台帳'!$U$5:$U$504,$J54+1),1E+9))</f>
        <v/>
      </c>
      <c r="M54" s="35">
        <f>IF($B$3="",1E+9,IFERROR(SMALL('仕入請求台帳'!$V$5:$V$504,$K54+1),1E+9))</f>
        <v/>
      </c>
      <c r="N54" s="32">
        <f>IF(MIN($L54,$M54)&gt;=1E+9,"",IF($L54&lt;=$M54,"増","減"))</f>
        <v/>
      </c>
      <c r="O54" s="32">
        <f>IF($N54="","",IF($N54="増",MATCH($L54,'仕入請求台帳'!$U$5:$U$504,0),MATCH($M54,'仕入請求台帳'!$V$5:$V$504,0)))</f>
        <v/>
      </c>
      <c r="P54" s="56" t="n"/>
      <c r="Q54" s="56" t="n"/>
    </row>
    <row r="55" ht="18" customHeight="1">
      <c r="A55" s="45">
        <f>IF($N55="","",IF($N55="増",INDEX('仕入請求台帳'!$S$5:$S$504,$O55),INDEX('仕入請求台帳'!$K$5:$K$504,$O55)))</f>
        <v/>
      </c>
      <c r="B55" s="46">
        <f>IF($N55="","",IF($N55="増","仕入","支払"))</f>
        <v/>
      </c>
      <c r="C55" s="46">
        <f>IF($N55="","",IF($N55="増",INDEX('仕入請求台帳'!$E$5:$E$504,$O55)&amp;"",INDEX('仕入請求台帳'!$E$5:$E$504,$O55)&amp;""))</f>
        <v/>
      </c>
      <c r="D55" s="47">
        <f>IF($N55="","",IF($N55="増",INDEX('仕入請求台帳'!$F$5:$F$504,$O55)&amp;"","支払"))</f>
        <v/>
      </c>
      <c r="E55" s="48">
        <f>IF($N55&lt;&gt;"増","",INDEX('仕入請求台帳'!$G$5:$G$504,$O55))</f>
        <v/>
      </c>
      <c r="F55" s="48">
        <f>IF($N55&lt;&gt;"減","",N(INDEX('仕入請求台帳'!$L$5:$L$504,$O55)))</f>
        <v/>
      </c>
      <c r="G55" s="48">
        <f>IF($N55&lt;&gt;"減","",N(INDEX('仕入請求台帳'!$M$5:$M$504,$O55)))</f>
        <v/>
      </c>
      <c r="H55" s="49">
        <f>IF($N55="","",$H54+N($E55)-N($F55)-N($G55))</f>
        <v/>
      </c>
      <c r="I55" s="56" t="n"/>
      <c r="J55" s="32">
        <f>$J54+IF($N54="増",1,0)</f>
        <v/>
      </c>
      <c r="K55" s="32">
        <f>$K54+IF($N54="減",1,0)</f>
        <v/>
      </c>
      <c r="L55" s="35">
        <f>IF($B$3="",1E+9,IFERROR(SMALL('仕入請求台帳'!$U$5:$U$504,$J55+1),1E+9))</f>
        <v/>
      </c>
      <c r="M55" s="35">
        <f>IF($B$3="",1E+9,IFERROR(SMALL('仕入請求台帳'!$V$5:$V$504,$K55+1),1E+9))</f>
        <v/>
      </c>
      <c r="N55" s="32">
        <f>IF(MIN($L55,$M55)&gt;=1E+9,"",IF($L55&lt;=$M55,"増","減"))</f>
        <v/>
      </c>
      <c r="O55" s="32">
        <f>IF($N55="","",IF($N55="増",MATCH($L55,'仕入請求台帳'!$U$5:$U$504,0),MATCH($M55,'仕入請求台帳'!$V$5:$V$504,0)))</f>
        <v/>
      </c>
      <c r="P55" s="56" t="n"/>
      <c r="Q55" s="56" t="n"/>
    </row>
    <row r="56" ht="18" customHeight="1">
      <c r="A56" s="45">
        <f>IF($N56="","",IF($N56="増",INDEX('仕入請求台帳'!$S$5:$S$504,$O56),INDEX('仕入請求台帳'!$K$5:$K$504,$O56)))</f>
        <v/>
      </c>
      <c r="B56" s="46">
        <f>IF($N56="","",IF($N56="増","仕入","支払"))</f>
        <v/>
      </c>
      <c r="C56" s="46">
        <f>IF($N56="","",IF($N56="増",INDEX('仕入請求台帳'!$E$5:$E$504,$O56)&amp;"",INDEX('仕入請求台帳'!$E$5:$E$504,$O56)&amp;""))</f>
        <v/>
      </c>
      <c r="D56" s="47">
        <f>IF($N56="","",IF($N56="増",INDEX('仕入請求台帳'!$F$5:$F$504,$O56)&amp;"","支払"))</f>
        <v/>
      </c>
      <c r="E56" s="48">
        <f>IF($N56&lt;&gt;"増","",INDEX('仕入請求台帳'!$G$5:$G$504,$O56))</f>
        <v/>
      </c>
      <c r="F56" s="48">
        <f>IF($N56&lt;&gt;"減","",N(INDEX('仕入請求台帳'!$L$5:$L$504,$O56)))</f>
        <v/>
      </c>
      <c r="G56" s="48">
        <f>IF($N56&lt;&gt;"減","",N(INDEX('仕入請求台帳'!$M$5:$M$504,$O56)))</f>
        <v/>
      </c>
      <c r="H56" s="49">
        <f>IF($N56="","",$H55+N($E56)-N($F56)-N($G56))</f>
        <v/>
      </c>
      <c r="I56" s="56" t="n"/>
      <c r="J56" s="32">
        <f>$J55+IF($N55="増",1,0)</f>
        <v/>
      </c>
      <c r="K56" s="32">
        <f>$K55+IF($N55="減",1,0)</f>
        <v/>
      </c>
      <c r="L56" s="35">
        <f>IF($B$3="",1E+9,IFERROR(SMALL('仕入請求台帳'!$U$5:$U$504,$J56+1),1E+9))</f>
        <v/>
      </c>
      <c r="M56" s="35">
        <f>IF($B$3="",1E+9,IFERROR(SMALL('仕入請求台帳'!$V$5:$V$504,$K56+1),1E+9))</f>
        <v/>
      </c>
      <c r="N56" s="32">
        <f>IF(MIN($L56,$M56)&gt;=1E+9,"",IF($L56&lt;=$M56,"増","減"))</f>
        <v/>
      </c>
      <c r="O56" s="32">
        <f>IF($N56="","",IF($N56="増",MATCH($L56,'仕入請求台帳'!$U$5:$U$504,0),MATCH($M56,'仕入請求台帳'!$V$5:$V$504,0)))</f>
        <v/>
      </c>
      <c r="P56" s="56" t="n"/>
      <c r="Q56" s="56" t="n"/>
    </row>
    <row r="57" ht="18" customHeight="1">
      <c r="A57" s="45">
        <f>IF($N57="","",IF($N57="増",INDEX('仕入請求台帳'!$S$5:$S$504,$O57),INDEX('仕入請求台帳'!$K$5:$K$504,$O57)))</f>
        <v/>
      </c>
      <c r="B57" s="46">
        <f>IF($N57="","",IF($N57="増","仕入","支払"))</f>
        <v/>
      </c>
      <c r="C57" s="46">
        <f>IF($N57="","",IF($N57="増",INDEX('仕入請求台帳'!$E$5:$E$504,$O57)&amp;"",INDEX('仕入請求台帳'!$E$5:$E$504,$O57)&amp;""))</f>
        <v/>
      </c>
      <c r="D57" s="47">
        <f>IF($N57="","",IF($N57="増",INDEX('仕入請求台帳'!$F$5:$F$504,$O57)&amp;"","支払"))</f>
        <v/>
      </c>
      <c r="E57" s="48">
        <f>IF($N57&lt;&gt;"増","",INDEX('仕入請求台帳'!$G$5:$G$504,$O57))</f>
        <v/>
      </c>
      <c r="F57" s="48">
        <f>IF($N57&lt;&gt;"減","",N(INDEX('仕入請求台帳'!$L$5:$L$504,$O57)))</f>
        <v/>
      </c>
      <c r="G57" s="48">
        <f>IF($N57&lt;&gt;"減","",N(INDEX('仕入請求台帳'!$M$5:$M$504,$O57)))</f>
        <v/>
      </c>
      <c r="H57" s="49">
        <f>IF($N57="","",$H56+N($E57)-N($F57)-N($G57))</f>
        <v/>
      </c>
      <c r="I57" s="56" t="n"/>
      <c r="J57" s="32">
        <f>$J56+IF($N56="増",1,0)</f>
        <v/>
      </c>
      <c r="K57" s="32">
        <f>$K56+IF($N56="減",1,0)</f>
        <v/>
      </c>
      <c r="L57" s="35">
        <f>IF($B$3="",1E+9,IFERROR(SMALL('仕入請求台帳'!$U$5:$U$504,$J57+1),1E+9))</f>
        <v/>
      </c>
      <c r="M57" s="35">
        <f>IF($B$3="",1E+9,IFERROR(SMALL('仕入請求台帳'!$V$5:$V$504,$K57+1),1E+9))</f>
        <v/>
      </c>
      <c r="N57" s="32">
        <f>IF(MIN($L57,$M57)&gt;=1E+9,"",IF($L57&lt;=$M57,"増","減"))</f>
        <v/>
      </c>
      <c r="O57" s="32">
        <f>IF($N57="","",IF($N57="増",MATCH($L57,'仕入請求台帳'!$U$5:$U$504,0),MATCH($M57,'仕入請求台帳'!$V$5:$V$504,0)))</f>
        <v/>
      </c>
      <c r="P57" s="56" t="n"/>
      <c r="Q57" s="56" t="n"/>
    </row>
    <row r="58" ht="18" customHeight="1">
      <c r="A58" s="45">
        <f>IF($N58="","",IF($N58="増",INDEX('仕入請求台帳'!$S$5:$S$504,$O58),INDEX('仕入請求台帳'!$K$5:$K$504,$O58)))</f>
        <v/>
      </c>
      <c r="B58" s="46">
        <f>IF($N58="","",IF($N58="増","仕入","支払"))</f>
        <v/>
      </c>
      <c r="C58" s="46">
        <f>IF($N58="","",IF($N58="増",INDEX('仕入請求台帳'!$E$5:$E$504,$O58)&amp;"",INDEX('仕入請求台帳'!$E$5:$E$504,$O58)&amp;""))</f>
        <v/>
      </c>
      <c r="D58" s="47">
        <f>IF($N58="","",IF($N58="増",INDEX('仕入請求台帳'!$F$5:$F$504,$O58)&amp;"","支払"))</f>
        <v/>
      </c>
      <c r="E58" s="48">
        <f>IF($N58&lt;&gt;"増","",INDEX('仕入請求台帳'!$G$5:$G$504,$O58))</f>
        <v/>
      </c>
      <c r="F58" s="48">
        <f>IF($N58&lt;&gt;"減","",N(INDEX('仕入請求台帳'!$L$5:$L$504,$O58)))</f>
        <v/>
      </c>
      <c r="G58" s="48">
        <f>IF($N58&lt;&gt;"減","",N(INDEX('仕入請求台帳'!$M$5:$M$504,$O58)))</f>
        <v/>
      </c>
      <c r="H58" s="49">
        <f>IF($N58="","",$H57+N($E58)-N($F58)-N($G58))</f>
        <v/>
      </c>
      <c r="I58" s="56" t="n"/>
      <c r="J58" s="32">
        <f>$J57+IF($N57="増",1,0)</f>
        <v/>
      </c>
      <c r="K58" s="32">
        <f>$K57+IF($N57="減",1,0)</f>
        <v/>
      </c>
      <c r="L58" s="35">
        <f>IF($B$3="",1E+9,IFERROR(SMALL('仕入請求台帳'!$U$5:$U$504,$J58+1),1E+9))</f>
        <v/>
      </c>
      <c r="M58" s="35">
        <f>IF($B$3="",1E+9,IFERROR(SMALL('仕入請求台帳'!$V$5:$V$504,$K58+1),1E+9))</f>
        <v/>
      </c>
      <c r="N58" s="32">
        <f>IF(MIN($L58,$M58)&gt;=1E+9,"",IF($L58&lt;=$M58,"増","減"))</f>
        <v/>
      </c>
      <c r="O58" s="32">
        <f>IF($N58="","",IF($N58="増",MATCH($L58,'仕入請求台帳'!$U$5:$U$504,0),MATCH($M58,'仕入請求台帳'!$V$5:$V$504,0)))</f>
        <v/>
      </c>
      <c r="P58" s="56" t="n"/>
      <c r="Q58" s="56" t="n"/>
    </row>
    <row r="59" ht="18" customHeight="1">
      <c r="A59" s="45">
        <f>IF($N59="","",IF($N59="増",INDEX('仕入請求台帳'!$S$5:$S$504,$O59),INDEX('仕入請求台帳'!$K$5:$K$504,$O59)))</f>
        <v/>
      </c>
      <c r="B59" s="46">
        <f>IF($N59="","",IF($N59="増","仕入","支払"))</f>
        <v/>
      </c>
      <c r="C59" s="46">
        <f>IF($N59="","",IF($N59="増",INDEX('仕入請求台帳'!$E$5:$E$504,$O59)&amp;"",INDEX('仕入請求台帳'!$E$5:$E$504,$O59)&amp;""))</f>
        <v/>
      </c>
      <c r="D59" s="47">
        <f>IF($N59="","",IF($N59="増",INDEX('仕入請求台帳'!$F$5:$F$504,$O59)&amp;"","支払"))</f>
        <v/>
      </c>
      <c r="E59" s="48">
        <f>IF($N59&lt;&gt;"増","",INDEX('仕入請求台帳'!$G$5:$G$504,$O59))</f>
        <v/>
      </c>
      <c r="F59" s="48">
        <f>IF($N59&lt;&gt;"減","",N(INDEX('仕入請求台帳'!$L$5:$L$504,$O59)))</f>
        <v/>
      </c>
      <c r="G59" s="48">
        <f>IF($N59&lt;&gt;"減","",N(INDEX('仕入請求台帳'!$M$5:$M$504,$O59)))</f>
        <v/>
      </c>
      <c r="H59" s="49">
        <f>IF($N59="","",$H58+N($E59)-N($F59)-N($G59))</f>
        <v/>
      </c>
      <c r="I59" s="56" t="n"/>
      <c r="J59" s="32">
        <f>$J58+IF($N58="増",1,0)</f>
        <v/>
      </c>
      <c r="K59" s="32">
        <f>$K58+IF($N58="減",1,0)</f>
        <v/>
      </c>
      <c r="L59" s="35">
        <f>IF($B$3="",1E+9,IFERROR(SMALL('仕入請求台帳'!$U$5:$U$504,$J59+1),1E+9))</f>
        <v/>
      </c>
      <c r="M59" s="35">
        <f>IF($B$3="",1E+9,IFERROR(SMALL('仕入請求台帳'!$V$5:$V$504,$K59+1),1E+9))</f>
        <v/>
      </c>
      <c r="N59" s="32">
        <f>IF(MIN($L59,$M59)&gt;=1E+9,"",IF($L59&lt;=$M59,"増","減"))</f>
        <v/>
      </c>
      <c r="O59" s="32">
        <f>IF($N59="","",IF($N59="増",MATCH($L59,'仕入請求台帳'!$U$5:$U$504,0),MATCH($M59,'仕入請求台帳'!$V$5:$V$504,0)))</f>
        <v/>
      </c>
      <c r="P59" s="56" t="n"/>
      <c r="Q59" s="56" t="n"/>
    </row>
    <row r="60" ht="18" customHeight="1">
      <c r="A60" s="45">
        <f>IF($N60="","",IF($N60="増",INDEX('仕入請求台帳'!$S$5:$S$504,$O60),INDEX('仕入請求台帳'!$K$5:$K$504,$O60)))</f>
        <v/>
      </c>
      <c r="B60" s="46">
        <f>IF($N60="","",IF($N60="増","仕入","支払"))</f>
        <v/>
      </c>
      <c r="C60" s="46">
        <f>IF($N60="","",IF($N60="増",INDEX('仕入請求台帳'!$E$5:$E$504,$O60)&amp;"",INDEX('仕入請求台帳'!$E$5:$E$504,$O60)&amp;""))</f>
        <v/>
      </c>
      <c r="D60" s="47">
        <f>IF($N60="","",IF($N60="増",INDEX('仕入請求台帳'!$F$5:$F$504,$O60)&amp;"","支払"))</f>
        <v/>
      </c>
      <c r="E60" s="48">
        <f>IF($N60&lt;&gt;"増","",INDEX('仕入請求台帳'!$G$5:$G$504,$O60))</f>
        <v/>
      </c>
      <c r="F60" s="48">
        <f>IF($N60&lt;&gt;"減","",N(INDEX('仕入請求台帳'!$L$5:$L$504,$O60)))</f>
        <v/>
      </c>
      <c r="G60" s="48">
        <f>IF($N60&lt;&gt;"減","",N(INDEX('仕入請求台帳'!$M$5:$M$504,$O60)))</f>
        <v/>
      </c>
      <c r="H60" s="49">
        <f>IF($N60="","",$H59+N($E60)-N($F60)-N($G60))</f>
        <v/>
      </c>
      <c r="I60" s="56" t="n"/>
      <c r="J60" s="32">
        <f>$J59+IF($N59="増",1,0)</f>
        <v/>
      </c>
      <c r="K60" s="32">
        <f>$K59+IF($N59="減",1,0)</f>
        <v/>
      </c>
      <c r="L60" s="35">
        <f>IF($B$3="",1E+9,IFERROR(SMALL('仕入請求台帳'!$U$5:$U$504,$J60+1),1E+9))</f>
        <v/>
      </c>
      <c r="M60" s="35">
        <f>IF($B$3="",1E+9,IFERROR(SMALL('仕入請求台帳'!$V$5:$V$504,$K60+1),1E+9))</f>
        <v/>
      </c>
      <c r="N60" s="32">
        <f>IF(MIN($L60,$M60)&gt;=1E+9,"",IF($L60&lt;=$M60,"増","減"))</f>
        <v/>
      </c>
      <c r="O60" s="32">
        <f>IF($N60="","",IF($N60="増",MATCH($L60,'仕入請求台帳'!$U$5:$U$504,0),MATCH($M60,'仕入請求台帳'!$V$5:$V$504,0)))</f>
        <v/>
      </c>
      <c r="P60" s="56" t="n"/>
      <c r="Q60" s="56" t="n"/>
    </row>
    <row r="61" ht="18" customHeight="1">
      <c r="A61" s="45">
        <f>IF($N61="","",IF($N61="増",INDEX('仕入請求台帳'!$S$5:$S$504,$O61),INDEX('仕入請求台帳'!$K$5:$K$504,$O61)))</f>
        <v/>
      </c>
      <c r="B61" s="46">
        <f>IF($N61="","",IF($N61="増","仕入","支払"))</f>
        <v/>
      </c>
      <c r="C61" s="46">
        <f>IF($N61="","",IF($N61="増",INDEX('仕入請求台帳'!$E$5:$E$504,$O61)&amp;"",INDEX('仕入請求台帳'!$E$5:$E$504,$O61)&amp;""))</f>
        <v/>
      </c>
      <c r="D61" s="47">
        <f>IF($N61="","",IF($N61="増",INDEX('仕入請求台帳'!$F$5:$F$504,$O61)&amp;"","支払"))</f>
        <v/>
      </c>
      <c r="E61" s="48">
        <f>IF($N61&lt;&gt;"増","",INDEX('仕入請求台帳'!$G$5:$G$504,$O61))</f>
        <v/>
      </c>
      <c r="F61" s="48">
        <f>IF($N61&lt;&gt;"減","",N(INDEX('仕入請求台帳'!$L$5:$L$504,$O61)))</f>
        <v/>
      </c>
      <c r="G61" s="48">
        <f>IF($N61&lt;&gt;"減","",N(INDEX('仕入請求台帳'!$M$5:$M$504,$O61)))</f>
        <v/>
      </c>
      <c r="H61" s="49">
        <f>IF($N61="","",$H60+N($E61)-N($F61)-N($G61))</f>
        <v/>
      </c>
      <c r="I61" s="56" t="n"/>
      <c r="J61" s="32">
        <f>$J60+IF($N60="増",1,0)</f>
        <v/>
      </c>
      <c r="K61" s="32">
        <f>$K60+IF($N60="減",1,0)</f>
        <v/>
      </c>
      <c r="L61" s="35">
        <f>IF($B$3="",1E+9,IFERROR(SMALL('仕入請求台帳'!$U$5:$U$504,$J61+1),1E+9))</f>
        <v/>
      </c>
      <c r="M61" s="35">
        <f>IF($B$3="",1E+9,IFERROR(SMALL('仕入請求台帳'!$V$5:$V$504,$K61+1),1E+9))</f>
        <v/>
      </c>
      <c r="N61" s="32">
        <f>IF(MIN($L61,$M61)&gt;=1E+9,"",IF($L61&lt;=$M61,"増","減"))</f>
        <v/>
      </c>
      <c r="O61" s="32">
        <f>IF($N61="","",IF($N61="増",MATCH($L61,'仕入請求台帳'!$U$5:$U$504,0),MATCH($M61,'仕入請求台帳'!$V$5:$V$504,0)))</f>
        <v/>
      </c>
      <c r="P61" s="56" t="n"/>
      <c r="Q61" s="56" t="n"/>
    </row>
    <row r="62" ht="18" customHeight="1">
      <c r="A62" s="45">
        <f>IF($N62="","",IF($N62="増",INDEX('仕入請求台帳'!$S$5:$S$504,$O62),INDEX('仕入請求台帳'!$K$5:$K$504,$O62)))</f>
        <v/>
      </c>
      <c r="B62" s="46">
        <f>IF($N62="","",IF($N62="増","仕入","支払"))</f>
        <v/>
      </c>
      <c r="C62" s="46">
        <f>IF($N62="","",IF($N62="増",INDEX('仕入請求台帳'!$E$5:$E$504,$O62)&amp;"",INDEX('仕入請求台帳'!$E$5:$E$504,$O62)&amp;""))</f>
        <v/>
      </c>
      <c r="D62" s="47">
        <f>IF($N62="","",IF($N62="増",INDEX('仕入請求台帳'!$F$5:$F$504,$O62)&amp;"","支払"))</f>
        <v/>
      </c>
      <c r="E62" s="48">
        <f>IF($N62&lt;&gt;"増","",INDEX('仕入請求台帳'!$G$5:$G$504,$O62))</f>
        <v/>
      </c>
      <c r="F62" s="48">
        <f>IF($N62&lt;&gt;"減","",N(INDEX('仕入請求台帳'!$L$5:$L$504,$O62)))</f>
        <v/>
      </c>
      <c r="G62" s="48">
        <f>IF($N62&lt;&gt;"減","",N(INDEX('仕入請求台帳'!$M$5:$M$504,$O62)))</f>
        <v/>
      </c>
      <c r="H62" s="49">
        <f>IF($N62="","",$H61+N($E62)-N($F62)-N($G62))</f>
        <v/>
      </c>
      <c r="I62" s="56" t="n"/>
      <c r="J62" s="32">
        <f>$J61+IF($N61="増",1,0)</f>
        <v/>
      </c>
      <c r="K62" s="32">
        <f>$K61+IF($N61="減",1,0)</f>
        <v/>
      </c>
      <c r="L62" s="35">
        <f>IF($B$3="",1E+9,IFERROR(SMALL('仕入請求台帳'!$U$5:$U$504,$J62+1),1E+9))</f>
        <v/>
      </c>
      <c r="M62" s="35">
        <f>IF($B$3="",1E+9,IFERROR(SMALL('仕入請求台帳'!$V$5:$V$504,$K62+1),1E+9))</f>
        <v/>
      </c>
      <c r="N62" s="32">
        <f>IF(MIN($L62,$M62)&gt;=1E+9,"",IF($L62&lt;=$M62,"増","減"))</f>
        <v/>
      </c>
      <c r="O62" s="32">
        <f>IF($N62="","",IF($N62="増",MATCH($L62,'仕入請求台帳'!$U$5:$U$504,0),MATCH($M62,'仕入請求台帳'!$V$5:$V$504,0)))</f>
        <v/>
      </c>
      <c r="P62" s="56" t="n"/>
      <c r="Q62" s="56" t="n"/>
    </row>
    <row r="63" ht="18" customHeight="1">
      <c r="A63" s="45">
        <f>IF($N63="","",IF($N63="増",INDEX('仕入請求台帳'!$S$5:$S$504,$O63),INDEX('仕入請求台帳'!$K$5:$K$504,$O63)))</f>
        <v/>
      </c>
      <c r="B63" s="46">
        <f>IF($N63="","",IF($N63="増","仕入","支払"))</f>
        <v/>
      </c>
      <c r="C63" s="46">
        <f>IF($N63="","",IF($N63="増",INDEX('仕入請求台帳'!$E$5:$E$504,$O63)&amp;"",INDEX('仕入請求台帳'!$E$5:$E$504,$O63)&amp;""))</f>
        <v/>
      </c>
      <c r="D63" s="47">
        <f>IF($N63="","",IF($N63="増",INDEX('仕入請求台帳'!$F$5:$F$504,$O63)&amp;"","支払"))</f>
        <v/>
      </c>
      <c r="E63" s="48">
        <f>IF($N63&lt;&gt;"増","",INDEX('仕入請求台帳'!$G$5:$G$504,$O63))</f>
        <v/>
      </c>
      <c r="F63" s="48">
        <f>IF($N63&lt;&gt;"減","",N(INDEX('仕入請求台帳'!$L$5:$L$504,$O63)))</f>
        <v/>
      </c>
      <c r="G63" s="48">
        <f>IF($N63&lt;&gt;"減","",N(INDEX('仕入請求台帳'!$M$5:$M$504,$O63)))</f>
        <v/>
      </c>
      <c r="H63" s="49">
        <f>IF($N63="","",$H62+N($E63)-N($F63)-N($G63))</f>
        <v/>
      </c>
      <c r="I63" s="56" t="n"/>
      <c r="J63" s="32">
        <f>$J62+IF($N62="増",1,0)</f>
        <v/>
      </c>
      <c r="K63" s="32">
        <f>$K62+IF($N62="減",1,0)</f>
        <v/>
      </c>
      <c r="L63" s="35">
        <f>IF($B$3="",1E+9,IFERROR(SMALL('仕入請求台帳'!$U$5:$U$504,$J63+1),1E+9))</f>
        <v/>
      </c>
      <c r="M63" s="35">
        <f>IF($B$3="",1E+9,IFERROR(SMALL('仕入請求台帳'!$V$5:$V$504,$K63+1),1E+9))</f>
        <v/>
      </c>
      <c r="N63" s="32">
        <f>IF(MIN($L63,$M63)&gt;=1E+9,"",IF($L63&lt;=$M63,"増","減"))</f>
        <v/>
      </c>
      <c r="O63" s="32">
        <f>IF($N63="","",IF($N63="増",MATCH($L63,'仕入請求台帳'!$U$5:$U$504,0),MATCH($M63,'仕入請求台帳'!$V$5:$V$504,0)))</f>
        <v/>
      </c>
      <c r="P63" s="56" t="n"/>
      <c r="Q63" s="56" t="n"/>
    </row>
    <row r="64" ht="18" customHeight="1">
      <c r="A64" s="45">
        <f>IF($N64="","",IF($N64="増",INDEX('仕入請求台帳'!$S$5:$S$504,$O64),INDEX('仕入請求台帳'!$K$5:$K$504,$O64)))</f>
        <v/>
      </c>
      <c r="B64" s="46">
        <f>IF($N64="","",IF($N64="増","仕入","支払"))</f>
        <v/>
      </c>
      <c r="C64" s="46">
        <f>IF($N64="","",IF($N64="増",INDEX('仕入請求台帳'!$E$5:$E$504,$O64)&amp;"",INDEX('仕入請求台帳'!$E$5:$E$504,$O64)&amp;""))</f>
        <v/>
      </c>
      <c r="D64" s="47">
        <f>IF($N64="","",IF($N64="増",INDEX('仕入請求台帳'!$F$5:$F$504,$O64)&amp;"","支払"))</f>
        <v/>
      </c>
      <c r="E64" s="48">
        <f>IF($N64&lt;&gt;"増","",INDEX('仕入請求台帳'!$G$5:$G$504,$O64))</f>
        <v/>
      </c>
      <c r="F64" s="48">
        <f>IF($N64&lt;&gt;"減","",N(INDEX('仕入請求台帳'!$L$5:$L$504,$O64)))</f>
        <v/>
      </c>
      <c r="G64" s="48">
        <f>IF($N64&lt;&gt;"減","",N(INDEX('仕入請求台帳'!$M$5:$M$504,$O64)))</f>
        <v/>
      </c>
      <c r="H64" s="49">
        <f>IF($N64="","",$H63+N($E64)-N($F64)-N($G64))</f>
        <v/>
      </c>
      <c r="I64" s="56" t="n"/>
      <c r="J64" s="32">
        <f>$J63+IF($N63="増",1,0)</f>
        <v/>
      </c>
      <c r="K64" s="32">
        <f>$K63+IF($N63="減",1,0)</f>
        <v/>
      </c>
      <c r="L64" s="35">
        <f>IF($B$3="",1E+9,IFERROR(SMALL('仕入請求台帳'!$U$5:$U$504,$J64+1),1E+9))</f>
        <v/>
      </c>
      <c r="M64" s="35">
        <f>IF($B$3="",1E+9,IFERROR(SMALL('仕入請求台帳'!$V$5:$V$504,$K64+1),1E+9))</f>
        <v/>
      </c>
      <c r="N64" s="32">
        <f>IF(MIN($L64,$M64)&gt;=1E+9,"",IF($L64&lt;=$M64,"増","減"))</f>
        <v/>
      </c>
      <c r="O64" s="32">
        <f>IF($N64="","",IF($N64="増",MATCH($L64,'仕入請求台帳'!$U$5:$U$504,0),MATCH($M64,'仕入請求台帳'!$V$5:$V$504,0)))</f>
        <v/>
      </c>
      <c r="P64" s="56" t="n"/>
      <c r="Q64" s="56" t="n"/>
    </row>
    <row r="65" ht="18" customHeight="1">
      <c r="A65" s="45">
        <f>IF($N65="","",IF($N65="増",INDEX('仕入請求台帳'!$S$5:$S$504,$O65),INDEX('仕入請求台帳'!$K$5:$K$504,$O65)))</f>
        <v/>
      </c>
      <c r="B65" s="46">
        <f>IF($N65="","",IF($N65="増","仕入","支払"))</f>
        <v/>
      </c>
      <c r="C65" s="46">
        <f>IF($N65="","",IF($N65="増",INDEX('仕入請求台帳'!$E$5:$E$504,$O65)&amp;"",INDEX('仕入請求台帳'!$E$5:$E$504,$O65)&amp;""))</f>
        <v/>
      </c>
      <c r="D65" s="47">
        <f>IF($N65="","",IF($N65="増",INDEX('仕入請求台帳'!$F$5:$F$504,$O65)&amp;"","支払"))</f>
        <v/>
      </c>
      <c r="E65" s="48">
        <f>IF($N65&lt;&gt;"増","",INDEX('仕入請求台帳'!$G$5:$G$504,$O65))</f>
        <v/>
      </c>
      <c r="F65" s="48">
        <f>IF($N65&lt;&gt;"減","",N(INDEX('仕入請求台帳'!$L$5:$L$504,$O65)))</f>
        <v/>
      </c>
      <c r="G65" s="48">
        <f>IF($N65&lt;&gt;"減","",N(INDEX('仕入請求台帳'!$M$5:$M$504,$O65)))</f>
        <v/>
      </c>
      <c r="H65" s="49">
        <f>IF($N65="","",$H64+N($E65)-N($F65)-N($G65))</f>
        <v/>
      </c>
      <c r="I65" s="56" t="n"/>
      <c r="J65" s="32">
        <f>$J64+IF($N64="増",1,0)</f>
        <v/>
      </c>
      <c r="K65" s="32">
        <f>$K64+IF($N64="減",1,0)</f>
        <v/>
      </c>
      <c r="L65" s="35">
        <f>IF($B$3="",1E+9,IFERROR(SMALL('仕入請求台帳'!$U$5:$U$504,$J65+1),1E+9))</f>
        <v/>
      </c>
      <c r="M65" s="35">
        <f>IF($B$3="",1E+9,IFERROR(SMALL('仕入請求台帳'!$V$5:$V$504,$K65+1),1E+9))</f>
        <v/>
      </c>
      <c r="N65" s="32">
        <f>IF(MIN($L65,$M65)&gt;=1E+9,"",IF($L65&lt;=$M65,"増","減"))</f>
        <v/>
      </c>
      <c r="O65" s="32">
        <f>IF($N65="","",IF($N65="増",MATCH($L65,'仕入請求台帳'!$U$5:$U$504,0),MATCH($M65,'仕入請求台帳'!$V$5:$V$504,0)))</f>
        <v/>
      </c>
      <c r="P65" s="56" t="n"/>
      <c r="Q65" s="56" t="n"/>
    </row>
    <row r="66" ht="18" customHeight="1">
      <c r="A66" s="45">
        <f>IF($N66="","",IF($N66="増",INDEX('仕入請求台帳'!$S$5:$S$504,$O66),INDEX('仕入請求台帳'!$K$5:$K$504,$O66)))</f>
        <v/>
      </c>
      <c r="B66" s="46">
        <f>IF($N66="","",IF($N66="増","仕入","支払"))</f>
        <v/>
      </c>
      <c r="C66" s="46">
        <f>IF($N66="","",IF($N66="増",INDEX('仕入請求台帳'!$E$5:$E$504,$O66)&amp;"",INDEX('仕入請求台帳'!$E$5:$E$504,$O66)&amp;""))</f>
        <v/>
      </c>
      <c r="D66" s="47">
        <f>IF($N66="","",IF($N66="増",INDEX('仕入請求台帳'!$F$5:$F$504,$O66)&amp;"","支払"))</f>
        <v/>
      </c>
      <c r="E66" s="48">
        <f>IF($N66&lt;&gt;"増","",INDEX('仕入請求台帳'!$G$5:$G$504,$O66))</f>
        <v/>
      </c>
      <c r="F66" s="48">
        <f>IF($N66&lt;&gt;"減","",N(INDEX('仕入請求台帳'!$L$5:$L$504,$O66)))</f>
        <v/>
      </c>
      <c r="G66" s="48">
        <f>IF($N66&lt;&gt;"減","",N(INDEX('仕入請求台帳'!$M$5:$M$504,$O66)))</f>
        <v/>
      </c>
      <c r="H66" s="49">
        <f>IF($N66="","",$H65+N($E66)-N($F66)-N($G66))</f>
        <v/>
      </c>
      <c r="I66" s="56" t="n"/>
      <c r="J66" s="32">
        <f>$J65+IF($N65="増",1,0)</f>
        <v/>
      </c>
      <c r="K66" s="32">
        <f>$K65+IF($N65="減",1,0)</f>
        <v/>
      </c>
      <c r="L66" s="35">
        <f>IF($B$3="",1E+9,IFERROR(SMALL('仕入請求台帳'!$U$5:$U$504,$J66+1),1E+9))</f>
        <v/>
      </c>
      <c r="M66" s="35">
        <f>IF($B$3="",1E+9,IFERROR(SMALL('仕入請求台帳'!$V$5:$V$504,$K66+1),1E+9))</f>
        <v/>
      </c>
      <c r="N66" s="32">
        <f>IF(MIN($L66,$M66)&gt;=1E+9,"",IF($L66&lt;=$M66,"増","減"))</f>
        <v/>
      </c>
      <c r="O66" s="32">
        <f>IF($N66="","",IF($N66="増",MATCH($L66,'仕入請求台帳'!$U$5:$U$504,0),MATCH($M66,'仕入請求台帳'!$V$5:$V$504,0)))</f>
        <v/>
      </c>
      <c r="P66" s="56" t="n"/>
      <c r="Q66" s="56" t="n"/>
    </row>
    <row r="67" ht="18" customHeight="1">
      <c r="A67" s="45">
        <f>IF($N67="","",IF($N67="増",INDEX('仕入請求台帳'!$S$5:$S$504,$O67),INDEX('仕入請求台帳'!$K$5:$K$504,$O67)))</f>
        <v/>
      </c>
      <c r="B67" s="46">
        <f>IF($N67="","",IF($N67="増","仕入","支払"))</f>
        <v/>
      </c>
      <c r="C67" s="46">
        <f>IF($N67="","",IF($N67="増",INDEX('仕入請求台帳'!$E$5:$E$504,$O67)&amp;"",INDEX('仕入請求台帳'!$E$5:$E$504,$O67)&amp;""))</f>
        <v/>
      </c>
      <c r="D67" s="47">
        <f>IF($N67="","",IF($N67="増",INDEX('仕入請求台帳'!$F$5:$F$504,$O67)&amp;"","支払"))</f>
        <v/>
      </c>
      <c r="E67" s="48">
        <f>IF($N67&lt;&gt;"増","",INDEX('仕入請求台帳'!$G$5:$G$504,$O67))</f>
        <v/>
      </c>
      <c r="F67" s="48">
        <f>IF($N67&lt;&gt;"減","",N(INDEX('仕入請求台帳'!$L$5:$L$504,$O67)))</f>
        <v/>
      </c>
      <c r="G67" s="48">
        <f>IF($N67&lt;&gt;"減","",N(INDEX('仕入請求台帳'!$M$5:$M$504,$O67)))</f>
        <v/>
      </c>
      <c r="H67" s="49">
        <f>IF($N67="","",$H66+N($E67)-N($F67)-N($G67))</f>
        <v/>
      </c>
      <c r="I67" s="56" t="n"/>
      <c r="J67" s="32">
        <f>$J66+IF($N66="増",1,0)</f>
        <v/>
      </c>
      <c r="K67" s="32">
        <f>$K66+IF($N66="減",1,0)</f>
        <v/>
      </c>
      <c r="L67" s="35">
        <f>IF($B$3="",1E+9,IFERROR(SMALL('仕入請求台帳'!$U$5:$U$504,$J67+1),1E+9))</f>
        <v/>
      </c>
      <c r="M67" s="35">
        <f>IF($B$3="",1E+9,IFERROR(SMALL('仕入請求台帳'!$V$5:$V$504,$K67+1),1E+9))</f>
        <v/>
      </c>
      <c r="N67" s="32">
        <f>IF(MIN($L67,$M67)&gt;=1E+9,"",IF($L67&lt;=$M67,"増","減"))</f>
        <v/>
      </c>
      <c r="O67" s="32">
        <f>IF($N67="","",IF($N67="増",MATCH($L67,'仕入請求台帳'!$U$5:$U$504,0),MATCH($M67,'仕入請求台帳'!$V$5:$V$504,0)))</f>
        <v/>
      </c>
      <c r="P67" s="56" t="n"/>
      <c r="Q67" s="56" t="n"/>
    </row>
    <row r="68" ht="18" customHeight="1">
      <c r="A68" s="45">
        <f>IF($N68="","",IF($N68="増",INDEX('仕入請求台帳'!$S$5:$S$504,$O68),INDEX('仕入請求台帳'!$K$5:$K$504,$O68)))</f>
        <v/>
      </c>
      <c r="B68" s="46">
        <f>IF($N68="","",IF($N68="増","仕入","支払"))</f>
        <v/>
      </c>
      <c r="C68" s="46">
        <f>IF($N68="","",IF($N68="増",INDEX('仕入請求台帳'!$E$5:$E$504,$O68)&amp;"",INDEX('仕入請求台帳'!$E$5:$E$504,$O68)&amp;""))</f>
        <v/>
      </c>
      <c r="D68" s="47">
        <f>IF($N68="","",IF($N68="増",INDEX('仕入請求台帳'!$F$5:$F$504,$O68)&amp;"","支払"))</f>
        <v/>
      </c>
      <c r="E68" s="48">
        <f>IF($N68&lt;&gt;"増","",INDEX('仕入請求台帳'!$G$5:$G$504,$O68))</f>
        <v/>
      </c>
      <c r="F68" s="48">
        <f>IF($N68&lt;&gt;"減","",N(INDEX('仕入請求台帳'!$L$5:$L$504,$O68)))</f>
        <v/>
      </c>
      <c r="G68" s="48">
        <f>IF($N68&lt;&gt;"減","",N(INDEX('仕入請求台帳'!$M$5:$M$504,$O68)))</f>
        <v/>
      </c>
      <c r="H68" s="49">
        <f>IF($N68="","",$H67+N($E68)-N($F68)-N($G68))</f>
        <v/>
      </c>
      <c r="I68" s="56" t="n"/>
      <c r="J68" s="32">
        <f>$J67+IF($N67="増",1,0)</f>
        <v/>
      </c>
      <c r="K68" s="32">
        <f>$K67+IF($N67="減",1,0)</f>
        <v/>
      </c>
      <c r="L68" s="35">
        <f>IF($B$3="",1E+9,IFERROR(SMALL('仕入請求台帳'!$U$5:$U$504,$J68+1),1E+9))</f>
        <v/>
      </c>
      <c r="M68" s="35">
        <f>IF($B$3="",1E+9,IFERROR(SMALL('仕入請求台帳'!$V$5:$V$504,$K68+1),1E+9))</f>
        <v/>
      </c>
      <c r="N68" s="32">
        <f>IF(MIN($L68,$M68)&gt;=1E+9,"",IF($L68&lt;=$M68,"増","減"))</f>
        <v/>
      </c>
      <c r="O68" s="32">
        <f>IF($N68="","",IF($N68="増",MATCH($L68,'仕入請求台帳'!$U$5:$U$504,0),MATCH($M68,'仕入請求台帳'!$V$5:$V$504,0)))</f>
        <v/>
      </c>
      <c r="P68" s="56" t="n"/>
      <c r="Q68" s="56" t="n"/>
    </row>
    <row r="69" ht="18" customHeight="1">
      <c r="A69" s="45">
        <f>IF($N69="","",IF($N69="増",INDEX('仕入請求台帳'!$S$5:$S$504,$O69),INDEX('仕入請求台帳'!$K$5:$K$504,$O69)))</f>
        <v/>
      </c>
      <c r="B69" s="46">
        <f>IF($N69="","",IF($N69="増","仕入","支払"))</f>
        <v/>
      </c>
      <c r="C69" s="46">
        <f>IF($N69="","",IF($N69="増",INDEX('仕入請求台帳'!$E$5:$E$504,$O69)&amp;"",INDEX('仕入請求台帳'!$E$5:$E$504,$O69)&amp;""))</f>
        <v/>
      </c>
      <c r="D69" s="47">
        <f>IF($N69="","",IF($N69="増",INDEX('仕入請求台帳'!$F$5:$F$504,$O69)&amp;"","支払"))</f>
        <v/>
      </c>
      <c r="E69" s="48">
        <f>IF($N69&lt;&gt;"増","",INDEX('仕入請求台帳'!$G$5:$G$504,$O69))</f>
        <v/>
      </c>
      <c r="F69" s="48">
        <f>IF($N69&lt;&gt;"減","",N(INDEX('仕入請求台帳'!$L$5:$L$504,$O69)))</f>
        <v/>
      </c>
      <c r="G69" s="48">
        <f>IF($N69&lt;&gt;"減","",N(INDEX('仕入請求台帳'!$M$5:$M$504,$O69)))</f>
        <v/>
      </c>
      <c r="H69" s="49">
        <f>IF($N69="","",$H68+N($E69)-N($F69)-N($G69))</f>
        <v/>
      </c>
      <c r="I69" s="56" t="n"/>
      <c r="J69" s="32">
        <f>$J68+IF($N68="増",1,0)</f>
        <v/>
      </c>
      <c r="K69" s="32">
        <f>$K68+IF($N68="減",1,0)</f>
        <v/>
      </c>
      <c r="L69" s="35">
        <f>IF($B$3="",1E+9,IFERROR(SMALL('仕入請求台帳'!$U$5:$U$504,$J69+1),1E+9))</f>
        <v/>
      </c>
      <c r="M69" s="35">
        <f>IF($B$3="",1E+9,IFERROR(SMALL('仕入請求台帳'!$V$5:$V$504,$K69+1),1E+9))</f>
        <v/>
      </c>
      <c r="N69" s="32">
        <f>IF(MIN($L69,$M69)&gt;=1E+9,"",IF($L69&lt;=$M69,"増","減"))</f>
        <v/>
      </c>
      <c r="O69" s="32">
        <f>IF($N69="","",IF($N69="増",MATCH($L69,'仕入請求台帳'!$U$5:$U$504,0),MATCH($M69,'仕入請求台帳'!$V$5:$V$504,0)))</f>
        <v/>
      </c>
      <c r="P69" s="56" t="n"/>
      <c r="Q69" s="56" t="n"/>
    </row>
    <row r="70" ht="18" customHeight="1">
      <c r="A70" s="45">
        <f>IF($N70="","",IF($N70="増",INDEX('仕入請求台帳'!$S$5:$S$504,$O70),INDEX('仕入請求台帳'!$K$5:$K$504,$O70)))</f>
        <v/>
      </c>
      <c r="B70" s="46">
        <f>IF($N70="","",IF($N70="増","仕入","支払"))</f>
        <v/>
      </c>
      <c r="C70" s="46">
        <f>IF($N70="","",IF($N70="増",INDEX('仕入請求台帳'!$E$5:$E$504,$O70)&amp;"",INDEX('仕入請求台帳'!$E$5:$E$504,$O70)&amp;""))</f>
        <v/>
      </c>
      <c r="D70" s="47">
        <f>IF($N70="","",IF($N70="増",INDEX('仕入請求台帳'!$F$5:$F$504,$O70)&amp;"","支払"))</f>
        <v/>
      </c>
      <c r="E70" s="48">
        <f>IF($N70&lt;&gt;"増","",INDEX('仕入請求台帳'!$G$5:$G$504,$O70))</f>
        <v/>
      </c>
      <c r="F70" s="48">
        <f>IF($N70&lt;&gt;"減","",N(INDEX('仕入請求台帳'!$L$5:$L$504,$O70)))</f>
        <v/>
      </c>
      <c r="G70" s="48">
        <f>IF($N70&lt;&gt;"減","",N(INDEX('仕入請求台帳'!$M$5:$M$504,$O70)))</f>
        <v/>
      </c>
      <c r="H70" s="49">
        <f>IF($N70="","",$H69+N($E70)-N($F70)-N($G70))</f>
        <v/>
      </c>
      <c r="I70" s="56" t="n"/>
      <c r="J70" s="32">
        <f>$J69+IF($N69="増",1,0)</f>
        <v/>
      </c>
      <c r="K70" s="32">
        <f>$K69+IF($N69="減",1,0)</f>
        <v/>
      </c>
      <c r="L70" s="35">
        <f>IF($B$3="",1E+9,IFERROR(SMALL('仕入請求台帳'!$U$5:$U$504,$J70+1),1E+9))</f>
        <v/>
      </c>
      <c r="M70" s="35">
        <f>IF($B$3="",1E+9,IFERROR(SMALL('仕入請求台帳'!$V$5:$V$504,$K70+1),1E+9))</f>
        <v/>
      </c>
      <c r="N70" s="32">
        <f>IF(MIN($L70,$M70)&gt;=1E+9,"",IF($L70&lt;=$M70,"増","減"))</f>
        <v/>
      </c>
      <c r="O70" s="32">
        <f>IF($N70="","",IF($N70="増",MATCH($L70,'仕入請求台帳'!$U$5:$U$504,0),MATCH($M70,'仕入請求台帳'!$V$5:$V$504,0)))</f>
        <v/>
      </c>
      <c r="P70" s="56" t="n"/>
      <c r="Q70" s="56" t="n"/>
    </row>
    <row r="71" ht="18" customHeight="1">
      <c r="A71" s="45">
        <f>IF($N71="","",IF($N71="増",INDEX('仕入請求台帳'!$S$5:$S$504,$O71),INDEX('仕入請求台帳'!$K$5:$K$504,$O71)))</f>
        <v/>
      </c>
      <c r="B71" s="46">
        <f>IF($N71="","",IF($N71="増","仕入","支払"))</f>
        <v/>
      </c>
      <c r="C71" s="46">
        <f>IF($N71="","",IF($N71="増",INDEX('仕入請求台帳'!$E$5:$E$504,$O71)&amp;"",INDEX('仕入請求台帳'!$E$5:$E$504,$O71)&amp;""))</f>
        <v/>
      </c>
      <c r="D71" s="47">
        <f>IF($N71="","",IF($N71="増",INDEX('仕入請求台帳'!$F$5:$F$504,$O71)&amp;"","支払"))</f>
        <v/>
      </c>
      <c r="E71" s="48">
        <f>IF($N71&lt;&gt;"増","",INDEX('仕入請求台帳'!$G$5:$G$504,$O71))</f>
        <v/>
      </c>
      <c r="F71" s="48">
        <f>IF($N71&lt;&gt;"減","",N(INDEX('仕入請求台帳'!$L$5:$L$504,$O71)))</f>
        <v/>
      </c>
      <c r="G71" s="48">
        <f>IF($N71&lt;&gt;"減","",N(INDEX('仕入請求台帳'!$M$5:$M$504,$O71)))</f>
        <v/>
      </c>
      <c r="H71" s="49">
        <f>IF($N71="","",$H70+N($E71)-N($F71)-N($G71))</f>
        <v/>
      </c>
      <c r="I71" s="56" t="n"/>
      <c r="J71" s="32">
        <f>$J70+IF($N70="増",1,0)</f>
        <v/>
      </c>
      <c r="K71" s="32">
        <f>$K70+IF($N70="減",1,0)</f>
        <v/>
      </c>
      <c r="L71" s="35">
        <f>IF($B$3="",1E+9,IFERROR(SMALL('仕入請求台帳'!$U$5:$U$504,$J71+1),1E+9))</f>
        <v/>
      </c>
      <c r="M71" s="35">
        <f>IF($B$3="",1E+9,IFERROR(SMALL('仕入請求台帳'!$V$5:$V$504,$K71+1),1E+9))</f>
        <v/>
      </c>
      <c r="N71" s="32">
        <f>IF(MIN($L71,$M71)&gt;=1E+9,"",IF($L71&lt;=$M71,"増","減"))</f>
        <v/>
      </c>
      <c r="O71" s="32">
        <f>IF($N71="","",IF($N71="増",MATCH($L71,'仕入請求台帳'!$U$5:$U$504,0),MATCH($M71,'仕入請求台帳'!$V$5:$V$504,0)))</f>
        <v/>
      </c>
      <c r="P71" s="56" t="n"/>
      <c r="Q71" s="56" t="n"/>
    </row>
    <row r="72" ht="18" customHeight="1">
      <c r="A72" s="45">
        <f>IF($N72="","",IF($N72="増",INDEX('仕入請求台帳'!$S$5:$S$504,$O72),INDEX('仕入請求台帳'!$K$5:$K$504,$O72)))</f>
        <v/>
      </c>
      <c r="B72" s="46">
        <f>IF($N72="","",IF($N72="増","仕入","支払"))</f>
        <v/>
      </c>
      <c r="C72" s="46">
        <f>IF($N72="","",IF($N72="増",INDEX('仕入請求台帳'!$E$5:$E$504,$O72)&amp;"",INDEX('仕入請求台帳'!$E$5:$E$504,$O72)&amp;""))</f>
        <v/>
      </c>
      <c r="D72" s="47">
        <f>IF($N72="","",IF($N72="増",INDEX('仕入請求台帳'!$F$5:$F$504,$O72)&amp;"","支払"))</f>
        <v/>
      </c>
      <c r="E72" s="48">
        <f>IF($N72&lt;&gt;"増","",INDEX('仕入請求台帳'!$G$5:$G$504,$O72))</f>
        <v/>
      </c>
      <c r="F72" s="48">
        <f>IF($N72&lt;&gt;"減","",N(INDEX('仕入請求台帳'!$L$5:$L$504,$O72)))</f>
        <v/>
      </c>
      <c r="G72" s="48">
        <f>IF($N72&lt;&gt;"減","",N(INDEX('仕入請求台帳'!$M$5:$M$504,$O72)))</f>
        <v/>
      </c>
      <c r="H72" s="49">
        <f>IF($N72="","",$H71+N($E72)-N($F72)-N($G72))</f>
        <v/>
      </c>
      <c r="I72" s="56" t="n"/>
      <c r="J72" s="32">
        <f>$J71+IF($N71="増",1,0)</f>
        <v/>
      </c>
      <c r="K72" s="32">
        <f>$K71+IF($N71="減",1,0)</f>
        <v/>
      </c>
      <c r="L72" s="35">
        <f>IF($B$3="",1E+9,IFERROR(SMALL('仕入請求台帳'!$U$5:$U$504,$J72+1),1E+9))</f>
        <v/>
      </c>
      <c r="M72" s="35">
        <f>IF($B$3="",1E+9,IFERROR(SMALL('仕入請求台帳'!$V$5:$V$504,$K72+1),1E+9))</f>
        <v/>
      </c>
      <c r="N72" s="32">
        <f>IF(MIN($L72,$M72)&gt;=1E+9,"",IF($L72&lt;=$M72,"増","減"))</f>
        <v/>
      </c>
      <c r="O72" s="32">
        <f>IF($N72="","",IF($N72="増",MATCH($L72,'仕入請求台帳'!$U$5:$U$504,0),MATCH($M72,'仕入請求台帳'!$V$5:$V$504,0)))</f>
        <v/>
      </c>
      <c r="P72" s="56" t="n"/>
      <c r="Q72" s="56" t="n"/>
    </row>
    <row r="73" ht="18" customHeight="1">
      <c r="A73" s="45">
        <f>IF($N73="","",IF($N73="増",INDEX('仕入請求台帳'!$S$5:$S$504,$O73),INDEX('仕入請求台帳'!$K$5:$K$504,$O73)))</f>
        <v/>
      </c>
      <c r="B73" s="46">
        <f>IF($N73="","",IF($N73="増","仕入","支払"))</f>
        <v/>
      </c>
      <c r="C73" s="46">
        <f>IF($N73="","",IF($N73="増",INDEX('仕入請求台帳'!$E$5:$E$504,$O73)&amp;"",INDEX('仕入請求台帳'!$E$5:$E$504,$O73)&amp;""))</f>
        <v/>
      </c>
      <c r="D73" s="47">
        <f>IF($N73="","",IF($N73="増",INDEX('仕入請求台帳'!$F$5:$F$504,$O73)&amp;"","支払"))</f>
        <v/>
      </c>
      <c r="E73" s="48">
        <f>IF($N73&lt;&gt;"増","",INDEX('仕入請求台帳'!$G$5:$G$504,$O73))</f>
        <v/>
      </c>
      <c r="F73" s="48">
        <f>IF($N73&lt;&gt;"減","",N(INDEX('仕入請求台帳'!$L$5:$L$504,$O73)))</f>
        <v/>
      </c>
      <c r="G73" s="48">
        <f>IF($N73&lt;&gt;"減","",N(INDEX('仕入請求台帳'!$M$5:$M$504,$O73)))</f>
        <v/>
      </c>
      <c r="H73" s="49">
        <f>IF($N73="","",$H72+N($E73)-N($F73)-N($G73))</f>
        <v/>
      </c>
      <c r="I73" s="56" t="n"/>
      <c r="J73" s="32">
        <f>$J72+IF($N72="増",1,0)</f>
        <v/>
      </c>
      <c r="K73" s="32">
        <f>$K72+IF($N72="減",1,0)</f>
        <v/>
      </c>
      <c r="L73" s="35">
        <f>IF($B$3="",1E+9,IFERROR(SMALL('仕入請求台帳'!$U$5:$U$504,$J73+1),1E+9))</f>
        <v/>
      </c>
      <c r="M73" s="35">
        <f>IF($B$3="",1E+9,IFERROR(SMALL('仕入請求台帳'!$V$5:$V$504,$K73+1),1E+9))</f>
        <v/>
      </c>
      <c r="N73" s="32">
        <f>IF(MIN($L73,$M73)&gt;=1E+9,"",IF($L73&lt;=$M73,"増","減"))</f>
        <v/>
      </c>
      <c r="O73" s="32">
        <f>IF($N73="","",IF($N73="増",MATCH($L73,'仕入請求台帳'!$U$5:$U$504,0),MATCH($M73,'仕入請求台帳'!$V$5:$V$504,0)))</f>
        <v/>
      </c>
      <c r="P73" s="56" t="n"/>
      <c r="Q73" s="56" t="n"/>
    </row>
    <row r="74" ht="18" customHeight="1">
      <c r="A74" s="45">
        <f>IF($N74="","",IF($N74="増",INDEX('仕入請求台帳'!$S$5:$S$504,$O74),INDEX('仕入請求台帳'!$K$5:$K$504,$O74)))</f>
        <v/>
      </c>
      <c r="B74" s="46">
        <f>IF($N74="","",IF($N74="増","仕入","支払"))</f>
        <v/>
      </c>
      <c r="C74" s="46">
        <f>IF($N74="","",IF($N74="増",INDEX('仕入請求台帳'!$E$5:$E$504,$O74)&amp;"",INDEX('仕入請求台帳'!$E$5:$E$504,$O74)&amp;""))</f>
        <v/>
      </c>
      <c r="D74" s="47">
        <f>IF($N74="","",IF($N74="増",INDEX('仕入請求台帳'!$F$5:$F$504,$O74)&amp;"","支払"))</f>
        <v/>
      </c>
      <c r="E74" s="48">
        <f>IF($N74&lt;&gt;"増","",INDEX('仕入請求台帳'!$G$5:$G$504,$O74))</f>
        <v/>
      </c>
      <c r="F74" s="48">
        <f>IF($N74&lt;&gt;"減","",N(INDEX('仕入請求台帳'!$L$5:$L$504,$O74)))</f>
        <v/>
      </c>
      <c r="G74" s="48">
        <f>IF($N74&lt;&gt;"減","",N(INDEX('仕入請求台帳'!$M$5:$M$504,$O74)))</f>
        <v/>
      </c>
      <c r="H74" s="49">
        <f>IF($N74="","",$H73+N($E74)-N($F74)-N($G74))</f>
        <v/>
      </c>
      <c r="I74" s="56" t="n"/>
      <c r="J74" s="32">
        <f>$J73+IF($N73="増",1,0)</f>
        <v/>
      </c>
      <c r="K74" s="32">
        <f>$K73+IF($N73="減",1,0)</f>
        <v/>
      </c>
      <c r="L74" s="35">
        <f>IF($B$3="",1E+9,IFERROR(SMALL('仕入請求台帳'!$U$5:$U$504,$J74+1),1E+9))</f>
        <v/>
      </c>
      <c r="M74" s="35">
        <f>IF($B$3="",1E+9,IFERROR(SMALL('仕入請求台帳'!$V$5:$V$504,$K74+1),1E+9))</f>
        <v/>
      </c>
      <c r="N74" s="32">
        <f>IF(MIN($L74,$M74)&gt;=1E+9,"",IF($L74&lt;=$M74,"増","減"))</f>
        <v/>
      </c>
      <c r="O74" s="32">
        <f>IF($N74="","",IF($N74="増",MATCH($L74,'仕入請求台帳'!$U$5:$U$504,0),MATCH($M74,'仕入請求台帳'!$V$5:$V$504,0)))</f>
        <v/>
      </c>
      <c r="P74" s="56" t="n"/>
      <c r="Q74" s="56" t="n"/>
    </row>
    <row r="75" ht="18" customHeight="1">
      <c r="A75" s="45">
        <f>IF($N75="","",IF($N75="増",INDEX('仕入請求台帳'!$S$5:$S$504,$O75),INDEX('仕入請求台帳'!$K$5:$K$504,$O75)))</f>
        <v/>
      </c>
      <c r="B75" s="46">
        <f>IF($N75="","",IF($N75="増","仕入","支払"))</f>
        <v/>
      </c>
      <c r="C75" s="46">
        <f>IF($N75="","",IF($N75="増",INDEX('仕入請求台帳'!$E$5:$E$504,$O75)&amp;"",INDEX('仕入請求台帳'!$E$5:$E$504,$O75)&amp;""))</f>
        <v/>
      </c>
      <c r="D75" s="47">
        <f>IF($N75="","",IF($N75="増",INDEX('仕入請求台帳'!$F$5:$F$504,$O75)&amp;"","支払"))</f>
        <v/>
      </c>
      <c r="E75" s="48">
        <f>IF($N75&lt;&gt;"増","",INDEX('仕入請求台帳'!$G$5:$G$504,$O75))</f>
        <v/>
      </c>
      <c r="F75" s="48">
        <f>IF($N75&lt;&gt;"減","",N(INDEX('仕入請求台帳'!$L$5:$L$504,$O75)))</f>
        <v/>
      </c>
      <c r="G75" s="48">
        <f>IF($N75&lt;&gt;"減","",N(INDEX('仕入請求台帳'!$M$5:$M$504,$O75)))</f>
        <v/>
      </c>
      <c r="H75" s="49">
        <f>IF($N75="","",$H74+N($E75)-N($F75)-N($G75))</f>
        <v/>
      </c>
      <c r="I75" s="56" t="n"/>
      <c r="J75" s="32">
        <f>$J74+IF($N74="増",1,0)</f>
        <v/>
      </c>
      <c r="K75" s="32">
        <f>$K74+IF($N74="減",1,0)</f>
        <v/>
      </c>
      <c r="L75" s="35">
        <f>IF($B$3="",1E+9,IFERROR(SMALL('仕入請求台帳'!$U$5:$U$504,$J75+1),1E+9))</f>
        <v/>
      </c>
      <c r="M75" s="35">
        <f>IF($B$3="",1E+9,IFERROR(SMALL('仕入請求台帳'!$V$5:$V$504,$K75+1),1E+9))</f>
        <v/>
      </c>
      <c r="N75" s="32">
        <f>IF(MIN($L75,$M75)&gt;=1E+9,"",IF($L75&lt;=$M75,"増","減"))</f>
        <v/>
      </c>
      <c r="O75" s="32">
        <f>IF($N75="","",IF($N75="増",MATCH($L75,'仕入請求台帳'!$U$5:$U$504,0),MATCH($M75,'仕入請求台帳'!$V$5:$V$504,0)))</f>
        <v/>
      </c>
      <c r="P75" s="56" t="n"/>
      <c r="Q75" s="56" t="n"/>
    </row>
    <row r="76" ht="18" customHeight="1">
      <c r="A76" s="45">
        <f>IF($N76="","",IF($N76="増",INDEX('仕入請求台帳'!$S$5:$S$504,$O76),INDEX('仕入請求台帳'!$K$5:$K$504,$O76)))</f>
        <v/>
      </c>
      <c r="B76" s="46">
        <f>IF($N76="","",IF($N76="増","仕入","支払"))</f>
        <v/>
      </c>
      <c r="C76" s="46">
        <f>IF($N76="","",IF($N76="増",INDEX('仕入請求台帳'!$E$5:$E$504,$O76)&amp;"",INDEX('仕入請求台帳'!$E$5:$E$504,$O76)&amp;""))</f>
        <v/>
      </c>
      <c r="D76" s="47">
        <f>IF($N76="","",IF($N76="増",INDEX('仕入請求台帳'!$F$5:$F$504,$O76)&amp;"","支払"))</f>
        <v/>
      </c>
      <c r="E76" s="48">
        <f>IF($N76&lt;&gt;"増","",INDEX('仕入請求台帳'!$G$5:$G$504,$O76))</f>
        <v/>
      </c>
      <c r="F76" s="48">
        <f>IF($N76&lt;&gt;"減","",N(INDEX('仕入請求台帳'!$L$5:$L$504,$O76)))</f>
        <v/>
      </c>
      <c r="G76" s="48">
        <f>IF($N76&lt;&gt;"減","",N(INDEX('仕入請求台帳'!$M$5:$M$504,$O76)))</f>
        <v/>
      </c>
      <c r="H76" s="49">
        <f>IF($N76="","",$H75+N($E76)-N($F76)-N($G76))</f>
        <v/>
      </c>
      <c r="I76" s="56" t="n"/>
      <c r="J76" s="32">
        <f>$J75+IF($N75="増",1,0)</f>
        <v/>
      </c>
      <c r="K76" s="32">
        <f>$K75+IF($N75="減",1,0)</f>
        <v/>
      </c>
      <c r="L76" s="35">
        <f>IF($B$3="",1E+9,IFERROR(SMALL('仕入請求台帳'!$U$5:$U$504,$J76+1),1E+9))</f>
        <v/>
      </c>
      <c r="M76" s="35">
        <f>IF($B$3="",1E+9,IFERROR(SMALL('仕入請求台帳'!$V$5:$V$504,$K76+1),1E+9))</f>
        <v/>
      </c>
      <c r="N76" s="32">
        <f>IF(MIN($L76,$M76)&gt;=1E+9,"",IF($L76&lt;=$M76,"増","減"))</f>
        <v/>
      </c>
      <c r="O76" s="32">
        <f>IF($N76="","",IF($N76="増",MATCH($L76,'仕入請求台帳'!$U$5:$U$504,0),MATCH($M76,'仕入請求台帳'!$V$5:$V$504,0)))</f>
        <v/>
      </c>
      <c r="P76" s="56" t="n"/>
      <c r="Q76" s="56" t="n"/>
    </row>
    <row r="77" ht="18" customHeight="1">
      <c r="A77" s="45">
        <f>IF($N77="","",IF($N77="増",INDEX('仕入請求台帳'!$S$5:$S$504,$O77),INDEX('仕入請求台帳'!$K$5:$K$504,$O77)))</f>
        <v/>
      </c>
      <c r="B77" s="46">
        <f>IF($N77="","",IF($N77="増","仕入","支払"))</f>
        <v/>
      </c>
      <c r="C77" s="46">
        <f>IF($N77="","",IF($N77="増",INDEX('仕入請求台帳'!$E$5:$E$504,$O77)&amp;"",INDEX('仕入請求台帳'!$E$5:$E$504,$O77)&amp;""))</f>
        <v/>
      </c>
      <c r="D77" s="47">
        <f>IF($N77="","",IF($N77="増",INDEX('仕入請求台帳'!$F$5:$F$504,$O77)&amp;"","支払"))</f>
        <v/>
      </c>
      <c r="E77" s="48">
        <f>IF($N77&lt;&gt;"増","",INDEX('仕入請求台帳'!$G$5:$G$504,$O77))</f>
        <v/>
      </c>
      <c r="F77" s="48">
        <f>IF($N77&lt;&gt;"減","",N(INDEX('仕入請求台帳'!$L$5:$L$504,$O77)))</f>
        <v/>
      </c>
      <c r="G77" s="48">
        <f>IF($N77&lt;&gt;"減","",N(INDEX('仕入請求台帳'!$M$5:$M$504,$O77)))</f>
        <v/>
      </c>
      <c r="H77" s="49">
        <f>IF($N77="","",$H76+N($E77)-N($F77)-N($G77))</f>
        <v/>
      </c>
      <c r="I77" s="56" t="n"/>
      <c r="J77" s="32">
        <f>$J76+IF($N76="増",1,0)</f>
        <v/>
      </c>
      <c r="K77" s="32">
        <f>$K76+IF($N76="減",1,0)</f>
        <v/>
      </c>
      <c r="L77" s="35">
        <f>IF($B$3="",1E+9,IFERROR(SMALL('仕入請求台帳'!$U$5:$U$504,$J77+1),1E+9))</f>
        <v/>
      </c>
      <c r="M77" s="35">
        <f>IF($B$3="",1E+9,IFERROR(SMALL('仕入請求台帳'!$V$5:$V$504,$K77+1),1E+9))</f>
        <v/>
      </c>
      <c r="N77" s="32">
        <f>IF(MIN($L77,$M77)&gt;=1E+9,"",IF($L77&lt;=$M77,"増","減"))</f>
        <v/>
      </c>
      <c r="O77" s="32">
        <f>IF($N77="","",IF($N77="増",MATCH($L77,'仕入請求台帳'!$U$5:$U$504,0),MATCH($M77,'仕入請求台帳'!$V$5:$V$504,0)))</f>
        <v/>
      </c>
      <c r="P77" s="56" t="n"/>
      <c r="Q77" s="56" t="n"/>
    </row>
    <row r="78" ht="18" customHeight="1">
      <c r="A78" s="45">
        <f>IF($N78="","",IF($N78="増",INDEX('仕入請求台帳'!$S$5:$S$504,$O78),INDEX('仕入請求台帳'!$K$5:$K$504,$O78)))</f>
        <v/>
      </c>
      <c r="B78" s="46">
        <f>IF($N78="","",IF($N78="増","仕入","支払"))</f>
        <v/>
      </c>
      <c r="C78" s="46">
        <f>IF($N78="","",IF($N78="増",INDEX('仕入請求台帳'!$E$5:$E$504,$O78)&amp;"",INDEX('仕入請求台帳'!$E$5:$E$504,$O78)&amp;""))</f>
        <v/>
      </c>
      <c r="D78" s="47">
        <f>IF($N78="","",IF($N78="増",INDEX('仕入請求台帳'!$F$5:$F$504,$O78)&amp;"","支払"))</f>
        <v/>
      </c>
      <c r="E78" s="48">
        <f>IF($N78&lt;&gt;"増","",INDEX('仕入請求台帳'!$G$5:$G$504,$O78))</f>
        <v/>
      </c>
      <c r="F78" s="48">
        <f>IF($N78&lt;&gt;"減","",N(INDEX('仕入請求台帳'!$L$5:$L$504,$O78)))</f>
        <v/>
      </c>
      <c r="G78" s="48">
        <f>IF($N78&lt;&gt;"減","",N(INDEX('仕入請求台帳'!$M$5:$M$504,$O78)))</f>
        <v/>
      </c>
      <c r="H78" s="49">
        <f>IF($N78="","",$H77+N($E78)-N($F78)-N($G78))</f>
        <v/>
      </c>
      <c r="I78" s="56" t="n"/>
      <c r="J78" s="32">
        <f>$J77+IF($N77="増",1,0)</f>
        <v/>
      </c>
      <c r="K78" s="32">
        <f>$K77+IF($N77="減",1,0)</f>
        <v/>
      </c>
      <c r="L78" s="35">
        <f>IF($B$3="",1E+9,IFERROR(SMALL('仕入請求台帳'!$U$5:$U$504,$J78+1),1E+9))</f>
        <v/>
      </c>
      <c r="M78" s="35">
        <f>IF($B$3="",1E+9,IFERROR(SMALL('仕入請求台帳'!$V$5:$V$504,$K78+1),1E+9))</f>
        <v/>
      </c>
      <c r="N78" s="32">
        <f>IF(MIN($L78,$M78)&gt;=1E+9,"",IF($L78&lt;=$M78,"増","減"))</f>
        <v/>
      </c>
      <c r="O78" s="32">
        <f>IF($N78="","",IF($N78="増",MATCH($L78,'仕入請求台帳'!$U$5:$U$504,0),MATCH($M78,'仕入請求台帳'!$V$5:$V$504,0)))</f>
        <v/>
      </c>
      <c r="P78" s="56" t="n"/>
      <c r="Q78" s="56" t="n"/>
    </row>
    <row r="79" ht="18" customHeight="1">
      <c r="A79" s="45">
        <f>IF($N79="","",IF($N79="増",INDEX('仕入請求台帳'!$S$5:$S$504,$O79),INDEX('仕入請求台帳'!$K$5:$K$504,$O79)))</f>
        <v/>
      </c>
      <c r="B79" s="46">
        <f>IF($N79="","",IF($N79="増","仕入","支払"))</f>
        <v/>
      </c>
      <c r="C79" s="46">
        <f>IF($N79="","",IF($N79="増",INDEX('仕入請求台帳'!$E$5:$E$504,$O79)&amp;"",INDEX('仕入請求台帳'!$E$5:$E$504,$O79)&amp;""))</f>
        <v/>
      </c>
      <c r="D79" s="47">
        <f>IF($N79="","",IF($N79="増",INDEX('仕入請求台帳'!$F$5:$F$504,$O79)&amp;"","支払"))</f>
        <v/>
      </c>
      <c r="E79" s="48">
        <f>IF($N79&lt;&gt;"増","",INDEX('仕入請求台帳'!$G$5:$G$504,$O79))</f>
        <v/>
      </c>
      <c r="F79" s="48">
        <f>IF($N79&lt;&gt;"減","",N(INDEX('仕入請求台帳'!$L$5:$L$504,$O79)))</f>
        <v/>
      </c>
      <c r="G79" s="48">
        <f>IF($N79&lt;&gt;"減","",N(INDEX('仕入請求台帳'!$M$5:$M$504,$O79)))</f>
        <v/>
      </c>
      <c r="H79" s="49">
        <f>IF($N79="","",$H78+N($E79)-N($F79)-N($G79))</f>
        <v/>
      </c>
      <c r="I79" s="56" t="n"/>
      <c r="J79" s="32">
        <f>$J78+IF($N78="増",1,0)</f>
        <v/>
      </c>
      <c r="K79" s="32">
        <f>$K78+IF($N78="減",1,0)</f>
        <v/>
      </c>
      <c r="L79" s="35">
        <f>IF($B$3="",1E+9,IFERROR(SMALL('仕入請求台帳'!$U$5:$U$504,$J79+1),1E+9))</f>
        <v/>
      </c>
      <c r="M79" s="35">
        <f>IF($B$3="",1E+9,IFERROR(SMALL('仕入請求台帳'!$V$5:$V$504,$K79+1),1E+9))</f>
        <v/>
      </c>
      <c r="N79" s="32">
        <f>IF(MIN($L79,$M79)&gt;=1E+9,"",IF($L79&lt;=$M79,"増","減"))</f>
        <v/>
      </c>
      <c r="O79" s="32">
        <f>IF($N79="","",IF($N79="増",MATCH($L79,'仕入請求台帳'!$U$5:$U$504,0),MATCH($M79,'仕入請求台帳'!$V$5:$V$504,0)))</f>
        <v/>
      </c>
      <c r="P79" s="56" t="n"/>
      <c r="Q79" s="56" t="n"/>
    </row>
    <row r="80" ht="18" customHeight="1">
      <c r="A80" s="45">
        <f>IF($N80="","",IF($N80="増",INDEX('仕入請求台帳'!$S$5:$S$504,$O80),INDEX('仕入請求台帳'!$K$5:$K$504,$O80)))</f>
        <v/>
      </c>
      <c r="B80" s="46">
        <f>IF($N80="","",IF($N80="増","仕入","支払"))</f>
        <v/>
      </c>
      <c r="C80" s="46">
        <f>IF($N80="","",IF($N80="増",INDEX('仕入請求台帳'!$E$5:$E$504,$O80)&amp;"",INDEX('仕入請求台帳'!$E$5:$E$504,$O80)&amp;""))</f>
        <v/>
      </c>
      <c r="D80" s="47">
        <f>IF($N80="","",IF($N80="増",INDEX('仕入請求台帳'!$F$5:$F$504,$O80)&amp;"","支払"))</f>
        <v/>
      </c>
      <c r="E80" s="48">
        <f>IF($N80&lt;&gt;"増","",INDEX('仕入請求台帳'!$G$5:$G$504,$O80))</f>
        <v/>
      </c>
      <c r="F80" s="48">
        <f>IF($N80&lt;&gt;"減","",N(INDEX('仕入請求台帳'!$L$5:$L$504,$O80)))</f>
        <v/>
      </c>
      <c r="G80" s="48">
        <f>IF($N80&lt;&gt;"減","",N(INDEX('仕入請求台帳'!$M$5:$M$504,$O80)))</f>
        <v/>
      </c>
      <c r="H80" s="49">
        <f>IF($N80="","",$H79+N($E80)-N($F80)-N($G80))</f>
        <v/>
      </c>
      <c r="I80" s="56" t="n"/>
      <c r="J80" s="32">
        <f>$J79+IF($N79="増",1,0)</f>
        <v/>
      </c>
      <c r="K80" s="32">
        <f>$K79+IF($N79="減",1,0)</f>
        <v/>
      </c>
      <c r="L80" s="35">
        <f>IF($B$3="",1E+9,IFERROR(SMALL('仕入請求台帳'!$U$5:$U$504,$J80+1),1E+9))</f>
        <v/>
      </c>
      <c r="M80" s="35">
        <f>IF($B$3="",1E+9,IFERROR(SMALL('仕入請求台帳'!$V$5:$V$504,$K80+1),1E+9))</f>
        <v/>
      </c>
      <c r="N80" s="32">
        <f>IF(MIN($L80,$M80)&gt;=1E+9,"",IF($L80&lt;=$M80,"増","減"))</f>
        <v/>
      </c>
      <c r="O80" s="32">
        <f>IF($N80="","",IF($N80="増",MATCH($L80,'仕入請求台帳'!$U$5:$U$504,0),MATCH($M80,'仕入請求台帳'!$V$5:$V$504,0)))</f>
        <v/>
      </c>
      <c r="P80" s="56" t="n"/>
      <c r="Q80" s="56" t="n"/>
    </row>
    <row r="81" ht="18" customHeight="1">
      <c r="A81" s="45">
        <f>IF($N81="","",IF($N81="増",INDEX('仕入請求台帳'!$S$5:$S$504,$O81),INDEX('仕入請求台帳'!$K$5:$K$504,$O81)))</f>
        <v/>
      </c>
      <c r="B81" s="46">
        <f>IF($N81="","",IF($N81="増","仕入","支払"))</f>
        <v/>
      </c>
      <c r="C81" s="46">
        <f>IF($N81="","",IF($N81="増",INDEX('仕入請求台帳'!$E$5:$E$504,$O81)&amp;"",INDEX('仕入請求台帳'!$E$5:$E$504,$O81)&amp;""))</f>
        <v/>
      </c>
      <c r="D81" s="47">
        <f>IF($N81="","",IF($N81="増",INDEX('仕入請求台帳'!$F$5:$F$504,$O81)&amp;"","支払"))</f>
        <v/>
      </c>
      <c r="E81" s="48">
        <f>IF($N81&lt;&gt;"増","",INDEX('仕入請求台帳'!$G$5:$G$504,$O81))</f>
        <v/>
      </c>
      <c r="F81" s="48">
        <f>IF($N81&lt;&gt;"減","",N(INDEX('仕入請求台帳'!$L$5:$L$504,$O81)))</f>
        <v/>
      </c>
      <c r="G81" s="48">
        <f>IF($N81&lt;&gt;"減","",N(INDEX('仕入請求台帳'!$M$5:$M$504,$O81)))</f>
        <v/>
      </c>
      <c r="H81" s="49">
        <f>IF($N81="","",$H80+N($E81)-N($F81)-N($G81))</f>
        <v/>
      </c>
      <c r="I81" s="56" t="n"/>
      <c r="J81" s="32">
        <f>$J80+IF($N80="増",1,0)</f>
        <v/>
      </c>
      <c r="K81" s="32">
        <f>$K80+IF($N80="減",1,0)</f>
        <v/>
      </c>
      <c r="L81" s="35">
        <f>IF($B$3="",1E+9,IFERROR(SMALL('仕入請求台帳'!$U$5:$U$504,$J81+1),1E+9))</f>
        <v/>
      </c>
      <c r="M81" s="35">
        <f>IF($B$3="",1E+9,IFERROR(SMALL('仕入請求台帳'!$V$5:$V$504,$K81+1),1E+9))</f>
        <v/>
      </c>
      <c r="N81" s="32">
        <f>IF(MIN($L81,$M81)&gt;=1E+9,"",IF($L81&lt;=$M81,"増","減"))</f>
        <v/>
      </c>
      <c r="O81" s="32">
        <f>IF($N81="","",IF($N81="増",MATCH($L81,'仕入請求台帳'!$U$5:$U$504,0),MATCH($M81,'仕入請求台帳'!$V$5:$V$504,0)))</f>
        <v/>
      </c>
      <c r="P81" s="56" t="n"/>
      <c r="Q81" s="56" t="n"/>
    </row>
    <row r="82" ht="18" customHeight="1">
      <c r="A82" s="45">
        <f>IF($N82="","",IF($N82="増",INDEX('仕入請求台帳'!$S$5:$S$504,$O82),INDEX('仕入請求台帳'!$K$5:$K$504,$O82)))</f>
        <v/>
      </c>
      <c r="B82" s="46">
        <f>IF($N82="","",IF($N82="増","仕入","支払"))</f>
        <v/>
      </c>
      <c r="C82" s="46">
        <f>IF($N82="","",IF($N82="増",INDEX('仕入請求台帳'!$E$5:$E$504,$O82)&amp;"",INDEX('仕入請求台帳'!$E$5:$E$504,$O82)&amp;""))</f>
        <v/>
      </c>
      <c r="D82" s="47">
        <f>IF($N82="","",IF($N82="増",INDEX('仕入請求台帳'!$F$5:$F$504,$O82)&amp;"","支払"))</f>
        <v/>
      </c>
      <c r="E82" s="48">
        <f>IF($N82&lt;&gt;"増","",INDEX('仕入請求台帳'!$G$5:$G$504,$O82))</f>
        <v/>
      </c>
      <c r="F82" s="48">
        <f>IF($N82&lt;&gt;"減","",N(INDEX('仕入請求台帳'!$L$5:$L$504,$O82)))</f>
        <v/>
      </c>
      <c r="G82" s="48">
        <f>IF($N82&lt;&gt;"減","",N(INDEX('仕入請求台帳'!$M$5:$M$504,$O82)))</f>
        <v/>
      </c>
      <c r="H82" s="49">
        <f>IF($N82="","",$H81+N($E82)-N($F82)-N($G82))</f>
        <v/>
      </c>
      <c r="I82" s="56" t="n"/>
      <c r="J82" s="32">
        <f>$J81+IF($N81="増",1,0)</f>
        <v/>
      </c>
      <c r="K82" s="32">
        <f>$K81+IF($N81="減",1,0)</f>
        <v/>
      </c>
      <c r="L82" s="35">
        <f>IF($B$3="",1E+9,IFERROR(SMALL('仕入請求台帳'!$U$5:$U$504,$J82+1),1E+9))</f>
        <v/>
      </c>
      <c r="M82" s="35">
        <f>IF($B$3="",1E+9,IFERROR(SMALL('仕入請求台帳'!$V$5:$V$504,$K82+1),1E+9))</f>
        <v/>
      </c>
      <c r="N82" s="32">
        <f>IF(MIN($L82,$M82)&gt;=1E+9,"",IF($L82&lt;=$M82,"増","減"))</f>
        <v/>
      </c>
      <c r="O82" s="32">
        <f>IF($N82="","",IF($N82="増",MATCH($L82,'仕入請求台帳'!$U$5:$U$504,0),MATCH($M82,'仕入請求台帳'!$V$5:$V$504,0)))</f>
        <v/>
      </c>
      <c r="P82" s="56" t="n"/>
      <c r="Q82" s="56" t="n"/>
    </row>
    <row r="83" ht="18" customHeight="1">
      <c r="A83" s="45">
        <f>IF($N83="","",IF($N83="増",INDEX('仕入請求台帳'!$S$5:$S$504,$O83),INDEX('仕入請求台帳'!$K$5:$K$504,$O83)))</f>
        <v/>
      </c>
      <c r="B83" s="46">
        <f>IF($N83="","",IF($N83="増","仕入","支払"))</f>
        <v/>
      </c>
      <c r="C83" s="46">
        <f>IF($N83="","",IF($N83="増",INDEX('仕入請求台帳'!$E$5:$E$504,$O83)&amp;"",INDEX('仕入請求台帳'!$E$5:$E$504,$O83)&amp;""))</f>
        <v/>
      </c>
      <c r="D83" s="47">
        <f>IF($N83="","",IF($N83="増",INDEX('仕入請求台帳'!$F$5:$F$504,$O83)&amp;"","支払"))</f>
        <v/>
      </c>
      <c r="E83" s="48">
        <f>IF($N83&lt;&gt;"増","",INDEX('仕入請求台帳'!$G$5:$G$504,$O83))</f>
        <v/>
      </c>
      <c r="F83" s="48">
        <f>IF($N83&lt;&gt;"減","",N(INDEX('仕入請求台帳'!$L$5:$L$504,$O83)))</f>
        <v/>
      </c>
      <c r="G83" s="48">
        <f>IF($N83&lt;&gt;"減","",N(INDEX('仕入請求台帳'!$M$5:$M$504,$O83)))</f>
        <v/>
      </c>
      <c r="H83" s="49">
        <f>IF($N83="","",$H82+N($E83)-N($F83)-N($G83))</f>
        <v/>
      </c>
      <c r="I83" s="56" t="n"/>
      <c r="J83" s="32">
        <f>$J82+IF($N82="増",1,0)</f>
        <v/>
      </c>
      <c r="K83" s="32">
        <f>$K82+IF($N82="減",1,0)</f>
        <v/>
      </c>
      <c r="L83" s="35">
        <f>IF($B$3="",1E+9,IFERROR(SMALL('仕入請求台帳'!$U$5:$U$504,$J83+1),1E+9))</f>
        <v/>
      </c>
      <c r="M83" s="35">
        <f>IF($B$3="",1E+9,IFERROR(SMALL('仕入請求台帳'!$V$5:$V$504,$K83+1),1E+9))</f>
        <v/>
      </c>
      <c r="N83" s="32">
        <f>IF(MIN($L83,$M83)&gt;=1E+9,"",IF($L83&lt;=$M83,"増","減"))</f>
        <v/>
      </c>
      <c r="O83" s="32">
        <f>IF($N83="","",IF($N83="増",MATCH($L83,'仕入請求台帳'!$U$5:$U$504,0),MATCH($M83,'仕入請求台帳'!$V$5:$V$504,0)))</f>
        <v/>
      </c>
      <c r="P83" s="56" t="n"/>
      <c r="Q83" s="56" t="n"/>
    </row>
    <row r="84" ht="18" customHeight="1">
      <c r="A84" s="45">
        <f>IF($N84="","",IF($N84="増",INDEX('仕入請求台帳'!$S$5:$S$504,$O84),INDEX('仕入請求台帳'!$K$5:$K$504,$O84)))</f>
        <v/>
      </c>
      <c r="B84" s="46">
        <f>IF($N84="","",IF($N84="増","仕入","支払"))</f>
        <v/>
      </c>
      <c r="C84" s="46">
        <f>IF($N84="","",IF($N84="増",INDEX('仕入請求台帳'!$E$5:$E$504,$O84)&amp;"",INDEX('仕入請求台帳'!$E$5:$E$504,$O84)&amp;""))</f>
        <v/>
      </c>
      <c r="D84" s="47">
        <f>IF($N84="","",IF($N84="増",INDEX('仕入請求台帳'!$F$5:$F$504,$O84)&amp;"","支払"))</f>
        <v/>
      </c>
      <c r="E84" s="48">
        <f>IF($N84&lt;&gt;"増","",INDEX('仕入請求台帳'!$G$5:$G$504,$O84))</f>
        <v/>
      </c>
      <c r="F84" s="48">
        <f>IF($N84&lt;&gt;"減","",N(INDEX('仕入請求台帳'!$L$5:$L$504,$O84)))</f>
        <v/>
      </c>
      <c r="G84" s="48">
        <f>IF($N84&lt;&gt;"減","",N(INDEX('仕入請求台帳'!$M$5:$M$504,$O84)))</f>
        <v/>
      </c>
      <c r="H84" s="49">
        <f>IF($N84="","",$H83+N($E84)-N($F84)-N($G84))</f>
        <v/>
      </c>
      <c r="I84" s="56" t="n"/>
      <c r="J84" s="32">
        <f>$J83+IF($N83="増",1,0)</f>
        <v/>
      </c>
      <c r="K84" s="32">
        <f>$K83+IF($N83="減",1,0)</f>
        <v/>
      </c>
      <c r="L84" s="35">
        <f>IF($B$3="",1E+9,IFERROR(SMALL('仕入請求台帳'!$U$5:$U$504,$J84+1),1E+9))</f>
        <v/>
      </c>
      <c r="M84" s="35">
        <f>IF($B$3="",1E+9,IFERROR(SMALL('仕入請求台帳'!$V$5:$V$504,$K84+1),1E+9))</f>
        <v/>
      </c>
      <c r="N84" s="32">
        <f>IF(MIN($L84,$M84)&gt;=1E+9,"",IF($L84&lt;=$M84,"増","減"))</f>
        <v/>
      </c>
      <c r="O84" s="32">
        <f>IF($N84="","",IF($N84="増",MATCH($L84,'仕入請求台帳'!$U$5:$U$504,0),MATCH($M84,'仕入請求台帳'!$V$5:$V$504,0)))</f>
        <v/>
      </c>
      <c r="P84" s="56" t="n"/>
      <c r="Q84" s="56" t="n"/>
    </row>
    <row r="85" ht="18" customHeight="1">
      <c r="A85" s="45">
        <f>IF($N85="","",IF($N85="増",INDEX('仕入請求台帳'!$S$5:$S$504,$O85),INDEX('仕入請求台帳'!$K$5:$K$504,$O85)))</f>
        <v/>
      </c>
      <c r="B85" s="46">
        <f>IF($N85="","",IF($N85="増","仕入","支払"))</f>
        <v/>
      </c>
      <c r="C85" s="46">
        <f>IF($N85="","",IF($N85="増",INDEX('仕入請求台帳'!$E$5:$E$504,$O85)&amp;"",INDEX('仕入請求台帳'!$E$5:$E$504,$O85)&amp;""))</f>
        <v/>
      </c>
      <c r="D85" s="47">
        <f>IF($N85="","",IF($N85="増",INDEX('仕入請求台帳'!$F$5:$F$504,$O85)&amp;"","支払"))</f>
        <v/>
      </c>
      <c r="E85" s="48">
        <f>IF($N85&lt;&gt;"増","",INDEX('仕入請求台帳'!$G$5:$G$504,$O85))</f>
        <v/>
      </c>
      <c r="F85" s="48">
        <f>IF($N85&lt;&gt;"減","",N(INDEX('仕入請求台帳'!$L$5:$L$504,$O85)))</f>
        <v/>
      </c>
      <c r="G85" s="48">
        <f>IF($N85&lt;&gt;"減","",N(INDEX('仕入請求台帳'!$M$5:$M$504,$O85)))</f>
        <v/>
      </c>
      <c r="H85" s="49">
        <f>IF($N85="","",$H84+N($E85)-N($F85)-N($G85))</f>
        <v/>
      </c>
      <c r="I85" s="56" t="n"/>
      <c r="J85" s="32">
        <f>$J84+IF($N84="増",1,0)</f>
        <v/>
      </c>
      <c r="K85" s="32">
        <f>$K84+IF($N84="減",1,0)</f>
        <v/>
      </c>
      <c r="L85" s="35">
        <f>IF($B$3="",1E+9,IFERROR(SMALL('仕入請求台帳'!$U$5:$U$504,$J85+1),1E+9))</f>
        <v/>
      </c>
      <c r="M85" s="35">
        <f>IF($B$3="",1E+9,IFERROR(SMALL('仕入請求台帳'!$V$5:$V$504,$K85+1),1E+9))</f>
        <v/>
      </c>
      <c r="N85" s="32">
        <f>IF(MIN($L85,$M85)&gt;=1E+9,"",IF($L85&lt;=$M85,"増","減"))</f>
        <v/>
      </c>
      <c r="O85" s="32">
        <f>IF($N85="","",IF($N85="増",MATCH($L85,'仕入請求台帳'!$U$5:$U$504,0),MATCH($M85,'仕入請求台帳'!$V$5:$V$504,0)))</f>
        <v/>
      </c>
      <c r="P85" s="56" t="n"/>
      <c r="Q85" s="56" t="n"/>
    </row>
    <row r="86" ht="18" customHeight="1">
      <c r="A86" s="45">
        <f>IF($N86="","",IF($N86="増",INDEX('仕入請求台帳'!$S$5:$S$504,$O86),INDEX('仕入請求台帳'!$K$5:$K$504,$O86)))</f>
        <v/>
      </c>
      <c r="B86" s="46">
        <f>IF($N86="","",IF($N86="増","仕入","支払"))</f>
        <v/>
      </c>
      <c r="C86" s="46">
        <f>IF($N86="","",IF($N86="増",INDEX('仕入請求台帳'!$E$5:$E$504,$O86)&amp;"",INDEX('仕入請求台帳'!$E$5:$E$504,$O86)&amp;""))</f>
        <v/>
      </c>
      <c r="D86" s="47">
        <f>IF($N86="","",IF($N86="増",INDEX('仕入請求台帳'!$F$5:$F$504,$O86)&amp;"","支払"))</f>
        <v/>
      </c>
      <c r="E86" s="48">
        <f>IF($N86&lt;&gt;"増","",INDEX('仕入請求台帳'!$G$5:$G$504,$O86))</f>
        <v/>
      </c>
      <c r="F86" s="48">
        <f>IF($N86&lt;&gt;"減","",N(INDEX('仕入請求台帳'!$L$5:$L$504,$O86)))</f>
        <v/>
      </c>
      <c r="G86" s="48">
        <f>IF($N86&lt;&gt;"減","",N(INDEX('仕入請求台帳'!$M$5:$M$504,$O86)))</f>
        <v/>
      </c>
      <c r="H86" s="49">
        <f>IF($N86="","",$H85+N($E86)-N($F86)-N($G86))</f>
        <v/>
      </c>
      <c r="I86" s="56" t="n"/>
      <c r="J86" s="32">
        <f>$J85+IF($N85="増",1,0)</f>
        <v/>
      </c>
      <c r="K86" s="32">
        <f>$K85+IF($N85="減",1,0)</f>
        <v/>
      </c>
      <c r="L86" s="35">
        <f>IF($B$3="",1E+9,IFERROR(SMALL('仕入請求台帳'!$U$5:$U$504,$J86+1),1E+9))</f>
        <v/>
      </c>
      <c r="M86" s="35">
        <f>IF($B$3="",1E+9,IFERROR(SMALL('仕入請求台帳'!$V$5:$V$504,$K86+1),1E+9))</f>
        <v/>
      </c>
      <c r="N86" s="32">
        <f>IF(MIN($L86,$M86)&gt;=1E+9,"",IF($L86&lt;=$M86,"増","減"))</f>
        <v/>
      </c>
      <c r="O86" s="32">
        <f>IF($N86="","",IF($N86="増",MATCH($L86,'仕入請求台帳'!$U$5:$U$504,0),MATCH($M86,'仕入請求台帳'!$V$5:$V$504,0)))</f>
        <v/>
      </c>
      <c r="P86" s="56" t="n"/>
      <c r="Q86" s="56" t="n"/>
    </row>
    <row r="87" ht="18" customHeight="1">
      <c r="A87" s="45">
        <f>IF($N87="","",IF($N87="増",INDEX('仕入請求台帳'!$S$5:$S$504,$O87),INDEX('仕入請求台帳'!$K$5:$K$504,$O87)))</f>
        <v/>
      </c>
      <c r="B87" s="46">
        <f>IF($N87="","",IF($N87="増","仕入","支払"))</f>
        <v/>
      </c>
      <c r="C87" s="46">
        <f>IF($N87="","",IF($N87="増",INDEX('仕入請求台帳'!$E$5:$E$504,$O87)&amp;"",INDEX('仕入請求台帳'!$E$5:$E$504,$O87)&amp;""))</f>
        <v/>
      </c>
      <c r="D87" s="47">
        <f>IF($N87="","",IF($N87="増",INDEX('仕入請求台帳'!$F$5:$F$504,$O87)&amp;"","支払"))</f>
        <v/>
      </c>
      <c r="E87" s="48">
        <f>IF($N87&lt;&gt;"増","",INDEX('仕入請求台帳'!$G$5:$G$504,$O87))</f>
        <v/>
      </c>
      <c r="F87" s="48">
        <f>IF($N87&lt;&gt;"減","",N(INDEX('仕入請求台帳'!$L$5:$L$504,$O87)))</f>
        <v/>
      </c>
      <c r="G87" s="48">
        <f>IF($N87&lt;&gt;"減","",N(INDEX('仕入請求台帳'!$M$5:$M$504,$O87)))</f>
        <v/>
      </c>
      <c r="H87" s="49">
        <f>IF($N87="","",$H86+N($E87)-N($F87)-N($G87))</f>
        <v/>
      </c>
      <c r="I87" s="56" t="n"/>
      <c r="J87" s="32">
        <f>$J86+IF($N86="増",1,0)</f>
        <v/>
      </c>
      <c r="K87" s="32">
        <f>$K86+IF($N86="減",1,0)</f>
        <v/>
      </c>
      <c r="L87" s="35">
        <f>IF($B$3="",1E+9,IFERROR(SMALL('仕入請求台帳'!$U$5:$U$504,$J87+1),1E+9))</f>
        <v/>
      </c>
      <c r="M87" s="35">
        <f>IF($B$3="",1E+9,IFERROR(SMALL('仕入請求台帳'!$V$5:$V$504,$K87+1),1E+9))</f>
        <v/>
      </c>
      <c r="N87" s="32">
        <f>IF(MIN($L87,$M87)&gt;=1E+9,"",IF($L87&lt;=$M87,"増","減"))</f>
        <v/>
      </c>
      <c r="O87" s="32">
        <f>IF($N87="","",IF($N87="増",MATCH($L87,'仕入請求台帳'!$U$5:$U$504,0),MATCH($M87,'仕入請求台帳'!$V$5:$V$504,0)))</f>
        <v/>
      </c>
      <c r="P87" s="56" t="n"/>
      <c r="Q87" s="56" t="n"/>
    </row>
    <row r="88" ht="18" customHeight="1">
      <c r="A88" s="45">
        <f>IF($N88="","",IF($N88="増",INDEX('仕入請求台帳'!$S$5:$S$504,$O88),INDEX('仕入請求台帳'!$K$5:$K$504,$O88)))</f>
        <v/>
      </c>
      <c r="B88" s="46">
        <f>IF($N88="","",IF($N88="増","仕入","支払"))</f>
        <v/>
      </c>
      <c r="C88" s="46">
        <f>IF($N88="","",IF($N88="増",INDEX('仕入請求台帳'!$E$5:$E$504,$O88)&amp;"",INDEX('仕入請求台帳'!$E$5:$E$504,$O88)&amp;""))</f>
        <v/>
      </c>
      <c r="D88" s="47">
        <f>IF($N88="","",IF($N88="増",INDEX('仕入請求台帳'!$F$5:$F$504,$O88)&amp;"","支払"))</f>
        <v/>
      </c>
      <c r="E88" s="48">
        <f>IF($N88&lt;&gt;"増","",INDEX('仕入請求台帳'!$G$5:$G$504,$O88))</f>
        <v/>
      </c>
      <c r="F88" s="48">
        <f>IF($N88&lt;&gt;"減","",N(INDEX('仕入請求台帳'!$L$5:$L$504,$O88)))</f>
        <v/>
      </c>
      <c r="G88" s="48">
        <f>IF($N88&lt;&gt;"減","",N(INDEX('仕入請求台帳'!$M$5:$M$504,$O88)))</f>
        <v/>
      </c>
      <c r="H88" s="49">
        <f>IF($N88="","",$H87+N($E88)-N($F88)-N($G88))</f>
        <v/>
      </c>
      <c r="I88" s="56" t="n"/>
      <c r="J88" s="32">
        <f>$J87+IF($N87="増",1,0)</f>
        <v/>
      </c>
      <c r="K88" s="32">
        <f>$K87+IF($N87="減",1,0)</f>
        <v/>
      </c>
      <c r="L88" s="35">
        <f>IF($B$3="",1E+9,IFERROR(SMALL('仕入請求台帳'!$U$5:$U$504,$J88+1),1E+9))</f>
        <v/>
      </c>
      <c r="M88" s="35">
        <f>IF($B$3="",1E+9,IFERROR(SMALL('仕入請求台帳'!$V$5:$V$504,$K88+1),1E+9))</f>
        <v/>
      </c>
      <c r="N88" s="32">
        <f>IF(MIN($L88,$M88)&gt;=1E+9,"",IF($L88&lt;=$M88,"増","減"))</f>
        <v/>
      </c>
      <c r="O88" s="32">
        <f>IF($N88="","",IF($N88="増",MATCH($L88,'仕入請求台帳'!$U$5:$U$504,0),MATCH($M88,'仕入請求台帳'!$V$5:$V$504,0)))</f>
        <v/>
      </c>
      <c r="P88" s="56" t="n"/>
      <c r="Q88" s="56" t="n"/>
    </row>
    <row r="89" ht="18" customHeight="1">
      <c r="A89" s="45">
        <f>IF($N89="","",IF($N89="増",INDEX('仕入請求台帳'!$S$5:$S$504,$O89),INDEX('仕入請求台帳'!$K$5:$K$504,$O89)))</f>
        <v/>
      </c>
      <c r="B89" s="46">
        <f>IF($N89="","",IF($N89="増","仕入","支払"))</f>
        <v/>
      </c>
      <c r="C89" s="46">
        <f>IF($N89="","",IF($N89="増",INDEX('仕入請求台帳'!$E$5:$E$504,$O89)&amp;"",INDEX('仕入請求台帳'!$E$5:$E$504,$O89)&amp;""))</f>
        <v/>
      </c>
      <c r="D89" s="47">
        <f>IF($N89="","",IF($N89="増",INDEX('仕入請求台帳'!$F$5:$F$504,$O89)&amp;"","支払"))</f>
        <v/>
      </c>
      <c r="E89" s="48">
        <f>IF($N89&lt;&gt;"増","",INDEX('仕入請求台帳'!$G$5:$G$504,$O89))</f>
        <v/>
      </c>
      <c r="F89" s="48">
        <f>IF($N89&lt;&gt;"減","",N(INDEX('仕入請求台帳'!$L$5:$L$504,$O89)))</f>
        <v/>
      </c>
      <c r="G89" s="48">
        <f>IF($N89&lt;&gt;"減","",N(INDEX('仕入請求台帳'!$M$5:$M$504,$O89)))</f>
        <v/>
      </c>
      <c r="H89" s="49">
        <f>IF($N89="","",$H88+N($E89)-N($F89)-N($G89))</f>
        <v/>
      </c>
      <c r="I89" s="56" t="n"/>
      <c r="J89" s="32">
        <f>$J88+IF($N88="増",1,0)</f>
        <v/>
      </c>
      <c r="K89" s="32">
        <f>$K88+IF($N88="減",1,0)</f>
        <v/>
      </c>
      <c r="L89" s="35">
        <f>IF($B$3="",1E+9,IFERROR(SMALL('仕入請求台帳'!$U$5:$U$504,$J89+1),1E+9))</f>
        <v/>
      </c>
      <c r="M89" s="35">
        <f>IF($B$3="",1E+9,IFERROR(SMALL('仕入請求台帳'!$V$5:$V$504,$K89+1),1E+9))</f>
        <v/>
      </c>
      <c r="N89" s="32">
        <f>IF(MIN($L89,$M89)&gt;=1E+9,"",IF($L89&lt;=$M89,"増","減"))</f>
        <v/>
      </c>
      <c r="O89" s="32">
        <f>IF($N89="","",IF($N89="増",MATCH($L89,'仕入請求台帳'!$U$5:$U$504,0),MATCH($M89,'仕入請求台帳'!$V$5:$V$504,0)))</f>
        <v/>
      </c>
      <c r="P89" s="56" t="n"/>
      <c r="Q89" s="56" t="n"/>
    </row>
    <row r="90" ht="18" customHeight="1">
      <c r="A90" s="45">
        <f>IF($N90="","",IF($N90="増",INDEX('仕入請求台帳'!$S$5:$S$504,$O90),INDEX('仕入請求台帳'!$K$5:$K$504,$O90)))</f>
        <v/>
      </c>
      <c r="B90" s="46">
        <f>IF($N90="","",IF($N90="増","仕入","支払"))</f>
        <v/>
      </c>
      <c r="C90" s="46">
        <f>IF($N90="","",IF($N90="増",INDEX('仕入請求台帳'!$E$5:$E$504,$O90)&amp;"",INDEX('仕入請求台帳'!$E$5:$E$504,$O90)&amp;""))</f>
        <v/>
      </c>
      <c r="D90" s="47">
        <f>IF($N90="","",IF($N90="増",INDEX('仕入請求台帳'!$F$5:$F$504,$O90)&amp;"","支払"))</f>
        <v/>
      </c>
      <c r="E90" s="48">
        <f>IF($N90&lt;&gt;"増","",INDEX('仕入請求台帳'!$G$5:$G$504,$O90))</f>
        <v/>
      </c>
      <c r="F90" s="48">
        <f>IF($N90&lt;&gt;"減","",N(INDEX('仕入請求台帳'!$L$5:$L$504,$O90)))</f>
        <v/>
      </c>
      <c r="G90" s="48">
        <f>IF($N90&lt;&gt;"減","",N(INDEX('仕入請求台帳'!$M$5:$M$504,$O90)))</f>
        <v/>
      </c>
      <c r="H90" s="49">
        <f>IF($N90="","",$H89+N($E90)-N($F90)-N($G90))</f>
        <v/>
      </c>
      <c r="I90" s="56" t="n"/>
      <c r="J90" s="32">
        <f>$J89+IF($N89="増",1,0)</f>
        <v/>
      </c>
      <c r="K90" s="32">
        <f>$K89+IF($N89="減",1,0)</f>
        <v/>
      </c>
      <c r="L90" s="35">
        <f>IF($B$3="",1E+9,IFERROR(SMALL('仕入請求台帳'!$U$5:$U$504,$J90+1),1E+9))</f>
        <v/>
      </c>
      <c r="M90" s="35">
        <f>IF($B$3="",1E+9,IFERROR(SMALL('仕入請求台帳'!$V$5:$V$504,$K90+1),1E+9))</f>
        <v/>
      </c>
      <c r="N90" s="32">
        <f>IF(MIN($L90,$M90)&gt;=1E+9,"",IF($L90&lt;=$M90,"増","減"))</f>
        <v/>
      </c>
      <c r="O90" s="32">
        <f>IF($N90="","",IF($N90="増",MATCH($L90,'仕入請求台帳'!$U$5:$U$504,0),MATCH($M90,'仕入請求台帳'!$V$5:$V$504,0)))</f>
        <v/>
      </c>
      <c r="P90" s="56" t="n"/>
      <c r="Q90" s="56" t="n"/>
    </row>
    <row r="91" ht="18" customHeight="1">
      <c r="A91" s="45">
        <f>IF($N91="","",IF($N91="増",INDEX('仕入請求台帳'!$S$5:$S$504,$O91),INDEX('仕入請求台帳'!$K$5:$K$504,$O91)))</f>
        <v/>
      </c>
      <c r="B91" s="46">
        <f>IF($N91="","",IF($N91="増","仕入","支払"))</f>
        <v/>
      </c>
      <c r="C91" s="46">
        <f>IF($N91="","",IF($N91="増",INDEX('仕入請求台帳'!$E$5:$E$504,$O91)&amp;"",INDEX('仕入請求台帳'!$E$5:$E$504,$O91)&amp;""))</f>
        <v/>
      </c>
      <c r="D91" s="47">
        <f>IF($N91="","",IF($N91="増",INDEX('仕入請求台帳'!$F$5:$F$504,$O91)&amp;"","支払"))</f>
        <v/>
      </c>
      <c r="E91" s="48">
        <f>IF($N91&lt;&gt;"増","",INDEX('仕入請求台帳'!$G$5:$G$504,$O91))</f>
        <v/>
      </c>
      <c r="F91" s="48">
        <f>IF($N91&lt;&gt;"減","",N(INDEX('仕入請求台帳'!$L$5:$L$504,$O91)))</f>
        <v/>
      </c>
      <c r="G91" s="48">
        <f>IF($N91&lt;&gt;"減","",N(INDEX('仕入請求台帳'!$M$5:$M$504,$O91)))</f>
        <v/>
      </c>
      <c r="H91" s="49">
        <f>IF($N91="","",$H90+N($E91)-N($F91)-N($G91))</f>
        <v/>
      </c>
      <c r="I91" s="56" t="n"/>
      <c r="J91" s="32">
        <f>$J90+IF($N90="増",1,0)</f>
        <v/>
      </c>
      <c r="K91" s="32">
        <f>$K90+IF($N90="減",1,0)</f>
        <v/>
      </c>
      <c r="L91" s="35">
        <f>IF($B$3="",1E+9,IFERROR(SMALL('仕入請求台帳'!$U$5:$U$504,$J91+1),1E+9))</f>
        <v/>
      </c>
      <c r="M91" s="35">
        <f>IF($B$3="",1E+9,IFERROR(SMALL('仕入請求台帳'!$V$5:$V$504,$K91+1),1E+9))</f>
        <v/>
      </c>
      <c r="N91" s="32">
        <f>IF(MIN($L91,$M91)&gt;=1E+9,"",IF($L91&lt;=$M91,"増","減"))</f>
        <v/>
      </c>
      <c r="O91" s="32">
        <f>IF($N91="","",IF($N91="増",MATCH($L91,'仕入請求台帳'!$U$5:$U$504,0),MATCH($M91,'仕入請求台帳'!$V$5:$V$504,0)))</f>
        <v/>
      </c>
      <c r="P91" s="56" t="n"/>
      <c r="Q91" s="56" t="n"/>
    </row>
    <row r="92" ht="18" customHeight="1">
      <c r="A92" s="45">
        <f>IF($N92="","",IF($N92="増",INDEX('仕入請求台帳'!$S$5:$S$504,$O92),INDEX('仕入請求台帳'!$K$5:$K$504,$O92)))</f>
        <v/>
      </c>
      <c r="B92" s="46">
        <f>IF($N92="","",IF($N92="増","仕入","支払"))</f>
        <v/>
      </c>
      <c r="C92" s="46">
        <f>IF($N92="","",IF($N92="増",INDEX('仕入請求台帳'!$E$5:$E$504,$O92)&amp;"",INDEX('仕入請求台帳'!$E$5:$E$504,$O92)&amp;""))</f>
        <v/>
      </c>
      <c r="D92" s="47">
        <f>IF($N92="","",IF($N92="増",INDEX('仕入請求台帳'!$F$5:$F$504,$O92)&amp;"","支払"))</f>
        <v/>
      </c>
      <c r="E92" s="48">
        <f>IF($N92&lt;&gt;"増","",INDEX('仕入請求台帳'!$G$5:$G$504,$O92))</f>
        <v/>
      </c>
      <c r="F92" s="48">
        <f>IF($N92&lt;&gt;"減","",N(INDEX('仕入請求台帳'!$L$5:$L$504,$O92)))</f>
        <v/>
      </c>
      <c r="G92" s="48">
        <f>IF($N92&lt;&gt;"減","",N(INDEX('仕入請求台帳'!$M$5:$M$504,$O92)))</f>
        <v/>
      </c>
      <c r="H92" s="49">
        <f>IF($N92="","",$H91+N($E92)-N($F92)-N($G92))</f>
        <v/>
      </c>
      <c r="I92" s="56" t="n"/>
      <c r="J92" s="32">
        <f>$J91+IF($N91="増",1,0)</f>
        <v/>
      </c>
      <c r="K92" s="32">
        <f>$K91+IF($N91="減",1,0)</f>
        <v/>
      </c>
      <c r="L92" s="35">
        <f>IF($B$3="",1E+9,IFERROR(SMALL('仕入請求台帳'!$U$5:$U$504,$J92+1),1E+9))</f>
        <v/>
      </c>
      <c r="M92" s="35">
        <f>IF($B$3="",1E+9,IFERROR(SMALL('仕入請求台帳'!$V$5:$V$504,$K92+1),1E+9))</f>
        <v/>
      </c>
      <c r="N92" s="32">
        <f>IF(MIN($L92,$M92)&gt;=1E+9,"",IF($L92&lt;=$M92,"増","減"))</f>
        <v/>
      </c>
      <c r="O92" s="32">
        <f>IF($N92="","",IF($N92="増",MATCH($L92,'仕入請求台帳'!$U$5:$U$504,0),MATCH($M92,'仕入請求台帳'!$V$5:$V$504,0)))</f>
        <v/>
      </c>
      <c r="P92" s="56" t="n"/>
      <c r="Q92" s="56" t="n"/>
    </row>
    <row r="93" ht="18" customHeight="1">
      <c r="A93" s="45">
        <f>IF($N93="","",IF($N93="増",INDEX('仕入請求台帳'!$S$5:$S$504,$O93),INDEX('仕入請求台帳'!$K$5:$K$504,$O93)))</f>
        <v/>
      </c>
      <c r="B93" s="46">
        <f>IF($N93="","",IF($N93="増","仕入","支払"))</f>
        <v/>
      </c>
      <c r="C93" s="46">
        <f>IF($N93="","",IF($N93="増",INDEX('仕入請求台帳'!$E$5:$E$504,$O93)&amp;"",INDEX('仕入請求台帳'!$E$5:$E$504,$O93)&amp;""))</f>
        <v/>
      </c>
      <c r="D93" s="47">
        <f>IF($N93="","",IF($N93="増",INDEX('仕入請求台帳'!$F$5:$F$504,$O93)&amp;"","支払"))</f>
        <v/>
      </c>
      <c r="E93" s="48">
        <f>IF($N93&lt;&gt;"増","",INDEX('仕入請求台帳'!$G$5:$G$504,$O93))</f>
        <v/>
      </c>
      <c r="F93" s="48">
        <f>IF($N93&lt;&gt;"減","",N(INDEX('仕入請求台帳'!$L$5:$L$504,$O93)))</f>
        <v/>
      </c>
      <c r="G93" s="48">
        <f>IF($N93&lt;&gt;"減","",N(INDEX('仕入請求台帳'!$M$5:$M$504,$O93)))</f>
        <v/>
      </c>
      <c r="H93" s="49">
        <f>IF($N93="","",$H92+N($E93)-N($F93)-N($G93))</f>
        <v/>
      </c>
      <c r="I93" s="56" t="n"/>
      <c r="J93" s="32">
        <f>$J92+IF($N92="増",1,0)</f>
        <v/>
      </c>
      <c r="K93" s="32">
        <f>$K92+IF($N92="減",1,0)</f>
        <v/>
      </c>
      <c r="L93" s="35">
        <f>IF($B$3="",1E+9,IFERROR(SMALL('仕入請求台帳'!$U$5:$U$504,$J93+1),1E+9))</f>
        <v/>
      </c>
      <c r="M93" s="35">
        <f>IF($B$3="",1E+9,IFERROR(SMALL('仕入請求台帳'!$V$5:$V$504,$K93+1),1E+9))</f>
        <v/>
      </c>
      <c r="N93" s="32">
        <f>IF(MIN($L93,$M93)&gt;=1E+9,"",IF($L93&lt;=$M93,"増","減"))</f>
        <v/>
      </c>
      <c r="O93" s="32">
        <f>IF($N93="","",IF($N93="増",MATCH($L93,'仕入請求台帳'!$U$5:$U$504,0),MATCH($M93,'仕入請求台帳'!$V$5:$V$504,0)))</f>
        <v/>
      </c>
      <c r="P93" s="56" t="n"/>
      <c r="Q93" s="56" t="n"/>
    </row>
    <row r="94" ht="18" customHeight="1">
      <c r="A94" s="45">
        <f>IF($N94="","",IF($N94="増",INDEX('仕入請求台帳'!$S$5:$S$504,$O94),INDEX('仕入請求台帳'!$K$5:$K$504,$O94)))</f>
        <v/>
      </c>
      <c r="B94" s="46">
        <f>IF($N94="","",IF($N94="増","仕入","支払"))</f>
        <v/>
      </c>
      <c r="C94" s="46">
        <f>IF($N94="","",IF($N94="増",INDEX('仕入請求台帳'!$E$5:$E$504,$O94)&amp;"",INDEX('仕入請求台帳'!$E$5:$E$504,$O94)&amp;""))</f>
        <v/>
      </c>
      <c r="D94" s="47">
        <f>IF($N94="","",IF($N94="増",INDEX('仕入請求台帳'!$F$5:$F$504,$O94)&amp;"","支払"))</f>
        <v/>
      </c>
      <c r="E94" s="48">
        <f>IF($N94&lt;&gt;"増","",INDEX('仕入請求台帳'!$G$5:$G$504,$O94))</f>
        <v/>
      </c>
      <c r="F94" s="48">
        <f>IF($N94&lt;&gt;"減","",N(INDEX('仕入請求台帳'!$L$5:$L$504,$O94)))</f>
        <v/>
      </c>
      <c r="G94" s="48">
        <f>IF($N94&lt;&gt;"減","",N(INDEX('仕入請求台帳'!$M$5:$M$504,$O94)))</f>
        <v/>
      </c>
      <c r="H94" s="49">
        <f>IF($N94="","",$H93+N($E94)-N($F94)-N($G94))</f>
        <v/>
      </c>
      <c r="I94" s="56" t="n"/>
      <c r="J94" s="32">
        <f>$J93+IF($N93="増",1,0)</f>
        <v/>
      </c>
      <c r="K94" s="32">
        <f>$K93+IF($N93="減",1,0)</f>
        <v/>
      </c>
      <c r="L94" s="35">
        <f>IF($B$3="",1E+9,IFERROR(SMALL('仕入請求台帳'!$U$5:$U$504,$J94+1),1E+9))</f>
        <v/>
      </c>
      <c r="M94" s="35">
        <f>IF($B$3="",1E+9,IFERROR(SMALL('仕入請求台帳'!$V$5:$V$504,$K94+1),1E+9))</f>
        <v/>
      </c>
      <c r="N94" s="32">
        <f>IF(MIN($L94,$M94)&gt;=1E+9,"",IF($L94&lt;=$M94,"増","減"))</f>
        <v/>
      </c>
      <c r="O94" s="32">
        <f>IF($N94="","",IF($N94="増",MATCH($L94,'仕入請求台帳'!$U$5:$U$504,0),MATCH($M94,'仕入請求台帳'!$V$5:$V$504,0)))</f>
        <v/>
      </c>
      <c r="P94" s="56" t="n"/>
      <c r="Q94" s="56" t="n"/>
    </row>
    <row r="95" ht="18" customHeight="1">
      <c r="A95" s="45">
        <f>IF($N95="","",IF($N95="増",INDEX('仕入請求台帳'!$S$5:$S$504,$O95),INDEX('仕入請求台帳'!$K$5:$K$504,$O95)))</f>
        <v/>
      </c>
      <c r="B95" s="46">
        <f>IF($N95="","",IF($N95="増","仕入","支払"))</f>
        <v/>
      </c>
      <c r="C95" s="46">
        <f>IF($N95="","",IF($N95="増",INDEX('仕入請求台帳'!$E$5:$E$504,$O95)&amp;"",INDEX('仕入請求台帳'!$E$5:$E$504,$O95)&amp;""))</f>
        <v/>
      </c>
      <c r="D95" s="47">
        <f>IF($N95="","",IF($N95="増",INDEX('仕入請求台帳'!$F$5:$F$504,$O95)&amp;"","支払"))</f>
        <v/>
      </c>
      <c r="E95" s="48">
        <f>IF($N95&lt;&gt;"増","",INDEX('仕入請求台帳'!$G$5:$G$504,$O95))</f>
        <v/>
      </c>
      <c r="F95" s="48">
        <f>IF($N95&lt;&gt;"減","",N(INDEX('仕入請求台帳'!$L$5:$L$504,$O95)))</f>
        <v/>
      </c>
      <c r="G95" s="48">
        <f>IF($N95&lt;&gt;"減","",N(INDEX('仕入請求台帳'!$M$5:$M$504,$O95)))</f>
        <v/>
      </c>
      <c r="H95" s="49">
        <f>IF($N95="","",$H94+N($E95)-N($F95)-N($G95))</f>
        <v/>
      </c>
      <c r="I95" s="56" t="n"/>
      <c r="J95" s="32">
        <f>$J94+IF($N94="増",1,0)</f>
        <v/>
      </c>
      <c r="K95" s="32">
        <f>$K94+IF($N94="減",1,0)</f>
        <v/>
      </c>
      <c r="L95" s="35">
        <f>IF($B$3="",1E+9,IFERROR(SMALL('仕入請求台帳'!$U$5:$U$504,$J95+1),1E+9))</f>
        <v/>
      </c>
      <c r="M95" s="35">
        <f>IF($B$3="",1E+9,IFERROR(SMALL('仕入請求台帳'!$V$5:$V$504,$K95+1),1E+9))</f>
        <v/>
      </c>
      <c r="N95" s="32">
        <f>IF(MIN($L95,$M95)&gt;=1E+9,"",IF($L95&lt;=$M95,"増","減"))</f>
        <v/>
      </c>
      <c r="O95" s="32">
        <f>IF($N95="","",IF($N95="増",MATCH($L95,'仕入請求台帳'!$U$5:$U$504,0),MATCH($M95,'仕入請求台帳'!$V$5:$V$504,0)))</f>
        <v/>
      </c>
      <c r="P95" s="56" t="n"/>
      <c r="Q95" s="56" t="n"/>
    </row>
    <row r="96" ht="18" customHeight="1">
      <c r="A96" s="45">
        <f>IF($N96="","",IF($N96="増",INDEX('仕入請求台帳'!$S$5:$S$504,$O96),INDEX('仕入請求台帳'!$K$5:$K$504,$O96)))</f>
        <v/>
      </c>
      <c r="B96" s="46">
        <f>IF($N96="","",IF($N96="増","仕入","支払"))</f>
        <v/>
      </c>
      <c r="C96" s="46">
        <f>IF($N96="","",IF($N96="増",INDEX('仕入請求台帳'!$E$5:$E$504,$O96)&amp;"",INDEX('仕入請求台帳'!$E$5:$E$504,$O96)&amp;""))</f>
        <v/>
      </c>
      <c r="D96" s="47">
        <f>IF($N96="","",IF($N96="増",INDEX('仕入請求台帳'!$F$5:$F$504,$O96)&amp;"","支払"))</f>
        <v/>
      </c>
      <c r="E96" s="48">
        <f>IF($N96&lt;&gt;"増","",INDEX('仕入請求台帳'!$G$5:$G$504,$O96))</f>
        <v/>
      </c>
      <c r="F96" s="48">
        <f>IF($N96&lt;&gt;"減","",N(INDEX('仕入請求台帳'!$L$5:$L$504,$O96)))</f>
        <v/>
      </c>
      <c r="G96" s="48">
        <f>IF($N96&lt;&gt;"減","",N(INDEX('仕入請求台帳'!$M$5:$M$504,$O96)))</f>
        <v/>
      </c>
      <c r="H96" s="49">
        <f>IF($N96="","",$H95+N($E96)-N($F96)-N($G96))</f>
        <v/>
      </c>
      <c r="I96" s="56" t="n"/>
      <c r="J96" s="32">
        <f>$J95+IF($N95="増",1,0)</f>
        <v/>
      </c>
      <c r="K96" s="32">
        <f>$K95+IF($N95="減",1,0)</f>
        <v/>
      </c>
      <c r="L96" s="35">
        <f>IF($B$3="",1E+9,IFERROR(SMALL('仕入請求台帳'!$U$5:$U$504,$J96+1),1E+9))</f>
        <v/>
      </c>
      <c r="M96" s="35">
        <f>IF($B$3="",1E+9,IFERROR(SMALL('仕入請求台帳'!$V$5:$V$504,$K96+1),1E+9))</f>
        <v/>
      </c>
      <c r="N96" s="32">
        <f>IF(MIN($L96,$M96)&gt;=1E+9,"",IF($L96&lt;=$M96,"増","減"))</f>
        <v/>
      </c>
      <c r="O96" s="32">
        <f>IF($N96="","",IF($N96="増",MATCH($L96,'仕入請求台帳'!$U$5:$U$504,0),MATCH($M96,'仕入請求台帳'!$V$5:$V$504,0)))</f>
        <v/>
      </c>
      <c r="P96" s="56" t="n"/>
      <c r="Q96" s="56" t="n"/>
    </row>
    <row r="97" ht="18" customHeight="1">
      <c r="A97" s="45">
        <f>IF($N97="","",IF($N97="増",INDEX('仕入請求台帳'!$S$5:$S$504,$O97),INDEX('仕入請求台帳'!$K$5:$K$504,$O97)))</f>
        <v/>
      </c>
      <c r="B97" s="46">
        <f>IF($N97="","",IF($N97="増","仕入","支払"))</f>
        <v/>
      </c>
      <c r="C97" s="46">
        <f>IF($N97="","",IF($N97="増",INDEX('仕入請求台帳'!$E$5:$E$504,$O97)&amp;"",INDEX('仕入請求台帳'!$E$5:$E$504,$O97)&amp;""))</f>
        <v/>
      </c>
      <c r="D97" s="47">
        <f>IF($N97="","",IF($N97="増",INDEX('仕入請求台帳'!$F$5:$F$504,$O97)&amp;"","支払"))</f>
        <v/>
      </c>
      <c r="E97" s="48">
        <f>IF($N97&lt;&gt;"増","",INDEX('仕入請求台帳'!$G$5:$G$504,$O97))</f>
        <v/>
      </c>
      <c r="F97" s="48">
        <f>IF($N97&lt;&gt;"減","",N(INDEX('仕入請求台帳'!$L$5:$L$504,$O97)))</f>
        <v/>
      </c>
      <c r="G97" s="48">
        <f>IF($N97&lt;&gt;"減","",N(INDEX('仕入請求台帳'!$M$5:$M$504,$O97)))</f>
        <v/>
      </c>
      <c r="H97" s="49">
        <f>IF($N97="","",$H96+N($E97)-N($F97)-N($G97))</f>
        <v/>
      </c>
      <c r="I97" s="56" t="n"/>
      <c r="J97" s="32">
        <f>$J96+IF($N96="増",1,0)</f>
        <v/>
      </c>
      <c r="K97" s="32">
        <f>$K96+IF($N96="減",1,0)</f>
        <v/>
      </c>
      <c r="L97" s="35">
        <f>IF($B$3="",1E+9,IFERROR(SMALL('仕入請求台帳'!$U$5:$U$504,$J97+1),1E+9))</f>
        <v/>
      </c>
      <c r="M97" s="35">
        <f>IF($B$3="",1E+9,IFERROR(SMALL('仕入請求台帳'!$V$5:$V$504,$K97+1),1E+9))</f>
        <v/>
      </c>
      <c r="N97" s="32">
        <f>IF(MIN($L97,$M97)&gt;=1E+9,"",IF($L97&lt;=$M97,"増","減"))</f>
        <v/>
      </c>
      <c r="O97" s="32">
        <f>IF($N97="","",IF($N97="増",MATCH($L97,'仕入請求台帳'!$U$5:$U$504,0),MATCH($M97,'仕入請求台帳'!$V$5:$V$504,0)))</f>
        <v/>
      </c>
      <c r="P97" s="56" t="n"/>
      <c r="Q97" s="56" t="n"/>
    </row>
    <row r="98" ht="18" customHeight="1">
      <c r="A98" s="45">
        <f>IF($N98="","",IF($N98="増",INDEX('仕入請求台帳'!$S$5:$S$504,$O98),INDEX('仕入請求台帳'!$K$5:$K$504,$O98)))</f>
        <v/>
      </c>
      <c r="B98" s="46">
        <f>IF($N98="","",IF($N98="増","仕入","支払"))</f>
        <v/>
      </c>
      <c r="C98" s="46">
        <f>IF($N98="","",IF($N98="増",INDEX('仕入請求台帳'!$E$5:$E$504,$O98)&amp;"",INDEX('仕入請求台帳'!$E$5:$E$504,$O98)&amp;""))</f>
        <v/>
      </c>
      <c r="D98" s="47">
        <f>IF($N98="","",IF($N98="増",INDEX('仕入請求台帳'!$F$5:$F$504,$O98)&amp;"","支払"))</f>
        <v/>
      </c>
      <c r="E98" s="48">
        <f>IF($N98&lt;&gt;"増","",INDEX('仕入請求台帳'!$G$5:$G$504,$O98))</f>
        <v/>
      </c>
      <c r="F98" s="48">
        <f>IF($N98&lt;&gt;"減","",N(INDEX('仕入請求台帳'!$L$5:$L$504,$O98)))</f>
        <v/>
      </c>
      <c r="G98" s="48">
        <f>IF($N98&lt;&gt;"減","",N(INDEX('仕入請求台帳'!$M$5:$M$504,$O98)))</f>
        <v/>
      </c>
      <c r="H98" s="49">
        <f>IF($N98="","",$H97+N($E98)-N($F98)-N($G98))</f>
        <v/>
      </c>
      <c r="I98" s="56" t="n"/>
      <c r="J98" s="32">
        <f>$J97+IF($N97="増",1,0)</f>
        <v/>
      </c>
      <c r="K98" s="32">
        <f>$K97+IF($N97="減",1,0)</f>
        <v/>
      </c>
      <c r="L98" s="35">
        <f>IF($B$3="",1E+9,IFERROR(SMALL('仕入請求台帳'!$U$5:$U$504,$J98+1),1E+9))</f>
        <v/>
      </c>
      <c r="M98" s="35">
        <f>IF($B$3="",1E+9,IFERROR(SMALL('仕入請求台帳'!$V$5:$V$504,$K98+1),1E+9))</f>
        <v/>
      </c>
      <c r="N98" s="32">
        <f>IF(MIN($L98,$M98)&gt;=1E+9,"",IF($L98&lt;=$M98,"増","減"))</f>
        <v/>
      </c>
      <c r="O98" s="32">
        <f>IF($N98="","",IF($N98="増",MATCH($L98,'仕入請求台帳'!$U$5:$U$504,0),MATCH($M98,'仕入請求台帳'!$V$5:$V$504,0)))</f>
        <v/>
      </c>
      <c r="P98" s="56" t="n"/>
      <c r="Q98" s="56" t="n"/>
    </row>
    <row r="99" ht="18" customHeight="1">
      <c r="A99" s="45">
        <f>IF($N99="","",IF($N99="増",INDEX('仕入請求台帳'!$S$5:$S$504,$O99),INDEX('仕入請求台帳'!$K$5:$K$504,$O99)))</f>
        <v/>
      </c>
      <c r="B99" s="46">
        <f>IF($N99="","",IF($N99="増","仕入","支払"))</f>
        <v/>
      </c>
      <c r="C99" s="46">
        <f>IF($N99="","",IF($N99="増",INDEX('仕入請求台帳'!$E$5:$E$504,$O99)&amp;"",INDEX('仕入請求台帳'!$E$5:$E$504,$O99)&amp;""))</f>
        <v/>
      </c>
      <c r="D99" s="47">
        <f>IF($N99="","",IF($N99="増",INDEX('仕入請求台帳'!$F$5:$F$504,$O99)&amp;"","支払"))</f>
        <v/>
      </c>
      <c r="E99" s="48">
        <f>IF($N99&lt;&gt;"増","",INDEX('仕入請求台帳'!$G$5:$G$504,$O99))</f>
        <v/>
      </c>
      <c r="F99" s="48">
        <f>IF($N99&lt;&gt;"減","",N(INDEX('仕入請求台帳'!$L$5:$L$504,$O99)))</f>
        <v/>
      </c>
      <c r="G99" s="48">
        <f>IF($N99&lt;&gt;"減","",N(INDEX('仕入請求台帳'!$M$5:$M$504,$O99)))</f>
        <v/>
      </c>
      <c r="H99" s="49">
        <f>IF($N99="","",$H98+N($E99)-N($F99)-N($G99))</f>
        <v/>
      </c>
      <c r="I99" s="56" t="n"/>
      <c r="J99" s="32">
        <f>$J98+IF($N98="増",1,0)</f>
        <v/>
      </c>
      <c r="K99" s="32">
        <f>$K98+IF($N98="減",1,0)</f>
        <v/>
      </c>
      <c r="L99" s="35">
        <f>IF($B$3="",1E+9,IFERROR(SMALL('仕入請求台帳'!$U$5:$U$504,$J99+1),1E+9))</f>
        <v/>
      </c>
      <c r="M99" s="35">
        <f>IF($B$3="",1E+9,IFERROR(SMALL('仕入請求台帳'!$V$5:$V$504,$K99+1),1E+9))</f>
        <v/>
      </c>
      <c r="N99" s="32">
        <f>IF(MIN($L99,$M99)&gt;=1E+9,"",IF($L99&lt;=$M99,"増","減"))</f>
        <v/>
      </c>
      <c r="O99" s="32">
        <f>IF($N99="","",IF($N99="増",MATCH($L99,'仕入請求台帳'!$U$5:$U$504,0),MATCH($M99,'仕入請求台帳'!$V$5:$V$504,0)))</f>
        <v/>
      </c>
      <c r="P99" s="56" t="n"/>
      <c r="Q99" s="56" t="n"/>
    </row>
    <row r="100" ht="18" customHeight="1">
      <c r="A100" s="45">
        <f>IF($N100="","",IF($N100="増",INDEX('仕入請求台帳'!$S$5:$S$504,$O100),INDEX('仕入請求台帳'!$K$5:$K$504,$O100)))</f>
        <v/>
      </c>
      <c r="B100" s="46">
        <f>IF($N100="","",IF($N100="増","仕入","支払"))</f>
        <v/>
      </c>
      <c r="C100" s="46">
        <f>IF($N100="","",IF($N100="増",INDEX('仕入請求台帳'!$E$5:$E$504,$O100)&amp;"",INDEX('仕入請求台帳'!$E$5:$E$504,$O100)&amp;""))</f>
        <v/>
      </c>
      <c r="D100" s="47">
        <f>IF($N100="","",IF($N100="増",INDEX('仕入請求台帳'!$F$5:$F$504,$O100)&amp;"","支払"))</f>
        <v/>
      </c>
      <c r="E100" s="48">
        <f>IF($N100&lt;&gt;"増","",INDEX('仕入請求台帳'!$G$5:$G$504,$O100))</f>
        <v/>
      </c>
      <c r="F100" s="48">
        <f>IF($N100&lt;&gt;"減","",N(INDEX('仕入請求台帳'!$L$5:$L$504,$O100)))</f>
        <v/>
      </c>
      <c r="G100" s="48">
        <f>IF($N100&lt;&gt;"減","",N(INDEX('仕入請求台帳'!$M$5:$M$504,$O100)))</f>
        <v/>
      </c>
      <c r="H100" s="49">
        <f>IF($N100="","",$H99+N($E100)-N($F100)-N($G100))</f>
        <v/>
      </c>
      <c r="I100" s="56" t="n"/>
      <c r="J100" s="32">
        <f>$J99+IF($N99="増",1,0)</f>
        <v/>
      </c>
      <c r="K100" s="32">
        <f>$K99+IF($N99="減",1,0)</f>
        <v/>
      </c>
      <c r="L100" s="35">
        <f>IF($B$3="",1E+9,IFERROR(SMALL('仕入請求台帳'!$U$5:$U$504,$J100+1),1E+9))</f>
        <v/>
      </c>
      <c r="M100" s="35">
        <f>IF($B$3="",1E+9,IFERROR(SMALL('仕入請求台帳'!$V$5:$V$504,$K100+1),1E+9))</f>
        <v/>
      </c>
      <c r="N100" s="32">
        <f>IF(MIN($L100,$M100)&gt;=1E+9,"",IF($L100&lt;=$M100,"増","減"))</f>
        <v/>
      </c>
      <c r="O100" s="32">
        <f>IF($N100="","",IF($N100="増",MATCH($L100,'仕入請求台帳'!$U$5:$U$504,0),MATCH($M100,'仕入請求台帳'!$V$5:$V$504,0)))</f>
        <v/>
      </c>
      <c r="P100" s="56" t="n"/>
      <c r="Q100" s="56" t="n"/>
    </row>
    <row r="101" ht="18" customHeight="1">
      <c r="A101" s="45">
        <f>IF($N101="","",IF($N101="増",INDEX('仕入請求台帳'!$S$5:$S$504,$O101),INDEX('仕入請求台帳'!$K$5:$K$504,$O101)))</f>
        <v/>
      </c>
      <c r="B101" s="46">
        <f>IF($N101="","",IF($N101="増","仕入","支払"))</f>
        <v/>
      </c>
      <c r="C101" s="46">
        <f>IF($N101="","",IF($N101="増",INDEX('仕入請求台帳'!$E$5:$E$504,$O101)&amp;"",INDEX('仕入請求台帳'!$E$5:$E$504,$O101)&amp;""))</f>
        <v/>
      </c>
      <c r="D101" s="47">
        <f>IF($N101="","",IF($N101="増",INDEX('仕入請求台帳'!$F$5:$F$504,$O101)&amp;"","支払"))</f>
        <v/>
      </c>
      <c r="E101" s="48">
        <f>IF($N101&lt;&gt;"増","",INDEX('仕入請求台帳'!$G$5:$G$504,$O101))</f>
        <v/>
      </c>
      <c r="F101" s="48">
        <f>IF($N101&lt;&gt;"減","",N(INDEX('仕入請求台帳'!$L$5:$L$504,$O101)))</f>
        <v/>
      </c>
      <c r="G101" s="48">
        <f>IF($N101&lt;&gt;"減","",N(INDEX('仕入請求台帳'!$M$5:$M$504,$O101)))</f>
        <v/>
      </c>
      <c r="H101" s="49">
        <f>IF($N101="","",$H100+N($E101)-N($F101)-N($G101))</f>
        <v/>
      </c>
      <c r="I101" s="56" t="n"/>
      <c r="J101" s="32">
        <f>$J100+IF($N100="増",1,0)</f>
        <v/>
      </c>
      <c r="K101" s="32">
        <f>$K100+IF($N100="減",1,0)</f>
        <v/>
      </c>
      <c r="L101" s="35">
        <f>IF($B$3="",1E+9,IFERROR(SMALL('仕入請求台帳'!$U$5:$U$504,$J101+1),1E+9))</f>
        <v/>
      </c>
      <c r="M101" s="35">
        <f>IF($B$3="",1E+9,IFERROR(SMALL('仕入請求台帳'!$V$5:$V$504,$K101+1),1E+9))</f>
        <v/>
      </c>
      <c r="N101" s="32">
        <f>IF(MIN($L101,$M101)&gt;=1E+9,"",IF($L101&lt;=$M101,"増","減"))</f>
        <v/>
      </c>
      <c r="O101" s="32">
        <f>IF($N101="","",IF($N101="増",MATCH($L101,'仕入請求台帳'!$U$5:$U$504,0),MATCH($M101,'仕入請求台帳'!$V$5:$V$504,0)))</f>
        <v/>
      </c>
      <c r="P101" s="56" t="n"/>
      <c r="Q101" s="56" t="n"/>
    </row>
    <row r="102" ht="18" customHeight="1">
      <c r="A102" s="45">
        <f>IF($N102="","",IF($N102="増",INDEX('仕入請求台帳'!$S$5:$S$504,$O102),INDEX('仕入請求台帳'!$K$5:$K$504,$O102)))</f>
        <v/>
      </c>
      <c r="B102" s="46">
        <f>IF($N102="","",IF($N102="増","仕入","支払"))</f>
        <v/>
      </c>
      <c r="C102" s="46">
        <f>IF($N102="","",IF($N102="増",INDEX('仕入請求台帳'!$E$5:$E$504,$O102)&amp;"",INDEX('仕入請求台帳'!$E$5:$E$504,$O102)&amp;""))</f>
        <v/>
      </c>
      <c r="D102" s="47">
        <f>IF($N102="","",IF($N102="増",INDEX('仕入請求台帳'!$F$5:$F$504,$O102)&amp;"","支払"))</f>
        <v/>
      </c>
      <c r="E102" s="48">
        <f>IF($N102&lt;&gt;"増","",INDEX('仕入請求台帳'!$G$5:$G$504,$O102))</f>
        <v/>
      </c>
      <c r="F102" s="48">
        <f>IF($N102&lt;&gt;"減","",N(INDEX('仕入請求台帳'!$L$5:$L$504,$O102)))</f>
        <v/>
      </c>
      <c r="G102" s="48">
        <f>IF($N102&lt;&gt;"減","",N(INDEX('仕入請求台帳'!$M$5:$M$504,$O102)))</f>
        <v/>
      </c>
      <c r="H102" s="49">
        <f>IF($N102="","",$H101+N($E102)-N($F102)-N($G102))</f>
        <v/>
      </c>
      <c r="I102" s="56" t="n"/>
      <c r="J102" s="32">
        <f>$J101+IF($N101="増",1,0)</f>
        <v/>
      </c>
      <c r="K102" s="32">
        <f>$K101+IF($N101="減",1,0)</f>
        <v/>
      </c>
      <c r="L102" s="35">
        <f>IF($B$3="",1E+9,IFERROR(SMALL('仕入請求台帳'!$U$5:$U$504,$J102+1),1E+9))</f>
        <v/>
      </c>
      <c r="M102" s="35">
        <f>IF($B$3="",1E+9,IFERROR(SMALL('仕入請求台帳'!$V$5:$V$504,$K102+1),1E+9))</f>
        <v/>
      </c>
      <c r="N102" s="32">
        <f>IF(MIN($L102,$M102)&gt;=1E+9,"",IF($L102&lt;=$M102,"増","減"))</f>
        <v/>
      </c>
      <c r="O102" s="32">
        <f>IF($N102="","",IF($N102="増",MATCH($L102,'仕入請求台帳'!$U$5:$U$504,0),MATCH($M102,'仕入請求台帳'!$V$5:$V$504,0)))</f>
        <v/>
      </c>
      <c r="P102" s="56" t="n"/>
      <c r="Q102" s="56" t="n"/>
    </row>
    <row r="103" ht="18" customHeight="1">
      <c r="A103" s="45">
        <f>IF($N103="","",IF($N103="増",INDEX('仕入請求台帳'!$S$5:$S$504,$O103),INDEX('仕入請求台帳'!$K$5:$K$504,$O103)))</f>
        <v/>
      </c>
      <c r="B103" s="46">
        <f>IF($N103="","",IF($N103="増","仕入","支払"))</f>
        <v/>
      </c>
      <c r="C103" s="46">
        <f>IF($N103="","",IF($N103="増",INDEX('仕入請求台帳'!$E$5:$E$504,$O103)&amp;"",INDEX('仕入請求台帳'!$E$5:$E$504,$O103)&amp;""))</f>
        <v/>
      </c>
      <c r="D103" s="47">
        <f>IF($N103="","",IF($N103="増",INDEX('仕入請求台帳'!$F$5:$F$504,$O103)&amp;"","支払"))</f>
        <v/>
      </c>
      <c r="E103" s="48">
        <f>IF($N103&lt;&gt;"増","",INDEX('仕入請求台帳'!$G$5:$G$504,$O103))</f>
        <v/>
      </c>
      <c r="F103" s="48">
        <f>IF($N103&lt;&gt;"減","",N(INDEX('仕入請求台帳'!$L$5:$L$504,$O103)))</f>
        <v/>
      </c>
      <c r="G103" s="48">
        <f>IF($N103&lt;&gt;"減","",N(INDEX('仕入請求台帳'!$M$5:$M$504,$O103)))</f>
        <v/>
      </c>
      <c r="H103" s="49">
        <f>IF($N103="","",$H102+N($E103)-N($F103)-N($G103))</f>
        <v/>
      </c>
      <c r="I103" s="56" t="n"/>
      <c r="J103" s="32">
        <f>$J102+IF($N102="増",1,0)</f>
        <v/>
      </c>
      <c r="K103" s="32">
        <f>$K102+IF($N102="減",1,0)</f>
        <v/>
      </c>
      <c r="L103" s="35">
        <f>IF($B$3="",1E+9,IFERROR(SMALL('仕入請求台帳'!$U$5:$U$504,$J103+1),1E+9))</f>
        <v/>
      </c>
      <c r="M103" s="35">
        <f>IF($B$3="",1E+9,IFERROR(SMALL('仕入請求台帳'!$V$5:$V$504,$K103+1),1E+9))</f>
        <v/>
      </c>
      <c r="N103" s="32">
        <f>IF(MIN($L103,$M103)&gt;=1E+9,"",IF($L103&lt;=$M103,"増","減"))</f>
        <v/>
      </c>
      <c r="O103" s="32">
        <f>IF($N103="","",IF($N103="増",MATCH($L103,'仕入請求台帳'!$U$5:$U$504,0),MATCH($M103,'仕入請求台帳'!$V$5:$V$504,0)))</f>
        <v/>
      </c>
      <c r="P103" s="56" t="n"/>
      <c r="Q103" s="56" t="n"/>
    </row>
    <row r="104" ht="18" customHeight="1">
      <c r="A104" s="45">
        <f>IF($N104="","",IF($N104="増",INDEX('仕入請求台帳'!$S$5:$S$504,$O104),INDEX('仕入請求台帳'!$K$5:$K$504,$O104)))</f>
        <v/>
      </c>
      <c r="B104" s="46">
        <f>IF($N104="","",IF($N104="増","仕入","支払"))</f>
        <v/>
      </c>
      <c r="C104" s="46">
        <f>IF($N104="","",IF($N104="増",INDEX('仕入請求台帳'!$E$5:$E$504,$O104)&amp;"",INDEX('仕入請求台帳'!$E$5:$E$504,$O104)&amp;""))</f>
        <v/>
      </c>
      <c r="D104" s="47">
        <f>IF($N104="","",IF($N104="増",INDEX('仕入請求台帳'!$F$5:$F$504,$O104)&amp;"","支払"))</f>
        <v/>
      </c>
      <c r="E104" s="48">
        <f>IF($N104&lt;&gt;"増","",INDEX('仕入請求台帳'!$G$5:$G$504,$O104))</f>
        <v/>
      </c>
      <c r="F104" s="48">
        <f>IF($N104&lt;&gt;"減","",N(INDEX('仕入請求台帳'!$L$5:$L$504,$O104)))</f>
        <v/>
      </c>
      <c r="G104" s="48">
        <f>IF($N104&lt;&gt;"減","",N(INDEX('仕入請求台帳'!$M$5:$M$504,$O104)))</f>
        <v/>
      </c>
      <c r="H104" s="49">
        <f>IF($N104="","",$H103+N($E104)-N($F104)-N($G104))</f>
        <v/>
      </c>
      <c r="I104" s="56" t="n"/>
      <c r="J104" s="32">
        <f>$J103+IF($N103="増",1,0)</f>
        <v/>
      </c>
      <c r="K104" s="32">
        <f>$K103+IF($N103="減",1,0)</f>
        <v/>
      </c>
      <c r="L104" s="35">
        <f>IF($B$3="",1E+9,IFERROR(SMALL('仕入請求台帳'!$U$5:$U$504,$J104+1),1E+9))</f>
        <v/>
      </c>
      <c r="M104" s="35">
        <f>IF($B$3="",1E+9,IFERROR(SMALL('仕入請求台帳'!$V$5:$V$504,$K104+1),1E+9))</f>
        <v/>
      </c>
      <c r="N104" s="32">
        <f>IF(MIN($L104,$M104)&gt;=1E+9,"",IF($L104&lt;=$M104,"増","減"))</f>
        <v/>
      </c>
      <c r="O104" s="32">
        <f>IF($N104="","",IF($N104="増",MATCH($L104,'仕入請求台帳'!$U$5:$U$504,0),MATCH($M104,'仕入請求台帳'!$V$5:$V$504,0)))</f>
        <v/>
      </c>
      <c r="P104" s="56" t="n"/>
      <c r="Q104" s="56" t="n"/>
    </row>
    <row r="105" ht="18" customHeight="1">
      <c r="A105" s="45">
        <f>IF($N105="","",IF($N105="増",INDEX('仕入請求台帳'!$S$5:$S$504,$O105),INDEX('仕入請求台帳'!$K$5:$K$504,$O105)))</f>
        <v/>
      </c>
      <c r="B105" s="46">
        <f>IF($N105="","",IF($N105="増","仕入","支払"))</f>
        <v/>
      </c>
      <c r="C105" s="46">
        <f>IF($N105="","",IF($N105="増",INDEX('仕入請求台帳'!$E$5:$E$504,$O105)&amp;"",INDEX('仕入請求台帳'!$E$5:$E$504,$O105)&amp;""))</f>
        <v/>
      </c>
      <c r="D105" s="47">
        <f>IF($N105="","",IF($N105="増",INDEX('仕入請求台帳'!$F$5:$F$504,$O105)&amp;"","支払"))</f>
        <v/>
      </c>
      <c r="E105" s="48">
        <f>IF($N105&lt;&gt;"増","",INDEX('仕入請求台帳'!$G$5:$G$504,$O105))</f>
        <v/>
      </c>
      <c r="F105" s="48">
        <f>IF($N105&lt;&gt;"減","",N(INDEX('仕入請求台帳'!$L$5:$L$504,$O105)))</f>
        <v/>
      </c>
      <c r="G105" s="48">
        <f>IF($N105&lt;&gt;"減","",N(INDEX('仕入請求台帳'!$M$5:$M$504,$O105)))</f>
        <v/>
      </c>
      <c r="H105" s="49">
        <f>IF($N105="","",$H104+N($E105)-N($F105)-N($G105))</f>
        <v/>
      </c>
      <c r="I105" s="56" t="n"/>
      <c r="J105" s="32">
        <f>$J104+IF($N104="増",1,0)</f>
        <v/>
      </c>
      <c r="K105" s="32">
        <f>$K104+IF($N104="減",1,0)</f>
        <v/>
      </c>
      <c r="L105" s="35">
        <f>IF($B$3="",1E+9,IFERROR(SMALL('仕入請求台帳'!$U$5:$U$504,$J105+1),1E+9))</f>
        <v/>
      </c>
      <c r="M105" s="35">
        <f>IF($B$3="",1E+9,IFERROR(SMALL('仕入請求台帳'!$V$5:$V$504,$K105+1),1E+9))</f>
        <v/>
      </c>
      <c r="N105" s="32">
        <f>IF(MIN($L105,$M105)&gt;=1E+9,"",IF($L105&lt;=$M105,"増","減"))</f>
        <v/>
      </c>
      <c r="O105" s="32">
        <f>IF($N105="","",IF($N105="増",MATCH($L105,'仕入請求台帳'!$U$5:$U$504,0),MATCH($M105,'仕入請求台帳'!$V$5:$V$504,0)))</f>
        <v/>
      </c>
      <c r="P105" s="56" t="n"/>
      <c r="Q105" s="56" t="n"/>
    </row>
    <row r="106" ht="18" customHeight="1">
      <c r="A106" s="45">
        <f>IF($N106="","",IF($N106="増",INDEX('仕入請求台帳'!$S$5:$S$504,$O106),INDEX('仕入請求台帳'!$K$5:$K$504,$O106)))</f>
        <v/>
      </c>
      <c r="B106" s="46">
        <f>IF($N106="","",IF($N106="増","仕入","支払"))</f>
        <v/>
      </c>
      <c r="C106" s="46">
        <f>IF($N106="","",IF($N106="増",INDEX('仕入請求台帳'!$E$5:$E$504,$O106)&amp;"",INDEX('仕入請求台帳'!$E$5:$E$504,$O106)&amp;""))</f>
        <v/>
      </c>
      <c r="D106" s="47">
        <f>IF($N106="","",IF($N106="増",INDEX('仕入請求台帳'!$F$5:$F$504,$O106)&amp;"","支払"))</f>
        <v/>
      </c>
      <c r="E106" s="48">
        <f>IF($N106&lt;&gt;"増","",INDEX('仕入請求台帳'!$G$5:$G$504,$O106))</f>
        <v/>
      </c>
      <c r="F106" s="48">
        <f>IF($N106&lt;&gt;"減","",N(INDEX('仕入請求台帳'!$L$5:$L$504,$O106)))</f>
        <v/>
      </c>
      <c r="G106" s="48">
        <f>IF($N106&lt;&gt;"減","",N(INDEX('仕入請求台帳'!$M$5:$M$504,$O106)))</f>
        <v/>
      </c>
      <c r="H106" s="49">
        <f>IF($N106="","",$H105+N($E106)-N($F106)-N($G106))</f>
        <v/>
      </c>
      <c r="I106" s="56" t="n"/>
      <c r="J106" s="32">
        <f>$J105+IF($N105="増",1,0)</f>
        <v/>
      </c>
      <c r="K106" s="32">
        <f>$K105+IF($N105="減",1,0)</f>
        <v/>
      </c>
      <c r="L106" s="35">
        <f>IF($B$3="",1E+9,IFERROR(SMALL('仕入請求台帳'!$U$5:$U$504,$J106+1),1E+9))</f>
        <v/>
      </c>
      <c r="M106" s="35">
        <f>IF($B$3="",1E+9,IFERROR(SMALL('仕入請求台帳'!$V$5:$V$504,$K106+1),1E+9))</f>
        <v/>
      </c>
      <c r="N106" s="32">
        <f>IF(MIN($L106,$M106)&gt;=1E+9,"",IF($L106&lt;=$M106,"増","減"))</f>
        <v/>
      </c>
      <c r="O106" s="32">
        <f>IF($N106="","",IF($N106="増",MATCH($L106,'仕入請求台帳'!$U$5:$U$504,0),MATCH($M106,'仕入請求台帳'!$V$5:$V$504,0)))</f>
        <v/>
      </c>
      <c r="P106" s="56" t="n"/>
      <c r="Q106" s="56" t="n"/>
    </row>
    <row r="107" ht="18" customHeight="1">
      <c r="A107" s="45">
        <f>IF($N107="","",IF($N107="増",INDEX('仕入請求台帳'!$S$5:$S$504,$O107),INDEX('仕入請求台帳'!$K$5:$K$504,$O107)))</f>
        <v/>
      </c>
      <c r="B107" s="46">
        <f>IF($N107="","",IF($N107="増","仕入","支払"))</f>
        <v/>
      </c>
      <c r="C107" s="46">
        <f>IF($N107="","",IF($N107="増",INDEX('仕入請求台帳'!$E$5:$E$504,$O107)&amp;"",INDEX('仕入請求台帳'!$E$5:$E$504,$O107)&amp;""))</f>
        <v/>
      </c>
      <c r="D107" s="47">
        <f>IF($N107="","",IF($N107="増",INDEX('仕入請求台帳'!$F$5:$F$504,$O107)&amp;"","支払"))</f>
        <v/>
      </c>
      <c r="E107" s="48">
        <f>IF($N107&lt;&gt;"増","",INDEX('仕入請求台帳'!$G$5:$G$504,$O107))</f>
        <v/>
      </c>
      <c r="F107" s="48">
        <f>IF($N107&lt;&gt;"減","",N(INDEX('仕入請求台帳'!$L$5:$L$504,$O107)))</f>
        <v/>
      </c>
      <c r="G107" s="48">
        <f>IF($N107&lt;&gt;"減","",N(INDEX('仕入請求台帳'!$M$5:$M$504,$O107)))</f>
        <v/>
      </c>
      <c r="H107" s="49">
        <f>IF($N107="","",$H106+N($E107)-N($F107)-N($G107))</f>
        <v/>
      </c>
      <c r="I107" s="56" t="n"/>
      <c r="J107" s="32">
        <f>$J106+IF($N106="増",1,0)</f>
        <v/>
      </c>
      <c r="K107" s="32">
        <f>$K106+IF($N106="減",1,0)</f>
        <v/>
      </c>
      <c r="L107" s="35">
        <f>IF($B$3="",1E+9,IFERROR(SMALL('仕入請求台帳'!$U$5:$U$504,$J107+1),1E+9))</f>
        <v/>
      </c>
      <c r="M107" s="35">
        <f>IF($B$3="",1E+9,IFERROR(SMALL('仕入請求台帳'!$V$5:$V$504,$K107+1),1E+9))</f>
        <v/>
      </c>
      <c r="N107" s="32">
        <f>IF(MIN($L107,$M107)&gt;=1E+9,"",IF($L107&lt;=$M107,"増","減"))</f>
        <v/>
      </c>
      <c r="O107" s="32">
        <f>IF($N107="","",IF($N107="増",MATCH($L107,'仕入請求台帳'!$U$5:$U$504,0),MATCH($M107,'仕入請求台帳'!$V$5:$V$504,0)))</f>
        <v/>
      </c>
      <c r="P107" s="56" t="n"/>
      <c r="Q107" s="56" t="n"/>
    </row>
    <row r="108" ht="18" customHeight="1">
      <c r="A108" s="45">
        <f>IF($N108="","",IF($N108="増",INDEX('仕入請求台帳'!$S$5:$S$504,$O108),INDEX('仕入請求台帳'!$K$5:$K$504,$O108)))</f>
        <v/>
      </c>
      <c r="B108" s="46">
        <f>IF($N108="","",IF($N108="増","仕入","支払"))</f>
        <v/>
      </c>
      <c r="C108" s="46">
        <f>IF($N108="","",IF($N108="増",INDEX('仕入請求台帳'!$E$5:$E$504,$O108)&amp;"",INDEX('仕入請求台帳'!$E$5:$E$504,$O108)&amp;""))</f>
        <v/>
      </c>
      <c r="D108" s="47">
        <f>IF($N108="","",IF($N108="増",INDEX('仕入請求台帳'!$F$5:$F$504,$O108)&amp;"","支払"))</f>
        <v/>
      </c>
      <c r="E108" s="48">
        <f>IF($N108&lt;&gt;"増","",INDEX('仕入請求台帳'!$G$5:$G$504,$O108))</f>
        <v/>
      </c>
      <c r="F108" s="48">
        <f>IF($N108&lt;&gt;"減","",N(INDEX('仕入請求台帳'!$L$5:$L$504,$O108)))</f>
        <v/>
      </c>
      <c r="G108" s="48">
        <f>IF($N108&lt;&gt;"減","",N(INDEX('仕入請求台帳'!$M$5:$M$504,$O108)))</f>
        <v/>
      </c>
      <c r="H108" s="49">
        <f>IF($N108="","",$H107+N($E108)-N($F108)-N($G108))</f>
        <v/>
      </c>
      <c r="I108" s="56" t="n"/>
      <c r="J108" s="32">
        <f>$J107+IF($N107="増",1,0)</f>
        <v/>
      </c>
      <c r="K108" s="32">
        <f>$K107+IF($N107="減",1,0)</f>
        <v/>
      </c>
      <c r="L108" s="35">
        <f>IF($B$3="",1E+9,IFERROR(SMALL('仕入請求台帳'!$U$5:$U$504,$J108+1),1E+9))</f>
        <v/>
      </c>
      <c r="M108" s="35">
        <f>IF($B$3="",1E+9,IFERROR(SMALL('仕入請求台帳'!$V$5:$V$504,$K108+1),1E+9))</f>
        <v/>
      </c>
      <c r="N108" s="32">
        <f>IF(MIN($L108,$M108)&gt;=1E+9,"",IF($L108&lt;=$M108,"増","減"))</f>
        <v/>
      </c>
      <c r="O108" s="32">
        <f>IF($N108="","",IF($N108="増",MATCH($L108,'仕入請求台帳'!$U$5:$U$504,0),MATCH($M108,'仕入請求台帳'!$V$5:$V$504,0)))</f>
        <v/>
      </c>
      <c r="P108" s="56" t="n"/>
      <c r="Q108" s="56" t="n"/>
    </row>
    <row r="109" ht="18" customHeight="1">
      <c r="A109" s="45">
        <f>IF($N109="","",IF($N109="増",INDEX('仕入請求台帳'!$S$5:$S$504,$O109),INDEX('仕入請求台帳'!$K$5:$K$504,$O109)))</f>
        <v/>
      </c>
      <c r="B109" s="46">
        <f>IF($N109="","",IF($N109="増","仕入","支払"))</f>
        <v/>
      </c>
      <c r="C109" s="46">
        <f>IF($N109="","",IF($N109="増",INDEX('仕入請求台帳'!$E$5:$E$504,$O109)&amp;"",INDEX('仕入請求台帳'!$E$5:$E$504,$O109)&amp;""))</f>
        <v/>
      </c>
      <c r="D109" s="47">
        <f>IF($N109="","",IF($N109="増",INDEX('仕入請求台帳'!$F$5:$F$504,$O109)&amp;"","支払"))</f>
        <v/>
      </c>
      <c r="E109" s="48">
        <f>IF($N109&lt;&gt;"増","",INDEX('仕入請求台帳'!$G$5:$G$504,$O109))</f>
        <v/>
      </c>
      <c r="F109" s="48">
        <f>IF($N109&lt;&gt;"減","",N(INDEX('仕入請求台帳'!$L$5:$L$504,$O109)))</f>
        <v/>
      </c>
      <c r="G109" s="48">
        <f>IF($N109&lt;&gt;"減","",N(INDEX('仕入請求台帳'!$M$5:$M$504,$O109)))</f>
        <v/>
      </c>
      <c r="H109" s="49">
        <f>IF($N109="","",$H108+N($E109)-N($F109)-N($G109))</f>
        <v/>
      </c>
      <c r="I109" s="56" t="n"/>
      <c r="J109" s="32">
        <f>$J108+IF($N108="増",1,0)</f>
        <v/>
      </c>
      <c r="K109" s="32">
        <f>$K108+IF($N108="減",1,0)</f>
        <v/>
      </c>
      <c r="L109" s="35">
        <f>IF($B$3="",1E+9,IFERROR(SMALL('仕入請求台帳'!$U$5:$U$504,$J109+1),1E+9))</f>
        <v/>
      </c>
      <c r="M109" s="35">
        <f>IF($B$3="",1E+9,IFERROR(SMALL('仕入請求台帳'!$V$5:$V$504,$K109+1),1E+9))</f>
        <v/>
      </c>
      <c r="N109" s="32">
        <f>IF(MIN($L109,$M109)&gt;=1E+9,"",IF($L109&lt;=$M109,"増","減"))</f>
        <v/>
      </c>
      <c r="O109" s="32">
        <f>IF($N109="","",IF($N109="増",MATCH($L109,'仕入請求台帳'!$U$5:$U$504,0),MATCH($M109,'仕入請求台帳'!$V$5:$V$504,0)))</f>
        <v/>
      </c>
      <c r="P109" s="56" t="n"/>
      <c r="Q109" s="56" t="n"/>
    </row>
    <row r="110" ht="18" customHeight="1">
      <c r="A110" s="45">
        <f>IF($N110="","",IF($N110="増",INDEX('仕入請求台帳'!$S$5:$S$504,$O110),INDEX('仕入請求台帳'!$K$5:$K$504,$O110)))</f>
        <v/>
      </c>
      <c r="B110" s="46">
        <f>IF($N110="","",IF($N110="増","仕入","支払"))</f>
        <v/>
      </c>
      <c r="C110" s="46">
        <f>IF($N110="","",IF($N110="増",INDEX('仕入請求台帳'!$E$5:$E$504,$O110)&amp;"",INDEX('仕入請求台帳'!$E$5:$E$504,$O110)&amp;""))</f>
        <v/>
      </c>
      <c r="D110" s="47">
        <f>IF($N110="","",IF($N110="増",INDEX('仕入請求台帳'!$F$5:$F$504,$O110)&amp;"","支払"))</f>
        <v/>
      </c>
      <c r="E110" s="48">
        <f>IF($N110&lt;&gt;"増","",INDEX('仕入請求台帳'!$G$5:$G$504,$O110))</f>
        <v/>
      </c>
      <c r="F110" s="48">
        <f>IF($N110&lt;&gt;"減","",N(INDEX('仕入請求台帳'!$L$5:$L$504,$O110)))</f>
        <v/>
      </c>
      <c r="G110" s="48">
        <f>IF($N110&lt;&gt;"減","",N(INDEX('仕入請求台帳'!$M$5:$M$504,$O110)))</f>
        <v/>
      </c>
      <c r="H110" s="49">
        <f>IF($N110="","",$H109+N($E110)-N($F110)-N($G110))</f>
        <v/>
      </c>
      <c r="I110" s="56" t="n"/>
      <c r="J110" s="32">
        <f>$J109+IF($N109="増",1,0)</f>
        <v/>
      </c>
      <c r="K110" s="32">
        <f>$K109+IF($N109="減",1,0)</f>
        <v/>
      </c>
      <c r="L110" s="35">
        <f>IF($B$3="",1E+9,IFERROR(SMALL('仕入請求台帳'!$U$5:$U$504,$J110+1),1E+9))</f>
        <v/>
      </c>
      <c r="M110" s="35">
        <f>IF($B$3="",1E+9,IFERROR(SMALL('仕入請求台帳'!$V$5:$V$504,$K110+1),1E+9))</f>
        <v/>
      </c>
      <c r="N110" s="32">
        <f>IF(MIN($L110,$M110)&gt;=1E+9,"",IF($L110&lt;=$M110,"増","減"))</f>
        <v/>
      </c>
      <c r="O110" s="32">
        <f>IF($N110="","",IF($N110="増",MATCH($L110,'仕入請求台帳'!$U$5:$U$504,0),MATCH($M110,'仕入請求台帳'!$V$5:$V$504,0)))</f>
        <v/>
      </c>
      <c r="P110" s="56" t="n"/>
      <c r="Q110" s="56" t="n"/>
    </row>
    <row r="111" ht="18" customHeight="1">
      <c r="A111" s="45">
        <f>IF($N111="","",IF($N111="増",INDEX('仕入請求台帳'!$S$5:$S$504,$O111),INDEX('仕入請求台帳'!$K$5:$K$504,$O111)))</f>
        <v/>
      </c>
      <c r="B111" s="46">
        <f>IF($N111="","",IF($N111="増","仕入","支払"))</f>
        <v/>
      </c>
      <c r="C111" s="46">
        <f>IF($N111="","",IF($N111="増",INDEX('仕入請求台帳'!$E$5:$E$504,$O111)&amp;"",INDEX('仕入請求台帳'!$E$5:$E$504,$O111)&amp;""))</f>
        <v/>
      </c>
      <c r="D111" s="47">
        <f>IF($N111="","",IF($N111="増",INDEX('仕入請求台帳'!$F$5:$F$504,$O111)&amp;"","支払"))</f>
        <v/>
      </c>
      <c r="E111" s="48">
        <f>IF($N111&lt;&gt;"増","",INDEX('仕入請求台帳'!$G$5:$G$504,$O111))</f>
        <v/>
      </c>
      <c r="F111" s="48">
        <f>IF($N111&lt;&gt;"減","",N(INDEX('仕入請求台帳'!$L$5:$L$504,$O111)))</f>
        <v/>
      </c>
      <c r="G111" s="48">
        <f>IF($N111&lt;&gt;"減","",N(INDEX('仕入請求台帳'!$M$5:$M$504,$O111)))</f>
        <v/>
      </c>
      <c r="H111" s="49">
        <f>IF($N111="","",$H110+N($E111)-N($F111)-N($G111))</f>
        <v/>
      </c>
      <c r="I111" s="56" t="n"/>
      <c r="J111" s="32">
        <f>$J110+IF($N110="増",1,0)</f>
        <v/>
      </c>
      <c r="K111" s="32">
        <f>$K110+IF($N110="減",1,0)</f>
        <v/>
      </c>
      <c r="L111" s="35">
        <f>IF($B$3="",1E+9,IFERROR(SMALL('仕入請求台帳'!$U$5:$U$504,$J111+1),1E+9))</f>
        <v/>
      </c>
      <c r="M111" s="35">
        <f>IF($B$3="",1E+9,IFERROR(SMALL('仕入請求台帳'!$V$5:$V$504,$K111+1),1E+9))</f>
        <v/>
      </c>
      <c r="N111" s="32">
        <f>IF(MIN($L111,$M111)&gt;=1E+9,"",IF($L111&lt;=$M111,"増","減"))</f>
        <v/>
      </c>
      <c r="O111" s="32">
        <f>IF($N111="","",IF($N111="増",MATCH($L111,'仕入請求台帳'!$U$5:$U$504,0),MATCH($M111,'仕入請求台帳'!$V$5:$V$504,0)))</f>
        <v/>
      </c>
      <c r="P111" s="56" t="n"/>
      <c r="Q111" s="56" t="n"/>
    </row>
    <row r="112" ht="18" customHeight="1">
      <c r="A112" s="45">
        <f>IF($N112="","",IF($N112="増",INDEX('仕入請求台帳'!$S$5:$S$504,$O112),INDEX('仕入請求台帳'!$K$5:$K$504,$O112)))</f>
        <v/>
      </c>
      <c r="B112" s="46">
        <f>IF($N112="","",IF($N112="増","仕入","支払"))</f>
        <v/>
      </c>
      <c r="C112" s="46">
        <f>IF($N112="","",IF($N112="増",INDEX('仕入請求台帳'!$E$5:$E$504,$O112)&amp;"",INDEX('仕入請求台帳'!$E$5:$E$504,$O112)&amp;""))</f>
        <v/>
      </c>
      <c r="D112" s="47">
        <f>IF($N112="","",IF($N112="増",INDEX('仕入請求台帳'!$F$5:$F$504,$O112)&amp;"","支払"))</f>
        <v/>
      </c>
      <c r="E112" s="48">
        <f>IF($N112&lt;&gt;"増","",INDEX('仕入請求台帳'!$G$5:$G$504,$O112))</f>
        <v/>
      </c>
      <c r="F112" s="48">
        <f>IF($N112&lt;&gt;"減","",N(INDEX('仕入請求台帳'!$L$5:$L$504,$O112)))</f>
        <v/>
      </c>
      <c r="G112" s="48">
        <f>IF($N112&lt;&gt;"減","",N(INDEX('仕入請求台帳'!$M$5:$M$504,$O112)))</f>
        <v/>
      </c>
      <c r="H112" s="49">
        <f>IF($N112="","",$H111+N($E112)-N($F112)-N($G112))</f>
        <v/>
      </c>
      <c r="I112" s="56" t="n"/>
      <c r="J112" s="32">
        <f>$J111+IF($N111="増",1,0)</f>
        <v/>
      </c>
      <c r="K112" s="32">
        <f>$K111+IF($N111="減",1,0)</f>
        <v/>
      </c>
      <c r="L112" s="35">
        <f>IF($B$3="",1E+9,IFERROR(SMALL('仕入請求台帳'!$U$5:$U$504,$J112+1),1E+9))</f>
        <v/>
      </c>
      <c r="M112" s="35">
        <f>IF($B$3="",1E+9,IFERROR(SMALL('仕入請求台帳'!$V$5:$V$504,$K112+1),1E+9))</f>
        <v/>
      </c>
      <c r="N112" s="32">
        <f>IF(MIN($L112,$M112)&gt;=1E+9,"",IF($L112&lt;=$M112,"増","減"))</f>
        <v/>
      </c>
      <c r="O112" s="32">
        <f>IF($N112="","",IF($N112="増",MATCH($L112,'仕入請求台帳'!$U$5:$U$504,0),MATCH($M112,'仕入請求台帳'!$V$5:$V$504,0)))</f>
        <v/>
      </c>
      <c r="P112" s="56" t="n"/>
      <c r="Q112" s="56" t="n"/>
    </row>
    <row r="113" ht="18" customHeight="1">
      <c r="A113" s="45">
        <f>IF($N113="","",IF($N113="増",INDEX('仕入請求台帳'!$S$5:$S$504,$O113),INDEX('仕入請求台帳'!$K$5:$K$504,$O113)))</f>
        <v/>
      </c>
      <c r="B113" s="46">
        <f>IF($N113="","",IF($N113="増","仕入","支払"))</f>
        <v/>
      </c>
      <c r="C113" s="46">
        <f>IF($N113="","",IF($N113="増",INDEX('仕入請求台帳'!$E$5:$E$504,$O113)&amp;"",INDEX('仕入請求台帳'!$E$5:$E$504,$O113)&amp;""))</f>
        <v/>
      </c>
      <c r="D113" s="47">
        <f>IF($N113="","",IF($N113="増",INDEX('仕入請求台帳'!$F$5:$F$504,$O113)&amp;"","支払"))</f>
        <v/>
      </c>
      <c r="E113" s="48">
        <f>IF($N113&lt;&gt;"増","",INDEX('仕入請求台帳'!$G$5:$G$504,$O113))</f>
        <v/>
      </c>
      <c r="F113" s="48">
        <f>IF($N113&lt;&gt;"減","",N(INDEX('仕入請求台帳'!$L$5:$L$504,$O113)))</f>
        <v/>
      </c>
      <c r="G113" s="48">
        <f>IF($N113&lt;&gt;"減","",N(INDEX('仕入請求台帳'!$M$5:$M$504,$O113)))</f>
        <v/>
      </c>
      <c r="H113" s="49">
        <f>IF($N113="","",$H112+N($E113)-N($F113)-N($G113))</f>
        <v/>
      </c>
      <c r="I113" s="56" t="n"/>
      <c r="J113" s="32">
        <f>$J112+IF($N112="増",1,0)</f>
        <v/>
      </c>
      <c r="K113" s="32">
        <f>$K112+IF($N112="減",1,0)</f>
        <v/>
      </c>
      <c r="L113" s="35">
        <f>IF($B$3="",1E+9,IFERROR(SMALL('仕入請求台帳'!$U$5:$U$504,$J113+1),1E+9))</f>
        <v/>
      </c>
      <c r="M113" s="35">
        <f>IF($B$3="",1E+9,IFERROR(SMALL('仕入請求台帳'!$V$5:$V$504,$K113+1),1E+9))</f>
        <v/>
      </c>
      <c r="N113" s="32">
        <f>IF(MIN($L113,$M113)&gt;=1E+9,"",IF($L113&lt;=$M113,"増","減"))</f>
        <v/>
      </c>
      <c r="O113" s="32">
        <f>IF($N113="","",IF($N113="増",MATCH($L113,'仕入請求台帳'!$U$5:$U$504,0),MATCH($M113,'仕入請求台帳'!$V$5:$V$504,0)))</f>
        <v/>
      </c>
      <c r="P113" s="56" t="n"/>
      <c r="Q113" s="56" t="n"/>
    </row>
    <row r="114" ht="18" customHeight="1">
      <c r="A114" s="45">
        <f>IF($N114="","",IF($N114="増",INDEX('仕入請求台帳'!$S$5:$S$504,$O114),INDEX('仕入請求台帳'!$K$5:$K$504,$O114)))</f>
        <v/>
      </c>
      <c r="B114" s="46">
        <f>IF($N114="","",IF($N114="増","仕入","支払"))</f>
        <v/>
      </c>
      <c r="C114" s="46">
        <f>IF($N114="","",IF($N114="増",INDEX('仕入請求台帳'!$E$5:$E$504,$O114)&amp;"",INDEX('仕入請求台帳'!$E$5:$E$504,$O114)&amp;""))</f>
        <v/>
      </c>
      <c r="D114" s="47">
        <f>IF($N114="","",IF($N114="増",INDEX('仕入請求台帳'!$F$5:$F$504,$O114)&amp;"","支払"))</f>
        <v/>
      </c>
      <c r="E114" s="48">
        <f>IF($N114&lt;&gt;"増","",INDEX('仕入請求台帳'!$G$5:$G$504,$O114))</f>
        <v/>
      </c>
      <c r="F114" s="48">
        <f>IF($N114&lt;&gt;"減","",N(INDEX('仕入請求台帳'!$L$5:$L$504,$O114)))</f>
        <v/>
      </c>
      <c r="G114" s="48">
        <f>IF($N114&lt;&gt;"減","",N(INDEX('仕入請求台帳'!$M$5:$M$504,$O114)))</f>
        <v/>
      </c>
      <c r="H114" s="49">
        <f>IF($N114="","",$H113+N($E114)-N($F114)-N($G114))</f>
        <v/>
      </c>
      <c r="I114" s="56" t="n"/>
      <c r="J114" s="32">
        <f>$J113+IF($N113="増",1,0)</f>
        <v/>
      </c>
      <c r="K114" s="32">
        <f>$K113+IF($N113="減",1,0)</f>
        <v/>
      </c>
      <c r="L114" s="35">
        <f>IF($B$3="",1E+9,IFERROR(SMALL('仕入請求台帳'!$U$5:$U$504,$J114+1),1E+9))</f>
        <v/>
      </c>
      <c r="M114" s="35">
        <f>IF($B$3="",1E+9,IFERROR(SMALL('仕入請求台帳'!$V$5:$V$504,$K114+1),1E+9))</f>
        <v/>
      </c>
      <c r="N114" s="32">
        <f>IF(MIN($L114,$M114)&gt;=1E+9,"",IF($L114&lt;=$M114,"増","減"))</f>
        <v/>
      </c>
      <c r="O114" s="32">
        <f>IF($N114="","",IF($N114="増",MATCH($L114,'仕入請求台帳'!$U$5:$U$504,0),MATCH($M114,'仕入請求台帳'!$V$5:$V$504,0)))</f>
        <v/>
      </c>
      <c r="P114" s="56" t="n"/>
      <c r="Q114" s="56" t="n"/>
    </row>
    <row r="115" ht="18" customHeight="1">
      <c r="A115" s="45">
        <f>IF($N115="","",IF($N115="増",INDEX('仕入請求台帳'!$S$5:$S$504,$O115),INDEX('仕入請求台帳'!$K$5:$K$504,$O115)))</f>
        <v/>
      </c>
      <c r="B115" s="46">
        <f>IF($N115="","",IF($N115="増","仕入","支払"))</f>
        <v/>
      </c>
      <c r="C115" s="46">
        <f>IF($N115="","",IF($N115="増",INDEX('仕入請求台帳'!$E$5:$E$504,$O115)&amp;"",INDEX('仕入請求台帳'!$E$5:$E$504,$O115)&amp;""))</f>
        <v/>
      </c>
      <c r="D115" s="47">
        <f>IF($N115="","",IF($N115="増",INDEX('仕入請求台帳'!$F$5:$F$504,$O115)&amp;"","支払"))</f>
        <v/>
      </c>
      <c r="E115" s="48">
        <f>IF($N115&lt;&gt;"増","",INDEX('仕入請求台帳'!$G$5:$G$504,$O115))</f>
        <v/>
      </c>
      <c r="F115" s="48">
        <f>IF($N115&lt;&gt;"減","",N(INDEX('仕入請求台帳'!$L$5:$L$504,$O115)))</f>
        <v/>
      </c>
      <c r="G115" s="48">
        <f>IF($N115&lt;&gt;"減","",N(INDEX('仕入請求台帳'!$M$5:$M$504,$O115)))</f>
        <v/>
      </c>
      <c r="H115" s="49">
        <f>IF($N115="","",$H114+N($E115)-N($F115)-N($G115))</f>
        <v/>
      </c>
      <c r="I115" s="56" t="n"/>
      <c r="J115" s="32">
        <f>$J114+IF($N114="増",1,0)</f>
        <v/>
      </c>
      <c r="K115" s="32">
        <f>$K114+IF($N114="減",1,0)</f>
        <v/>
      </c>
      <c r="L115" s="35">
        <f>IF($B$3="",1E+9,IFERROR(SMALL('仕入請求台帳'!$U$5:$U$504,$J115+1),1E+9))</f>
        <v/>
      </c>
      <c r="M115" s="35">
        <f>IF($B$3="",1E+9,IFERROR(SMALL('仕入請求台帳'!$V$5:$V$504,$K115+1),1E+9))</f>
        <v/>
      </c>
      <c r="N115" s="32">
        <f>IF(MIN($L115,$M115)&gt;=1E+9,"",IF($L115&lt;=$M115,"増","減"))</f>
        <v/>
      </c>
      <c r="O115" s="32">
        <f>IF($N115="","",IF($N115="増",MATCH($L115,'仕入請求台帳'!$U$5:$U$504,0),MATCH($M115,'仕入請求台帳'!$V$5:$V$504,0)))</f>
        <v/>
      </c>
      <c r="P115" s="56" t="n"/>
      <c r="Q115" s="56" t="n"/>
    </row>
    <row r="116" ht="18" customHeight="1">
      <c r="A116" s="45">
        <f>IF($N116="","",IF($N116="増",INDEX('仕入請求台帳'!$S$5:$S$504,$O116),INDEX('仕入請求台帳'!$K$5:$K$504,$O116)))</f>
        <v/>
      </c>
      <c r="B116" s="46">
        <f>IF($N116="","",IF($N116="増","仕入","支払"))</f>
        <v/>
      </c>
      <c r="C116" s="46">
        <f>IF($N116="","",IF($N116="増",INDEX('仕入請求台帳'!$E$5:$E$504,$O116)&amp;"",INDEX('仕入請求台帳'!$E$5:$E$504,$O116)&amp;""))</f>
        <v/>
      </c>
      <c r="D116" s="47">
        <f>IF($N116="","",IF($N116="増",INDEX('仕入請求台帳'!$F$5:$F$504,$O116)&amp;"","支払"))</f>
        <v/>
      </c>
      <c r="E116" s="48">
        <f>IF($N116&lt;&gt;"増","",INDEX('仕入請求台帳'!$G$5:$G$504,$O116))</f>
        <v/>
      </c>
      <c r="F116" s="48">
        <f>IF($N116&lt;&gt;"減","",N(INDEX('仕入請求台帳'!$L$5:$L$504,$O116)))</f>
        <v/>
      </c>
      <c r="G116" s="48">
        <f>IF($N116&lt;&gt;"減","",N(INDEX('仕入請求台帳'!$M$5:$M$504,$O116)))</f>
        <v/>
      </c>
      <c r="H116" s="49">
        <f>IF($N116="","",$H115+N($E116)-N($F116)-N($G116))</f>
        <v/>
      </c>
      <c r="I116" s="56" t="n"/>
      <c r="J116" s="32">
        <f>$J115+IF($N115="増",1,0)</f>
        <v/>
      </c>
      <c r="K116" s="32">
        <f>$K115+IF($N115="減",1,0)</f>
        <v/>
      </c>
      <c r="L116" s="35">
        <f>IF($B$3="",1E+9,IFERROR(SMALL('仕入請求台帳'!$U$5:$U$504,$J116+1),1E+9))</f>
        <v/>
      </c>
      <c r="M116" s="35">
        <f>IF($B$3="",1E+9,IFERROR(SMALL('仕入請求台帳'!$V$5:$V$504,$K116+1),1E+9))</f>
        <v/>
      </c>
      <c r="N116" s="32">
        <f>IF(MIN($L116,$M116)&gt;=1E+9,"",IF($L116&lt;=$M116,"増","減"))</f>
        <v/>
      </c>
      <c r="O116" s="32">
        <f>IF($N116="","",IF($N116="増",MATCH($L116,'仕入請求台帳'!$U$5:$U$504,0),MATCH($M116,'仕入請求台帳'!$V$5:$V$504,0)))</f>
        <v/>
      </c>
      <c r="P116" s="56" t="n"/>
      <c r="Q116" s="56" t="n"/>
    </row>
    <row r="117" ht="18" customHeight="1">
      <c r="A117" s="45">
        <f>IF($N117="","",IF($N117="増",INDEX('仕入請求台帳'!$S$5:$S$504,$O117),INDEX('仕入請求台帳'!$K$5:$K$504,$O117)))</f>
        <v/>
      </c>
      <c r="B117" s="46">
        <f>IF($N117="","",IF($N117="増","仕入","支払"))</f>
        <v/>
      </c>
      <c r="C117" s="46">
        <f>IF($N117="","",IF($N117="増",INDEX('仕入請求台帳'!$E$5:$E$504,$O117)&amp;"",INDEX('仕入請求台帳'!$E$5:$E$504,$O117)&amp;""))</f>
        <v/>
      </c>
      <c r="D117" s="47">
        <f>IF($N117="","",IF($N117="増",INDEX('仕入請求台帳'!$F$5:$F$504,$O117)&amp;"","支払"))</f>
        <v/>
      </c>
      <c r="E117" s="48">
        <f>IF($N117&lt;&gt;"増","",INDEX('仕入請求台帳'!$G$5:$G$504,$O117))</f>
        <v/>
      </c>
      <c r="F117" s="48">
        <f>IF($N117&lt;&gt;"減","",N(INDEX('仕入請求台帳'!$L$5:$L$504,$O117)))</f>
        <v/>
      </c>
      <c r="G117" s="48">
        <f>IF($N117&lt;&gt;"減","",N(INDEX('仕入請求台帳'!$M$5:$M$504,$O117)))</f>
        <v/>
      </c>
      <c r="H117" s="49">
        <f>IF($N117="","",$H116+N($E117)-N($F117)-N($G117))</f>
        <v/>
      </c>
      <c r="I117" s="56" t="n"/>
      <c r="J117" s="32">
        <f>$J116+IF($N116="増",1,0)</f>
        <v/>
      </c>
      <c r="K117" s="32">
        <f>$K116+IF($N116="減",1,0)</f>
        <v/>
      </c>
      <c r="L117" s="35">
        <f>IF($B$3="",1E+9,IFERROR(SMALL('仕入請求台帳'!$U$5:$U$504,$J117+1),1E+9))</f>
        <v/>
      </c>
      <c r="M117" s="35">
        <f>IF($B$3="",1E+9,IFERROR(SMALL('仕入請求台帳'!$V$5:$V$504,$K117+1),1E+9))</f>
        <v/>
      </c>
      <c r="N117" s="32">
        <f>IF(MIN($L117,$M117)&gt;=1E+9,"",IF($L117&lt;=$M117,"増","減"))</f>
        <v/>
      </c>
      <c r="O117" s="32">
        <f>IF($N117="","",IF($N117="増",MATCH($L117,'仕入請求台帳'!$U$5:$U$504,0),MATCH($M117,'仕入請求台帳'!$V$5:$V$504,0)))</f>
        <v/>
      </c>
      <c r="P117" s="56" t="n"/>
      <c r="Q117" s="56" t="n"/>
    </row>
    <row r="118" ht="18" customHeight="1">
      <c r="A118" s="45">
        <f>IF($N118="","",IF($N118="増",INDEX('仕入請求台帳'!$S$5:$S$504,$O118),INDEX('仕入請求台帳'!$K$5:$K$504,$O118)))</f>
        <v/>
      </c>
      <c r="B118" s="46">
        <f>IF($N118="","",IF($N118="増","仕入","支払"))</f>
        <v/>
      </c>
      <c r="C118" s="46">
        <f>IF($N118="","",IF($N118="増",INDEX('仕入請求台帳'!$E$5:$E$504,$O118)&amp;"",INDEX('仕入請求台帳'!$E$5:$E$504,$O118)&amp;""))</f>
        <v/>
      </c>
      <c r="D118" s="47">
        <f>IF($N118="","",IF($N118="増",INDEX('仕入請求台帳'!$F$5:$F$504,$O118)&amp;"","支払"))</f>
        <v/>
      </c>
      <c r="E118" s="48">
        <f>IF($N118&lt;&gt;"増","",INDEX('仕入請求台帳'!$G$5:$G$504,$O118))</f>
        <v/>
      </c>
      <c r="F118" s="48">
        <f>IF($N118&lt;&gt;"減","",N(INDEX('仕入請求台帳'!$L$5:$L$504,$O118)))</f>
        <v/>
      </c>
      <c r="G118" s="48">
        <f>IF($N118&lt;&gt;"減","",N(INDEX('仕入請求台帳'!$M$5:$M$504,$O118)))</f>
        <v/>
      </c>
      <c r="H118" s="49">
        <f>IF($N118="","",$H117+N($E118)-N($F118)-N($G118))</f>
        <v/>
      </c>
      <c r="I118" s="56" t="n"/>
      <c r="J118" s="32">
        <f>$J117+IF($N117="増",1,0)</f>
        <v/>
      </c>
      <c r="K118" s="32">
        <f>$K117+IF($N117="減",1,0)</f>
        <v/>
      </c>
      <c r="L118" s="35">
        <f>IF($B$3="",1E+9,IFERROR(SMALL('仕入請求台帳'!$U$5:$U$504,$J118+1),1E+9))</f>
        <v/>
      </c>
      <c r="M118" s="35">
        <f>IF($B$3="",1E+9,IFERROR(SMALL('仕入請求台帳'!$V$5:$V$504,$K118+1),1E+9))</f>
        <v/>
      </c>
      <c r="N118" s="32">
        <f>IF(MIN($L118,$M118)&gt;=1E+9,"",IF($L118&lt;=$M118,"増","減"))</f>
        <v/>
      </c>
      <c r="O118" s="32">
        <f>IF($N118="","",IF($N118="増",MATCH($L118,'仕入請求台帳'!$U$5:$U$504,0),MATCH($M118,'仕入請求台帳'!$V$5:$V$504,0)))</f>
        <v/>
      </c>
      <c r="P118" s="56" t="n"/>
      <c r="Q118" s="56" t="n"/>
    </row>
    <row r="119" ht="18" customHeight="1">
      <c r="A119" s="45">
        <f>IF($N119="","",IF($N119="増",INDEX('仕入請求台帳'!$S$5:$S$504,$O119),INDEX('仕入請求台帳'!$K$5:$K$504,$O119)))</f>
        <v/>
      </c>
      <c r="B119" s="46">
        <f>IF($N119="","",IF($N119="増","仕入","支払"))</f>
        <v/>
      </c>
      <c r="C119" s="46">
        <f>IF($N119="","",IF($N119="増",INDEX('仕入請求台帳'!$E$5:$E$504,$O119)&amp;"",INDEX('仕入請求台帳'!$E$5:$E$504,$O119)&amp;""))</f>
        <v/>
      </c>
      <c r="D119" s="47">
        <f>IF($N119="","",IF($N119="増",INDEX('仕入請求台帳'!$F$5:$F$504,$O119)&amp;"","支払"))</f>
        <v/>
      </c>
      <c r="E119" s="48">
        <f>IF($N119&lt;&gt;"増","",INDEX('仕入請求台帳'!$G$5:$G$504,$O119))</f>
        <v/>
      </c>
      <c r="F119" s="48">
        <f>IF($N119&lt;&gt;"減","",N(INDEX('仕入請求台帳'!$L$5:$L$504,$O119)))</f>
        <v/>
      </c>
      <c r="G119" s="48">
        <f>IF($N119&lt;&gt;"減","",N(INDEX('仕入請求台帳'!$M$5:$M$504,$O119)))</f>
        <v/>
      </c>
      <c r="H119" s="49">
        <f>IF($N119="","",$H118+N($E119)-N($F119)-N($G119))</f>
        <v/>
      </c>
      <c r="I119" s="56" t="n"/>
      <c r="J119" s="32">
        <f>$J118+IF($N118="増",1,0)</f>
        <v/>
      </c>
      <c r="K119" s="32">
        <f>$K118+IF($N118="減",1,0)</f>
        <v/>
      </c>
      <c r="L119" s="35">
        <f>IF($B$3="",1E+9,IFERROR(SMALL('仕入請求台帳'!$U$5:$U$504,$J119+1),1E+9))</f>
        <v/>
      </c>
      <c r="M119" s="35">
        <f>IF($B$3="",1E+9,IFERROR(SMALL('仕入請求台帳'!$V$5:$V$504,$K119+1),1E+9))</f>
        <v/>
      </c>
      <c r="N119" s="32">
        <f>IF(MIN($L119,$M119)&gt;=1E+9,"",IF($L119&lt;=$M119,"増","減"))</f>
        <v/>
      </c>
      <c r="O119" s="32">
        <f>IF($N119="","",IF($N119="増",MATCH($L119,'仕入請求台帳'!$U$5:$U$504,0),MATCH($M119,'仕入請求台帳'!$V$5:$V$504,0)))</f>
        <v/>
      </c>
      <c r="P119" s="56" t="n"/>
      <c r="Q119" s="56" t="n"/>
    </row>
    <row r="120" ht="18" customHeight="1">
      <c r="A120" s="45">
        <f>IF($N120="","",IF($N120="増",INDEX('仕入請求台帳'!$S$5:$S$504,$O120),INDEX('仕入請求台帳'!$K$5:$K$504,$O120)))</f>
        <v/>
      </c>
      <c r="B120" s="46">
        <f>IF($N120="","",IF($N120="増","仕入","支払"))</f>
        <v/>
      </c>
      <c r="C120" s="46">
        <f>IF($N120="","",IF($N120="増",INDEX('仕入請求台帳'!$E$5:$E$504,$O120)&amp;"",INDEX('仕入請求台帳'!$E$5:$E$504,$O120)&amp;""))</f>
        <v/>
      </c>
      <c r="D120" s="47">
        <f>IF($N120="","",IF($N120="増",INDEX('仕入請求台帳'!$F$5:$F$504,$O120)&amp;"","支払"))</f>
        <v/>
      </c>
      <c r="E120" s="48">
        <f>IF($N120&lt;&gt;"増","",INDEX('仕入請求台帳'!$G$5:$G$504,$O120))</f>
        <v/>
      </c>
      <c r="F120" s="48">
        <f>IF($N120&lt;&gt;"減","",N(INDEX('仕入請求台帳'!$L$5:$L$504,$O120)))</f>
        <v/>
      </c>
      <c r="G120" s="48">
        <f>IF($N120&lt;&gt;"減","",N(INDEX('仕入請求台帳'!$M$5:$M$504,$O120)))</f>
        <v/>
      </c>
      <c r="H120" s="49">
        <f>IF($N120="","",$H119+N($E120)-N($F120)-N($G120))</f>
        <v/>
      </c>
      <c r="I120" s="56" t="n"/>
      <c r="J120" s="32">
        <f>$J119+IF($N119="増",1,0)</f>
        <v/>
      </c>
      <c r="K120" s="32">
        <f>$K119+IF($N119="減",1,0)</f>
        <v/>
      </c>
      <c r="L120" s="35">
        <f>IF($B$3="",1E+9,IFERROR(SMALL('仕入請求台帳'!$U$5:$U$504,$J120+1),1E+9))</f>
        <v/>
      </c>
      <c r="M120" s="35">
        <f>IF($B$3="",1E+9,IFERROR(SMALL('仕入請求台帳'!$V$5:$V$504,$K120+1),1E+9))</f>
        <v/>
      </c>
      <c r="N120" s="32">
        <f>IF(MIN($L120,$M120)&gt;=1E+9,"",IF($L120&lt;=$M120,"増","減"))</f>
        <v/>
      </c>
      <c r="O120" s="32">
        <f>IF($N120="","",IF($N120="増",MATCH($L120,'仕入請求台帳'!$U$5:$U$504,0),MATCH($M120,'仕入請求台帳'!$V$5:$V$504,0)))</f>
        <v/>
      </c>
      <c r="P120" s="56" t="n"/>
      <c r="Q120" s="56" t="n"/>
    </row>
    <row r="121" ht="18" customHeight="1">
      <c r="A121" s="45">
        <f>IF($N121="","",IF($N121="増",INDEX('仕入請求台帳'!$S$5:$S$504,$O121),INDEX('仕入請求台帳'!$K$5:$K$504,$O121)))</f>
        <v/>
      </c>
      <c r="B121" s="46">
        <f>IF($N121="","",IF($N121="増","仕入","支払"))</f>
        <v/>
      </c>
      <c r="C121" s="46">
        <f>IF($N121="","",IF($N121="増",INDEX('仕入請求台帳'!$E$5:$E$504,$O121)&amp;"",INDEX('仕入請求台帳'!$E$5:$E$504,$O121)&amp;""))</f>
        <v/>
      </c>
      <c r="D121" s="47">
        <f>IF($N121="","",IF($N121="増",INDEX('仕入請求台帳'!$F$5:$F$504,$O121)&amp;"","支払"))</f>
        <v/>
      </c>
      <c r="E121" s="48">
        <f>IF($N121&lt;&gt;"増","",INDEX('仕入請求台帳'!$G$5:$G$504,$O121))</f>
        <v/>
      </c>
      <c r="F121" s="48">
        <f>IF($N121&lt;&gt;"減","",N(INDEX('仕入請求台帳'!$L$5:$L$504,$O121)))</f>
        <v/>
      </c>
      <c r="G121" s="48">
        <f>IF($N121&lt;&gt;"減","",N(INDEX('仕入請求台帳'!$M$5:$M$504,$O121)))</f>
        <v/>
      </c>
      <c r="H121" s="49">
        <f>IF($N121="","",$H120+N($E121)-N($F121)-N($G121))</f>
        <v/>
      </c>
      <c r="I121" s="56" t="n"/>
      <c r="J121" s="32">
        <f>$J120+IF($N120="増",1,0)</f>
        <v/>
      </c>
      <c r="K121" s="32">
        <f>$K120+IF($N120="減",1,0)</f>
        <v/>
      </c>
      <c r="L121" s="35">
        <f>IF($B$3="",1E+9,IFERROR(SMALL('仕入請求台帳'!$U$5:$U$504,$J121+1),1E+9))</f>
        <v/>
      </c>
      <c r="M121" s="35">
        <f>IF($B$3="",1E+9,IFERROR(SMALL('仕入請求台帳'!$V$5:$V$504,$K121+1),1E+9))</f>
        <v/>
      </c>
      <c r="N121" s="32">
        <f>IF(MIN($L121,$M121)&gt;=1E+9,"",IF($L121&lt;=$M121,"増","減"))</f>
        <v/>
      </c>
      <c r="O121" s="32">
        <f>IF($N121="","",IF($N121="増",MATCH($L121,'仕入請求台帳'!$U$5:$U$504,0),MATCH($M121,'仕入請求台帳'!$V$5:$V$504,0)))</f>
        <v/>
      </c>
      <c r="P121" s="56" t="n"/>
      <c r="Q121" s="56" t="n"/>
    </row>
    <row r="122" ht="18" customHeight="1">
      <c r="A122" s="45">
        <f>IF($N122="","",IF($N122="増",INDEX('仕入請求台帳'!$S$5:$S$504,$O122),INDEX('仕入請求台帳'!$K$5:$K$504,$O122)))</f>
        <v/>
      </c>
      <c r="B122" s="46">
        <f>IF($N122="","",IF($N122="増","仕入","支払"))</f>
        <v/>
      </c>
      <c r="C122" s="46">
        <f>IF($N122="","",IF($N122="増",INDEX('仕入請求台帳'!$E$5:$E$504,$O122)&amp;"",INDEX('仕入請求台帳'!$E$5:$E$504,$O122)&amp;""))</f>
        <v/>
      </c>
      <c r="D122" s="47">
        <f>IF($N122="","",IF($N122="増",INDEX('仕入請求台帳'!$F$5:$F$504,$O122)&amp;"","支払"))</f>
        <v/>
      </c>
      <c r="E122" s="48">
        <f>IF($N122&lt;&gt;"増","",INDEX('仕入請求台帳'!$G$5:$G$504,$O122))</f>
        <v/>
      </c>
      <c r="F122" s="48">
        <f>IF($N122&lt;&gt;"減","",N(INDEX('仕入請求台帳'!$L$5:$L$504,$O122)))</f>
        <v/>
      </c>
      <c r="G122" s="48">
        <f>IF($N122&lt;&gt;"減","",N(INDEX('仕入請求台帳'!$M$5:$M$504,$O122)))</f>
        <v/>
      </c>
      <c r="H122" s="49">
        <f>IF($N122="","",$H121+N($E122)-N($F122)-N($G122))</f>
        <v/>
      </c>
      <c r="I122" s="56" t="n"/>
      <c r="J122" s="32">
        <f>$J121+IF($N121="増",1,0)</f>
        <v/>
      </c>
      <c r="K122" s="32">
        <f>$K121+IF($N121="減",1,0)</f>
        <v/>
      </c>
      <c r="L122" s="35">
        <f>IF($B$3="",1E+9,IFERROR(SMALL('仕入請求台帳'!$U$5:$U$504,$J122+1),1E+9))</f>
        <v/>
      </c>
      <c r="M122" s="35">
        <f>IF($B$3="",1E+9,IFERROR(SMALL('仕入請求台帳'!$V$5:$V$504,$K122+1),1E+9))</f>
        <v/>
      </c>
      <c r="N122" s="32">
        <f>IF(MIN($L122,$M122)&gt;=1E+9,"",IF($L122&lt;=$M122,"増","減"))</f>
        <v/>
      </c>
      <c r="O122" s="32">
        <f>IF($N122="","",IF($N122="増",MATCH($L122,'仕入請求台帳'!$U$5:$U$504,0),MATCH($M122,'仕入請求台帳'!$V$5:$V$504,0)))</f>
        <v/>
      </c>
      <c r="P122" s="56" t="n"/>
      <c r="Q122" s="56" t="n"/>
    </row>
    <row r="123" ht="18" customHeight="1">
      <c r="A123" s="45">
        <f>IF($N123="","",IF($N123="増",INDEX('仕入請求台帳'!$S$5:$S$504,$O123),INDEX('仕入請求台帳'!$K$5:$K$504,$O123)))</f>
        <v/>
      </c>
      <c r="B123" s="46">
        <f>IF($N123="","",IF($N123="増","仕入","支払"))</f>
        <v/>
      </c>
      <c r="C123" s="46">
        <f>IF($N123="","",IF($N123="増",INDEX('仕入請求台帳'!$E$5:$E$504,$O123)&amp;"",INDEX('仕入請求台帳'!$E$5:$E$504,$O123)&amp;""))</f>
        <v/>
      </c>
      <c r="D123" s="47">
        <f>IF($N123="","",IF($N123="増",INDEX('仕入請求台帳'!$F$5:$F$504,$O123)&amp;"","支払"))</f>
        <v/>
      </c>
      <c r="E123" s="48">
        <f>IF($N123&lt;&gt;"増","",INDEX('仕入請求台帳'!$G$5:$G$504,$O123))</f>
        <v/>
      </c>
      <c r="F123" s="48">
        <f>IF($N123&lt;&gt;"減","",N(INDEX('仕入請求台帳'!$L$5:$L$504,$O123)))</f>
        <v/>
      </c>
      <c r="G123" s="48">
        <f>IF($N123&lt;&gt;"減","",N(INDEX('仕入請求台帳'!$M$5:$M$504,$O123)))</f>
        <v/>
      </c>
      <c r="H123" s="49">
        <f>IF($N123="","",$H122+N($E123)-N($F123)-N($G123))</f>
        <v/>
      </c>
      <c r="I123" s="56" t="n"/>
      <c r="J123" s="32">
        <f>$J122+IF($N122="増",1,0)</f>
        <v/>
      </c>
      <c r="K123" s="32">
        <f>$K122+IF($N122="減",1,0)</f>
        <v/>
      </c>
      <c r="L123" s="35">
        <f>IF($B$3="",1E+9,IFERROR(SMALL('仕入請求台帳'!$U$5:$U$504,$J123+1),1E+9))</f>
        <v/>
      </c>
      <c r="M123" s="35">
        <f>IF($B$3="",1E+9,IFERROR(SMALL('仕入請求台帳'!$V$5:$V$504,$K123+1),1E+9))</f>
        <v/>
      </c>
      <c r="N123" s="32">
        <f>IF(MIN($L123,$M123)&gt;=1E+9,"",IF($L123&lt;=$M123,"増","減"))</f>
        <v/>
      </c>
      <c r="O123" s="32">
        <f>IF($N123="","",IF($N123="増",MATCH($L123,'仕入請求台帳'!$U$5:$U$504,0),MATCH($M123,'仕入請求台帳'!$V$5:$V$504,0)))</f>
        <v/>
      </c>
      <c r="P123" s="56" t="n"/>
      <c r="Q123" s="56" t="n"/>
    </row>
    <row r="124" ht="18" customHeight="1">
      <c r="A124" s="45">
        <f>IF($N124="","",IF($N124="増",INDEX('仕入請求台帳'!$S$5:$S$504,$O124),INDEX('仕入請求台帳'!$K$5:$K$504,$O124)))</f>
        <v/>
      </c>
      <c r="B124" s="46">
        <f>IF($N124="","",IF($N124="増","仕入","支払"))</f>
        <v/>
      </c>
      <c r="C124" s="46">
        <f>IF($N124="","",IF($N124="増",INDEX('仕入請求台帳'!$E$5:$E$504,$O124)&amp;"",INDEX('仕入請求台帳'!$E$5:$E$504,$O124)&amp;""))</f>
        <v/>
      </c>
      <c r="D124" s="47">
        <f>IF($N124="","",IF($N124="増",INDEX('仕入請求台帳'!$F$5:$F$504,$O124)&amp;"","支払"))</f>
        <v/>
      </c>
      <c r="E124" s="48">
        <f>IF($N124&lt;&gt;"増","",INDEX('仕入請求台帳'!$G$5:$G$504,$O124))</f>
        <v/>
      </c>
      <c r="F124" s="48">
        <f>IF($N124&lt;&gt;"減","",N(INDEX('仕入請求台帳'!$L$5:$L$504,$O124)))</f>
        <v/>
      </c>
      <c r="G124" s="48">
        <f>IF($N124&lt;&gt;"減","",N(INDEX('仕入請求台帳'!$M$5:$M$504,$O124)))</f>
        <v/>
      </c>
      <c r="H124" s="49">
        <f>IF($N124="","",$H123+N($E124)-N($F124)-N($G124))</f>
        <v/>
      </c>
      <c r="I124" s="56" t="n"/>
      <c r="J124" s="32">
        <f>$J123+IF($N123="増",1,0)</f>
        <v/>
      </c>
      <c r="K124" s="32">
        <f>$K123+IF($N123="減",1,0)</f>
        <v/>
      </c>
      <c r="L124" s="35">
        <f>IF($B$3="",1E+9,IFERROR(SMALL('仕入請求台帳'!$U$5:$U$504,$J124+1),1E+9))</f>
        <v/>
      </c>
      <c r="M124" s="35">
        <f>IF($B$3="",1E+9,IFERROR(SMALL('仕入請求台帳'!$V$5:$V$504,$K124+1),1E+9))</f>
        <v/>
      </c>
      <c r="N124" s="32">
        <f>IF(MIN($L124,$M124)&gt;=1E+9,"",IF($L124&lt;=$M124,"増","減"))</f>
        <v/>
      </c>
      <c r="O124" s="32">
        <f>IF($N124="","",IF($N124="増",MATCH($L124,'仕入請求台帳'!$U$5:$U$504,0),MATCH($M124,'仕入請求台帳'!$V$5:$V$504,0)))</f>
        <v/>
      </c>
      <c r="P124" s="56" t="n"/>
      <c r="Q124" s="56" t="n"/>
    </row>
    <row r="125" ht="18" customHeight="1">
      <c r="A125" s="45">
        <f>IF($N125="","",IF($N125="増",INDEX('仕入請求台帳'!$S$5:$S$504,$O125),INDEX('仕入請求台帳'!$K$5:$K$504,$O125)))</f>
        <v/>
      </c>
      <c r="B125" s="46">
        <f>IF($N125="","",IF($N125="増","仕入","支払"))</f>
        <v/>
      </c>
      <c r="C125" s="46">
        <f>IF($N125="","",IF($N125="増",INDEX('仕入請求台帳'!$E$5:$E$504,$O125)&amp;"",INDEX('仕入請求台帳'!$E$5:$E$504,$O125)&amp;""))</f>
        <v/>
      </c>
      <c r="D125" s="47">
        <f>IF($N125="","",IF($N125="増",INDEX('仕入請求台帳'!$F$5:$F$504,$O125)&amp;"","支払"))</f>
        <v/>
      </c>
      <c r="E125" s="48">
        <f>IF($N125&lt;&gt;"増","",INDEX('仕入請求台帳'!$G$5:$G$504,$O125))</f>
        <v/>
      </c>
      <c r="F125" s="48">
        <f>IF($N125&lt;&gt;"減","",N(INDEX('仕入請求台帳'!$L$5:$L$504,$O125)))</f>
        <v/>
      </c>
      <c r="G125" s="48">
        <f>IF($N125&lt;&gt;"減","",N(INDEX('仕入請求台帳'!$M$5:$M$504,$O125)))</f>
        <v/>
      </c>
      <c r="H125" s="49">
        <f>IF($N125="","",$H124+N($E125)-N($F125)-N($G125))</f>
        <v/>
      </c>
      <c r="I125" s="56" t="n"/>
      <c r="J125" s="32">
        <f>$J124+IF($N124="増",1,0)</f>
        <v/>
      </c>
      <c r="K125" s="32">
        <f>$K124+IF($N124="減",1,0)</f>
        <v/>
      </c>
      <c r="L125" s="35">
        <f>IF($B$3="",1E+9,IFERROR(SMALL('仕入請求台帳'!$U$5:$U$504,$J125+1),1E+9))</f>
        <v/>
      </c>
      <c r="M125" s="35">
        <f>IF($B$3="",1E+9,IFERROR(SMALL('仕入請求台帳'!$V$5:$V$504,$K125+1),1E+9))</f>
        <v/>
      </c>
      <c r="N125" s="32">
        <f>IF(MIN($L125,$M125)&gt;=1E+9,"",IF($L125&lt;=$M125,"増","減"))</f>
        <v/>
      </c>
      <c r="O125" s="32">
        <f>IF($N125="","",IF($N125="増",MATCH($L125,'仕入請求台帳'!$U$5:$U$504,0),MATCH($M125,'仕入請求台帳'!$V$5:$V$504,0)))</f>
        <v/>
      </c>
      <c r="P125" s="56" t="n"/>
      <c r="Q125" s="56" t="n"/>
    </row>
    <row r="126" ht="18" customHeight="1">
      <c r="A126" s="45">
        <f>IF($N126="","",IF($N126="増",INDEX('仕入請求台帳'!$S$5:$S$504,$O126),INDEX('仕入請求台帳'!$K$5:$K$504,$O126)))</f>
        <v/>
      </c>
      <c r="B126" s="46">
        <f>IF($N126="","",IF($N126="増","仕入","支払"))</f>
        <v/>
      </c>
      <c r="C126" s="46">
        <f>IF($N126="","",IF($N126="増",INDEX('仕入請求台帳'!$E$5:$E$504,$O126)&amp;"",INDEX('仕入請求台帳'!$E$5:$E$504,$O126)&amp;""))</f>
        <v/>
      </c>
      <c r="D126" s="47">
        <f>IF($N126="","",IF($N126="増",INDEX('仕入請求台帳'!$F$5:$F$504,$O126)&amp;"","支払"))</f>
        <v/>
      </c>
      <c r="E126" s="48">
        <f>IF($N126&lt;&gt;"増","",INDEX('仕入請求台帳'!$G$5:$G$504,$O126))</f>
        <v/>
      </c>
      <c r="F126" s="48">
        <f>IF($N126&lt;&gt;"減","",N(INDEX('仕入請求台帳'!$L$5:$L$504,$O126)))</f>
        <v/>
      </c>
      <c r="G126" s="48">
        <f>IF($N126&lt;&gt;"減","",N(INDEX('仕入請求台帳'!$M$5:$M$504,$O126)))</f>
        <v/>
      </c>
      <c r="H126" s="49">
        <f>IF($N126="","",$H125+N($E126)-N($F126)-N($G126))</f>
        <v/>
      </c>
      <c r="I126" s="56" t="n"/>
      <c r="J126" s="32">
        <f>$J125+IF($N125="増",1,0)</f>
        <v/>
      </c>
      <c r="K126" s="32">
        <f>$K125+IF($N125="減",1,0)</f>
        <v/>
      </c>
      <c r="L126" s="35">
        <f>IF($B$3="",1E+9,IFERROR(SMALL('仕入請求台帳'!$U$5:$U$504,$J126+1),1E+9))</f>
        <v/>
      </c>
      <c r="M126" s="35">
        <f>IF($B$3="",1E+9,IFERROR(SMALL('仕入請求台帳'!$V$5:$V$504,$K126+1),1E+9))</f>
        <v/>
      </c>
      <c r="N126" s="32">
        <f>IF(MIN($L126,$M126)&gt;=1E+9,"",IF($L126&lt;=$M126,"増","減"))</f>
        <v/>
      </c>
      <c r="O126" s="32">
        <f>IF($N126="","",IF($N126="増",MATCH($L126,'仕入請求台帳'!$U$5:$U$504,0),MATCH($M126,'仕入請求台帳'!$V$5:$V$504,0)))</f>
        <v/>
      </c>
      <c r="P126" s="56" t="n"/>
      <c r="Q126" s="56" t="n"/>
    </row>
    <row r="127" ht="18" customHeight="1">
      <c r="A127" s="45">
        <f>IF($N127="","",IF($N127="増",INDEX('仕入請求台帳'!$S$5:$S$504,$O127),INDEX('仕入請求台帳'!$K$5:$K$504,$O127)))</f>
        <v/>
      </c>
      <c r="B127" s="46">
        <f>IF($N127="","",IF($N127="増","仕入","支払"))</f>
        <v/>
      </c>
      <c r="C127" s="46">
        <f>IF($N127="","",IF($N127="増",INDEX('仕入請求台帳'!$E$5:$E$504,$O127)&amp;"",INDEX('仕入請求台帳'!$E$5:$E$504,$O127)&amp;""))</f>
        <v/>
      </c>
      <c r="D127" s="47">
        <f>IF($N127="","",IF($N127="増",INDEX('仕入請求台帳'!$F$5:$F$504,$O127)&amp;"","支払"))</f>
        <v/>
      </c>
      <c r="E127" s="48">
        <f>IF($N127&lt;&gt;"増","",INDEX('仕入請求台帳'!$G$5:$G$504,$O127))</f>
        <v/>
      </c>
      <c r="F127" s="48">
        <f>IF($N127&lt;&gt;"減","",N(INDEX('仕入請求台帳'!$L$5:$L$504,$O127)))</f>
        <v/>
      </c>
      <c r="G127" s="48">
        <f>IF($N127&lt;&gt;"減","",N(INDEX('仕入請求台帳'!$M$5:$M$504,$O127)))</f>
        <v/>
      </c>
      <c r="H127" s="49">
        <f>IF($N127="","",$H126+N($E127)-N($F127)-N($G127))</f>
        <v/>
      </c>
      <c r="I127" s="56" t="n"/>
      <c r="J127" s="32">
        <f>$J126+IF($N126="増",1,0)</f>
        <v/>
      </c>
      <c r="K127" s="32">
        <f>$K126+IF($N126="減",1,0)</f>
        <v/>
      </c>
      <c r="L127" s="35">
        <f>IF($B$3="",1E+9,IFERROR(SMALL('仕入請求台帳'!$U$5:$U$504,$J127+1),1E+9))</f>
        <v/>
      </c>
      <c r="M127" s="35">
        <f>IF($B$3="",1E+9,IFERROR(SMALL('仕入請求台帳'!$V$5:$V$504,$K127+1),1E+9))</f>
        <v/>
      </c>
      <c r="N127" s="32">
        <f>IF(MIN($L127,$M127)&gt;=1E+9,"",IF($L127&lt;=$M127,"増","減"))</f>
        <v/>
      </c>
      <c r="O127" s="32">
        <f>IF($N127="","",IF($N127="増",MATCH($L127,'仕入請求台帳'!$U$5:$U$504,0),MATCH($M127,'仕入請求台帳'!$V$5:$V$504,0)))</f>
        <v/>
      </c>
      <c r="P127" s="56" t="n"/>
      <c r="Q127" s="56" t="n"/>
    </row>
    <row r="128" ht="18" customHeight="1">
      <c r="A128" s="45">
        <f>IF($N128="","",IF($N128="増",INDEX('仕入請求台帳'!$S$5:$S$504,$O128),INDEX('仕入請求台帳'!$K$5:$K$504,$O128)))</f>
        <v/>
      </c>
      <c r="B128" s="46">
        <f>IF($N128="","",IF($N128="増","仕入","支払"))</f>
        <v/>
      </c>
      <c r="C128" s="46">
        <f>IF($N128="","",IF($N128="増",INDEX('仕入請求台帳'!$E$5:$E$504,$O128)&amp;"",INDEX('仕入請求台帳'!$E$5:$E$504,$O128)&amp;""))</f>
        <v/>
      </c>
      <c r="D128" s="47">
        <f>IF($N128="","",IF($N128="増",INDEX('仕入請求台帳'!$F$5:$F$504,$O128)&amp;"","支払"))</f>
        <v/>
      </c>
      <c r="E128" s="48">
        <f>IF($N128&lt;&gt;"増","",INDEX('仕入請求台帳'!$G$5:$G$504,$O128))</f>
        <v/>
      </c>
      <c r="F128" s="48">
        <f>IF($N128&lt;&gt;"減","",N(INDEX('仕入請求台帳'!$L$5:$L$504,$O128)))</f>
        <v/>
      </c>
      <c r="G128" s="48">
        <f>IF($N128&lt;&gt;"減","",N(INDEX('仕入請求台帳'!$M$5:$M$504,$O128)))</f>
        <v/>
      </c>
      <c r="H128" s="49">
        <f>IF($N128="","",$H127+N($E128)-N($F128)-N($G128))</f>
        <v/>
      </c>
      <c r="I128" s="56" t="n"/>
      <c r="J128" s="32">
        <f>$J127+IF($N127="増",1,0)</f>
        <v/>
      </c>
      <c r="K128" s="32">
        <f>$K127+IF($N127="減",1,0)</f>
        <v/>
      </c>
      <c r="L128" s="35">
        <f>IF($B$3="",1E+9,IFERROR(SMALL('仕入請求台帳'!$U$5:$U$504,$J128+1),1E+9))</f>
        <v/>
      </c>
      <c r="M128" s="35">
        <f>IF($B$3="",1E+9,IFERROR(SMALL('仕入請求台帳'!$V$5:$V$504,$K128+1),1E+9))</f>
        <v/>
      </c>
      <c r="N128" s="32">
        <f>IF(MIN($L128,$M128)&gt;=1E+9,"",IF($L128&lt;=$M128,"増","減"))</f>
        <v/>
      </c>
      <c r="O128" s="32">
        <f>IF($N128="","",IF($N128="増",MATCH($L128,'仕入請求台帳'!$U$5:$U$504,0),MATCH($M128,'仕入請求台帳'!$V$5:$V$504,0)))</f>
        <v/>
      </c>
      <c r="P128" s="56" t="n"/>
      <c r="Q128" s="56" t="n"/>
    </row>
    <row r="129" ht="18" customHeight="1">
      <c r="A129" s="45">
        <f>IF($N129="","",IF($N129="増",INDEX('仕入請求台帳'!$S$5:$S$504,$O129),INDEX('仕入請求台帳'!$K$5:$K$504,$O129)))</f>
        <v/>
      </c>
      <c r="B129" s="46">
        <f>IF($N129="","",IF($N129="増","仕入","支払"))</f>
        <v/>
      </c>
      <c r="C129" s="46">
        <f>IF($N129="","",IF($N129="増",INDEX('仕入請求台帳'!$E$5:$E$504,$O129)&amp;"",INDEX('仕入請求台帳'!$E$5:$E$504,$O129)&amp;""))</f>
        <v/>
      </c>
      <c r="D129" s="47">
        <f>IF($N129="","",IF($N129="増",INDEX('仕入請求台帳'!$F$5:$F$504,$O129)&amp;"","支払"))</f>
        <v/>
      </c>
      <c r="E129" s="48">
        <f>IF($N129&lt;&gt;"増","",INDEX('仕入請求台帳'!$G$5:$G$504,$O129))</f>
        <v/>
      </c>
      <c r="F129" s="48">
        <f>IF($N129&lt;&gt;"減","",N(INDEX('仕入請求台帳'!$L$5:$L$504,$O129)))</f>
        <v/>
      </c>
      <c r="G129" s="48">
        <f>IF($N129&lt;&gt;"減","",N(INDEX('仕入請求台帳'!$M$5:$M$504,$O129)))</f>
        <v/>
      </c>
      <c r="H129" s="49">
        <f>IF($N129="","",$H128+N($E129)-N($F129)-N($G129))</f>
        <v/>
      </c>
      <c r="I129" s="56" t="n"/>
      <c r="J129" s="32">
        <f>$J128+IF($N128="増",1,0)</f>
        <v/>
      </c>
      <c r="K129" s="32">
        <f>$K128+IF($N128="減",1,0)</f>
        <v/>
      </c>
      <c r="L129" s="35">
        <f>IF($B$3="",1E+9,IFERROR(SMALL('仕入請求台帳'!$U$5:$U$504,$J129+1),1E+9))</f>
        <v/>
      </c>
      <c r="M129" s="35">
        <f>IF($B$3="",1E+9,IFERROR(SMALL('仕入請求台帳'!$V$5:$V$504,$K129+1),1E+9))</f>
        <v/>
      </c>
      <c r="N129" s="32">
        <f>IF(MIN($L129,$M129)&gt;=1E+9,"",IF($L129&lt;=$M129,"増","減"))</f>
        <v/>
      </c>
      <c r="O129" s="32">
        <f>IF($N129="","",IF($N129="増",MATCH($L129,'仕入請求台帳'!$U$5:$U$504,0),MATCH($M129,'仕入請求台帳'!$V$5:$V$504,0)))</f>
        <v/>
      </c>
      <c r="P129" s="56" t="n"/>
      <c r="Q129" s="56" t="n"/>
    </row>
    <row r="130" ht="18" customHeight="1">
      <c r="A130" s="45">
        <f>IF($N130="","",IF($N130="増",INDEX('仕入請求台帳'!$S$5:$S$504,$O130),INDEX('仕入請求台帳'!$K$5:$K$504,$O130)))</f>
        <v/>
      </c>
      <c r="B130" s="46">
        <f>IF($N130="","",IF($N130="増","仕入","支払"))</f>
        <v/>
      </c>
      <c r="C130" s="46">
        <f>IF($N130="","",IF($N130="増",INDEX('仕入請求台帳'!$E$5:$E$504,$O130)&amp;"",INDEX('仕入請求台帳'!$E$5:$E$504,$O130)&amp;""))</f>
        <v/>
      </c>
      <c r="D130" s="47">
        <f>IF($N130="","",IF($N130="増",INDEX('仕入請求台帳'!$F$5:$F$504,$O130)&amp;"","支払"))</f>
        <v/>
      </c>
      <c r="E130" s="48">
        <f>IF($N130&lt;&gt;"増","",INDEX('仕入請求台帳'!$G$5:$G$504,$O130))</f>
        <v/>
      </c>
      <c r="F130" s="48">
        <f>IF($N130&lt;&gt;"減","",N(INDEX('仕入請求台帳'!$L$5:$L$504,$O130)))</f>
        <v/>
      </c>
      <c r="G130" s="48">
        <f>IF($N130&lt;&gt;"減","",N(INDEX('仕入請求台帳'!$M$5:$M$504,$O130)))</f>
        <v/>
      </c>
      <c r="H130" s="49">
        <f>IF($N130="","",$H129+N($E130)-N($F130)-N($G130))</f>
        <v/>
      </c>
      <c r="I130" s="56" t="n"/>
      <c r="J130" s="32">
        <f>$J129+IF($N129="増",1,0)</f>
        <v/>
      </c>
      <c r="K130" s="32">
        <f>$K129+IF($N129="減",1,0)</f>
        <v/>
      </c>
      <c r="L130" s="35">
        <f>IF($B$3="",1E+9,IFERROR(SMALL('仕入請求台帳'!$U$5:$U$504,$J130+1),1E+9))</f>
        <v/>
      </c>
      <c r="M130" s="35">
        <f>IF($B$3="",1E+9,IFERROR(SMALL('仕入請求台帳'!$V$5:$V$504,$K130+1),1E+9))</f>
        <v/>
      </c>
      <c r="N130" s="32">
        <f>IF(MIN($L130,$M130)&gt;=1E+9,"",IF($L130&lt;=$M130,"増","減"))</f>
        <v/>
      </c>
      <c r="O130" s="32">
        <f>IF($N130="","",IF($N130="増",MATCH($L130,'仕入請求台帳'!$U$5:$U$504,0),MATCH($M130,'仕入請求台帳'!$V$5:$V$504,0)))</f>
        <v/>
      </c>
      <c r="P130" s="56" t="n"/>
      <c r="Q130" s="56" t="n"/>
    </row>
    <row r="131" ht="18" customHeight="1">
      <c r="A131" s="45">
        <f>IF($N131="","",IF($N131="増",INDEX('仕入請求台帳'!$S$5:$S$504,$O131),INDEX('仕入請求台帳'!$K$5:$K$504,$O131)))</f>
        <v/>
      </c>
      <c r="B131" s="46">
        <f>IF($N131="","",IF($N131="増","仕入","支払"))</f>
        <v/>
      </c>
      <c r="C131" s="46">
        <f>IF($N131="","",IF($N131="増",INDEX('仕入請求台帳'!$E$5:$E$504,$O131)&amp;"",INDEX('仕入請求台帳'!$E$5:$E$504,$O131)&amp;""))</f>
        <v/>
      </c>
      <c r="D131" s="47">
        <f>IF($N131="","",IF($N131="増",INDEX('仕入請求台帳'!$F$5:$F$504,$O131)&amp;"","支払"))</f>
        <v/>
      </c>
      <c r="E131" s="48">
        <f>IF($N131&lt;&gt;"増","",INDEX('仕入請求台帳'!$G$5:$G$504,$O131))</f>
        <v/>
      </c>
      <c r="F131" s="48">
        <f>IF($N131&lt;&gt;"減","",N(INDEX('仕入請求台帳'!$L$5:$L$504,$O131)))</f>
        <v/>
      </c>
      <c r="G131" s="48">
        <f>IF($N131&lt;&gt;"減","",N(INDEX('仕入請求台帳'!$M$5:$M$504,$O131)))</f>
        <v/>
      </c>
      <c r="H131" s="49">
        <f>IF($N131="","",$H130+N($E131)-N($F131)-N($G131))</f>
        <v/>
      </c>
      <c r="I131" s="56" t="n"/>
      <c r="J131" s="32">
        <f>$J130+IF($N130="増",1,0)</f>
        <v/>
      </c>
      <c r="K131" s="32">
        <f>$K130+IF($N130="減",1,0)</f>
        <v/>
      </c>
      <c r="L131" s="35">
        <f>IF($B$3="",1E+9,IFERROR(SMALL('仕入請求台帳'!$U$5:$U$504,$J131+1),1E+9))</f>
        <v/>
      </c>
      <c r="M131" s="35">
        <f>IF($B$3="",1E+9,IFERROR(SMALL('仕入請求台帳'!$V$5:$V$504,$K131+1),1E+9))</f>
        <v/>
      </c>
      <c r="N131" s="32">
        <f>IF(MIN($L131,$M131)&gt;=1E+9,"",IF($L131&lt;=$M131,"増","減"))</f>
        <v/>
      </c>
      <c r="O131" s="32">
        <f>IF($N131="","",IF($N131="増",MATCH($L131,'仕入請求台帳'!$U$5:$U$504,0),MATCH($M131,'仕入請求台帳'!$V$5:$V$504,0)))</f>
        <v/>
      </c>
      <c r="P131" s="56" t="n"/>
      <c r="Q131" s="56" t="n"/>
    </row>
    <row r="132" ht="18" customHeight="1">
      <c r="A132" s="45">
        <f>IF($N132="","",IF($N132="増",INDEX('仕入請求台帳'!$S$5:$S$504,$O132),INDEX('仕入請求台帳'!$K$5:$K$504,$O132)))</f>
        <v/>
      </c>
      <c r="B132" s="46">
        <f>IF($N132="","",IF($N132="増","仕入","支払"))</f>
        <v/>
      </c>
      <c r="C132" s="46">
        <f>IF($N132="","",IF($N132="増",INDEX('仕入請求台帳'!$E$5:$E$504,$O132)&amp;"",INDEX('仕入請求台帳'!$E$5:$E$504,$O132)&amp;""))</f>
        <v/>
      </c>
      <c r="D132" s="47">
        <f>IF($N132="","",IF($N132="増",INDEX('仕入請求台帳'!$F$5:$F$504,$O132)&amp;"","支払"))</f>
        <v/>
      </c>
      <c r="E132" s="48">
        <f>IF($N132&lt;&gt;"増","",INDEX('仕入請求台帳'!$G$5:$G$504,$O132))</f>
        <v/>
      </c>
      <c r="F132" s="48">
        <f>IF($N132&lt;&gt;"減","",N(INDEX('仕入請求台帳'!$L$5:$L$504,$O132)))</f>
        <v/>
      </c>
      <c r="G132" s="48">
        <f>IF($N132&lt;&gt;"減","",N(INDEX('仕入請求台帳'!$M$5:$M$504,$O132)))</f>
        <v/>
      </c>
      <c r="H132" s="49">
        <f>IF($N132="","",$H131+N($E132)-N($F132)-N($G132))</f>
        <v/>
      </c>
      <c r="I132" s="56" t="n"/>
      <c r="J132" s="32">
        <f>$J131+IF($N131="増",1,0)</f>
        <v/>
      </c>
      <c r="K132" s="32">
        <f>$K131+IF($N131="減",1,0)</f>
        <v/>
      </c>
      <c r="L132" s="35">
        <f>IF($B$3="",1E+9,IFERROR(SMALL('仕入請求台帳'!$U$5:$U$504,$J132+1),1E+9))</f>
        <v/>
      </c>
      <c r="M132" s="35">
        <f>IF($B$3="",1E+9,IFERROR(SMALL('仕入請求台帳'!$V$5:$V$504,$K132+1),1E+9))</f>
        <v/>
      </c>
      <c r="N132" s="32">
        <f>IF(MIN($L132,$M132)&gt;=1E+9,"",IF($L132&lt;=$M132,"増","減"))</f>
        <v/>
      </c>
      <c r="O132" s="32">
        <f>IF($N132="","",IF($N132="増",MATCH($L132,'仕入請求台帳'!$U$5:$U$504,0),MATCH($M132,'仕入請求台帳'!$V$5:$V$504,0)))</f>
        <v/>
      </c>
      <c r="P132" s="56" t="n"/>
      <c r="Q132" s="56" t="n"/>
    </row>
    <row r="133" ht="18" customHeight="1">
      <c r="A133" s="45">
        <f>IF($N133="","",IF($N133="増",INDEX('仕入請求台帳'!$S$5:$S$504,$O133),INDEX('仕入請求台帳'!$K$5:$K$504,$O133)))</f>
        <v/>
      </c>
      <c r="B133" s="46">
        <f>IF($N133="","",IF($N133="増","仕入","支払"))</f>
        <v/>
      </c>
      <c r="C133" s="46">
        <f>IF($N133="","",IF($N133="増",INDEX('仕入請求台帳'!$E$5:$E$504,$O133)&amp;"",INDEX('仕入請求台帳'!$E$5:$E$504,$O133)&amp;""))</f>
        <v/>
      </c>
      <c r="D133" s="47">
        <f>IF($N133="","",IF($N133="増",INDEX('仕入請求台帳'!$F$5:$F$504,$O133)&amp;"","支払"))</f>
        <v/>
      </c>
      <c r="E133" s="48">
        <f>IF($N133&lt;&gt;"増","",INDEX('仕入請求台帳'!$G$5:$G$504,$O133))</f>
        <v/>
      </c>
      <c r="F133" s="48">
        <f>IF($N133&lt;&gt;"減","",N(INDEX('仕入請求台帳'!$L$5:$L$504,$O133)))</f>
        <v/>
      </c>
      <c r="G133" s="48">
        <f>IF($N133&lt;&gt;"減","",N(INDEX('仕入請求台帳'!$M$5:$M$504,$O133)))</f>
        <v/>
      </c>
      <c r="H133" s="49">
        <f>IF($N133="","",$H132+N($E133)-N($F133)-N($G133))</f>
        <v/>
      </c>
      <c r="I133" s="56" t="n"/>
      <c r="J133" s="32">
        <f>$J132+IF($N132="増",1,0)</f>
        <v/>
      </c>
      <c r="K133" s="32">
        <f>$K132+IF($N132="減",1,0)</f>
        <v/>
      </c>
      <c r="L133" s="35">
        <f>IF($B$3="",1E+9,IFERROR(SMALL('仕入請求台帳'!$U$5:$U$504,$J133+1),1E+9))</f>
        <v/>
      </c>
      <c r="M133" s="35">
        <f>IF($B$3="",1E+9,IFERROR(SMALL('仕入請求台帳'!$V$5:$V$504,$K133+1),1E+9))</f>
        <v/>
      </c>
      <c r="N133" s="32">
        <f>IF(MIN($L133,$M133)&gt;=1E+9,"",IF($L133&lt;=$M133,"増","減"))</f>
        <v/>
      </c>
      <c r="O133" s="32">
        <f>IF($N133="","",IF($N133="増",MATCH($L133,'仕入請求台帳'!$U$5:$U$504,0),MATCH($M133,'仕入請求台帳'!$V$5:$V$504,0)))</f>
        <v/>
      </c>
      <c r="P133" s="56" t="n"/>
      <c r="Q133" s="56" t="n"/>
    </row>
    <row r="134" ht="18" customHeight="1">
      <c r="A134" s="45">
        <f>IF($N134="","",IF($N134="増",INDEX('仕入請求台帳'!$S$5:$S$504,$O134),INDEX('仕入請求台帳'!$K$5:$K$504,$O134)))</f>
        <v/>
      </c>
      <c r="B134" s="46">
        <f>IF($N134="","",IF($N134="増","仕入","支払"))</f>
        <v/>
      </c>
      <c r="C134" s="46">
        <f>IF($N134="","",IF($N134="増",INDEX('仕入請求台帳'!$E$5:$E$504,$O134)&amp;"",INDEX('仕入請求台帳'!$E$5:$E$504,$O134)&amp;""))</f>
        <v/>
      </c>
      <c r="D134" s="47">
        <f>IF($N134="","",IF($N134="増",INDEX('仕入請求台帳'!$F$5:$F$504,$O134)&amp;"","支払"))</f>
        <v/>
      </c>
      <c r="E134" s="48">
        <f>IF($N134&lt;&gt;"増","",INDEX('仕入請求台帳'!$G$5:$G$504,$O134))</f>
        <v/>
      </c>
      <c r="F134" s="48">
        <f>IF($N134&lt;&gt;"減","",N(INDEX('仕入請求台帳'!$L$5:$L$504,$O134)))</f>
        <v/>
      </c>
      <c r="G134" s="48">
        <f>IF($N134&lt;&gt;"減","",N(INDEX('仕入請求台帳'!$M$5:$M$504,$O134)))</f>
        <v/>
      </c>
      <c r="H134" s="49">
        <f>IF($N134="","",$H133+N($E134)-N($F134)-N($G134))</f>
        <v/>
      </c>
      <c r="I134" s="56" t="n"/>
      <c r="J134" s="32">
        <f>$J133+IF($N133="増",1,0)</f>
        <v/>
      </c>
      <c r="K134" s="32">
        <f>$K133+IF($N133="減",1,0)</f>
        <v/>
      </c>
      <c r="L134" s="35">
        <f>IF($B$3="",1E+9,IFERROR(SMALL('仕入請求台帳'!$U$5:$U$504,$J134+1),1E+9))</f>
        <v/>
      </c>
      <c r="M134" s="35">
        <f>IF($B$3="",1E+9,IFERROR(SMALL('仕入請求台帳'!$V$5:$V$504,$K134+1),1E+9))</f>
        <v/>
      </c>
      <c r="N134" s="32">
        <f>IF(MIN($L134,$M134)&gt;=1E+9,"",IF($L134&lt;=$M134,"増","減"))</f>
        <v/>
      </c>
      <c r="O134" s="32">
        <f>IF($N134="","",IF($N134="増",MATCH($L134,'仕入請求台帳'!$U$5:$U$504,0),MATCH($M134,'仕入請求台帳'!$V$5:$V$504,0)))</f>
        <v/>
      </c>
      <c r="P134" s="56" t="n"/>
      <c r="Q134" s="56" t="n"/>
    </row>
    <row r="135" ht="18" customHeight="1">
      <c r="A135" s="45">
        <f>IF($N135="","",IF($N135="増",INDEX('仕入請求台帳'!$S$5:$S$504,$O135),INDEX('仕入請求台帳'!$K$5:$K$504,$O135)))</f>
        <v/>
      </c>
      <c r="B135" s="46">
        <f>IF($N135="","",IF($N135="増","仕入","支払"))</f>
        <v/>
      </c>
      <c r="C135" s="46">
        <f>IF($N135="","",IF($N135="増",INDEX('仕入請求台帳'!$E$5:$E$504,$O135)&amp;"",INDEX('仕入請求台帳'!$E$5:$E$504,$O135)&amp;""))</f>
        <v/>
      </c>
      <c r="D135" s="47">
        <f>IF($N135="","",IF($N135="増",INDEX('仕入請求台帳'!$F$5:$F$504,$O135)&amp;"","支払"))</f>
        <v/>
      </c>
      <c r="E135" s="48">
        <f>IF($N135&lt;&gt;"増","",INDEX('仕入請求台帳'!$G$5:$G$504,$O135))</f>
        <v/>
      </c>
      <c r="F135" s="48">
        <f>IF($N135&lt;&gt;"減","",N(INDEX('仕入請求台帳'!$L$5:$L$504,$O135)))</f>
        <v/>
      </c>
      <c r="G135" s="48">
        <f>IF($N135&lt;&gt;"減","",N(INDEX('仕入請求台帳'!$M$5:$M$504,$O135)))</f>
        <v/>
      </c>
      <c r="H135" s="49">
        <f>IF($N135="","",$H134+N($E135)-N($F135)-N($G135))</f>
        <v/>
      </c>
      <c r="I135" s="56" t="n"/>
      <c r="J135" s="32">
        <f>$J134+IF($N134="増",1,0)</f>
        <v/>
      </c>
      <c r="K135" s="32">
        <f>$K134+IF($N134="減",1,0)</f>
        <v/>
      </c>
      <c r="L135" s="35">
        <f>IF($B$3="",1E+9,IFERROR(SMALL('仕入請求台帳'!$U$5:$U$504,$J135+1),1E+9))</f>
        <v/>
      </c>
      <c r="M135" s="35">
        <f>IF($B$3="",1E+9,IFERROR(SMALL('仕入請求台帳'!$V$5:$V$504,$K135+1),1E+9))</f>
        <v/>
      </c>
      <c r="N135" s="32">
        <f>IF(MIN($L135,$M135)&gt;=1E+9,"",IF($L135&lt;=$M135,"増","減"))</f>
        <v/>
      </c>
      <c r="O135" s="32">
        <f>IF($N135="","",IF($N135="増",MATCH($L135,'仕入請求台帳'!$U$5:$U$504,0),MATCH($M135,'仕入請求台帳'!$V$5:$V$504,0)))</f>
        <v/>
      </c>
      <c r="P135" s="56" t="n"/>
      <c r="Q135" s="56" t="n"/>
    </row>
    <row r="136" ht="18" customHeight="1">
      <c r="A136" s="45">
        <f>IF($N136="","",IF($N136="増",INDEX('仕入請求台帳'!$S$5:$S$504,$O136),INDEX('仕入請求台帳'!$K$5:$K$504,$O136)))</f>
        <v/>
      </c>
      <c r="B136" s="46">
        <f>IF($N136="","",IF($N136="増","仕入","支払"))</f>
        <v/>
      </c>
      <c r="C136" s="46">
        <f>IF($N136="","",IF($N136="増",INDEX('仕入請求台帳'!$E$5:$E$504,$O136)&amp;"",INDEX('仕入請求台帳'!$E$5:$E$504,$O136)&amp;""))</f>
        <v/>
      </c>
      <c r="D136" s="47">
        <f>IF($N136="","",IF($N136="増",INDEX('仕入請求台帳'!$F$5:$F$504,$O136)&amp;"","支払"))</f>
        <v/>
      </c>
      <c r="E136" s="48">
        <f>IF($N136&lt;&gt;"増","",INDEX('仕入請求台帳'!$G$5:$G$504,$O136))</f>
        <v/>
      </c>
      <c r="F136" s="48">
        <f>IF($N136&lt;&gt;"減","",N(INDEX('仕入請求台帳'!$L$5:$L$504,$O136)))</f>
        <v/>
      </c>
      <c r="G136" s="48">
        <f>IF($N136&lt;&gt;"減","",N(INDEX('仕入請求台帳'!$M$5:$M$504,$O136)))</f>
        <v/>
      </c>
      <c r="H136" s="49">
        <f>IF($N136="","",$H135+N($E136)-N($F136)-N($G136))</f>
        <v/>
      </c>
      <c r="I136" s="56" t="n"/>
      <c r="J136" s="32">
        <f>$J135+IF($N135="増",1,0)</f>
        <v/>
      </c>
      <c r="K136" s="32">
        <f>$K135+IF($N135="減",1,0)</f>
        <v/>
      </c>
      <c r="L136" s="35">
        <f>IF($B$3="",1E+9,IFERROR(SMALL('仕入請求台帳'!$U$5:$U$504,$J136+1),1E+9))</f>
        <v/>
      </c>
      <c r="M136" s="35">
        <f>IF($B$3="",1E+9,IFERROR(SMALL('仕入請求台帳'!$V$5:$V$504,$K136+1),1E+9))</f>
        <v/>
      </c>
      <c r="N136" s="32">
        <f>IF(MIN($L136,$M136)&gt;=1E+9,"",IF($L136&lt;=$M136,"増","減"))</f>
        <v/>
      </c>
      <c r="O136" s="32">
        <f>IF($N136="","",IF($N136="増",MATCH($L136,'仕入請求台帳'!$U$5:$U$504,0),MATCH($M136,'仕入請求台帳'!$V$5:$V$504,0)))</f>
        <v/>
      </c>
      <c r="P136" s="56" t="n"/>
      <c r="Q136" s="56" t="n"/>
    </row>
    <row r="137" ht="18" customHeight="1">
      <c r="A137" s="45">
        <f>IF($N137="","",IF($N137="増",INDEX('仕入請求台帳'!$S$5:$S$504,$O137),INDEX('仕入請求台帳'!$K$5:$K$504,$O137)))</f>
        <v/>
      </c>
      <c r="B137" s="46">
        <f>IF($N137="","",IF($N137="増","仕入","支払"))</f>
        <v/>
      </c>
      <c r="C137" s="46">
        <f>IF($N137="","",IF($N137="増",INDEX('仕入請求台帳'!$E$5:$E$504,$O137)&amp;"",INDEX('仕入請求台帳'!$E$5:$E$504,$O137)&amp;""))</f>
        <v/>
      </c>
      <c r="D137" s="47">
        <f>IF($N137="","",IF($N137="増",INDEX('仕入請求台帳'!$F$5:$F$504,$O137)&amp;"","支払"))</f>
        <v/>
      </c>
      <c r="E137" s="48">
        <f>IF($N137&lt;&gt;"増","",INDEX('仕入請求台帳'!$G$5:$G$504,$O137))</f>
        <v/>
      </c>
      <c r="F137" s="48">
        <f>IF($N137&lt;&gt;"減","",N(INDEX('仕入請求台帳'!$L$5:$L$504,$O137)))</f>
        <v/>
      </c>
      <c r="G137" s="48">
        <f>IF($N137&lt;&gt;"減","",N(INDEX('仕入請求台帳'!$M$5:$M$504,$O137)))</f>
        <v/>
      </c>
      <c r="H137" s="49">
        <f>IF($N137="","",$H136+N($E137)-N($F137)-N($G137))</f>
        <v/>
      </c>
      <c r="I137" s="56" t="n"/>
      <c r="J137" s="32">
        <f>$J136+IF($N136="増",1,0)</f>
        <v/>
      </c>
      <c r="K137" s="32">
        <f>$K136+IF($N136="減",1,0)</f>
        <v/>
      </c>
      <c r="L137" s="35">
        <f>IF($B$3="",1E+9,IFERROR(SMALL('仕入請求台帳'!$U$5:$U$504,$J137+1),1E+9))</f>
        <v/>
      </c>
      <c r="M137" s="35">
        <f>IF($B$3="",1E+9,IFERROR(SMALL('仕入請求台帳'!$V$5:$V$504,$K137+1),1E+9))</f>
        <v/>
      </c>
      <c r="N137" s="32">
        <f>IF(MIN($L137,$M137)&gt;=1E+9,"",IF($L137&lt;=$M137,"増","減"))</f>
        <v/>
      </c>
      <c r="O137" s="32">
        <f>IF($N137="","",IF($N137="増",MATCH($L137,'仕入請求台帳'!$U$5:$U$504,0),MATCH($M137,'仕入請求台帳'!$V$5:$V$504,0)))</f>
        <v/>
      </c>
      <c r="P137" s="56" t="n"/>
      <c r="Q137" s="56" t="n"/>
    </row>
    <row r="138" ht="18" customHeight="1">
      <c r="A138" s="45">
        <f>IF($N138="","",IF($N138="増",INDEX('仕入請求台帳'!$S$5:$S$504,$O138),INDEX('仕入請求台帳'!$K$5:$K$504,$O138)))</f>
        <v/>
      </c>
      <c r="B138" s="46">
        <f>IF($N138="","",IF($N138="増","仕入","支払"))</f>
        <v/>
      </c>
      <c r="C138" s="46">
        <f>IF($N138="","",IF($N138="増",INDEX('仕入請求台帳'!$E$5:$E$504,$O138)&amp;"",INDEX('仕入請求台帳'!$E$5:$E$504,$O138)&amp;""))</f>
        <v/>
      </c>
      <c r="D138" s="47">
        <f>IF($N138="","",IF($N138="増",INDEX('仕入請求台帳'!$F$5:$F$504,$O138)&amp;"","支払"))</f>
        <v/>
      </c>
      <c r="E138" s="48">
        <f>IF($N138&lt;&gt;"増","",INDEX('仕入請求台帳'!$G$5:$G$504,$O138))</f>
        <v/>
      </c>
      <c r="F138" s="48">
        <f>IF($N138&lt;&gt;"減","",N(INDEX('仕入請求台帳'!$L$5:$L$504,$O138)))</f>
        <v/>
      </c>
      <c r="G138" s="48">
        <f>IF($N138&lt;&gt;"減","",N(INDEX('仕入請求台帳'!$M$5:$M$504,$O138)))</f>
        <v/>
      </c>
      <c r="H138" s="49">
        <f>IF($N138="","",$H137+N($E138)-N($F138)-N($G138))</f>
        <v/>
      </c>
      <c r="I138" s="56" t="n"/>
      <c r="J138" s="32">
        <f>$J137+IF($N137="増",1,0)</f>
        <v/>
      </c>
      <c r="K138" s="32">
        <f>$K137+IF($N137="減",1,0)</f>
        <v/>
      </c>
      <c r="L138" s="35">
        <f>IF($B$3="",1E+9,IFERROR(SMALL('仕入請求台帳'!$U$5:$U$504,$J138+1),1E+9))</f>
        <v/>
      </c>
      <c r="M138" s="35">
        <f>IF($B$3="",1E+9,IFERROR(SMALL('仕入請求台帳'!$V$5:$V$504,$K138+1),1E+9))</f>
        <v/>
      </c>
      <c r="N138" s="32">
        <f>IF(MIN($L138,$M138)&gt;=1E+9,"",IF($L138&lt;=$M138,"増","減"))</f>
        <v/>
      </c>
      <c r="O138" s="32">
        <f>IF($N138="","",IF($N138="増",MATCH($L138,'仕入請求台帳'!$U$5:$U$504,0),MATCH($M138,'仕入請求台帳'!$V$5:$V$504,0)))</f>
        <v/>
      </c>
      <c r="P138" s="56" t="n"/>
      <c r="Q138" s="56" t="n"/>
    </row>
    <row r="139" ht="18" customHeight="1">
      <c r="A139" s="45">
        <f>IF($N139="","",IF($N139="増",INDEX('仕入請求台帳'!$S$5:$S$504,$O139),INDEX('仕入請求台帳'!$K$5:$K$504,$O139)))</f>
        <v/>
      </c>
      <c r="B139" s="46">
        <f>IF($N139="","",IF($N139="増","仕入","支払"))</f>
        <v/>
      </c>
      <c r="C139" s="46">
        <f>IF($N139="","",IF($N139="増",INDEX('仕入請求台帳'!$E$5:$E$504,$O139)&amp;"",INDEX('仕入請求台帳'!$E$5:$E$504,$O139)&amp;""))</f>
        <v/>
      </c>
      <c r="D139" s="47">
        <f>IF($N139="","",IF($N139="増",INDEX('仕入請求台帳'!$F$5:$F$504,$O139)&amp;"","支払"))</f>
        <v/>
      </c>
      <c r="E139" s="48">
        <f>IF($N139&lt;&gt;"増","",INDEX('仕入請求台帳'!$G$5:$G$504,$O139))</f>
        <v/>
      </c>
      <c r="F139" s="48">
        <f>IF($N139&lt;&gt;"減","",N(INDEX('仕入請求台帳'!$L$5:$L$504,$O139)))</f>
        <v/>
      </c>
      <c r="G139" s="48">
        <f>IF($N139&lt;&gt;"減","",N(INDEX('仕入請求台帳'!$M$5:$M$504,$O139)))</f>
        <v/>
      </c>
      <c r="H139" s="49">
        <f>IF($N139="","",$H138+N($E139)-N($F139)-N($G139))</f>
        <v/>
      </c>
      <c r="I139" s="56" t="n"/>
      <c r="J139" s="32">
        <f>$J138+IF($N138="増",1,0)</f>
        <v/>
      </c>
      <c r="K139" s="32">
        <f>$K138+IF($N138="減",1,0)</f>
        <v/>
      </c>
      <c r="L139" s="35">
        <f>IF($B$3="",1E+9,IFERROR(SMALL('仕入請求台帳'!$U$5:$U$504,$J139+1),1E+9))</f>
        <v/>
      </c>
      <c r="M139" s="35">
        <f>IF($B$3="",1E+9,IFERROR(SMALL('仕入請求台帳'!$V$5:$V$504,$K139+1),1E+9))</f>
        <v/>
      </c>
      <c r="N139" s="32">
        <f>IF(MIN($L139,$M139)&gt;=1E+9,"",IF($L139&lt;=$M139,"増","減"))</f>
        <v/>
      </c>
      <c r="O139" s="32">
        <f>IF($N139="","",IF($N139="増",MATCH($L139,'仕入請求台帳'!$U$5:$U$504,0),MATCH($M139,'仕入請求台帳'!$V$5:$V$504,0)))</f>
        <v/>
      </c>
      <c r="P139" s="56" t="n"/>
      <c r="Q139" s="56" t="n"/>
    </row>
    <row r="140" ht="18" customHeight="1">
      <c r="A140" s="45">
        <f>IF($N140="","",IF($N140="増",INDEX('仕入請求台帳'!$S$5:$S$504,$O140),INDEX('仕入請求台帳'!$K$5:$K$504,$O140)))</f>
        <v/>
      </c>
      <c r="B140" s="46">
        <f>IF($N140="","",IF($N140="増","仕入","支払"))</f>
        <v/>
      </c>
      <c r="C140" s="46">
        <f>IF($N140="","",IF($N140="増",INDEX('仕入請求台帳'!$E$5:$E$504,$O140)&amp;"",INDEX('仕入請求台帳'!$E$5:$E$504,$O140)&amp;""))</f>
        <v/>
      </c>
      <c r="D140" s="47">
        <f>IF($N140="","",IF($N140="増",INDEX('仕入請求台帳'!$F$5:$F$504,$O140)&amp;"","支払"))</f>
        <v/>
      </c>
      <c r="E140" s="48">
        <f>IF($N140&lt;&gt;"増","",INDEX('仕入請求台帳'!$G$5:$G$504,$O140))</f>
        <v/>
      </c>
      <c r="F140" s="48">
        <f>IF($N140&lt;&gt;"減","",N(INDEX('仕入請求台帳'!$L$5:$L$504,$O140)))</f>
        <v/>
      </c>
      <c r="G140" s="48">
        <f>IF($N140&lt;&gt;"減","",N(INDEX('仕入請求台帳'!$M$5:$M$504,$O140)))</f>
        <v/>
      </c>
      <c r="H140" s="49">
        <f>IF($N140="","",$H139+N($E140)-N($F140)-N($G140))</f>
        <v/>
      </c>
      <c r="I140" s="56" t="n"/>
      <c r="J140" s="32">
        <f>$J139+IF($N139="増",1,0)</f>
        <v/>
      </c>
      <c r="K140" s="32">
        <f>$K139+IF($N139="減",1,0)</f>
        <v/>
      </c>
      <c r="L140" s="35">
        <f>IF($B$3="",1E+9,IFERROR(SMALL('仕入請求台帳'!$U$5:$U$504,$J140+1),1E+9))</f>
        <v/>
      </c>
      <c r="M140" s="35">
        <f>IF($B$3="",1E+9,IFERROR(SMALL('仕入請求台帳'!$V$5:$V$504,$K140+1),1E+9))</f>
        <v/>
      </c>
      <c r="N140" s="32">
        <f>IF(MIN($L140,$M140)&gt;=1E+9,"",IF($L140&lt;=$M140,"増","減"))</f>
        <v/>
      </c>
      <c r="O140" s="32">
        <f>IF($N140="","",IF($N140="増",MATCH($L140,'仕入請求台帳'!$U$5:$U$504,0),MATCH($M140,'仕入請求台帳'!$V$5:$V$504,0)))</f>
        <v/>
      </c>
      <c r="P140" s="56" t="n"/>
      <c r="Q140" s="56" t="n"/>
    </row>
    <row r="141" ht="18" customHeight="1">
      <c r="A141" s="45">
        <f>IF($N141="","",IF($N141="増",INDEX('仕入請求台帳'!$S$5:$S$504,$O141),INDEX('仕入請求台帳'!$K$5:$K$504,$O141)))</f>
        <v/>
      </c>
      <c r="B141" s="46">
        <f>IF($N141="","",IF($N141="増","仕入","支払"))</f>
        <v/>
      </c>
      <c r="C141" s="46">
        <f>IF($N141="","",IF($N141="増",INDEX('仕入請求台帳'!$E$5:$E$504,$O141)&amp;"",INDEX('仕入請求台帳'!$E$5:$E$504,$O141)&amp;""))</f>
        <v/>
      </c>
      <c r="D141" s="47">
        <f>IF($N141="","",IF($N141="増",INDEX('仕入請求台帳'!$F$5:$F$504,$O141)&amp;"","支払"))</f>
        <v/>
      </c>
      <c r="E141" s="48">
        <f>IF($N141&lt;&gt;"増","",INDEX('仕入請求台帳'!$G$5:$G$504,$O141))</f>
        <v/>
      </c>
      <c r="F141" s="48">
        <f>IF($N141&lt;&gt;"減","",N(INDEX('仕入請求台帳'!$L$5:$L$504,$O141)))</f>
        <v/>
      </c>
      <c r="G141" s="48">
        <f>IF($N141&lt;&gt;"減","",N(INDEX('仕入請求台帳'!$M$5:$M$504,$O141)))</f>
        <v/>
      </c>
      <c r="H141" s="49">
        <f>IF($N141="","",$H140+N($E141)-N($F141)-N($G141))</f>
        <v/>
      </c>
      <c r="I141" s="56" t="n"/>
      <c r="J141" s="32">
        <f>$J140+IF($N140="増",1,0)</f>
        <v/>
      </c>
      <c r="K141" s="32">
        <f>$K140+IF($N140="減",1,0)</f>
        <v/>
      </c>
      <c r="L141" s="35">
        <f>IF($B$3="",1E+9,IFERROR(SMALL('仕入請求台帳'!$U$5:$U$504,$J141+1),1E+9))</f>
        <v/>
      </c>
      <c r="M141" s="35">
        <f>IF($B$3="",1E+9,IFERROR(SMALL('仕入請求台帳'!$V$5:$V$504,$K141+1),1E+9))</f>
        <v/>
      </c>
      <c r="N141" s="32">
        <f>IF(MIN($L141,$M141)&gt;=1E+9,"",IF($L141&lt;=$M141,"増","減"))</f>
        <v/>
      </c>
      <c r="O141" s="32">
        <f>IF($N141="","",IF($N141="増",MATCH($L141,'仕入請求台帳'!$U$5:$U$504,0),MATCH($M141,'仕入請求台帳'!$V$5:$V$504,0)))</f>
        <v/>
      </c>
      <c r="P141" s="56" t="n"/>
      <c r="Q141" s="56" t="n"/>
    </row>
    <row r="142" ht="18" customHeight="1">
      <c r="A142" s="45">
        <f>IF($N142="","",IF($N142="増",INDEX('仕入請求台帳'!$S$5:$S$504,$O142),INDEX('仕入請求台帳'!$K$5:$K$504,$O142)))</f>
        <v/>
      </c>
      <c r="B142" s="46">
        <f>IF($N142="","",IF($N142="増","仕入","支払"))</f>
        <v/>
      </c>
      <c r="C142" s="46">
        <f>IF($N142="","",IF($N142="増",INDEX('仕入請求台帳'!$E$5:$E$504,$O142)&amp;"",INDEX('仕入請求台帳'!$E$5:$E$504,$O142)&amp;""))</f>
        <v/>
      </c>
      <c r="D142" s="47">
        <f>IF($N142="","",IF($N142="増",INDEX('仕入請求台帳'!$F$5:$F$504,$O142)&amp;"","支払"))</f>
        <v/>
      </c>
      <c r="E142" s="48">
        <f>IF($N142&lt;&gt;"増","",INDEX('仕入請求台帳'!$G$5:$G$504,$O142))</f>
        <v/>
      </c>
      <c r="F142" s="48">
        <f>IF($N142&lt;&gt;"減","",N(INDEX('仕入請求台帳'!$L$5:$L$504,$O142)))</f>
        <v/>
      </c>
      <c r="G142" s="48">
        <f>IF($N142&lt;&gt;"減","",N(INDEX('仕入請求台帳'!$M$5:$M$504,$O142)))</f>
        <v/>
      </c>
      <c r="H142" s="49">
        <f>IF($N142="","",$H141+N($E142)-N($F142)-N($G142))</f>
        <v/>
      </c>
      <c r="I142" s="56" t="n"/>
      <c r="J142" s="32">
        <f>$J141+IF($N141="増",1,0)</f>
        <v/>
      </c>
      <c r="K142" s="32">
        <f>$K141+IF($N141="減",1,0)</f>
        <v/>
      </c>
      <c r="L142" s="35">
        <f>IF($B$3="",1E+9,IFERROR(SMALL('仕入請求台帳'!$U$5:$U$504,$J142+1),1E+9))</f>
        <v/>
      </c>
      <c r="M142" s="35">
        <f>IF($B$3="",1E+9,IFERROR(SMALL('仕入請求台帳'!$V$5:$V$504,$K142+1),1E+9))</f>
        <v/>
      </c>
      <c r="N142" s="32">
        <f>IF(MIN($L142,$M142)&gt;=1E+9,"",IF($L142&lt;=$M142,"増","減"))</f>
        <v/>
      </c>
      <c r="O142" s="32">
        <f>IF($N142="","",IF($N142="増",MATCH($L142,'仕入請求台帳'!$U$5:$U$504,0),MATCH($M142,'仕入請求台帳'!$V$5:$V$504,0)))</f>
        <v/>
      </c>
      <c r="P142" s="56" t="n"/>
      <c r="Q142" s="56" t="n"/>
    </row>
    <row r="143" ht="18" customHeight="1">
      <c r="A143" s="45">
        <f>IF($N143="","",IF($N143="増",INDEX('仕入請求台帳'!$S$5:$S$504,$O143),INDEX('仕入請求台帳'!$K$5:$K$504,$O143)))</f>
        <v/>
      </c>
      <c r="B143" s="46">
        <f>IF($N143="","",IF($N143="増","仕入","支払"))</f>
        <v/>
      </c>
      <c r="C143" s="46">
        <f>IF($N143="","",IF($N143="増",INDEX('仕入請求台帳'!$E$5:$E$504,$O143)&amp;"",INDEX('仕入請求台帳'!$E$5:$E$504,$O143)&amp;""))</f>
        <v/>
      </c>
      <c r="D143" s="47">
        <f>IF($N143="","",IF($N143="増",INDEX('仕入請求台帳'!$F$5:$F$504,$O143)&amp;"","支払"))</f>
        <v/>
      </c>
      <c r="E143" s="48">
        <f>IF($N143&lt;&gt;"増","",INDEX('仕入請求台帳'!$G$5:$G$504,$O143))</f>
        <v/>
      </c>
      <c r="F143" s="48">
        <f>IF($N143&lt;&gt;"減","",N(INDEX('仕入請求台帳'!$L$5:$L$504,$O143)))</f>
        <v/>
      </c>
      <c r="G143" s="48">
        <f>IF($N143&lt;&gt;"減","",N(INDEX('仕入請求台帳'!$M$5:$M$504,$O143)))</f>
        <v/>
      </c>
      <c r="H143" s="49">
        <f>IF($N143="","",$H142+N($E143)-N($F143)-N($G143))</f>
        <v/>
      </c>
      <c r="I143" s="56" t="n"/>
      <c r="J143" s="32">
        <f>$J142+IF($N142="増",1,0)</f>
        <v/>
      </c>
      <c r="K143" s="32">
        <f>$K142+IF($N142="減",1,0)</f>
        <v/>
      </c>
      <c r="L143" s="35">
        <f>IF($B$3="",1E+9,IFERROR(SMALL('仕入請求台帳'!$U$5:$U$504,$J143+1),1E+9))</f>
        <v/>
      </c>
      <c r="M143" s="35">
        <f>IF($B$3="",1E+9,IFERROR(SMALL('仕入請求台帳'!$V$5:$V$504,$K143+1),1E+9))</f>
        <v/>
      </c>
      <c r="N143" s="32">
        <f>IF(MIN($L143,$M143)&gt;=1E+9,"",IF($L143&lt;=$M143,"増","減"))</f>
        <v/>
      </c>
      <c r="O143" s="32">
        <f>IF($N143="","",IF($N143="増",MATCH($L143,'仕入請求台帳'!$U$5:$U$504,0),MATCH($M143,'仕入請求台帳'!$V$5:$V$504,0)))</f>
        <v/>
      </c>
      <c r="P143" s="56" t="n"/>
      <c r="Q143" s="56" t="n"/>
    </row>
    <row r="144" ht="18" customHeight="1">
      <c r="A144" s="45">
        <f>IF($N144="","",IF($N144="増",INDEX('仕入請求台帳'!$S$5:$S$504,$O144),INDEX('仕入請求台帳'!$K$5:$K$504,$O144)))</f>
        <v/>
      </c>
      <c r="B144" s="46">
        <f>IF($N144="","",IF($N144="増","仕入","支払"))</f>
        <v/>
      </c>
      <c r="C144" s="46">
        <f>IF($N144="","",IF($N144="増",INDEX('仕入請求台帳'!$E$5:$E$504,$O144)&amp;"",INDEX('仕入請求台帳'!$E$5:$E$504,$O144)&amp;""))</f>
        <v/>
      </c>
      <c r="D144" s="47">
        <f>IF($N144="","",IF($N144="増",INDEX('仕入請求台帳'!$F$5:$F$504,$O144)&amp;"","支払"))</f>
        <v/>
      </c>
      <c r="E144" s="48">
        <f>IF($N144&lt;&gt;"増","",INDEX('仕入請求台帳'!$G$5:$G$504,$O144))</f>
        <v/>
      </c>
      <c r="F144" s="48">
        <f>IF($N144&lt;&gt;"減","",N(INDEX('仕入請求台帳'!$L$5:$L$504,$O144)))</f>
        <v/>
      </c>
      <c r="G144" s="48">
        <f>IF($N144&lt;&gt;"減","",N(INDEX('仕入請求台帳'!$M$5:$M$504,$O144)))</f>
        <v/>
      </c>
      <c r="H144" s="49">
        <f>IF($N144="","",$H143+N($E144)-N($F144)-N($G144))</f>
        <v/>
      </c>
      <c r="I144" s="56" t="n"/>
      <c r="J144" s="32">
        <f>$J143+IF($N143="増",1,0)</f>
        <v/>
      </c>
      <c r="K144" s="32">
        <f>$K143+IF($N143="減",1,0)</f>
        <v/>
      </c>
      <c r="L144" s="35">
        <f>IF($B$3="",1E+9,IFERROR(SMALL('仕入請求台帳'!$U$5:$U$504,$J144+1),1E+9))</f>
        <v/>
      </c>
      <c r="M144" s="35">
        <f>IF($B$3="",1E+9,IFERROR(SMALL('仕入請求台帳'!$V$5:$V$504,$K144+1),1E+9))</f>
        <v/>
      </c>
      <c r="N144" s="32">
        <f>IF(MIN($L144,$M144)&gt;=1E+9,"",IF($L144&lt;=$M144,"増","減"))</f>
        <v/>
      </c>
      <c r="O144" s="32">
        <f>IF($N144="","",IF($N144="増",MATCH($L144,'仕入請求台帳'!$U$5:$U$504,0),MATCH($M144,'仕入請求台帳'!$V$5:$V$504,0)))</f>
        <v/>
      </c>
      <c r="P144" s="56" t="n"/>
      <c r="Q144" s="56" t="n"/>
    </row>
    <row r="145" ht="18" customHeight="1">
      <c r="A145" s="45">
        <f>IF($N145="","",IF($N145="増",INDEX('仕入請求台帳'!$S$5:$S$504,$O145),INDEX('仕入請求台帳'!$K$5:$K$504,$O145)))</f>
        <v/>
      </c>
      <c r="B145" s="46">
        <f>IF($N145="","",IF($N145="増","仕入","支払"))</f>
        <v/>
      </c>
      <c r="C145" s="46">
        <f>IF($N145="","",IF($N145="増",INDEX('仕入請求台帳'!$E$5:$E$504,$O145)&amp;"",INDEX('仕入請求台帳'!$E$5:$E$504,$O145)&amp;""))</f>
        <v/>
      </c>
      <c r="D145" s="47">
        <f>IF($N145="","",IF($N145="増",INDEX('仕入請求台帳'!$F$5:$F$504,$O145)&amp;"","支払"))</f>
        <v/>
      </c>
      <c r="E145" s="48">
        <f>IF($N145&lt;&gt;"増","",INDEX('仕入請求台帳'!$G$5:$G$504,$O145))</f>
        <v/>
      </c>
      <c r="F145" s="48">
        <f>IF($N145&lt;&gt;"減","",N(INDEX('仕入請求台帳'!$L$5:$L$504,$O145)))</f>
        <v/>
      </c>
      <c r="G145" s="48">
        <f>IF($N145&lt;&gt;"減","",N(INDEX('仕入請求台帳'!$M$5:$M$504,$O145)))</f>
        <v/>
      </c>
      <c r="H145" s="49">
        <f>IF($N145="","",$H144+N($E145)-N($F145)-N($G145))</f>
        <v/>
      </c>
      <c r="I145" s="56" t="n"/>
      <c r="J145" s="32">
        <f>$J144+IF($N144="増",1,0)</f>
        <v/>
      </c>
      <c r="K145" s="32">
        <f>$K144+IF($N144="減",1,0)</f>
        <v/>
      </c>
      <c r="L145" s="35">
        <f>IF($B$3="",1E+9,IFERROR(SMALL('仕入請求台帳'!$U$5:$U$504,$J145+1),1E+9))</f>
        <v/>
      </c>
      <c r="M145" s="35">
        <f>IF($B$3="",1E+9,IFERROR(SMALL('仕入請求台帳'!$V$5:$V$504,$K145+1),1E+9))</f>
        <v/>
      </c>
      <c r="N145" s="32">
        <f>IF(MIN($L145,$M145)&gt;=1E+9,"",IF($L145&lt;=$M145,"増","減"))</f>
        <v/>
      </c>
      <c r="O145" s="32">
        <f>IF($N145="","",IF($N145="増",MATCH($L145,'仕入請求台帳'!$U$5:$U$504,0),MATCH($M145,'仕入請求台帳'!$V$5:$V$504,0)))</f>
        <v/>
      </c>
      <c r="P145" s="56" t="n"/>
      <c r="Q145" s="56" t="n"/>
    </row>
    <row r="146" ht="18" customHeight="1">
      <c r="A146" s="45">
        <f>IF($N146="","",IF($N146="増",INDEX('仕入請求台帳'!$S$5:$S$504,$O146),INDEX('仕入請求台帳'!$K$5:$K$504,$O146)))</f>
        <v/>
      </c>
      <c r="B146" s="46">
        <f>IF($N146="","",IF($N146="増","仕入","支払"))</f>
        <v/>
      </c>
      <c r="C146" s="46">
        <f>IF($N146="","",IF($N146="増",INDEX('仕入請求台帳'!$E$5:$E$504,$O146)&amp;"",INDEX('仕入請求台帳'!$E$5:$E$504,$O146)&amp;""))</f>
        <v/>
      </c>
      <c r="D146" s="47">
        <f>IF($N146="","",IF($N146="増",INDEX('仕入請求台帳'!$F$5:$F$504,$O146)&amp;"","支払"))</f>
        <v/>
      </c>
      <c r="E146" s="48">
        <f>IF($N146&lt;&gt;"増","",INDEX('仕入請求台帳'!$G$5:$G$504,$O146))</f>
        <v/>
      </c>
      <c r="F146" s="48">
        <f>IF($N146&lt;&gt;"減","",N(INDEX('仕入請求台帳'!$L$5:$L$504,$O146)))</f>
        <v/>
      </c>
      <c r="G146" s="48">
        <f>IF($N146&lt;&gt;"減","",N(INDEX('仕入請求台帳'!$M$5:$M$504,$O146)))</f>
        <v/>
      </c>
      <c r="H146" s="49">
        <f>IF($N146="","",$H145+N($E146)-N($F146)-N($G146))</f>
        <v/>
      </c>
      <c r="I146" s="56" t="n"/>
      <c r="J146" s="32">
        <f>$J145+IF($N145="増",1,0)</f>
        <v/>
      </c>
      <c r="K146" s="32">
        <f>$K145+IF($N145="減",1,0)</f>
        <v/>
      </c>
      <c r="L146" s="35">
        <f>IF($B$3="",1E+9,IFERROR(SMALL('仕入請求台帳'!$U$5:$U$504,$J146+1),1E+9))</f>
        <v/>
      </c>
      <c r="M146" s="35">
        <f>IF($B$3="",1E+9,IFERROR(SMALL('仕入請求台帳'!$V$5:$V$504,$K146+1),1E+9))</f>
        <v/>
      </c>
      <c r="N146" s="32">
        <f>IF(MIN($L146,$M146)&gt;=1E+9,"",IF($L146&lt;=$M146,"増","減"))</f>
        <v/>
      </c>
      <c r="O146" s="32">
        <f>IF($N146="","",IF($N146="増",MATCH($L146,'仕入請求台帳'!$U$5:$U$504,0),MATCH($M146,'仕入請求台帳'!$V$5:$V$504,0)))</f>
        <v/>
      </c>
      <c r="P146" s="56" t="n"/>
      <c r="Q146" s="56" t="n"/>
    </row>
    <row r="147" ht="18" customHeight="1">
      <c r="A147" s="45">
        <f>IF($N147="","",IF($N147="増",INDEX('仕入請求台帳'!$S$5:$S$504,$O147),INDEX('仕入請求台帳'!$K$5:$K$504,$O147)))</f>
        <v/>
      </c>
      <c r="B147" s="46">
        <f>IF($N147="","",IF($N147="増","仕入","支払"))</f>
        <v/>
      </c>
      <c r="C147" s="46">
        <f>IF($N147="","",IF($N147="増",INDEX('仕入請求台帳'!$E$5:$E$504,$O147)&amp;"",INDEX('仕入請求台帳'!$E$5:$E$504,$O147)&amp;""))</f>
        <v/>
      </c>
      <c r="D147" s="47">
        <f>IF($N147="","",IF($N147="増",INDEX('仕入請求台帳'!$F$5:$F$504,$O147)&amp;"","支払"))</f>
        <v/>
      </c>
      <c r="E147" s="48">
        <f>IF($N147&lt;&gt;"増","",INDEX('仕入請求台帳'!$G$5:$G$504,$O147))</f>
        <v/>
      </c>
      <c r="F147" s="48">
        <f>IF($N147&lt;&gt;"減","",N(INDEX('仕入請求台帳'!$L$5:$L$504,$O147)))</f>
        <v/>
      </c>
      <c r="G147" s="48">
        <f>IF($N147&lt;&gt;"減","",N(INDEX('仕入請求台帳'!$M$5:$M$504,$O147)))</f>
        <v/>
      </c>
      <c r="H147" s="49">
        <f>IF($N147="","",$H146+N($E147)-N($F147)-N($G147))</f>
        <v/>
      </c>
      <c r="I147" s="56" t="n"/>
      <c r="J147" s="32">
        <f>$J146+IF($N146="増",1,0)</f>
        <v/>
      </c>
      <c r="K147" s="32">
        <f>$K146+IF($N146="減",1,0)</f>
        <v/>
      </c>
      <c r="L147" s="35">
        <f>IF($B$3="",1E+9,IFERROR(SMALL('仕入請求台帳'!$U$5:$U$504,$J147+1),1E+9))</f>
        <v/>
      </c>
      <c r="M147" s="35">
        <f>IF($B$3="",1E+9,IFERROR(SMALL('仕入請求台帳'!$V$5:$V$504,$K147+1),1E+9))</f>
        <v/>
      </c>
      <c r="N147" s="32">
        <f>IF(MIN($L147,$M147)&gt;=1E+9,"",IF($L147&lt;=$M147,"増","減"))</f>
        <v/>
      </c>
      <c r="O147" s="32">
        <f>IF($N147="","",IF($N147="増",MATCH($L147,'仕入請求台帳'!$U$5:$U$504,0),MATCH($M147,'仕入請求台帳'!$V$5:$V$504,0)))</f>
        <v/>
      </c>
      <c r="P147" s="56" t="n"/>
      <c r="Q147" s="56" t="n"/>
    </row>
    <row r="148" ht="18" customHeight="1">
      <c r="A148" s="45">
        <f>IF($N148="","",IF($N148="増",INDEX('仕入請求台帳'!$S$5:$S$504,$O148),INDEX('仕入請求台帳'!$K$5:$K$504,$O148)))</f>
        <v/>
      </c>
      <c r="B148" s="46">
        <f>IF($N148="","",IF($N148="増","仕入","支払"))</f>
        <v/>
      </c>
      <c r="C148" s="46">
        <f>IF($N148="","",IF($N148="増",INDEX('仕入請求台帳'!$E$5:$E$504,$O148)&amp;"",INDEX('仕入請求台帳'!$E$5:$E$504,$O148)&amp;""))</f>
        <v/>
      </c>
      <c r="D148" s="47">
        <f>IF($N148="","",IF($N148="増",INDEX('仕入請求台帳'!$F$5:$F$504,$O148)&amp;"","支払"))</f>
        <v/>
      </c>
      <c r="E148" s="48">
        <f>IF($N148&lt;&gt;"増","",INDEX('仕入請求台帳'!$G$5:$G$504,$O148))</f>
        <v/>
      </c>
      <c r="F148" s="48">
        <f>IF($N148&lt;&gt;"減","",N(INDEX('仕入請求台帳'!$L$5:$L$504,$O148)))</f>
        <v/>
      </c>
      <c r="G148" s="48">
        <f>IF($N148&lt;&gt;"減","",N(INDEX('仕入請求台帳'!$M$5:$M$504,$O148)))</f>
        <v/>
      </c>
      <c r="H148" s="49">
        <f>IF($N148="","",$H147+N($E148)-N($F148)-N($G148))</f>
        <v/>
      </c>
      <c r="I148" s="56" t="n"/>
      <c r="J148" s="32">
        <f>$J147+IF($N147="増",1,0)</f>
        <v/>
      </c>
      <c r="K148" s="32">
        <f>$K147+IF($N147="減",1,0)</f>
        <v/>
      </c>
      <c r="L148" s="35">
        <f>IF($B$3="",1E+9,IFERROR(SMALL('仕入請求台帳'!$U$5:$U$504,$J148+1),1E+9))</f>
        <v/>
      </c>
      <c r="M148" s="35">
        <f>IF($B$3="",1E+9,IFERROR(SMALL('仕入請求台帳'!$V$5:$V$504,$K148+1),1E+9))</f>
        <v/>
      </c>
      <c r="N148" s="32">
        <f>IF(MIN($L148,$M148)&gt;=1E+9,"",IF($L148&lt;=$M148,"増","減"))</f>
        <v/>
      </c>
      <c r="O148" s="32">
        <f>IF($N148="","",IF($N148="増",MATCH($L148,'仕入請求台帳'!$U$5:$U$504,0),MATCH($M148,'仕入請求台帳'!$V$5:$V$504,0)))</f>
        <v/>
      </c>
      <c r="P148" s="56" t="n"/>
      <c r="Q148" s="56" t="n"/>
    </row>
    <row r="149" ht="18" customHeight="1">
      <c r="A149" s="45">
        <f>IF($N149="","",IF($N149="増",INDEX('仕入請求台帳'!$S$5:$S$504,$O149),INDEX('仕入請求台帳'!$K$5:$K$504,$O149)))</f>
        <v/>
      </c>
      <c r="B149" s="46">
        <f>IF($N149="","",IF($N149="増","仕入","支払"))</f>
        <v/>
      </c>
      <c r="C149" s="46">
        <f>IF($N149="","",IF($N149="増",INDEX('仕入請求台帳'!$E$5:$E$504,$O149)&amp;"",INDEX('仕入請求台帳'!$E$5:$E$504,$O149)&amp;""))</f>
        <v/>
      </c>
      <c r="D149" s="47">
        <f>IF($N149="","",IF($N149="増",INDEX('仕入請求台帳'!$F$5:$F$504,$O149)&amp;"","支払"))</f>
        <v/>
      </c>
      <c r="E149" s="48">
        <f>IF($N149&lt;&gt;"増","",INDEX('仕入請求台帳'!$G$5:$G$504,$O149))</f>
        <v/>
      </c>
      <c r="F149" s="48">
        <f>IF($N149&lt;&gt;"減","",N(INDEX('仕入請求台帳'!$L$5:$L$504,$O149)))</f>
        <v/>
      </c>
      <c r="G149" s="48">
        <f>IF($N149&lt;&gt;"減","",N(INDEX('仕入請求台帳'!$M$5:$M$504,$O149)))</f>
        <v/>
      </c>
      <c r="H149" s="49">
        <f>IF($N149="","",$H148+N($E149)-N($F149)-N($G149))</f>
        <v/>
      </c>
      <c r="I149" s="56" t="n"/>
      <c r="J149" s="32">
        <f>$J148+IF($N148="増",1,0)</f>
        <v/>
      </c>
      <c r="K149" s="32">
        <f>$K148+IF($N148="減",1,0)</f>
        <v/>
      </c>
      <c r="L149" s="35">
        <f>IF($B$3="",1E+9,IFERROR(SMALL('仕入請求台帳'!$U$5:$U$504,$J149+1),1E+9))</f>
        <v/>
      </c>
      <c r="M149" s="35">
        <f>IF($B$3="",1E+9,IFERROR(SMALL('仕入請求台帳'!$V$5:$V$504,$K149+1),1E+9))</f>
        <v/>
      </c>
      <c r="N149" s="32">
        <f>IF(MIN($L149,$M149)&gt;=1E+9,"",IF($L149&lt;=$M149,"増","減"))</f>
        <v/>
      </c>
      <c r="O149" s="32">
        <f>IF($N149="","",IF($N149="増",MATCH($L149,'仕入請求台帳'!$U$5:$U$504,0),MATCH($M149,'仕入請求台帳'!$V$5:$V$504,0)))</f>
        <v/>
      </c>
      <c r="P149" s="56" t="n"/>
      <c r="Q149" s="56" t="n"/>
    </row>
    <row r="150" ht="18" customHeight="1">
      <c r="A150" s="45">
        <f>IF($N150="","",IF($N150="増",INDEX('仕入請求台帳'!$S$5:$S$504,$O150),INDEX('仕入請求台帳'!$K$5:$K$504,$O150)))</f>
        <v/>
      </c>
      <c r="B150" s="46">
        <f>IF($N150="","",IF($N150="増","仕入","支払"))</f>
        <v/>
      </c>
      <c r="C150" s="46">
        <f>IF($N150="","",IF($N150="増",INDEX('仕入請求台帳'!$E$5:$E$504,$O150)&amp;"",INDEX('仕入請求台帳'!$E$5:$E$504,$O150)&amp;""))</f>
        <v/>
      </c>
      <c r="D150" s="47">
        <f>IF($N150="","",IF($N150="増",INDEX('仕入請求台帳'!$F$5:$F$504,$O150)&amp;"","支払"))</f>
        <v/>
      </c>
      <c r="E150" s="48">
        <f>IF($N150&lt;&gt;"増","",INDEX('仕入請求台帳'!$G$5:$G$504,$O150))</f>
        <v/>
      </c>
      <c r="F150" s="48">
        <f>IF($N150&lt;&gt;"減","",N(INDEX('仕入請求台帳'!$L$5:$L$504,$O150)))</f>
        <v/>
      </c>
      <c r="G150" s="48">
        <f>IF($N150&lt;&gt;"減","",N(INDEX('仕入請求台帳'!$M$5:$M$504,$O150)))</f>
        <v/>
      </c>
      <c r="H150" s="49">
        <f>IF($N150="","",$H149+N($E150)-N($F150)-N($G150))</f>
        <v/>
      </c>
      <c r="I150" s="56" t="n"/>
      <c r="J150" s="32">
        <f>$J149+IF($N149="増",1,0)</f>
        <v/>
      </c>
      <c r="K150" s="32">
        <f>$K149+IF($N149="減",1,0)</f>
        <v/>
      </c>
      <c r="L150" s="35">
        <f>IF($B$3="",1E+9,IFERROR(SMALL('仕入請求台帳'!$U$5:$U$504,$J150+1),1E+9))</f>
        <v/>
      </c>
      <c r="M150" s="35">
        <f>IF($B$3="",1E+9,IFERROR(SMALL('仕入請求台帳'!$V$5:$V$504,$K150+1),1E+9))</f>
        <v/>
      </c>
      <c r="N150" s="32">
        <f>IF(MIN($L150,$M150)&gt;=1E+9,"",IF($L150&lt;=$M150,"増","減"))</f>
        <v/>
      </c>
      <c r="O150" s="32">
        <f>IF($N150="","",IF($N150="増",MATCH($L150,'仕入請求台帳'!$U$5:$U$504,0),MATCH($M150,'仕入請求台帳'!$V$5:$V$504,0)))</f>
        <v/>
      </c>
      <c r="P150" s="56" t="n"/>
      <c r="Q150" s="56" t="n"/>
    </row>
    <row r="151" ht="18" customHeight="1">
      <c r="A151" s="45">
        <f>IF($N151="","",IF($N151="増",INDEX('仕入請求台帳'!$S$5:$S$504,$O151),INDEX('仕入請求台帳'!$K$5:$K$504,$O151)))</f>
        <v/>
      </c>
      <c r="B151" s="46">
        <f>IF($N151="","",IF($N151="増","仕入","支払"))</f>
        <v/>
      </c>
      <c r="C151" s="46">
        <f>IF($N151="","",IF($N151="増",INDEX('仕入請求台帳'!$E$5:$E$504,$O151)&amp;"",INDEX('仕入請求台帳'!$E$5:$E$504,$O151)&amp;""))</f>
        <v/>
      </c>
      <c r="D151" s="47">
        <f>IF($N151="","",IF($N151="増",INDEX('仕入請求台帳'!$F$5:$F$504,$O151)&amp;"","支払"))</f>
        <v/>
      </c>
      <c r="E151" s="48">
        <f>IF($N151&lt;&gt;"増","",INDEX('仕入請求台帳'!$G$5:$G$504,$O151))</f>
        <v/>
      </c>
      <c r="F151" s="48">
        <f>IF($N151&lt;&gt;"減","",N(INDEX('仕入請求台帳'!$L$5:$L$504,$O151)))</f>
        <v/>
      </c>
      <c r="G151" s="48">
        <f>IF($N151&lt;&gt;"減","",N(INDEX('仕入請求台帳'!$M$5:$M$504,$O151)))</f>
        <v/>
      </c>
      <c r="H151" s="49">
        <f>IF($N151="","",$H150+N($E151)-N($F151)-N($G151))</f>
        <v/>
      </c>
      <c r="I151" s="56" t="n"/>
      <c r="J151" s="32">
        <f>$J150+IF($N150="増",1,0)</f>
        <v/>
      </c>
      <c r="K151" s="32">
        <f>$K150+IF($N150="減",1,0)</f>
        <v/>
      </c>
      <c r="L151" s="35">
        <f>IF($B$3="",1E+9,IFERROR(SMALL('仕入請求台帳'!$U$5:$U$504,$J151+1),1E+9))</f>
        <v/>
      </c>
      <c r="M151" s="35">
        <f>IF($B$3="",1E+9,IFERROR(SMALL('仕入請求台帳'!$V$5:$V$504,$K151+1),1E+9))</f>
        <v/>
      </c>
      <c r="N151" s="32">
        <f>IF(MIN($L151,$M151)&gt;=1E+9,"",IF($L151&lt;=$M151,"増","減"))</f>
        <v/>
      </c>
      <c r="O151" s="32">
        <f>IF($N151="","",IF($N151="増",MATCH($L151,'仕入請求台帳'!$U$5:$U$504,0),MATCH($M151,'仕入請求台帳'!$V$5:$V$504,0)))</f>
        <v/>
      </c>
      <c r="P151" s="56" t="n"/>
      <c r="Q151" s="56" t="n"/>
    </row>
    <row r="152" ht="18" customHeight="1">
      <c r="A152" s="45">
        <f>IF($N152="","",IF($N152="増",INDEX('仕入請求台帳'!$S$5:$S$504,$O152),INDEX('仕入請求台帳'!$K$5:$K$504,$O152)))</f>
        <v/>
      </c>
      <c r="B152" s="46">
        <f>IF($N152="","",IF($N152="増","仕入","支払"))</f>
        <v/>
      </c>
      <c r="C152" s="46">
        <f>IF($N152="","",IF($N152="増",INDEX('仕入請求台帳'!$E$5:$E$504,$O152)&amp;"",INDEX('仕入請求台帳'!$E$5:$E$504,$O152)&amp;""))</f>
        <v/>
      </c>
      <c r="D152" s="47">
        <f>IF($N152="","",IF($N152="増",INDEX('仕入請求台帳'!$F$5:$F$504,$O152)&amp;"","支払"))</f>
        <v/>
      </c>
      <c r="E152" s="48">
        <f>IF($N152&lt;&gt;"増","",INDEX('仕入請求台帳'!$G$5:$G$504,$O152))</f>
        <v/>
      </c>
      <c r="F152" s="48">
        <f>IF($N152&lt;&gt;"減","",N(INDEX('仕入請求台帳'!$L$5:$L$504,$O152)))</f>
        <v/>
      </c>
      <c r="G152" s="48">
        <f>IF($N152&lt;&gt;"減","",N(INDEX('仕入請求台帳'!$M$5:$M$504,$O152)))</f>
        <v/>
      </c>
      <c r="H152" s="49">
        <f>IF($N152="","",$H151+N($E152)-N($F152)-N($G152))</f>
        <v/>
      </c>
      <c r="I152" s="56" t="n"/>
      <c r="J152" s="32">
        <f>$J151+IF($N151="増",1,0)</f>
        <v/>
      </c>
      <c r="K152" s="32">
        <f>$K151+IF($N151="減",1,0)</f>
        <v/>
      </c>
      <c r="L152" s="35">
        <f>IF($B$3="",1E+9,IFERROR(SMALL('仕入請求台帳'!$U$5:$U$504,$J152+1),1E+9))</f>
        <v/>
      </c>
      <c r="M152" s="35">
        <f>IF($B$3="",1E+9,IFERROR(SMALL('仕入請求台帳'!$V$5:$V$504,$K152+1),1E+9))</f>
        <v/>
      </c>
      <c r="N152" s="32">
        <f>IF(MIN($L152,$M152)&gt;=1E+9,"",IF($L152&lt;=$M152,"増","減"))</f>
        <v/>
      </c>
      <c r="O152" s="32">
        <f>IF($N152="","",IF($N152="増",MATCH($L152,'仕入請求台帳'!$U$5:$U$504,0),MATCH($M152,'仕入請求台帳'!$V$5:$V$504,0)))</f>
        <v/>
      </c>
      <c r="P152" s="56" t="n"/>
      <c r="Q152" s="56" t="n"/>
    </row>
    <row r="153" ht="18" customHeight="1">
      <c r="A153" s="45">
        <f>IF($N153="","",IF($N153="増",INDEX('仕入請求台帳'!$S$5:$S$504,$O153),INDEX('仕入請求台帳'!$K$5:$K$504,$O153)))</f>
        <v/>
      </c>
      <c r="B153" s="46">
        <f>IF($N153="","",IF($N153="増","仕入","支払"))</f>
        <v/>
      </c>
      <c r="C153" s="46">
        <f>IF($N153="","",IF($N153="増",INDEX('仕入請求台帳'!$E$5:$E$504,$O153)&amp;"",INDEX('仕入請求台帳'!$E$5:$E$504,$O153)&amp;""))</f>
        <v/>
      </c>
      <c r="D153" s="47">
        <f>IF($N153="","",IF($N153="増",INDEX('仕入請求台帳'!$F$5:$F$504,$O153)&amp;"","支払"))</f>
        <v/>
      </c>
      <c r="E153" s="48">
        <f>IF($N153&lt;&gt;"増","",INDEX('仕入請求台帳'!$G$5:$G$504,$O153))</f>
        <v/>
      </c>
      <c r="F153" s="48">
        <f>IF($N153&lt;&gt;"減","",N(INDEX('仕入請求台帳'!$L$5:$L$504,$O153)))</f>
        <v/>
      </c>
      <c r="G153" s="48">
        <f>IF($N153&lt;&gt;"減","",N(INDEX('仕入請求台帳'!$M$5:$M$504,$O153)))</f>
        <v/>
      </c>
      <c r="H153" s="49">
        <f>IF($N153="","",$H152+N($E153)-N($F153)-N($G153))</f>
        <v/>
      </c>
      <c r="I153" s="56" t="n"/>
      <c r="J153" s="32">
        <f>$J152+IF($N152="増",1,0)</f>
        <v/>
      </c>
      <c r="K153" s="32">
        <f>$K152+IF($N152="減",1,0)</f>
        <v/>
      </c>
      <c r="L153" s="35">
        <f>IF($B$3="",1E+9,IFERROR(SMALL('仕入請求台帳'!$U$5:$U$504,$J153+1),1E+9))</f>
        <v/>
      </c>
      <c r="M153" s="35">
        <f>IF($B$3="",1E+9,IFERROR(SMALL('仕入請求台帳'!$V$5:$V$504,$K153+1),1E+9))</f>
        <v/>
      </c>
      <c r="N153" s="32">
        <f>IF(MIN($L153,$M153)&gt;=1E+9,"",IF($L153&lt;=$M153,"増","減"))</f>
        <v/>
      </c>
      <c r="O153" s="32">
        <f>IF($N153="","",IF($N153="増",MATCH($L153,'仕入請求台帳'!$U$5:$U$504,0),MATCH($M153,'仕入請求台帳'!$V$5:$V$504,0)))</f>
        <v/>
      </c>
      <c r="P153" s="56" t="n"/>
      <c r="Q153" s="56" t="n"/>
    </row>
    <row r="154" ht="18" customHeight="1">
      <c r="A154" s="45">
        <f>IF($N154="","",IF($N154="増",INDEX('仕入請求台帳'!$S$5:$S$504,$O154),INDEX('仕入請求台帳'!$K$5:$K$504,$O154)))</f>
        <v/>
      </c>
      <c r="B154" s="46">
        <f>IF($N154="","",IF($N154="増","仕入","支払"))</f>
        <v/>
      </c>
      <c r="C154" s="46">
        <f>IF($N154="","",IF($N154="増",INDEX('仕入請求台帳'!$E$5:$E$504,$O154)&amp;"",INDEX('仕入請求台帳'!$E$5:$E$504,$O154)&amp;""))</f>
        <v/>
      </c>
      <c r="D154" s="47">
        <f>IF($N154="","",IF($N154="増",INDEX('仕入請求台帳'!$F$5:$F$504,$O154)&amp;"","支払"))</f>
        <v/>
      </c>
      <c r="E154" s="48">
        <f>IF($N154&lt;&gt;"増","",INDEX('仕入請求台帳'!$G$5:$G$504,$O154))</f>
        <v/>
      </c>
      <c r="F154" s="48">
        <f>IF($N154&lt;&gt;"減","",N(INDEX('仕入請求台帳'!$L$5:$L$504,$O154)))</f>
        <v/>
      </c>
      <c r="G154" s="48">
        <f>IF($N154&lt;&gt;"減","",N(INDEX('仕入請求台帳'!$M$5:$M$504,$O154)))</f>
        <v/>
      </c>
      <c r="H154" s="49">
        <f>IF($N154="","",$H153+N($E154)-N($F154)-N($G154))</f>
        <v/>
      </c>
      <c r="I154" s="56" t="n"/>
      <c r="J154" s="32">
        <f>$J153+IF($N153="増",1,0)</f>
        <v/>
      </c>
      <c r="K154" s="32">
        <f>$K153+IF($N153="減",1,0)</f>
        <v/>
      </c>
      <c r="L154" s="35">
        <f>IF($B$3="",1E+9,IFERROR(SMALL('仕入請求台帳'!$U$5:$U$504,$J154+1),1E+9))</f>
        <v/>
      </c>
      <c r="M154" s="35">
        <f>IF($B$3="",1E+9,IFERROR(SMALL('仕入請求台帳'!$V$5:$V$504,$K154+1),1E+9))</f>
        <v/>
      </c>
      <c r="N154" s="32">
        <f>IF(MIN($L154,$M154)&gt;=1E+9,"",IF($L154&lt;=$M154,"増","減"))</f>
        <v/>
      </c>
      <c r="O154" s="32">
        <f>IF($N154="","",IF($N154="増",MATCH($L154,'仕入請求台帳'!$U$5:$U$504,0),MATCH($M154,'仕入請求台帳'!$V$5:$V$504,0)))</f>
        <v/>
      </c>
      <c r="P154" s="56" t="n"/>
      <c r="Q154" s="56" t="n"/>
    </row>
    <row r="155" ht="18" customHeight="1">
      <c r="A155" s="45">
        <f>IF($N155="","",IF($N155="増",INDEX('仕入請求台帳'!$S$5:$S$504,$O155),INDEX('仕入請求台帳'!$K$5:$K$504,$O155)))</f>
        <v/>
      </c>
      <c r="B155" s="46">
        <f>IF($N155="","",IF($N155="増","仕入","支払"))</f>
        <v/>
      </c>
      <c r="C155" s="46">
        <f>IF($N155="","",IF($N155="増",INDEX('仕入請求台帳'!$E$5:$E$504,$O155)&amp;"",INDEX('仕入請求台帳'!$E$5:$E$504,$O155)&amp;""))</f>
        <v/>
      </c>
      <c r="D155" s="47">
        <f>IF($N155="","",IF($N155="増",INDEX('仕入請求台帳'!$F$5:$F$504,$O155)&amp;"","支払"))</f>
        <v/>
      </c>
      <c r="E155" s="48">
        <f>IF($N155&lt;&gt;"増","",INDEX('仕入請求台帳'!$G$5:$G$504,$O155))</f>
        <v/>
      </c>
      <c r="F155" s="48">
        <f>IF($N155&lt;&gt;"減","",N(INDEX('仕入請求台帳'!$L$5:$L$504,$O155)))</f>
        <v/>
      </c>
      <c r="G155" s="48">
        <f>IF($N155&lt;&gt;"減","",N(INDEX('仕入請求台帳'!$M$5:$M$504,$O155)))</f>
        <v/>
      </c>
      <c r="H155" s="49">
        <f>IF($N155="","",$H154+N($E155)-N($F155)-N($G155))</f>
        <v/>
      </c>
      <c r="I155" s="56" t="n"/>
      <c r="J155" s="32">
        <f>$J154+IF($N154="増",1,0)</f>
        <v/>
      </c>
      <c r="K155" s="32">
        <f>$K154+IF($N154="減",1,0)</f>
        <v/>
      </c>
      <c r="L155" s="35">
        <f>IF($B$3="",1E+9,IFERROR(SMALL('仕入請求台帳'!$U$5:$U$504,$J155+1),1E+9))</f>
        <v/>
      </c>
      <c r="M155" s="35">
        <f>IF($B$3="",1E+9,IFERROR(SMALL('仕入請求台帳'!$V$5:$V$504,$K155+1),1E+9))</f>
        <v/>
      </c>
      <c r="N155" s="32">
        <f>IF(MIN($L155,$M155)&gt;=1E+9,"",IF($L155&lt;=$M155,"増","減"))</f>
        <v/>
      </c>
      <c r="O155" s="32">
        <f>IF($N155="","",IF($N155="増",MATCH($L155,'仕入請求台帳'!$U$5:$U$504,0),MATCH($M155,'仕入請求台帳'!$V$5:$V$504,0)))</f>
        <v/>
      </c>
      <c r="P155" s="56" t="n"/>
      <c r="Q155" s="56" t="n"/>
    </row>
    <row r="156" ht="18" customHeight="1">
      <c r="A156" s="45">
        <f>IF($N156="","",IF($N156="増",INDEX('仕入請求台帳'!$S$5:$S$504,$O156),INDEX('仕入請求台帳'!$K$5:$K$504,$O156)))</f>
        <v/>
      </c>
      <c r="B156" s="46">
        <f>IF($N156="","",IF($N156="増","仕入","支払"))</f>
        <v/>
      </c>
      <c r="C156" s="46">
        <f>IF($N156="","",IF($N156="増",INDEX('仕入請求台帳'!$E$5:$E$504,$O156)&amp;"",INDEX('仕入請求台帳'!$E$5:$E$504,$O156)&amp;""))</f>
        <v/>
      </c>
      <c r="D156" s="47">
        <f>IF($N156="","",IF($N156="増",INDEX('仕入請求台帳'!$F$5:$F$504,$O156)&amp;"","支払"))</f>
        <v/>
      </c>
      <c r="E156" s="48">
        <f>IF($N156&lt;&gt;"増","",INDEX('仕入請求台帳'!$G$5:$G$504,$O156))</f>
        <v/>
      </c>
      <c r="F156" s="48">
        <f>IF($N156&lt;&gt;"減","",N(INDEX('仕入請求台帳'!$L$5:$L$504,$O156)))</f>
        <v/>
      </c>
      <c r="G156" s="48">
        <f>IF($N156&lt;&gt;"減","",N(INDEX('仕入請求台帳'!$M$5:$M$504,$O156)))</f>
        <v/>
      </c>
      <c r="H156" s="49">
        <f>IF($N156="","",$H155+N($E156)-N($F156)-N($G156))</f>
        <v/>
      </c>
      <c r="I156" s="56" t="n"/>
      <c r="J156" s="32">
        <f>$J155+IF($N155="増",1,0)</f>
        <v/>
      </c>
      <c r="K156" s="32">
        <f>$K155+IF($N155="減",1,0)</f>
        <v/>
      </c>
      <c r="L156" s="35">
        <f>IF($B$3="",1E+9,IFERROR(SMALL('仕入請求台帳'!$U$5:$U$504,$J156+1),1E+9))</f>
        <v/>
      </c>
      <c r="M156" s="35">
        <f>IF($B$3="",1E+9,IFERROR(SMALL('仕入請求台帳'!$V$5:$V$504,$K156+1),1E+9))</f>
        <v/>
      </c>
      <c r="N156" s="32">
        <f>IF(MIN($L156,$M156)&gt;=1E+9,"",IF($L156&lt;=$M156,"増","減"))</f>
        <v/>
      </c>
      <c r="O156" s="32">
        <f>IF($N156="","",IF($N156="増",MATCH($L156,'仕入請求台帳'!$U$5:$U$504,0),MATCH($M156,'仕入請求台帳'!$V$5:$V$504,0)))</f>
        <v/>
      </c>
      <c r="P156" s="56" t="n"/>
      <c r="Q156" s="56" t="n"/>
    </row>
    <row r="157" ht="18" customHeight="1">
      <c r="A157" s="45">
        <f>IF($N157="","",IF($N157="増",INDEX('仕入請求台帳'!$S$5:$S$504,$O157),INDEX('仕入請求台帳'!$K$5:$K$504,$O157)))</f>
        <v/>
      </c>
      <c r="B157" s="46">
        <f>IF($N157="","",IF($N157="増","仕入","支払"))</f>
        <v/>
      </c>
      <c r="C157" s="46">
        <f>IF($N157="","",IF($N157="増",INDEX('仕入請求台帳'!$E$5:$E$504,$O157)&amp;"",INDEX('仕入請求台帳'!$E$5:$E$504,$O157)&amp;""))</f>
        <v/>
      </c>
      <c r="D157" s="47">
        <f>IF($N157="","",IF($N157="増",INDEX('仕入請求台帳'!$F$5:$F$504,$O157)&amp;"","支払"))</f>
        <v/>
      </c>
      <c r="E157" s="48">
        <f>IF($N157&lt;&gt;"増","",INDEX('仕入請求台帳'!$G$5:$G$504,$O157))</f>
        <v/>
      </c>
      <c r="F157" s="48">
        <f>IF($N157&lt;&gt;"減","",N(INDEX('仕入請求台帳'!$L$5:$L$504,$O157)))</f>
        <v/>
      </c>
      <c r="G157" s="48">
        <f>IF($N157&lt;&gt;"減","",N(INDEX('仕入請求台帳'!$M$5:$M$504,$O157)))</f>
        <v/>
      </c>
      <c r="H157" s="49">
        <f>IF($N157="","",$H156+N($E157)-N($F157)-N($G157))</f>
        <v/>
      </c>
      <c r="I157" s="56" t="n"/>
      <c r="J157" s="32">
        <f>$J156+IF($N156="増",1,0)</f>
        <v/>
      </c>
      <c r="K157" s="32">
        <f>$K156+IF($N156="減",1,0)</f>
        <v/>
      </c>
      <c r="L157" s="35">
        <f>IF($B$3="",1E+9,IFERROR(SMALL('仕入請求台帳'!$U$5:$U$504,$J157+1),1E+9))</f>
        <v/>
      </c>
      <c r="M157" s="35">
        <f>IF($B$3="",1E+9,IFERROR(SMALL('仕入請求台帳'!$V$5:$V$504,$K157+1),1E+9))</f>
        <v/>
      </c>
      <c r="N157" s="32">
        <f>IF(MIN($L157,$M157)&gt;=1E+9,"",IF($L157&lt;=$M157,"増","減"))</f>
        <v/>
      </c>
      <c r="O157" s="32">
        <f>IF($N157="","",IF($N157="増",MATCH($L157,'仕入請求台帳'!$U$5:$U$504,0),MATCH($M157,'仕入請求台帳'!$V$5:$V$504,0)))</f>
        <v/>
      </c>
      <c r="P157" s="56" t="n"/>
      <c r="Q157" s="56" t="n"/>
    </row>
    <row r="158" ht="18" customHeight="1">
      <c r="A158" s="45">
        <f>IF($N158="","",IF($N158="増",INDEX('仕入請求台帳'!$S$5:$S$504,$O158),INDEX('仕入請求台帳'!$K$5:$K$504,$O158)))</f>
        <v/>
      </c>
      <c r="B158" s="46">
        <f>IF($N158="","",IF($N158="増","仕入","支払"))</f>
        <v/>
      </c>
      <c r="C158" s="46">
        <f>IF($N158="","",IF($N158="増",INDEX('仕入請求台帳'!$E$5:$E$504,$O158)&amp;"",INDEX('仕入請求台帳'!$E$5:$E$504,$O158)&amp;""))</f>
        <v/>
      </c>
      <c r="D158" s="47">
        <f>IF($N158="","",IF($N158="増",INDEX('仕入請求台帳'!$F$5:$F$504,$O158)&amp;"","支払"))</f>
        <v/>
      </c>
      <c r="E158" s="48">
        <f>IF($N158&lt;&gt;"増","",INDEX('仕入請求台帳'!$G$5:$G$504,$O158))</f>
        <v/>
      </c>
      <c r="F158" s="48">
        <f>IF($N158&lt;&gt;"減","",N(INDEX('仕入請求台帳'!$L$5:$L$504,$O158)))</f>
        <v/>
      </c>
      <c r="G158" s="48">
        <f>IF($N158&lt;&gt;"減","",N(INDEX('仕入請求台帳'!$M$5:$M$504,$O158)))</f>
        <v/>
      </c>
      <c r="H158" s="49">
        <f>IF($N158="","",$H157+N($E158)-N($F158)-N($G158))</f>
        <v/>
      </c>
      <c r="I158" s="56" t="n"/>
      <c r="J158" s="32">
        <f>$J157+IF($N157="増",1,0)</f>
        <v/>
      </c>
      <c r="K158" s="32">
        <f>$K157+IF($N157="減",1,0)</f>
        <v/>
      </c>
      <c r="L158" s="35">
        <f>IF($B$3="",1E+9,IFERROR(SMALL('仕入請求台帳'!$U$5:$U$504,$J158+1),1E+9))</f>
        <v/>
      </c>
      <c r="M158" s="35">
        <f>IF($B$3="",1E+9,IFERROR(SMALL('仕入請求台帳'!$V$5:$V$504,$K158+1),1E+9))</f>
        <v/>
      </c>
      <c r="N158" s="32">
        <f>IF(MIN($L158,$M158)&gt;=1E+9,"",IF($L158&lt;=$M158,"増","減"))</f>
        <v/>
      </c>
      <c r="O158" s="32">
        <f>IF($N158="","",IF($N158="増",MATCH($L158,'仕入請求台帳'!$U$5:$U$504,0),MATCH($M158,'仕入請求台帳'!$V$5:$V$504,0)))</f>
        <v/>
      </c>
      <c r="P158" s="56" t="n"/>
      <c r="Q158" s="56" t="n"/>
    </row>
    <row r="159" ht="18" customHeight="1">
      <c r="A159" s="45">
        <f>IF($N159="","",IF($N159="増",INDEX('仕入請求台帳'!$S$5:$S$504,$O159),INDEX('仕入請求台帳'!$K$5:$K$504,$O159)))</f>
        <v/>
      </c>
      <c r="B159" s="46">
        <f>IF($N159="","",IF($N159="増","仕入","支払"))</f>
        <v/>
      </c>
      <c r="C159" s="46">
        <f>IF($N159="","",IF($N159="増",INDEX('仕入請求台帳'!$E$5:$E$504,$O159)&amp;"",INDEX('仕入請求台帳'!$E$5:$E$504,$O159)&amp;""))</f>
        <v/>
      </c>
      <c r="D159" s="47">
        <f>IF($N159="","",IF($N159="増",INDEX('仕入請求台帳'!$F$5:$F$504,$O159)&amp;"","支払"))</f>
        <v/>
      </c>
      <c r="E159" s="48">
        <f>IF($N159&lt;&gt;"増","",INDEX('仕入請求台帳'!$G$5:$G$504,$O159))</f>
        <v/>
      </c>
      <c r="F159" s="48">
        <f>IF($N159&lt;&gt;"減","",N(INDEX('仕入請求台帳'!$L$5:$L$504,$O159)))</f>
        <v/>
      </c>
      <c r="G159" s="48">
        <f>IF($N159&lt;&gt;"減","",N(INDEX('仕入請求台帳'!$M$5:$M$504,$O159)))</f>
        <v/>
      </c>
      <c r="H159" s="49">
        <f>IF($N159="","",$H158+N($E159)-N($F159)-N($G159))</f>
        <v/>
      </c>
      <c r="I159" s="56" t="n"/>
      <c r="J159" s="32">
        <f>$J158+IF($N158="増",1,0)</f>
        <v/>
      </c>
      <c r="K159" s="32">
        <f>$K158+IF($N158="減",1,0)</f>
        <v/>
      </c>
      <c r="L159" s="35">
        <f>IF($B$3="",1E+9,IFERROR(SMALL('仕入請求台帳'!$U$5:$U$504,$J159+1),1E+9))</f>
        <v/>
      </c>
      <c r="M159" s="35">
        <f>IF($B$3="",1E+9,IFERROR(SMALL('仕入請求台帳'!$V$5:$V$504,$K159+1),1E+9))</f>
        <v/>
      </c>
      <c r="N159" s="32">
        <f>IF(MIN($L159,$M159)&gt;=1E+9,"",IF($L159&lt;=$M159,"増","減"))</f>
        <v/>
      </c>
      <c r="O159" s="32">
        <f>IF($N159="","",IF($N159="増",MATCH($L159,'仕入請求台帳'!$U$5:$U$504,0),MATCH($M159,'仕入請求台帳'!$V$5:$V$504,0)))</f>
        <v/>
      </c>
      <c r="P159" s="56" t="n"/>
      <c r="Q159" s="56" t="n"/>
    </row>
    <row r="160" ht="18" customHeight="1">
      <c r="A160" s="45">
        <f>IF($N160="","",IF($N160="増",INDEX('仕入請求台帳'!$S$5:$S$504,$O160),INDEX('仕入請求台帳'!$K$5:$K$504,$O160)))</f>
        <v/>
      </c>
      <c r="B160" s="46">
        <f>IF($N160="","",IF($N160="増","仕入","支払"))</f>
        <v/>
      </c>
      <c r="C160" s="46">
        <f>IF($N160="","",IF($N160="増",INDEX('仕入請求台帳'!$E$5:$E$504,$O160)&amp;"",INDEX('仕入請求台帳'!$E$5:$E$504,$O160)&amp;""))</f>
        <v/>
      </c>
      <c r="D160" s="47">
        <f>IF($N160="","",IF($N160="増",INDEX('仕入請求台帳'!$F$5:$F$504,$O160)&amp;"","支払"))</f>
        <v/>
      </c>
      <c r="E160" s="48">
        <f>IF($N160&lt;&gt;"増","",INDEX('仕入請求台帳'!$G$5:$G$504,$O160))</f>
        <v/>
      </c>
      <c r="F160" s="48">
        <f>IF($N160&lt;&gt;"減","",N(INDEX('仕入請求台帳'!$L$5:$L$504,$O160)))</f>
        <v/>
      </c>
      <c r="G160" s="48">
        <f>IF($N160&lt;&gt;"減","",N(INDEX('仕入請求台帳'!$M$5:$M$504,$O160)))</f>
        <v/>
      </c>
      <c r="H160" s="49">
        <f>IF($N160="","",$H159+N($E160)-N($F160)-N($G160))</f>
        <v/>
      </c>
      <c r="I160" s="56" t="n"/>
      <c r="J160" s="32">
        <f>$J159+IF($N159="増",1,0)</f>
        <v/>
      </c>
      <c r="K160" s="32">
        <f>$K159+IF($N159="減",1,0)</f>
        <v/>
      </c>
      <c r="L160" s="35">
        <f>IF($B$3="",1E+9,IFERROR(SMALL('仕入請求台帳'!$U$5:$U$504,$J160+1),1E+9))</f>
        <v/>
      </c>
      <c r="M160" s="35">
        <f>IF($B$3="",1E+9,IFERROR(SMALL('仕入請求台帳'!$V$5:$V$504,$K160+1),1E+9))</f>
        <v/>
      </c>
      <c r="N160" s="32">
        <f>IF(MIN($L160,$M160)&gt;=1E+9,"",IF($L160&lt;=$M160,"増","減"))</f>
        <v/>
      </c>
      <c r="O160" s="32">
        <f>IF($N160="","",IF($N160="増",MATCH($L160,'仕入請求台帳'!$U$5:$U$504,0),MATCH($M160,'仕入請求台帳'!$V$5:$V$504,0)))</f>
        <v/>
      </c>
      <c r="P160" s="56" t="n"/>
      <c r="Q160" s="56" t="n"/>
    </row>
    <row r="161" ht="18" customHeight="1">
      <c r="A161" s="45">
        <f>IF($N161="","",IF($N161="増",INDEX('仕入請求台帳'!$S$5:$S$504,$O161),INDEX('仕入請求台帳'!$K$5:$K$504,$O161)))</f>
        <v/>
      </c>
      <c r="B161" s="46">
        <f>IF($N161="","",IF($N161="増","仕入","支払"))</f>
        <v/>
      </c>
      <c r="C161" s="46">
        <f>IF($N161="","",IF($N161="増",INDEX('仕入請求台帳'!$E$5:$E$504,$O161)&amp;"",INDEX('仕入請求台帳'!$E$5:$E$504,$O161)&amp;""))</f>
        <v/>
      </c>
      <c r="D161" s="47">
        <f>IF($N161="","",IF($N161="増",INDEX('仕入請求台帳'!$F$5:$F$504,$O161)&amp;"","支払"))</f>
        <v/>
      </c>
      <c r="E161" s="48">
        <f>IF($N161&lt;&gt;"増","",INDEX('仕入請求台帳'!$G$5:$G$504,$O161))</f>
        <v/>
      </c>
      <c r="F161" s="48">
        <f>IF($N161&lt;&gt;"減","",N(INDEX('仕入請求台帳'!$L$5:$L$504,$O161)))</f>
        <v/>
      </c>
      <c r="G161" s="48">
        <f>IF($N161&lt;&gt;"減","",N(INDEX('仕入請求台帳'!$M$5:$M$504,$O161)))</f>
        <v/>
      </c>
      <c r="H161" s="49">
        <f>IF($N161="","",$H160+N($E161)-N($F161)-N($G161))</f>
        <v/>
      </c>
      <c r="I161" s="56" t="n"/>
      <c r="J161" s="32">
        <f>$J160+IF($N160="増",1,0)</f>
        <v/>
      </c>
      <c r="K161" s="32">
        <f>$K160+IF($N160="減",1,0)</f>
        <v/>
      </c>
      <c r="L161" s="35">
        <f>IF($B$3="",1E+9,IFERROR(SMALL('仕入請求台帳'!$U$5:$U$504,$J161+1),1E+9))</f>
        <v/>
      </c>
      <c r="M161" s="35">
        <f>IF($B$3="",1E+9,IFERROR(SMALL('仕入請求台帳'!$V$5:$V$504,$K161+1),1E+9))</f>
        <v/>
      </c>
      <c r="N161" s="32">
        <f>IF(MIN($L161,$M161)&gt;=1E+9,"",IF($L161&lt;=$M161,"増","減"))</f>
        <v/>
      </c>
      <c r="O161" s="32">
        <f>IF($N161="","",IF($N161="増",MATCH($L161,'仕入請求台帳'!$U$5:$U$504,0),MATCH($M161,'仕入請求台帳'!$V$5:$V$504,0)))</f>
        <v/>
      </c>
      <c r="P161" s="56" t="n"/>
      <c r="Q161" s="56" t="n"/>
    </row>
    <row r="162" ht="18" customHeight="1">
      <c r="A162" s="45">
        <f>IF($N162="","",IF($N162="増",INDEX('仕入請求台帳'!$S$5:$S$504,$O162),INDEX('仕入請求台帳'!$K$5:$K$504,$O162)))</f>
        <v/>
      </c>
      <c r="B162" s="46">
        <f>IF($N162="","",IF($N162="増","仕入","支払"))</f>
        <v/>
      </c>
      <c r="C162" s="46">
        <f>IF($N162="","",IF($N162="増",INDEX('仕入請求台帳'!$E$5:$E$504,$O162)&amp;"",INDEX('仕入請求台帳'!$E$5:$E$504,$O162)&amp;""))</f>
        <v/>
      </c>
      <c r="D162" s="47">
        <f>IF($N162="","",IF($N162="増",INDEX('仕入請求台帳'!$F$5:$F$504,$O162)&amp;"","支払"))</f>
        <v/>
      </c>
      <c r="E162" s="48">
        <f>IF($N162&lt;&gt;"増","",INDEX('仕入請求台帳'!$G$5:$G$504,$O162))</f>
        <v/>
      </c>
      <c r="F162" s="48">
        <f>IF($N162&lt;&gt;"減","",N(INDEX('仕入請求台帳'!$L$5:$L$504,$O162)))</f>
        <v/>
      </c>
      <c r="G162" s="48">
        <f>IF($N162&lt;&gt;"減","",N(INDEX('仕入請求台帳'!$M$5:$M$504,$O162)))</f>
        <v/>
      </c>
      <c r="H162" s="49">
        <f>IF($N162="","",$H161+N($E162)-N($F162)-N($G162))</f>
        <v/>
      </c>
      <c r="I162" s="56" t="n"/>
      <c r="J162" s="32">
        <f>$J161+IF($N161="増",1,0)</f>
        <v/>
      </c>
      <c r="K162" s="32">
        <f>$K161+IF($N161="減",1,0)</f>
        <v/>
      </c>
      <c r="L162" s="35">
        <f>IF($B$3="",1E+9,IFERROR(SMALL('仕入請求台帳'!$U$5:$U$504,$J162+1),1E+9))</f>
        <v/>
      </c>
      <c r="M162" s="35">
        <f>IF($B$3="",1E+9,IFERROR(SMALL('仕入請求台帳'!$V$5:$V$504,$K162+1),1E+9))</f>
        <v/>
      </c>
      <c r="N162" s="32">
        <f>IF(MIN($L162,$M162)&gt;=1E+9,"",IF($L162&lt;=$M162,"増","減"))</f>
        <v/>
      </c>
      <c r="O162" s="32">
        <f>IF($N162="","",IF($N162="増",MATCH($L162,'仕入請求台帳'!$U$5:$U$504,0),MATCH($M162,'仕入請求台帳'!$V$5:$V$504,0)))</f>
        <v/>
      </c>
      <c r="P162" s="56" t="n"/>
      <c r="Q162" s="56" t="n"/>
    </row>
    <row r="163" ht="18" customHeight="1">
      <c r="A163" s="45">
        <f>IF($N163="","",IF($N163="増",INDEX('仕入請求台帳'!$S$5:$S$504,$O163),INDEX('仕入請求台帳'!$K$5:$K$504,$O163)))</f>
        <v/>
      </c>
      <c r="B163" s="46">
        <f>IF($N163="","",IF($N163="増","仕入","支払"))</f>
        <v/>
      </c>
      <c r="C163" s="46">
        <f>IF($N163="","",IF($N163="増",INDEX('仕入請求台帳'!$E$5:$E$504,$O163)&amp;"",INDEX('仕入請求台帳'!$E$5:$E$504,$O163)&amp;""))</f>
        <v/>
      </c>
      <c r="D163" s="47">
        <f>IF($N163="","",IF($N163="増",INDEX('仕入請求台帳'!$F$5:$F$504,$O163)&amp;"","支払"))</f>
        <v/>
      </c>
      <c r="E163" s="48">
        <f>IF($N163&lt;&gt;"増","",INDEX('仕入請求台帳'!$G$5:$G$504,$O163))</f>
        <v/>
      </c>
      <c r="F163" s="48">
        <f>IF($N163&lt;&gt;"減","",N(INDEX('仕入請求台帳'!$L$5:$L$504,$O163)))</f>
        <v/>
      </c>
      <c r="G163" s="48">
        <f>IF($N163&lt;&gt;"減","",N(INDEX('仕入請求台帳'!$M$5:$M$504,$O163)))</f>
        <v/>
      </c>
      <c r="H163" s="49">
        <f>IF($N163="","",$H162+N($E163)-N($F163)-N($G163))</f>
        <v/>
      </c>
      <c r="I163" s="56" t="n"/>
      <c r="J163" s="32">
        <f>$J162+IF($N162="増",1,0)</f>
        <v/>
      </c>
      <c r="K163" s="32">
        <f>$K162+IF($N162="減",1,0)</f>
        <v/>
      </c>
      <c r="L163" s="35">
        <f>IF($B$3="",1E+9,IFERROR(SMALL('仕入請求台帳'!$U$5:$U$504,$J163+1),1E+9))</f>
        <v/>
      </c>
      <c r="M163" s="35">
        <f>IF($B$3="",1E+9,IFERROR(SMALL('仕入請求台帳'!$V$5:$V$504,$K163+1),1E+9))</f>
        <v/>
      </c>
      <c r="N163" s="32">
        <f>IF(MIN($L163,$M163)&gt;=1E+9,"",IF($L163&lt;=$M163,"増","減"))</f>
        <v/>
      </c>
      <c r="O163" s="32">
        <f>IF($N163="","",IF($N163="増",MATCH($L163,'仕入請求台帳'!$U$5:$U$504,0),MATCH($M163,'仕入請求台帳'!$V$5:$V$504,0)))</f>
        <v/>
      </c>
      <c r="P163" s="56" t="n"/>
      <c r="Q163" s="56" t="n"/>
    </row>
    <row r="164" ht="18" customHeight="1">
      <c r="A164" s="45">
        <f>IF($N164="","",IF($N164="増",INDEX('仕入請求台帳'!$S$5:$S$504,$O164),INDEX('仕入請求台帳'!$K$5:$K$504,$O164)))</f>
        <v/>
      </c>
      <c r="B164" s="46">
        <f>IF($N164="","",IF($N164="増","仕入","支払"))</f>
        <v/>
      </c>
      <c r="C164" s="46">
        <f>IF($N164="","",IF($N164="増",INDEX('仕入請求台帳'!$E$5:$E$504,$O164)&amp;"",INDEX('仕入請求台帳'!$E$5:$E$504,$O164)&amp;""))</f>
        <v/>
      </c>
      <c r="D164" s="47">
        <f>IF($N164="","",IF($N164="増",INDEX('仕入請求台帳'!$F$5:$F$504,$O164)&amp;"","支払"))</f>
        <v/>
      </c>
      <c r="E164" s="48">
        <f>IF($N164&lt;&gt;"増","",INDEX('仕入請求台帳'!$G$5:$G$504,$O164))</f>
        <v/>
      </c>
      <c r="F164" s="48">
        <f>IF($N164&lt;&gt;"減","",N(INDEX('仕入請求台帳'!$L$5:$L$504,$O164)))</f>
        <v/>
      </c>
      <c r="G164" s="48">
        <f>IF($N164&lt;&gt;"減","",N(INDEX('仕入請求台帳'!$M$5:$M$504,$O164)))</f>
        <v/>
      </c>
      <c r="H164" s="49">
        <f>IF($N164="","",$H163+N($E164)-N($F164)-N($G164))</f>
        <v/>
      </c>
      <c r="I164" s="56" t="n"/>
      <c r="J164" s="32">
        <f>$J163+IF($N163="増",1,0)</f>
        <v/>
      </c>
      <c r="K164" s="32">
        <f>$K163+IF($N163="減",1,0)</f>
        <v/>
      </c>
      <c r="L164" s="35">
        <f>IF($B$3="",1E+9,IFERROR(SMALL('仕入請求台帳'!$U$5:$U$504,$J164+1),1E+9))</f>
        <v/>
      </c>
      <c r="M164" s="35">
        <f>IF($B$3="",1E+9,IFERROR(SMALL('仕入請求台帳'!$V$5:$V$504,$K164+1),1E+9))</f>
        <v/>
      </c>
      <c r="N164" s="32">
        <f>IF(MIN($L164,$M164)&gt;=1E+9,"",IF($L164&lt;=$M164,"増","減"))</f>
        <v/>
      </c>
      <c r="O164" s="32">
        <f>IF($N164="","",IF($N164="増",MATCH($L164,'仕入請求台帳'!$U$5:$U$504,0),MATCH($M164,'仕入請求台帳'!$V$5:$V$504,0)))</f>
        <v/>
      </c>
      <c r="P164" s="56" t="n"/>
      <c r="Q164" s="56" t="n"/>
    </row>
    <row r="165" ht="18" customHeight="1">
      <c r="A165" s="45">
        <f>IF($N165="","",IF($N165="増",INDEX('仕入請求台帳'!$S$5:$S$504,$O165),INDEX('仕入請求台帳'!$K$5:$K$504,$O165)))</f>
        <v/>
      </c>
      <c r="B165" s="46">
        <f>IF($N165="","",IF($N165="増","仕入","支払"))</f>
        <v/>
      </c>
      <c r="C165" s="46">
        <f>IF($N165="","",IF($N165="増",INDEX('仕入請求台帳'!$E$5:$E$504,$O165)&amp;"",INDEX('仕入請求台帳'!$E$5:$E$504,$O165)&amp;""))</f>
        <v/>
      </c>
      <c r="D165" s="47">
        <f>IF($N165="","",IF($N165="増",INDEX('仕入請求台帳'!$F$5:$F$504,$O165)&amp;"","支払"))</f>
        <v/>
      </c>
      <c r="E165" s="48">
        <f>IF($N165&lt;&gt;"増","",INDEX('仕入請求台帳'!$G$5:$G$504,$O165))</f>
        <v/>
      </c>
      <c r="F165" s="48">
        <f>IF($N165&lt;&gt;"減","",N(INDEX('仕入請求台帳'!$L$5:$L$504,$O165)))</f>
        <v/>
      </c>
      <c r="G165" s="48">
        <f>IF($N165&lt;&gt;"減","",N(INDEX('仕入請求台帳'!$M$5:$M$504,$O165)))</f>
        <v/>
      </c>
      <c r="H165" s="49">
        <f>IF($N165="","",$H164+N($E165)-N($F165)-N($G165))</f>
        <v/>
      </c>
      <c r="I165" s="56" t="n"/>
      <c r="J165" s="32">
        <f>$J164+IF($N164="増",1,0)</f>
        <v/>
      </c>
      <c r="K165" s="32">
        <f>$K164+IF($N164="減",1,0)</f>
        <v/>
      </c>
      <c r="L165" s="35">
        <f>IF($B$3="",1E+9,IFERROR(SMALL('仕入請求台帳'!$U$5:$U$504,$J165+1),1E+9))</f>
        <v/>
      </c>
      <c r="M165" s="35">
        <f>IF($B$3="",1E+9,IFERROR(SMALL('仕入請求台帳'!$V$5:$V$504,$K165+1),1E+9))</f>
        <v/>
      </c>
      <c r="N165" s="32">
        <f>IF(MIN($L165,$M165)&gt;=1E+9,"",IF($L165&lt;=$M165,"増","減"))</f>
        <v/>
      </c>
      <c r="O165" s="32">
        <f>IF($N165="","",IF($N165="増",MATCH($L165,'仕入請求台帳'!$U$5:$U$504,0),MATCH($M165,'仕入請求台帳'!$V$5:$V$504,0)))</f>
        <v/>
      </c>
      <c r="P165" s="56" t="n"/>
      <c r="Q165" s="56" t="n"/>
    </row>
    <row r="166" ht="18" customHeight="1">
      <c r="A166" s="45">
        <f>IF($N166="","",IF($N166="増",INDEX('仕入請求台帳'!$S$5:$S$504,$O166),INDEX('仕入請求台帳'!$K$5:$K$504,$O166)))</f>
        <v/>
      </c>
      <c r="B166" s="46">
        <f>IF($N166="","",IF($N166="増","仕入","支払"))</f>
        <v/>
      </c>
      <c r="C166" s="46">
        <f>IF($N166="","",IF($N166="増",INDEX('仕入請求台帳'!$E$5:$E$504,$O166)&amp;"",INDEX('仕入請求台帳'!$E$5:$E$504,$O166)&amp;""))</f>
        <v/>
      </c>
      <c r="D166" s="47">
        <f>IF($N166="","",IF($N166="増",INDEX('仕入請求台帳'!$F$5:$F$504,$O166)&amp;"","支払"))</f>
        <v/>
      </c>
      <c r="E166" s="48">
        <f>IF($N166&lt;&gt;"増","",INDEX('仕入請求台帳'!$G$5:$G$504,$O166))</f>
        <v/>
      </c>
      <c r="F166" s="48">
        <f>IF($N166&lt;&gt;"減","",N(INDEX('仕入請求台帳'!$L$5:$L$504,$O166)))</f>
        <v/>
      </c>
      <c r="G166" s="48">
        <f>IF($N166&lt;&gt;"減","",N(INDEX('仕入請求台帳'!$M$5:$M$504,$O166)))</f>
        <v/>
      </c>
      <c r="H166" s="49">
        <f>IF($N166="","",$H165+N($E166)-N($F166)-N($G166))</f>
        <v/>
      </c>
      <c r="I166" s="56" t="n"/>
      <c r="J166" s="32">
        <f>$J165+IF($N165="増",1,0)</f>
        <v/>
      </c>
      <c r="K166" s="32">
        <f>$K165+IF($N165="減",1,0)</f>
        <v/>
      </c>
      <c r="L166" s="35">
        <f>IF($B$3="",1E+9,IFERROR(SMALL('仕入請求台帳'!$U$5:$U$504,$J166+1),1E+9))</f>
        <v/>
      </c>
      <c r="M166" s="35">
        <f>IF($B$3="",1E+9,IFERROR(SMALL('仕入請求台帳'!$V$5:$V$504,$K166+1),1E+9))</f>
        <v/>
      </c>
      <c r="N166" s="32">
        <f>IF(MIN($L166,$M166)&gt;=1E+9,"",IF($L166&lt;=$M166,"増","減"))</f>
        <v/>
      </c>
      <c r="O166" s="32">
        <f>IF($N166="","",IF($N166="増",MATCH($L166,'仕入請求台帳'!$U$5:$U$504,0),MATCH($M166,'仕入請求台帳'!$V$5:$V$504,0)))</f>
        <v/>
      </c>
      <c r="P166" s="56" t="n"/>
      <c r="Q166" s="56" t="n"/>
    </row>
    <row r="167" ht="18" customHeight="1">
      <c r="A167" s="45">
        <f>IF($N167="","",IF($N167="増",INDEX('仕入請求台帳'!$S$5:$S$504,$O167),INDEX('仕入請求台帳'!$K$5:$K$504,$O167)))</f>
        <v/>
      </c>
      <c r="B167" s="46">
        <f>IF($N167="","",IF($N167="増","仕入","支払"))</f>
        <v/>
      </c>
      <c r="C167" s="46">
        <f>IF($N167="","",IF($N167="増",INDEX('仕入請求台帳'!$E$5:$E$504,$O167)&amp;"",INDEX('仕入請求台帳'!$E$5:$E$504,$O167)&amp;""))</f>
        <v/>
      </c>
      <c r="D167" s="47">
        <f>IF($N167="","",IF($N167="増",INDEX('仕入請求台帳'!$F$5:$F$504,$O167)&amp;"","支払"))</f>
        <v/>
      </c>
      <c r="E167" s="48">
        <f>IF($N167&lt;&gt;"増","",INDEX('仕入請求台帳'!$G$5:$G$504,$O167))</f>
        <v/>
      </c>
      <c r="F167" s="48">
        <f>IF($N167&lt;&gt;"減","",N(INDEX('仕入請求台帳'!$L$5:$L$504,$O167)))</f>
        <v/>
      </c>
      <c r="G167" s="48">
        <f>IF($N167&lt;&gt;"減","",N(INDEX('仕入請求台帳'!$M$5:$M$504,$O167)))</f>
        <v/>
      </c>
      <c r="H167" s="49">
        <f>IF($N167="","",$H166+N($E167)-N($F167)-N($G167))</f>
        <v/>
      </c>
      <c r="I167" s="56" t="n"/>
      <c r="J167" s="32">
        <f>$J166+IF($N166="増",1,0)</f>
        <v/>
      </c>
      <c r="K167" s="32">
        <f>$K166+IF($N166="減",1,0)</f>
        <v/>
      </c>
      <c r="L167" s="35">
        <f>IF($B$3="",1E+9,IFERROR(SMALL('仕入請求台帳'!$U$5:$U$504,$J167+1),1E+9))</f>
        <v/>
      </c>
      <c r="M167" s="35">
        <f>IF($B$3="",1E+9,IFERROR(SMALL('仕入請求台帳'!$V$5:$V$504,$K167+1),1E+9))</f>
        <v/>
      </c>
      <c r="N167" s="32">
        <f>IF(MIN($L167,$M167)&gt;=1E+9,"",IF($L167&lt;=$M167,"増","減"))</f>
        <v/>
      </c>
      <c r="O167" s="32">
        <f>IF($N167="","",IF($N167="増",MATCH($L167,'仕入請求台帳'!$U$5:$U$504,0),MATCH($M167,'仕入請求台帳'!$V$5:$V$504,0)))</f>
        <v/>
      </c>
      <c r="P167" s="56" t="n"/>
      <c r="Q167" s="56" t="n"/>
    </row>
    <row r="168" ht="18" customHeight="1">
      <c r="A168" s="45">
        <f>IF($N168="","",IF($N168="増",INDEX('仕入請求台帳'!$S$5:$S$504,$O168),INDEX('仕入請求台帳'!$K$5:$K$504,$O168)))</f>
        <v/>
      </c>
      <c r="B168" s="46">
        <f>IF($N168="","",IF($N168="増","仕入","支払"))</f>
        <v/>
      </c>
      <c r="C168" s="46">
        <f>IF($N168="","",IF($N168="増",INDEX('仕入請求台帳'!$E$5:$E$504,$O168)&amp;"",INDEX('仕入請求台帳'!$E$5:$E$504,$O168)&amp;""))</f>
        <v/>
      </c>
      <c r="D168" s="47">
        <f>IF($N168="","",IF($N168="増",INDEX('仕入請求台帳'!$F$5:$F$504,$O168)&amp;"","支払"))</f>
        <v/>
      </c>
      <c r="E168" s="48">
        <f>IF($N168&lt;&gt;"増","",INDEX('仕入請求台帳'!$G$5:$G$504,$O168))</f>
        <v/>
      </c>
      <c r="F168" s="48">
        <f>IF($N168&lt;&gt;"減","",N(INDEX('仕入請求台帳'!$L$5:$L$504,$O168)))</f>
        <v/>
      </c>
      <c r="G168" s="48">
        <f>IF($N168&lt;&gt;"減","",N(INDEX('仕入請求台帳'!$M$5:$M$504,$O168)))</f>
        <v/>
      </c>
      <c r="H168" s="49">
        <f>IF($N168="","",$H167+N($E168)-N($F168)-N($G168))</f>
        <v/>
      </c>
      <c r="I168" s="56" t="n"/>
      <c r="J168" s="32">
        <f>$J167+IF($N167="増",1,0)</f>
        <v/>
      </c>
      <c r="K168" s="32">
        <f>$K167+IF($N167="減",1,0)</f>
        <v/>
      </c>
      <c r="L168" s="35">
        <f>IF($B$3="",1E+9,IFERROR(SMALL('仕入請求台帳'!$U$5:$U$504,$J168+1),1E+9))</f>
        <v/>
      </c>
      <c r="M168" s="35">
        <f>IF($B$3="",1E+9,IFERROR(SMALL('仕入請求台帳'!$V$5:$V$504,$K168+1),1E+9))</f>
        <v/>
      </c>
      <c r="N168" s="32">
        <f>IF(MIN($L168,$M168)&gt;=1E+9,"",IF($L168&lt;=$M168,"増","減"))</f>
        <v/>
      </c>
      <c r="O168" s="32">
        <f>IF($N168="","",IF($N168="増",MATCH($L168,'仕入請求台帳'!$U$5:$U$504,0),MATCH($M168,'仕入請求台帳'!$V$5:$V$504,0)))</f>
        <v/>
      </c>
      <c r="P168" s="56" t="n"/>
      <c r="Q168" s="56" t="n"/>
    </row>
    <row r="169" ht="18" customHeight="1">
      <c r="A169" s="45">
        <f>IF($N169="","",IF($N169="増",INDEX('仕入請求台帳'!$S$5:$S$504,$O169),INDEX('仕入請求台帳'!$K$5:$K$504,$O169)))</f>
        <v/>
      </c>
      <c r="B169" s="46">
        <f>IF($N169="","",IF($N169="増","仕入","支払"))</f>
        <v/>
      </c>
      <c r="C169" s="46">
        <f>IF($N169="","",IF($N169="増",INDEX('仕入請求台帳'!$E$5:$E$504,$O169)&amp;"",INDEX('仕入請求台帳'!$E$5:$E$504,$O169)&amp;""))</f>
        <v/>
      </c>
      <c r="D169" s="47">
        <f>IF($N169="","",IF($N169="増",INDEX('仕入請求台帳'!$F$5:$F$504,$O169)&amp;"","支払"))</f>
        <v/>
      </c>
      <c r="E169" s="48">
        <f>IF($N169&lt;&gt;"増","",INDEX('仕入請求台帳'!$G$5:$G$504,$O169))</f>
        <v/>
      </c>
      <c r="F169" s="48">
        <f>IF($N169&lt;&gt;"減","",N(INDEX('仕入請求台帳'!$L$5:$L$504,$O169)))</f>
        <v/>
      </c>
      <c r="G169" s="48">
        <f>IF($N169&lt;&gt;"減","",N(INDEX('仕入請求台帳'!$M$5:$M$504,$O169)))</f>
        <v/>
      </c>
      <c r="H169" s="49">
        <f>IF($N169="","",$H168+N($E169)-N($F169)-N($G169))</f>
        <v/>
      </c>
      <c r="I169" s="56" t="n"/>
      <c r="J169" s="32">
        <f>$J168+IF($N168="増",1,0)</f>
        <v/>
      </c>
      <c r="K169" s="32">
        <f>$K168+IF($N168="減",1,0)</f>
        <v/>
      </c>
      <c r="L169" s="35">
        <f>IF($B$3="",1E+9,IFERROR(SMALL('仕入請求台帳'!$U$5:$U$504,$J169+1),1E+9))</f>
        <v/>
      </c>
      <c r="M169" s="35">
        <f>IF($B$3="",1E+9,IFERROR(SMALL('仕入請求台帳'!$V$5:$V$504,$K169+1),1E+9))</f>
        <v/>
      </c>
      <c r="N169" s="32">
        <f>IF(MIN($L169,$M169)&gt;=1E+9,"",IF($L169&lt;=$M169,"増","減"))</f>
        <v/>
      </c>
      <c r="O169" s="32">
        <f>IF($N169="","",IF($N169="増",MATCH($L169,'仕入請求台帳'!$U$5:$U$504,0),MATCH($M169,'仕入請求台帳'!$V$5:$V$504,0)))</f>
        <v/>
      </c>
      <c r="P169" s="56" t="n"/>
      <c r="Q169" s="56" t="n"/>
    </row>
    <row r="170" ht="18" customHeight="1">
      <c r="A170" s="45">
        <f>IF($N170="","",IF($N170="増",INDEX('仕入請求台帳'!$S$5:$S$504,$O170),INDEX('仕入請求台帳'!$K$5:$K$504,$O170)))</f>
        <v/>
      </c>
      <c r="B170" s="46">
        <f>IF($N170="","",IF($N170="増","仕入","支払"))</f>
        <v/>
      </c>
      <c r="C170" s="46">
        <f>IF($N170="","",IF($N170="増",INDEX('仕入請求台帳'!$E$5:$E$504,$O170)&amp;"",INDEX('仕入請求台帳'!$E$5:$E$504,$O170)&amp;""))</f>
        <v/>
      </c>
      <c r="D170" s="47">
        <f>IF($N170="","",IF($N170="増",INDEX('仕入請求台帳'!$F$5:$F$504,$O170)&amp;"","支払"))</f>
        <v/>
      </c>
      <c r="E170" s="48">
        <f>IF($N170&lt;&gt;"増","",INDEX('仕入請求台帳'!$G$5:$G$504,$O170))</f>
        <v/>
      </c>
      <c r="F170" s="48">
        <f>IF($N170&lt;&gt;"減","",N(INDEX('仕入請求台帳'!$L$5:$L$504,$O170)))</f>
        <v/>
      </c>
      <c r="G170" s="48">
        <f>IF($N170&lt;&gt;"減","",N(INDEX('仕入請求台帳'!$M$5:$M$504,$O170)))</f>
        <v/>
      </c>
      <c r="H170" s="49">
        <f>IF($N170="","",$H169+N($E170)-N($F170)-N($G170))</f>
        <v/>
      </c>
      <c r="I170" s="56" t="n"/>
      <c r="J170" s="32">
        <f>$J169+IF($N169="増",1,0)</f>
        <v/>
      </c>
      <c r="K170" s="32">
        <f>$K169+IF($N169="減",1,0)</f>
        <v/>
      </c>
      <c r="L170" s="35">
        <f>IF($B$3="",1E+9,IFERROR(SMALL('仕入請求台帳'!$U$5:$U$504,$J170+1),1E+9))</f>
        <v/>
      </c>
      <c r="M170" s="35">
        <f>IF($B$3="",1E+9,IFERROR(SMALL('仕入請求台帳'!$V$5:$V$504,$K170+1),1E+9))</f>
        <v/>
      </c>
      <c r="N170" s="32">
        <f>IF(MIN($L170,$M170)&gt;=1E+9,"",IF($L170&lt;=$M170,"増","減"))</f>
        <v/>
      </c>
      <c r="O170" s="32">
        <f>IF($N170="","",IF($N170="増",MATCH($L170,'仕入請求台帳'!$U$5:$U$504,0),MATCH($M170,'仕入請求台帳'!$V$5:$V$504,0)))</f>
        <v/>
      </c>
      <c r="P170" s="56" t="n"/>
      <c r="Q170" s="56" t="n"/>
    </row>
    <row r="171" ht="18" customHeight="1">
      <c r="A171" s="45">
        <f>IF($N171="","",IF($N171="増",INDEX('仕入請求台帳'!$S$5:$S$504,$O171),INDEX('仕入請求台帳'!$K$5:$K$504,$O171)))</f>
        <v/>
      </c>
      <c r="B171" s="46">
        <f>IF($N171="","",IF($N171="増","仕入","支払"))</f>
        <v/>
      </c>
      <c r="C171" s="46">
        <f>IF($N171="","",IF($N171="増",INDEX('仕入請求台帳'!$E$5:$E$504,$O171)&amp;"",INDEX('仕入請求台帳'!$E$5:$E$504,$O171)&amp;""))</f>
        <v/>
      </c>
      <c r="D171" s="47">
        <f>IF($N171="","",IF($N171="増",INDEX('仕入請求台帳'!$F$5:$F$504,$O171)&amp;"","支払"))</f>
        <v/>
      </c>
      <c r="E171" s="48">
        <f>IF($N171&lt;&gt;"増","",INDEX('仕入請求台帳'!$G$5:$G$504,$O171))</f>
        <v/>
      </c>
      <c r="F171" s="48">
        <f>IF($N171&lt;&gt;"減","",N(INDEX('仕入請求台帳'!$L$5:$L$504,$O171)))</f>
        <v/>
      </c>
      <c r="G171" s="48">
        <f>IF($N171&lt;&gt;"減","",N(INDEX('仕入請求台帳'!$M$5:$M$504,$O171)))</f>
        <v/>
      </c>
      <c r="H171" s="49">
        <f>IF($N171="","",$H170+N($E171)-N($F171)-N($G171))</f>
        <v/>
      </c>
      <c r="I171" s="56" t="n"/>
      <c r="J171" s="32">
        <f>$J170+IF($N170="増",1,0)</f>
        <v/>
      </c>
      <c r="K171" s="32">
        <f>$K170+IF($N170="減",1,0)</f>
        <v/>
      </c>
      <c r="L171" s="35">
        <f>IF($B$3="",1E+9,IFERROR(SMALL('仕入請求台帳'!$U$5:$U$504,$J171+1),1E+9))</f>
        <v/>
      </c>
      <c r="M171" s="35">
        <f>IF($B$3="",1E+9,IFERROR(SMALL('仕入請求台帳'!$V$5:$V$504,$K171+1),1E+9))</f>
        <v/>
      </c>
      <c r="N171" s="32">
        <f>IF(MIN($L171,$M171)&gt;=1E+9,"",IF($L171&lt;=$M171,"増","減"))</f>
        <v/>
      </c>
      <c r="O171" s="32">
        <f>IF($N171="","",IF($N171="増",MATCH($L171,'仕入請求台帳'!$U$5:$U$504,0),MATCH($M171,'仕入請求台帳'!$V$5:$V$504,0)))</f>
        <v/>
      </c>
      <c r="P171" s="56" t="n"/>
      <c r="Q171" s="56" t="n"/>
    </row>
    <row r="172" ht="18" customHeight="1">
      <c r="A172" s="45">
        <f>IF($N172="","",IF($N172="増",INDEX('仕入請求台帳'!$S$5:$S$504,$O172),INDEX('仕入請求台帳'!$K$5:$K$504,$O172)))</f>
        <v/>
      </c>
      <c r="B172" s="46">
        <f>IF($N172="","",IF($N172="増","仕入","支払"))</f>
        <v/>
      </c>
      <c r="C172" s="46">
        <f>IF($N172="","",IF($N172="増",INDEX('仕入請求台帳'!$E$5:$E$504,$O172)&amp;"",INDEX('仕入請求台帳'!$E$5:$E$504,$O172)&amp;""))</f>
        <v/>
      </c>
      <c r="D172" s="47">
        <f>IF($N172="","",IF($N172="増",INDEX('仕入請求台帳'!$F$5:$F$504,$O172)&amp;"","支払"))</f>
        <v/>
      </c>
      <c r="E172" s="48">
        <f>IF($N172&lt;&gt;"増","",INDEX('仕入請求台帳'!$G$5:$G$504,$O172))</f>
        <v/>
      </c>
      <c r="F172" s="48">
        <f>IF($N172&lt;&gt;"減","",N(INDEX('仕入請求台帳'!$L$5:$L$504,$O172)))</f>
        <v/>
      </c>
      <c r="G172" s="48">
        <f>IF($N172&lt;&gt;"減","",N(INDEX('仕入請求台帳'!$M$5:$M$504,$O172)))</f>
        <v/>
      </c>
      <c r="H172" s="49">
        <f>IF($N172="","",$H171+N($E172)-N($F172)-N($G172))</f>
        <v/>
      </c>
      <c r="I172" s="56" t="n"/>
      <c r="J172" s="32">
        <f>$J171+IF($N171="増",1,0)</f>
        <v/>
      </c>
      <c r="K172" s="32">
        <f>$K171+IF($N171="減",1,0)</f>
        <v/>
      </c>
      <c r="L172" s="35">
        <f>IF($B$3="",1E+9,IFERROR(SMALL('仕入請求台帳'!$U$5:$U$504,$J172+1),1E+9))</f>
        <v/>
      </c>
      <c r="M172" s="35">
        <f>IF($B$3="",1E+9,IFERROR(SMALL('仕入請求台帳'!$V$5:$V$504,$K172+1),1E+9))</f>
        <v/>
      </c>
      <c r="N172" s="32">
        <f>IF(MIN($L172,$M172)&gt;=1E+9,"",IF($L172&lt;=$M172,"増","減"))</f>
        <v/>
      </c>
      <c r="O172" s="32">
        <f>IF($N172="","",IF($N172="増",MATCH($L172,'仕入請求台帳'!$U$5:$U$504,0),MATCH($M172,'仕入請求台帳'!$V$5:$V$504,0)))</f>
        <v/>
      </c>
      <c r="P172" s="56" t="n"/>
      <c r="Q172" s="56" t="n"/>
    </row>
    <row r="173" ht="18" customHeight="1">
      <c r="A173" s="45">
        <f>IF($N173="","",IF($N173="増",INDEX('仕入請求台帳'!$S$5:$S$504,$O173),INDEX('仕入請求台帳'!$K$5:$K$504,$O173)))</f>
        <v/>
      </c>
      <c r="B173" s="46">
        <f>IF($N173="","",IF($N173="増","仕入","支払"))</f>
        <v/>
      </c>
      <c r="C173" s="46">
        <f>IF($N173="","",IF($N173="増",INDEX('仕入請求台帳'!$E$5:$E$504,$O173)&amp;"",INDEX('仕入請求台帳'!$E$5:$E$504,$O173)&amp;""))</f>
        <v/>
      </c>
      <c r="D173" s="47">
        <f>IF($N173="","",IF($N173="増",INDEX('仕入請求台帳'!$F$5:$F$504,$O173)&amp;"","支払"))</f>
        <v/>
      </c>
      <c r="E173" s="48">
        <f>IF($N173&lt;&gt;"増","",INDEX('仕入請求台帳'!$G$5:$G$504,$O173))</f>
        <v/>
      </c>
      <c r="F173" s="48">
        <f>IF($N173&lt;&gt;"減","",N(INDEX('仕入請求台帳'!$L$5:$L$504,$O173)))</f>
        <v/>
      </c>
      <c r="G173" s="48">
        <f>IF($N173&lt;&gt;"減","",N(INDEX('仕入請求台帳'!$M$5:$M$504,$O173)))</f>
        <v/>
      </c>
      <c r="H173" s="49">
        <f>IF($N173="","",$H172+N($E173)-N($F173)-N($G173))</f>
        <v/>
      </c>
      <c r="I173" s="56" t="n"/>
      <c r="J173" s="32">
        <f>$J172+IF($N172="増",1,0)</f>
        <v/>
      </c>
      <c r="K173" s="32">
        <f>$K172+IF($N172="減",1,0)</f>
        <v/>
      </c>
      <c r="L173" s="35">
        <f>IF($B$3="",1E+9,IFERROR(SMALL('仕入請求台帳'!$U$5:$U$504,$J173+1),1E+9))</f>
        <v/>
      </c>
      <c r="M173" s="35">
        <f>IF($B$3="",1E+9,IFERROR(SMALL('仕入請求台帳'!$V$5:$V$504,$K173+1),1E+9))</f>
        <v/>
      </c>
      <c r="N173" s="32">
        <f>IF(MIN($L173,$M173)&gt;=1E+9,"",IF($L173&lt;=$M173,"増","減"))</f>
        <v/>
      </c>
      <c r="O173" s="32">
        <f>IF($N173="","",IF($N173="増",MATCH($L173,'仕入請求台帳'!$U$5:$U$504,0),MATCH($M173,'仕入請求台帳'!$V$5:$V$504,0)))</f>
        <v/>
      </c>
      <c r="P173" s="56" t="n"/>
      <c r="Q173" s="56" t="n"/>
    </row>
    <row r="174" ht="18" customHeight="1">
      <c r="A174" s="45">
        <f>IF($N174="","",IF($N174="増",INDEX('仕入請求台帳'!$S$5:$S$504,$O174),INDEX('仕入請求台帳'!$K$5:$K$504,$O174)))</f>
        <v/>
      </c>
      <c r="B174" s="46">
        <f>IF($N174="","",IF($N174="増","仕入","支払"))</f>
        <v/>
      </c>
      <c r="C174" s="46">
        <f>IF($N174="","",IF($N174="増",INDEX('仕入請求台帳'!$E$5:$E$504,$O174)&amp;"",INDEX('仕入請求台帳'!$E$5:$E$504,$O174)&amp;""))</f>
        <v/>
      </c>
      <c r="D174" s="47">
        <f>IF($N174="","",IF($N174="増",INDEX('仕入請求台帳'!$F$5:$F$504,$O174)&amp;"","支払"))</f>
        <v/>
      </c>
      <c r="E174" s="48">
        <f>IF($N174&lt;&gt;"増","",INDEX('仕入請求台帳'!$G$5:$G$504,$O174))</f>
        <v/>
      </c>
      <c r="F174" s="48">
        <f>IF($N174&lt;&gt;"減","",N(INDEX('仕入請求台帳'!$L$5:$L$504,$O174)))</f>
        <v/>
      </c>
      <c r="G174" s="48">
        <f>IF($N174&lt;&gt;"減","",N(INDEX('仕入請求台帳'!$M$5:$M$504,$O174)))</f>
        <v/>
      </c>
      <c r="H174" s="49">
        <f>IF($N174="","",$H173+N($E174)-N($F174)-N($G174))</f>
        <v/>
      </c>
      <c r="I174" s="56" t="n"/>
      <c r="J174" s="32">
        <f>$J173+IF($N173="増",1,0)</f>
        <v/>
      </c>
      <c r="K174" s="32">
        <f>$K173+IF($N173="減",1,0)</f>
        <v/>
      </c>
      <c r="L174" s="35">
        <f>IF($B$3="",1E+9,IFERROR(SMALL('仕入請求台帳'!$U$5:$U$504,$J174+1),1E+9))</f>
        <v/>
      </c>
      <c r="M174" s="35">
        <f>IF($B$3="",1E+9,IFERROR(SMALL('仕入請求台帳'!$V$5:$V$504,$K174+1),1E+9))</f>
        <v/>
      </c>
      <c r="N174" s="32">
        <f>IF(MIN($L174,$M174)&gt;=1E+9,"",IF($L174&lt;=$M174,"増","減"))</f>
        <v/>
      </c>
      <c r="O174" s="32">
        <f>IF($N174="","",IF($N174="増",MATCH($L174,'仕入請求台帳'!$U$5:$U$504,0),MATCH($M174,'仕入請求台帳'!$V$5:$V$504,0)))</f>
        <v/>
      </c>
      <c r="P174" s="56" t="n"/>
      <c r="Q174" s="56" t="n"/>
    </row>
    <row r="175" ht="18" customHeight="1">
      <c r="A175" s="45">
        <f>IF($N175="","",IF($N175="増",INDEX('仕入請求台帳'!$S$5:$S$504,$O175),INDEX('仕入請求台帳'!$K$5:$K$504,$O175)))</f>
        <v/>
      </c>
      <c r="B175" s="46">
        <f>IF($N175="","",IF($N175="増","仕入","支払"))</f>
        <v/>
      </c>
      <c r="C175" s="46">
        <f>IF($N175="","",IF($N175="増",INDEX('仕入請求台帳'!$E$5:$E$504,$O175)&amp;"",INDEX('仕入請求台帳'!$E$5:$E$504,$O175)&amp;""))</f>
        <v/>
      </c>
      <c r="D175" s="47">
        <f>IF($N175="","",IF($N175="増",INDEX('仕入請求台帳'!$F$5:$F$504,$O175)&amp;"","支払"))</f>
        <v/>
      </c>
      <c r="E175" s="48">
        <f>IF($N175&lt;&gt;"増","",INDEX('仕入請求台帳'!$G$5:$G$504,$O175))</f>
        <v/>
      </c>
      <c r="F175" s="48">
        <f>IF($N175&lt;&gt;"減","",N(INDEX('仕入請求台帳'!$L$5:$L$504,$O175)))</f>
        <v/>
      </c>
      <c r="G175" s="48">
        <f>IF($N175&lt;&gt;"減","",N(INDEX('仕入請求台帳'!$M$5:$M$504,$O175)))</f>
        <v/>
      </c>
      <c r="H175" s="49">
        <f>IF($N175="","",$H174+N($E175)-N($F175)-N($G175))</f>
        <v/>
      </c>
      <c r="I175" s="56" t="n"/>
      <c r="J175" s="32">
        <f>$J174+IF($N174="増",1,0)</f>
        <v/>
      </c>
      <c r="K175" s="32">
        <f>$K174+IF($N174="減",1,0)</f>
        <v/>
      </c>
      <c r="L175" s="35">
        <f>IF($B$3="",1E+9,IFERROR(SMALL('仕入請求台帳'!$U$5:$U$504,$J175+1),1E+9))</f>
        <v/>
      </c>
      <c r="M175" s="35">
        <f>IF($B$3="",1E+9,IFERROR(SMALL('仕入請求台帳'!$V$5:$V$504,$K175+1),1E+9))</f>
        <v/>
      </c>
      <c r="N175" s="32">
        <f>IF(MIN($L175,$M175)&gt;=1E+9,"",IF($L175&lt;=$M175,"増","減"))</f>
        <v/>
      </c>
      <c r="O175" s="32">
        <f>IF($N175="","",IF($N175="増",MATCH($L175,'仕入請求台帳'!$U$5:$U$504,0),MATCH($M175,'仕入請求台帳'!$V$5:$V$504,0)))</f>
        <v/>
      </c>
      <c r="P175" s="56" t="n"/>
      <c r="Q175" s="56" t="n"/>
    </row>
    <row r="176" ht="18" customHeight="1">
      <c r="A176" s="45">
        <f>IF($N176="","",IF($N176="増",INDEX('仕入請求台帳'!$S$5:$S$504,$O176),INDEX('仕入請求台帳'!$K$5:$K$504,$O176)))</f>
        <v/>
      </c>
      <c r="B176" s="46">
        <f>IF($N176="","",IF($N176="増","仕入","支払"))</f>
        <v/>
      </c>
      <c r="C176" s="46">
        <f>IF($N176="","",IF($N176="増",INDEX('仕入請求台帳'!$E$5:$E$504,$O176)&amp;"",INDEX('仕入請求台帳'!$E$5:$E$504,$O176)&amp;""))</f>
        <v/>
      </c>
      <c r="D176" s="47">
        <f>IF($N176="","",IF($N176="増",INDEX('仕入請求台帳'!$F$5:$F$504,$O176)&amp;"","支払"))</f>
        <v/>
      </c>
      <c r="E176" s="48">
        <f>IF($N176&lt;&gt;"増","",INDEX('仕入請求台帳'!$G$5:$G$504,$O176))</f>
        <v/>
      </c>
      <c r="F176" s="48">
        <f>IF($N176&lt;&gt;"減","",N(INDEX('仕入請求台帳'!$L$5:$L$504,$O176)))</f>
        <v/>
      </c>
      <c r="G176" s="48">
        <f>IF($N176&lt;&gt;"減","",N(INDEX('仕入請求台帳'!$M$5:$M$504,$O176)))</f>
        <v/>
      </c>
      <c r="H176" s="49">
        <f>IF($N176="","",$H175+N($E176)-N($F176)-N($G176))</f>
        <v/>
      </c>
      <c r="I176" s="56" t="n"/>
      <c r="J176" s="32">
        <f>$J175+IF($N175="増",1,0)</f>
        <v/>
      </c>
      <c r="K176" s="32">
        <f>$K175+IF($N175="減",1,0)</f>
        <v/>
      </c>
      <c r="L176" s="35">
        <f>IF($B$3="",1E+9,IFERROR(SMALL('仕入請求台帳'!$U$5:$U$504,$J176+1),1E+9))</f>
        <v/>
      </c>
      <c r="M176" s="35">
        <f>IF($B$3="",1E+9,IFERROR(SMALL('仕入請求台帳'!$V$5:$V$504,$K176+1),1E+9))</f>
        <v/>
      </c>
      <c r="N176" s="32">
        <f>IF(MIN($L176,$M176)&gt;=1E+9,"",IF($L176&lt;=$M176,"増","減"))</f>
        <v/>
      </c>
      <c r="O176" s="32">
        <f>IF($N176="","",IF($N176="増",MATCH($L176,'仕入請求台帳'!$U$5:$U$504,0),MATCH($M176,'仕入請求台帳'!$V$5:$V$504,0)))</f>
        <v/>
      </c>
      <c r="P176" s="56" t="n"/>
      <c r="Q176" s="56" t="n"/>
    </row>
    <row r="177" ht="18" customHeight="1">
      <c r="A177" s="45">
        <f>IF($N177="","",IF($N177="増",INDEX('仕入請求台帳'!$S$5:$S$504,$O177),INDEX('仕入請求台帳'!$K$5:$K$504,$O177)))</f>
        <v/>
      </c>
      <c r="B177" s="46">
        <f>IF($N177="","",IF($N177="増","仕入","支払"))</f>
        <v/>
      </c>
      <c r="C177" s="46">
        <f>IF($N177="","",IF($N177="増",INDEX('仕入請求台帳'!$E$5:$E$504,$O177)&amp;"",INDEX('仕入請求台帳'!$E$5:$E$504,$O177)&amp;""))</f>
        <v/>
      </c>
      <c r="D177" s="47">
        <f>IF($N177="","",IF($N177="増",INDEX('仕入請求台帳'!$F$5:$F$504,$O177)&amp;"","支払"))</f>
        <v/>
      </c>
      <c r="E177" s="48">
        <f>IF($N177&lt;&gt;"増","",INDEX('仕入請求台帳'!$G$5:$G$504,$O177))</f>
        <v/>
      </c>
      <c r="F177" s="48">
        <f>IF($N177&lt;&gt;"減","",N(INDEX('仕入請求台帳'!$L$5:$L$504,$O177)))</f>
        <v/>
      </c>
      <c r="G177" s="48">
        <f>IF($N177&lt;&gt;"減","",N(INDEX('仕入請求台帳'!$M$5:$M$504,$O177)))</f>
        <v/>
      </c>
      <c r="H177" s="49">
        <f>IF($N177="","",$H176+N($E177)-N($F177)-N($G177))</f>
        <v/>
      </c>
      <c r="I177" s="56" t="n"/>
      <c r="J177" s="32">
        <f>$J176+IF($N176="増",1,0)</f>
        <v/>
      </c>
      <c r="K177" s="32">
        <f>$K176+IF($N176="減",1,0)</f>
        <v/>
      </c>
      <c r="L177" s="35">
        <f>IF($B$3="",1E+9,IFERROR(SMALL('仕入請求台帳'!$U$5:$U$504,$J177+1),1E+9))</f>
        <v/>
      </c>
      <c r="M177" s="35">
        <f>IF($B$3="",1E+9,IFERROR(SMALL('仕入請求台帳'!$V$5:$V$504,$K177+1),1E+9))</f>
        <v/>
      </c>
      <c r="N177" s="32">
        <f>IF(MIN($L177,$M177)&gt;=1E+9,"",IF($L177&lt;=$M177,"増","減"))</f>
        <v/>
      </c>
      <c r="O177" s="32">
        <f>IF($N177="","",IF($N177="増",MATCH($L177,'仕入請求台帳'!$U$5:$U$504,0),MATCH($M177,'仕入請求台帳'!$V$5:$V$504,0)))</f>
        <v/>
      </c>
      <c r="P177" s="56" t="n"/>
      <c r="Q177" s="56" t="n"/>
    </row>
    <row r="178" ht="18" customHeight="1">
      <c r="A178" s="45">
        <f>IF($N178="","",IF($N178="増",INDEX('仕入請求台帳'!$S$5:$S$504,$O178),INDEX('仕入請求台帳'!$K$5:$K$504,$O178)))</f>
        <v/>
      </c>
      <c r="B178" s="46">
        <f>IF($N178="","",IF($N178="増","仕入","支払"))</f>
        <v/>
      </c>
      <c r="C178" s="46">
        <f>IF($N178="","",IF($N178="増",INDEX('仕入請求台帳'!$E$5:$E$504,$O178)&amp;"",INDEX('仕入請求台帳'!$E$5:$E$504,$O178)&amp;""))</f>
        <v/>
      </c>
      <c r="D178" s="47">
        <f>IF($N178="","",IF($N178="増",INDEX('仕入請求台帳'!$F$5:$F$504,$O178)&amp;"","支払"))</f>
        <v/>
      </c>
      <c r="E178" s="48">
        <f>IF($N178&lt;&gt;"増","",INDEX('仕入請求台帳'!$G$5:$G$504,$O178))</f>
        <v/>
      </c>
      <c r="F178" s="48">
        <f>IF($N178&lt;&gt;"減","",N(INDEX('仕入請求台帳'!$L$5:$L$504,$O178)))</f>
        <v/>
      </c>
      <c r="G178" s="48">
        <f>IF($N178&lt;&gt;"減","",N(INDEX('仕入請求台帳'!$M$5:$M$504,$O178)))</f>
        <v/>
      </c>
      <c r="H178" s="49">
        <f>IF($N178="","",$H177+N($E178)-N($F178)-N($G178))</f>
        <v/>
      </c>
      <c r="I178" s="56" t="n"/>
      <c r="J178" s="32">
        <f>$J177+IF($N177="増",1,0)</f>
        <v/>
      </c>
      <c r="K178" s="32">
        <f>$K177+IF($N177="減",1,0)</f>
        <v/>
      </c>
      <c r="L178" s="35">
        <f>IF($B$3="",1E+9,IFERROR(SMALL('仕入請求台帳'!$U$5:$U$504,$J178+1),1E+9))</f>
        <v/>
      </c>
      <c r="M178" s="35">
        <f>IF($B$3="",1E+9,IFERROR(SMALL('仕入請求台帳'!$V$5:$V$504,$K178+1),1E+9))</f>
        <v/>
      </c>
      <c r="N178" s="32">
        <f>IF(MIN($L178,$M178)&gt;=1E+9,"",IF($L178&lt;=$M178,"増","減"))</f>
        <v/>
      </c>
      <c r="O178" s="32">
        <f>IF($N178="","",IF($N178="増",MATCH($L178,'仕入請求台帳'!$U$5:$U$504,0),MATCH($M178,'仕入請求台帳'!$V$5:$V$504,0)))</f>
        <v/>
      </c>
      <c r="P178" s="56" t="n"/>
      <c r="Q178" s="56" t="n"/>
    </row>
    <row r="179" ht="18" customHeight="1">
      <c r="A179" s="45">
        <f>IF($N179="","",IF($N179="増",INDEX('仕入請求台帳'!$S$5:$S$504,$O179),INDEX('仕入請求台帳'!$K$5:$K$504,$O179)))</f>
        <v/>
      </c>
      <c r="B179" s="46">
        <f>IF($N179="","",IF($N179="増","仕入","支払"))</f>
        <v/>
      </c>
      <c r="C179" s="46">
        <f>IF($N179="","",IF($N179="増",INDEX('仕入請求台帳'!$E$5:$E$504,$O179)&amp;"",INDEX('仕入請求台帳'!$E$5:$E$504,$O179)&amp;""))</f>
        <v/>
      </c>
      <c r="D179" s="47">
        <f>IF($N179="","",IF($N179="増",INDEX('仕入請求台帳'!$F$5:$F$504,$O179)&amp;"","支払"))</f>
        <v/>
      </c>
      <c r="E179" s="48">
        <f>IF($N179&lt;&gt;"増","",INDEX('仕入請求台帳'!$G$5:$G$504,$O179))</f>
        <v/>
      </c>
      <c r="F179" s="48">
        <f>IF($N179&lt;&gt;"減","",N(INDEX('仕入請求台帳'!$L$5:$L$504,$O179)))</f>
        <v/>
      </c>
      <c r="G179" s="48">
        <f>IF($N179&lt;&gt;"減","",N(INDEX('仕入請求台帳'!$M$5:$M$504,$O179)))</f>
        <v/>
      </c>
      <c r="H179" s="49">
        <f>IF($N179="","",$H178+N($E179)-N($F179)-N($G179))</f>
        <v/>
      </c>
      <c r="I179" s="56" t="n"/>
      <c r="J179" s="32">
        <f>$J178+IF($N178="増",1,0)</f>
        <v/>
      </c>
      <c r="K179" s="32">
        <f>$K178+IF($N178="減",1,0)</f>
        <v/>
      </c>
      <c r="L179" s="35">
        <f>IF($B$3="",1E+9,IFERROR(SMALL('仕入請求台帳'!$U$5:$U$504,$J179+1),1E+9))</f>
        <v/>
      </c>
      <c r="M179" s="35">
        <f>IF($B$3="",1E+9,IFERROR(SMALL('仕入請求台帳'!$V$5:$V$504,$K179+1),1E+9))</f>
        <v/>
      </c>
      <c r="N179" s="32">
        <f>IF(MIN($L179,$M179)&gt;=1E+9,"",IF($L179&lt;=$M179,"増","減"))</f>
        <v/>
      </c>
      <c r="O179" s="32">
        <f>IF($N179="","",IF($N179="増",MATCH($L179,'仕入請求台帳'!$U$5:$U$504,0),MATCH($M179,'仕入請求台帳'!$V$5:$V$504,0)))</f>
        <v/>
      </c>
      <c r="P179" s="56" t="n"/>
      <c r="Q179" s="56" t="n"/>
    </row>
    <row r="180" ht="18" customHeight="1">
      <c r="A180" s="45">
        <f>IF($N180="","",IF($N180="増",INDEX('仕入請求台帳'!$S$5:$S$504,$O180),INDEX('仕入請求台帳'!$K$5:$K$504,$O180)))</f>
        <v/>
      </c>
      <c r="B180" s="46">
        <f>IF($N180="","",IF($N180="増","仕入","支払"))</f>
        <v/>
      </c>
      <c r="C180" s="46">
        <f>IF($N180="","",IF($N180="増",INDEX('仕入請求台帳'!$E$5:$E$504,$O180)&amp;"",INDEX('仕入請求台帳'!$E$5:$E$504,$O180)&amp;""))</f>
        <v/>
      </c>
      <c r="D180" s="47">
        <f>IF($N180="","",IF($N180="増",INDEX('仕入請求台帳'!$F$5:$F$504,$O180)&amp;"","支払"))</f>
        <v/>
      </c>
      <c r="E180" s="48">
        <f>IF($N180&lt;&gt;"増","",INDEX('仕入請求台帳'!$G$5:$G$504,$O180))</f>
        <v/>
      </c>
      <c r="F180" s="48">
        <f>IF($N180&lt;&gt;"減","",N(INDEX('仕入請求台帳'!$L$5:$L$504,$O180)))</f>
        <v/>
      </c>
      <c r="G180" s="48">
        <f>IF($N180&lt;&gt;"減","",N(INDEX('仕入請求台帳'!$M$5:$M$504,$O180)))</f>
        <v/>
      </c>
      <c r="H180" s="49">
        <f>IF($N180="","",$H179+N($E180)-N($F180)-N($G180))</f>
        <v/>
      </c>
      <c r="I180" s="56" t="n"/>
      <c r="J180" s="32">
        <f>$J179+IF($N179="増",1,0)</f>
        <v/>
      </c>
      <c r="K180" s="32">
        <f>$K179+IF($N179="減",1,0)</f>
        <v/>
      </c>
      <c r="L180" s="35">
        <f>IF($B$3="",1E+9,IFERROR(SMALL('仕入請求台帳'!$U$5:$U$504,$J180+1),1E+9))</f>
        <v/>
      </c>
      <c r="M180" s="35">
        <f>IF($B$3="",1E+9,IFERROR(SMALL('仕入請求台帳'!$V$5:$V$504,$K180+1),1E+9))</f>
        <v/>
      </c>
      <c r="N180" s="32">
        <f>IF(MIN($L180,$M180)&gt;=1E+9,"",IF($L180&lt;=$M180,"増","減"))</f>
        <v/>
      </c>
      <c r="O180" s="32">
        <f>IF($N180="","",IF($N180="増",MATCH($L180,'仕入請求台帳'!$U$5:$U$504,0),MATCH($M180,'仕入請求台帳'!$V$5:$V$504,0)))</f>
        <v/>
      </c>
      <c r="P180" s="56" t="n"/>
      <c r="Q180" s="56" t="n"/>
    </row>
    <row r="181" ht="18" customHeight="1">
      <c r="A181" s="45">
        <f>IF($N181="","",IF($N181="増",INDEX('仕入請求台帳'!$S$5:$S$504,$O181),INDEX('仕入請求台帳'!$K$5:$K$504,$O181)))</f>
        <v/>
      </c>
      <c r="B181" s="46">
        <f>IF($N181="","",IF($N181="増","仕入","支払"))</f>
        <v/>
      </c>
      <c r="C181" s="46">
        <f>IF($N181="","",IF($N181="増",INDEX('仕入請求台帳'!$E$5:$E$504,$O181)&amp;"",INDEX('仕入請求台帳'!$E$5:$E$504,$O181)&amp;""))</f>
        <v/>
      </c>
      <c r="D181" s="47">
        <f>IF($N181="","",IF($N181="増",INDEX('仕入請求台帳'!$F$5:$F$504,$O181)&amp;"","支払"))</f>
        <v/>
      </c>
      <c r="E181" s="48">
        <f>IF($N181&lt;&gt;"増","",INDEX('仕入請求台帳'!$G$5:$G$504,$O181))</f>
        <v/>
      </c>
      <c r="F181" s="48">
        <f>IF($N181&lt;&gt;"減","",N(INDEX('仕入請求台帳'!$L$5:$L$504,$O181)))</f>
        <v/>
      </c>
      <c r="G181" s="48">
        <f>IF($N181&lt;&gt;"減","",N(INDEX('仕入請求台帳'!$M$5:$M$504,$O181)))</f>
        <v/>
      </c>
      <c r="H181" s="49">
        <f>IF($N181="","",$H180+N($E181)-N($F181)-N($G181))</f>
        <v/>
      </c>
      <c r="I181" s="56" t="n"/>
      <c r="J181" s="32">
        <f>$J180+IF($N180="増",1,0)</f>
        <v/>
      </c>
      <c r="K181" s="32">
        <f>$K180+IF($N180="減",1,0)</f>
        <v/>
      </c>
      <c r="L181" s="35">
        <f>IF($B$3="",1E+9,IFERROR(SMALL('仕入請求台帳'!$U$5:$U$504,$J181+1),1E+9))</f>
        <v/>
      </c>
      <c r="M181" s="35">
        <f>IF($B$3="",1E+9,IFERROR(SMALL('仕入請求台帳'!$V$5:$V$504,$K181+1),1E+9))</f>
        <v/>
      </c>
      <c r="N181" s="32">
        <f>IF(MIN($L181,$M181)&gt;=1E+9,"",IF($L181&lt;=$M181,"増","減"))</f>
        <v/>
      </c>
      <c r="O181" s="32">
        <f>IF($N181="","",IF($N181="増",MATCH($L181,'仕入請求台帳'!$U$5:$U$504,0),MATCH($M181,'仕入請求台帳'!$V$5:$V$504,0)))</f>
        <v/>
      </c>
      <c r="P181" s="56" t="n"/>
      <c r="Q181" s="56" t="n"/>
    </row>
    <row r="182" ht="18" customHeight="1">
      <c r="A182" s="45">
        <f>IF($N182="","",IF($N182="増",INDEX('仕入請求台帳'!$S$5:$S$504,$O182),INDEX('仕入請求台帳'!$K$5:$K$504,$O182)))</f>
        <v/>
      </c>
      <c r="B182" s="46">
        <f>IF($N182="","",IF($N182="増","仕入","支払"))</f>
        <v/>
      </c>
      <c r="C182" s="46">
        <f>IF($N182="","",IF($N182="増",INDEX('仕入請求台帳'!$E$5:$E$504,$O182)&amp;"",INDEX('仕入請求台帳'!$E$5:$E$504,$O182)&amp;""))</f>
        <v/>
      </c>
      <c r="D182" s="47">
        <f>IF($N182="","",IF($N182="増",INDEX('仕入請求台帳'!$F$5:$F$504,$O182)&amp;"","支払"))</f>
        <v/>
      </c>
      <c r="E182" s="48">
        <f>IF($N182&lt;&gt;"増","",INDEX('仕入請求台帳'!$G$5:$G$504,$O182))</f>
        <v/>
      </c>
      <c r="F182" s="48">
        <f>IF($N182&lt;&gt;"減","",N(INDEX('仕入請求台帳'!$L$5:$L$504,$O182)))</f>
        <v/>
      </c>
      <c r="G182" s="48">
        <f>IF($N182&lt;&gt;"減","",N(INDEX('仕入請求台帳'!$M$5:$M$504,$O182)))</f>
        <v/>
      </c>
      <c r="H182" s="49">
        <f>IF($N182="","",$H181+N($E182)-N($F182)-N($G182))</f>
        <v/>
      </c>
      <c r="I182" s="56" t="n"/>
      <c r="J182" s="32">
        <f>$J181+IF($N181="増",1,0)</f>
        <v/>
      </c>
      <c r="K182" s="32">
        <f>$K181+IF($N181="減",1,0)</f>
        <v/>
      </c>
      <c r="L182" s="35">
        <f>IF($B$3="",1E+9,IFERROR(SMALL('仕入請求台帳'!$U$5:$U$504,$J182+1),1E+9))</f>
        <v/>
      </c>
      <c r="M182" s="35">
        <f>IF($B$3="",1E+9,IFERROR(SMALL('仕入請求台帳'!$V$5:$V$504,$K182+1),1E+9))</f>
        <v/>
      </c>
      <c r="N182" s="32">
        <f>IF(MIN($L182,$M182)&gt;=1E+9,"",IF($L182&lt;=$M182,"増","減"))</f>
        <v/>
      </c>
      <c r="O182" s="32">
        <f>IF($N182="","",IF($N182="増",MATCH($L182,'仕入請求台帳'!$U$5:$U$504,0),MATCH($M182,'仕入請求台帳'!$V$5:$V$504,0)))</f>
        <v/>
      </c>
      <c r="P182" s="56" t="n"/>
      <c r="Q182" s="56" t="n"/>
    </row>
    <row r="183" ht="18" customHeight="1">
      <c r="A183" s="45">
        <f>IF($N183="","",IF($N183="増",INDEX('仕入請求台帳'!$S$5:$S$504,$O183),INDEX('仕入請求台帳'!$K$5:$K$504,$O183)))</f>
        <v/>
      </c>
      <c r="B183" s="46">
        <f>IF($N183="","",IF($N183="増","仕入","支払"))</f>
        <v/>
      </c>
      <c r="C183" s="46">
        <f>IF($N183="","",IF($N183="増",INDEX('仕入請求台帳'!$E$5:$E$504,$O183)&amp;"",INDEX('仕入請求台帳'!$E$5:$E$504,$O183)&amp;""))</f>
        <v/>
      </c>
      <c r="D183" s="47">
        <f>IF($N183="","",IF($N183="増",INDEX('仕入請求台帳'!$F$5:$F$504,$O183)&amp;"","支払"))</f>
        <v/>
      </c>
      <c r="E183" s="48">
        <f>IF($N183&lt;&gt;"増","",INDEX('仕入請求台帳'!$G$5:$G$504,$O183))</f>
        <v/>
      </c>
      <c r="F183" s="48">
        <f>IF($N183&lt;&gt;"減","",N(INDEX('仕入請求台帳'!$L$5:$L$504,$O183)))</f>
        <v/>
      </c>
      <c r="G183" s="48">
        <f>IF($N183&lt;&gt;"減","",N(INDEX('仕入請求台帳'!$M$5:$M$504,$O183)))</f>
        <v/>
      </c>
      <c r="H183" s="49">
        <f>IF($N183="","",$H182+N($E183)-N($F183)-N($G183))</f>
        <v/>
      </c>
      <c r="I183" s="56" t="n"/>
      <c r="J183" s="32">
        <f>$J182+IF($N182="増",1,0)</f>
        <v/>
      </c>
      <c r="K183" s="32">
        <f>$K182+IF($N182="減",1,0)</f>
        <v/>
      </c>
      <c r="L183" s="35">
        <f>IF($B$3="",1E+9,IFERROR(SMALL('仕入請求台帳'!$U$5:$U$504,$J183+1),1E+9))</f>
        <v/>
      </c>
      <c r="M183" s="35">
        <f>IF($B$3="",1E+9,IFERROR(SMALL('仕入請求台帳'!$V$5:$V$504,$K183+1),1E+9))</f>
        <v/>
      </c>
      <c r="N183" s="32">
        <f>IF(MIN($L183,$M183)&gt;=1E+9,"",IF($L183&lt;=$M183,"増","減"))</f>
        <v/>
      </c>
      <c r="O183" s="32">
        <f>IF($N183="","",IF($N183="増",MATCH($L183,'仕入請求台帳'!$U$5:$U$504,0),MATCH($M183,'仕入請求台帳'!$V$5:$V$504,0)))</f>
        <v/>
      </c>
      <c r="P183" s="56" t="n"/>
      <c r="Q183" s="56" t="n"/>
    </row>
    <row r="184" ht="18" customHeight="1">
      <c r="A184" s="45">
        <f>IF($N184="","",IF($N184="増",INDEX('仕入請求台帳'!$S$5:$S$504,$O184),INDEX('仕入請求台帳'!$K$5:$K$504,$O184)))</f>
        <v/>
      </c>
      <c r="B184" s="46">
        <f>IF($N184="","",IF($N184="増","仕入","支払"))</f>
        <v/>
      </c>
      <c r="C184" s="46">
        <f>IF($N184="","",IF($N184="増",INDEX('仕入請求台帳'!$E$5:$E$504,$O184)&amp;"",INDEX('仕入請求台帳'!$E$5:$E$504,$O184)&amp;""))</f>
        <v/>
      </c>
      <c r="D184" s="47">
        <f>IF($N184="","",IF($N184="増",INDEX('仕入請求台帳'!$F$5:$F$504,$O184)&amp;"","支払"))</f>
        <v/>
      </c>
      <c r="E184" s="48">
        <f>IF($N184&lt;&gt;"増","",INDEX('仕入請求台帳'!$G$5:$G$504,$O184))</f>
        <v/>
      </c>
      <c r="F184" s="48">
        <f>IF($N184&lt;&gt;"減","",N(INDEX('仕入請求台帳'!$L$5:$L$504,$O184)))</f>
        <v/>
      </c>
      <c r="G184" s="48">
        <f>IF($N184&lt;&gt;"減","",N(INDEX('仕入請求台帳'!$M$5:$M$504,$O184)))</f>
        <v/>
      </c>
      <c r="H184" s="49">
        <f>IF($N184="","",$H183+N($E184)-N($F184)-N($G184))</f>
        <v/>
      </c>
      <c r="I184" s="56" t="n"/>
      <c r="J184" s="32">
        <f>$J183+IF($N183="増",1,0)</f>
        <v/>
      </c>
      <c r="K184" s="32">
        <f>$K183+IF($N183="減",1,0)</f>
        <v/>
      </c>
      <c r="L184" s="35">
        <f>IF($B$3="",1E+9,IFERROR(SMALL('仕入請求台帳'!$U$5:$U$504,$J184+1),1E+9))</f>
        <v/>
      </c>
      <c r="M184" s="35">
        <f>IF($B$3="",1E+9,IFERROR(SMALL('仕入請求台帳'!$V$5:$V$504,$K184+1),1E+9))</f>
        <v/>
      </c>
      <c r="N184" s="32">
        <f>IF(MIN($L184,$M184)&gt;=1E+9,"",IF($L184&lt;=$M184,"増","減"))</f>
        <v/>
      </c>
      <c r="O184" s="32">
        <f>IF($N184="","",IF($N184="増",MATCH($L184,'仕入請求台帳'!$U$5:$U$504,0),MATCH($M184,'仕入請求台帳'!$V$5:$V$504,0)))</f>
        <v/>
      </c>
      <c r="P184" s="56" t="n"/>
      <c r="Q184" s="56" t="n"/>
    </row>
    <row r="185" ht="18" customHeight="1">
      <c r="A185" s="45">
        <f>IF($N185="","",IF($N185="増",INDEX('仕入請求台帳'!$S$5:$S$504,$O185),INDEX('仕入請求台帳'!$K$5:$K$504,$O185)))</f>
        <v/>
      </c>
      <c r="B185" s="46">
        <f>IF($N185="","",IF($N185="増","仕入","支払"))</f>
        <v/>
      </c>
      <c r="C185" s="46">
        <f>IF($N185="","",IF($N185="増",INDEX('仕入請求台帳'!$E$5:$E$504,$O185)&amp;"",INDEX('仕入請求台帳'!$E$5:$E$504,$O185)&amp;""))</f>
        <v/>
      </c>
      <c r="D185" s="47">
        <f>IF($N185="","",IF($N185="増",INDEX('仕入請求台帳'!$F$5:$F$504,$O185)&amp;"","支払"))</f>
        <v/>
      </c>
      <c r="E185" s="48">
        <f>IF($N185&lt;&gt;"増","",INDEX('仕入請求台帳'!$G$5:$G$504,$O185))</f>
        <v/>
      </c>
      <c r="F185" s="48">
        <f>IF($N185&lt;&gt;"減","",N(INDEX('仕入請求台帳'!$L$5:$L$504,$O185)))</f>
        <v/>
      </c>
      <c r="G185" s="48">
        <f>IF($N185&lt;&gt;"減","",N(INDEX('仕入請求台帳'!$M$5:$M$504,$O185)))</f>
        <v/>
      </c>
      <c r="H185" s="49">
        <f>IF($N185="","",$H184+N($E185)-N($F185)-N($G185))</f>
        <v/>
      </c>
      <c r="I185" s="56" t="n"/>
      <c r="J185" s="32">
        <f>$J184+IF($N184="増",1,0)</f>
        <v/>
      </c>
      <c r="K185" s="32">
        <f>$K184+IF($N184="減",1,0)</f>
        <v/>
      </c>
      <c r="L185" s="35">
        <f>IF($B$3="",1E+9,IFERROR(SMALL('仕入請求台帳'!$U$5:$U$504,$J185+1),1E+9))</f>
        <v/>
      </c>
      <c r="M185" s="35">
        <f>IF($B$3="",1E+9,IFERROR(SMALL('仕入請求台帳'!$V$5:$V$504,$K185+1),1E+9))</f>
        <v/>
      </c>
      <c r="N185" s="32">
        <f>IF(MIN($L185,$M185)&gt;=1E+9,"",IF($L185&lt;=$M185,"増","減"))</f>
        <v/>
      </c>
      <c r="O185" s="32">
        <f>IF($N185="","",IF($N185="増",MATCH($L185,'仕入請求台帳'!$U$5:$U$504,0),MATCH($M185,'仕入請求台帳'!$V$5:$V$504,0)))</f>
        <v/>
      </c>
      <c r="P185" s="56" t="n"/>
      <c r="Q185" s="56" t="n"/>
    </row>
    <row r="186" ht="18" customHeight="1">
      <c r="A186" s="45">
        <f>IF($N186="","",IF($N186="増",INDEX('仕入請求台帳'!$S$5:$S$504,$O186),INDEX('仕入請求台帳'!$K$5:$K$504,$O186)))</f>
        <v/>
      </c>
      <c r="B186" s="46">
        <f>IF($N186="","",IF($N186="増","仕入","支払"))</f>
        <v/>
      </c>
      <c r="C186" s="46">
        <f>IF($N186="","",IF($N186="増",INDEX('仕入請求台帳'!$E$5:$E$504,$O186)&amp;"",INDEX('仕入請求台帳'!$E$5:$E$504,$O186)&amp;""))</f>
        <v/>
      </c>
      <c r="D186" s="47">
        <f>IF($N186="","",IF($N186="増",INDEX('仕入請求台帳'!$F$5:$F$504,$O186)&amp;"","支払"))</f>
        <v/>
      </c>
      <c r="E186" s="48">
        <f>IF($N186&lt;&gt;"増","",INDEX('仕入請求台帳'!$G$5:$G$504,$O186))</f>
        <v/>
      </c>
      <c r="F186" s="48">
        <f>IF($N186&lt;&gt;"減","",N(INDEX('仕入請求台帳'!$L$5:$L$504,$O186)))</f>
        <v/>
      </c>
      <c r="G186" s="48">
        <f>IF($N186&lt;&gt;"減","",N(INDEX('仕入請求台帳'!$M$5:$M$504,$O186)))</f>
        <v/>
      </c>
      <c r="H186" s="49">
        <f>IF($N186="","",$H185+N($E186)-N($F186)-N($G186))</f>
        <v/>
      </c>
      <c r="I186" s="56" t="n"/>
      <c r="J186" s="32">
        <f>$J185+IF($N185="増",1,0)</f>
        <v/>
      </c>
      <c r="K186" s="32">
        <f>$K185+IF($N185="減",1,0)</f>
        <v/>
      </c>
      <c r="L186" s="35">
        <f>IF($B$3="",1E+9,IFERROR(SMALL('仕入請求台帳'!$U$5:$U$504,$J186+1),1E+9))</f>
        <v/>
      </c>
      <c r="M186" s="35">
        <f>IF($B$3="",1E+9,IFERROR(SMALL('仕入請求台帳'!$V$5:$V$504,$K186+1),1E+9))</f>
        <v/>
      </c>
      <c r="N186" s="32">
        <f>IF(MIN($L186,$M186)&gt;=1E+9,"",IF($L186&lt;=$M186,"増","減"))</f>
        <v/>
      </c>
      <c r="O186" s="32">
        <f>IF($N186="","",IF($N186="増",MATCH($L186,'仕入請求台帳'!$U$5:$U$504,0),MATCH($M186,'仕入請求台帳'!$V$5:$V$504,0)))</f>
        <v/>
      </c>
      <c r="P186" s="56" t="n"/>
      <c r="Q186" s="56" t="n"/>
    </row>
    <row r="187" ht="18" customHeight="1">
      <c r="A187" s="45">
        <f>IF($N187="","",IF($N187="増",INDEX('仕入請求台帳'!$S$5:$S$504,$O187),INDEX('仕入請求台帳'!$K$5:$K$504,$O187)))</f>
        <v/>
      </c>
      <c r="B187" s="46">
        <f>IF($N187="","",IF($N187="増","仕入","支払"))</f>
        <v/>
      </c>
      <c r="C187" s="46">
        <f>IF($N187="","",IF($N187="増",INDEX('仕入請求台帳'!$E$5:$E$504,$O187)&amp;"",INDEX('仕入請求台帳'!$E$5:$E$504,$O187)&amp;""))</f>
        <v/>
      </c>
      <c r="D187" s="47">
        <f>IF($N187="","",IF($N187="増",INDEX('仕入請求台帳'!$F$5:$F$504,$O187)&amp;"","支払"))</f>
        <v/>
      </c>
      <c r="E187" s="48">
        <f>IF($N187&lt;&gt;"増","",INDEX('仕入請求台帳'!$G$5:$G$504,$O187))</f>
        <v/>
      </c>
      <c r="F187" s="48">
        <f>IF($N187&lt;&gt;"減","",N(INDEX('仕入請求台帳'!$L$5:$L$504,$O187)))</f>
        <v/>
      </c>
      <c r="G187" s="48">
        <f>IF($N187&lt;&gt;"減","",N(INDEX('仕入請求台帳'!$M$5:$M$504,$O187)))</f>
        <v/>
      </c>
      <c r="H187" s="49">
        <f>IF($N187="","",$H186+N($E187)-N($F187)-N($G187))</f>
        <v/>
      </c>
      <c r="I187" s="56" t="n"/>
      <c r="J187" s="32">
        <f>$J186+IF($N186="増",1,0)</f>
        <v/>
      </c>
      <c r="K187" s="32">
        <f>$K186+IF($N186="減",1,0)</f>
        <v/>
      </c>
      <c r="L187" s="35">
        <f>IF($B$3="",1E+9,IFERROR(SMALL('仕入請求台帳'!$U$5:$U$504,$J187+1),1E+9))</f>
        <v/>
      </c>
      <c r="M187" s="35">
        <f>IF($B$3="",1E+9,IFERROR(SMALL('仕入請求台帳'!$V$5:$V$504,$K187+1),1E+9))</f>
        <v/>
      </c>
      <c r="N187" s="32">
        <f>IF(MIN($L187,$M187)&gt;=1E+9,"",IF($L187&lt;=$M187,"増","減"))</f>
        <v/>
      </c>
      <c r="O187" s="32">
        <f>IF($N187="","",IF($N187="増",MATCH($L187,'仕入請求台帳'!$U$5:$U$504,0),MATCH($M187,'仕入請求台帳'!$V$5:$V$504,0)))</f>
        <v/>
      </c>
      <c r="P187" s="56" t="n"/>
      <c r="Q187" s="56" t="n"/>
    </row>
    <row r="188" ht="18" customHeight="1">
      <c r="A188" s="45">
        <f>IF($N188="","",IF($N188="増",INDEX('仕入請求台帳'!$S$5:$S$504,$O188),INDEX('仕入請求台帳'!$K$5:$K$504,$O188)))</f>
        <v/>
      </c>
      <c r="B188" s="46">
        <f>IF($N188="","",IF($N188="増","仕入","支払"))</f>
        <v/>
      </c>
      <c r="C188" s="46">
        <f>IF($N188="","",IF($N188="増",INDEX('仕入請求台帳'!$E$5:$E$504,$O188)&amp;"",INDEX('仕入請求台帳'!$E$5:$E$504,$O188)&amp;""))</f>
        <v/>
      </c>
      <c r="D188" s="47">
        <f>IF($N188="","",IF($N188="増",INDEX('仕入請求台帳'!$F$5:$F$504,$O188)&amp;"","支払"))</f>
        <v/>
      </c>
      <c r="E188" s="48">
        <f>IF($N188&lt;&gt;"増","",INDEX('仕入請求台帳'!$G$5:$G$504,$O188))</f>
        <v/>
      </c>
      <c r="F188" s="48">
        <f>IF($N188&lt;&gt;"減","",N(INDEX('仕入請求台帳'!$L$5:$L$504,$O188)))</f>
        <v/>
      </c>
      <c r="G188" s="48">
        <f>IF($N188&lt;&gt;"減","",N(INDEX('仕入請求台帳'!$M$5:$M$504,$O188)))</f>
        <v/>
      </c>
      <c r="H188" s="49">
        <f>IF($N188="","",$H187+N($E188)-N($F188)-N($G188))</f>
        <v/>
      </c>
      <c r="I188" s="56" t="n"/>
      <c r="J188" s="32">
        <f>$J187+IF($N187="増",1,0)</f>
        <v/>
      </c>
      <c r="K188" s="32">
        <f>$K187+IF($N187="減",1,0)</f>
        <v/>
      </c>
      <c r="L188" s="35">
        <f>IF($B$3="",1E+9,IFERROR(SMALL('仕入請求台帳'!$U$5:$U$504,$J188+1),1E+9))</f>
        <v/>
      </c>
      <c r="M188" s="35">
        <f>IF($B$3="",1E+9,IFERROR(SMALL('仕入請求台帳'!$V$5:$V$504,$K188+1),1E+9))</f>
        <v/>
      </c>
      <c r="N188" s="32">
        <f>IF(MIN($L188,$M188)&gt;=1E+9,"",IF($L188&lt;=$M188,"増","減"))</f>
        <v/>
      </c>
      <c r="O188" s="32">
        <f>IF($N188="","",IF($N188="増",MATCH($L188,'仕入請求台帳'!$U$5:$U$504,0),MATCH($M188,'仕入請求台帳'!$V$5:$V$504,0)))</f>
        <v/>
      </c>
      <c r="P188" s="56" t="n"/>
      <c r="Q188" s="56" t="n"/>
    </row>
    <row r="189" ht="18" customHeight="1">
      <c r="A189" s="45">
        <f>IF($N189="","",IF($N189="増",INDEX('仕入請求台帳'!$S$5:$S$504,$O189),INDEX('仕入請求台帳'!$K$5:$K$504,$O189)))</f>
        <v/>
      </c>
      <c r="B189" s="46">
        <f>IF($N189="","",IF($N189="増","仕入","支払"))</f>
        <v/>
      </c>
      <c r="C189" s="46">
        <f>IF($N189="","",IF($N189="増",INDEX('仕入請求台帳'!$E$5:$E$504,$O189)&amp;"",INDEX('仕入請求台帳'!$E$5:$E$504,$O189)&amp;""))</f>
        <v/>
      </c>
      <c r="D189" s="47">
        <f>IF($N189="","",IF($N189="増",INDEX('仕入請求台帳'!$F$5:$F$504,$O189)&amp;"","支払"))</f>
        <v/>
      </c>
      <c r="E189" s="48">
        <f>IF($N189&lt;&gt;"増","",INDEX('仕入請求台帳'!$G$5:$G$504,$O189))</f>
        <v/>
      </c>
      <c r="F189" s="48">
        <f>IF($N189&lt;&gt;"減","",N(INDEX('仕入請求台帳'!$L$5:$L$504,$O189)))</f>
        <v/>
      </c>
      <c r="G189" s="48">
        <f>IF($N189&lt;&gt;"減","",N(INDEX('仕入請求台帳'!$M$5:$M$504,$O189)))</f>
        <v/>
      </c>
      <c r="H189" s="49">
        <f>IF($N189="","",$H188+N($E189)-N($F189)-N($G189))</f>
        <v/>
      </c>
      <c r="I189" s="56" t="n"/>
      <c r="J189" s="32">
        <f>$J188+IF($N188="増",1,0)</f>
        <v/>
      </c>
      <c r="K189" s="32">
        <f>$K188+IF($N188="減",1,0)</f>
        <v/>
      </c>
      <c r="L189" s="35">
        <f>IF($B$3="",1E+9,IFERROR(SMALL('仕入請求台帳'!$U$5:$U$504,$J189+1),1E+9))</f>
        <v/>
      </c>
      <c r="M189" s="35">
        <f>IF($B$3="",1E+9,IFERROR(SMALL('仕入請求台帳'!$V$5:$V$504,$K189+1),1E+9))</f>
        <v/>
      </c>
      <c r="N189" s="32">
        <f>IF(MIN($L189,$M189)&gt;=1E+9,"",IF($L189&lt;=$M189,"増","減"))</f>
        <v/>
      </c>
      <c r="O189" s="32">
        <f>IF($N189="","",IF($N189="増",MATCH($L189,'仕入請求台帳'!$U$5:$U$504,0),MATCH($M189,'仕入請求台帳'!$V$5:$V$504,0)))</f>
        <v/>
      </c>
      <c r="P189" s="56" t="n"/>
      <c r="Q189" s="56" t="n"/>
    </row>
    <row r="190" ht="18" customHeight="1">
      <c r="A190" s="45">
        <f>IF($N190="","",IF($N190="増",INDEX('仕入請求台帳'!$S$5:$S$504,$O190),INDEX('仕入請求台帳'!$K$5:$K$504,$O190)))</f>
        <v/>
      </c>
      <c r="B190" s="46">
        <f>IF($N190="","",IF($N190="増","仕入","支払"))</f>
        <v/>
      </c>
      <c r="C190" s="46">
        <f>IF($N190="","",IF($N190="増",INDEX('仕入請求台帳'!$E$5:$E$504,$O190)&amp;"",INDEX('仕入請求台帳'!$E$5:$E$504,$O190)&amp;""))</f>
        <v/>
      </c>
      <c r="D190" s="47">
        <f>IF($N190="","",IF($N190="増",INDEX('仕入請求台帳'!$F$5:$F$504,$O190)&amp;"","支払"))</f>
        <v/>
      </c>
      <c r="E190" s="48">
        <f>IF($N190&lt;&gt;"増","",INDEX('仕入請求台帳'!$G$5:$G$504,$O190))</f>
        <v/>
      </c>
      <c r="F190" s="48">
        <f>IF($N190&lt;&gt;"減","",N(INDEX('仕入請求台帳'!$L$5:$L$504,$O190)))</f>
        <v/>
      </c>
      <c r="G190" s="48">
        <f>IF($N190&lt;&gt;"減","",N(INDEX('仕入請求台帳'!$M$5:$M$504,$O190)))</f>
        <v/>
      </c>
      <c r="H190" s="49">
        <f>IF($N190="","",$H189+N($E190)-N($F190)-N($G190))</f>
        <v/>
      </c>
      <c r="I190" s="56" t="n"/>
      <c r="J190" s="32">
        <f>$J189+IF($N189="増",1,0)</f>
        <v/>
      </c>
      <c r="K190" s="32">
        <f>$K189+IF($N189="減",1,0)</f>
        <v/>
      </c>
      <c r="L190" s="35">
        <f>IF($B$3="",1E+9,IFERROR(SMALL('仕入請求台帳'!$U$5:$U$504,$J190+1),1E+9))</f>
        <v/>
      </c>
      <c r="M190" s="35">
        <f>IF($B$3="",1E+9,IFERROR(SMALL('仕入請求台帳'!$V$5:$V$504,$K190+1),1E+9))</f>
        <v/>
      </c>
      <c r="N190" s="32">
        <f>IF(MIN($L190,$M190)&gt;=1E+9,"",IF($L190&lt;=$M190,"増","減"))</f>
        <v/>
      </c>
      <c r="O190" s="32">
        <f>IF($N190="","",IF($N190="増",MATCH($L190,'仕入請求台帳'!$U$5:$U$504,0),MATCH($M190,'仕入請求台帳'!$V$5:$V$504,0)))</f>
        <v/>
      </c>
      <c r="P190" s="56" t="n"/>
      <c r="Q190" s="56" t="n"/>
    </row>
    <row r="191" ht="18" customHeight="1">
      <c r="A191" s="45">
        <f>IF($N191="","",IF($N191="増",INDEX('仕入請求台帳'!$S$5:$S$504,$O191),INDEX('仕入請求台帳'!$K$5:$K$504,$O191)))</f>
        <v/>
      </c>
      <c r="B191" s="46">
        <f>IF($N191="","",IF($N191="増","仕入","支払"))</f>
        <v/>
      </c>
      <c r="C191" s="46">
        <f>IF($N191="","",IF($N191="増",INDEX('仕入請求台帳'!$E$5:$E$504,$O191)&amp;"",INDEX('仕入請求台帳'!$E$5:$E$504,$O191)&amp;""))</f>
        <v/>
      </c>
      <c r="D191" s="47">
        <f>IF($N191="","",IF($N191="増",INDEX('仕入請求台帳'!$F$5:$F$504,$O191)&amp;"","支払"))</f>
        <v/>
      </c>
      <c r="E191" s="48">
        <f>IF($N191&lt;&gt;"増","",INDEX('仕入請求台帳'!$G$5:$G$504,$O191))</f>
        <v/>
      </c>
      <c r="F191" s="48">
        <f>IF($N191&lt;&gt;"減","",N(INDEX('仕入請求台帳'!$L$5:$L$504,$O191)))</f>
        <v/>
      </c>
      <c r="G191" s="48">
        <f>IF($N191&lt;&gt;"減","",N(INDEX('仕入請求台帳'!$M$5:$M$504,$O191)))</f>
        <v/>
      </c>
      <c r="H191" s="49">
        <f>IF($N191="","",$H190+N($E191)-N($F191)-N($G191))</f>
        <v/>
      </c>
      <c r="I191" s="56" t="n"/>
      <c r="J191" s="32">
        <f>$J190+IF($N190="増",1,0)</f>
        <v/>
      </c>
      <c r="K191" s="32">
        <f>$K190+IF($N190="減",1,0)</f>
        <v/>
      </c>
      <c r="L191" s="35">
        <f>IF($B$3="",1E+9,IFERROR(SMALL('仕入請求台帳'!$U$5:$U$504,$J191+1),1E+9))</f>
        <v/>
      </c>
      <c r="M191" s="35">
        <f>IF($B$3="",1E+9,IFERROR(SMALL('仕入請求台帳'!$V$5:$V$504,$K191+1),1E+9))</f>
        <v/>
      </c>
      <c r="N191" s="32">
        <f>IF(MIN($L191,$M191)&gt;=1E+9,"",IF($L191&lt;=$M191,"増","減"))</f>
        <v/>
      </c>
      <c r="O191" s="32">
        <f>IF($N191="","",IF($N191="増",MATCH($L191,'仕入請求台帳'!$U$5:$U$504,0),MATCH($M191,'仕入請求台帳'!$V$5:$V$504,0)))</f>
        <v/>
      </c>
      <c r="P191" s="56" t="n"/>
      <c r="Q191" s="56" t="n"/>
    </row>
    <row r="192" ht="18" customHeight="1">
      <c r="A192" s="45">
        <f>IF($N192="","",IF($N192="増",INDEX('仕入請求台帳'!$S$5:$S$504,$O192),INDEX('仕入請求台帳'!$K$5:$K$504,$O192)))</f>
        <v/>
      </c>
      <c r="B192" s="46">
        <f>IF($N192="","",IF($N192="増","仕入","支払"))</f>
        <v/>
      </c>
      <c r="C192" s="46">
        <f>IF($N192="","",IF($N192="増",INDEX('仕入請求台帳'!$E$5:$E$504,$O192)&amp;"",INDEX('仕入請求台帳'!$E$5:$E$504,$O192)&amp;""))</f>
        <v/>
      </c>
      <c r="D192" s="47">
        <f>IF($N192="","",IF($N192="増",INDEX('仕入請求台帳'!$F$5:$F$504,$O192)&amp;"","支払"))</f>
        <v/>
      </c>
      <c r="E192" s="48">
        <f>IF($N192&lt;&gt;"増","",INDEX('仕入請求台帳'!$G$5:$G$504,$O192))</f>
        <v/>
      </c>
      <c r="F192" s="48">
        <f>IF($N192&lt;&gt;"減","",N(INDEX('仕入請求台帳'!$L$5:$L$504,$O192)))</f>
        <v/>
      </c>
      <c r="G192" s="48">
        <f>IF($N192&lt;&gt;"減","",N(INDEX('仕入請求台帳'!$M$5:$M$504,$O192)))</f>
        <v/>
      </c>
      <c r="H192" s="49">
        <f>IF($N192="","",$H191+N($E192)-N($F192)-N($G192))</f>
        <v/>
      </c>
      <c r="I192" s="56" t="n"/>
      <c r="J192" s="32">
        <f>$J191+IF($N191="増",1,0)</f>
        <v/>
      </c>
      <c r="K192" s="32">
        <f>$K191+IF($N191="減",1,0)</f>
        <v/>
      </c>
      <c r="L192" s="35">
        <f>IF($B$3="",1E+9,IFERROR(SMALL('仕入請求台帳'!$U$5:$U$504,$J192+1),1E+9))</f>
        <v/>
      </c>
      <c r="M192" s="35">
        <f>IF($B$3="",1E+9,IFERROR(SMALL('仕入請求台帳'!$V$5:$V$504,$K192+1),1E+9))</f>
        <v/>
      </c>
      <c r="N192" s="32">
        <f>IF(MIN($L192,$M192)&gt;=1E+9,"",IF($L192&lt;=$M192,"増","減"))</f>
        <v/>
      </c>
      <c r="O192" s="32">
        <f>IF($N192="","",IF($N192="増",MATCH($L192,'仕入請求台帳'!$U$5:$U$504,0),MATCH($M192,'仕入請求台帳'!$V$5:$V$504,0)))</f>
        <v/>
      </c>
      <c r="P192" s="56" t="n"/>
      <c r="Q192" s="56" t="n"/>
    </row>
    <row r="193" ht="18" customHeight="1">
      <c r="A193" s="45">
        <f>IF($N193="","",IF($N193="増",INDEX('仕入請求台帳'!$S$5:$S$504,$O193),INDEX('仕入請求台帳'!$K$5:$K$504,$O193)))</f>
        <v/>
      </c>
      <c r="B193" s="46">
        <f>IF($N193="","",IF($N193="増","仕入","支払"))</f>
        <v/>
      </c>
      <c r="C193" s="46">
        <f>IF($N193="","",IF($N193="増",INDEX('仕入請求台帳'!$E$5:$E$504,$O193)&amp;"",INDEX('仕入請求台帳'!$E$5:$E$504,$O193)&amp;""))</f>
        <v/>
      </c>
      <c r="D193" s="47">
        <f>IF($N193="","",IF($N193="増",INDEX('仕入請求台帳'!$F$5:$F$504,$O193)&amp;"","支払"))</f>
        <v/>
      </c>
      <c r="E193" s="48">
        <f>IF($N193&lt;&gt;"増","",INDEX('仕入請求台帳'!$G$5:$G$504,$O193))</f>
        <v/>
      </c>
      <c r="F193" s="48">
        <f>IF($N193&lt;&gt;"減","",N(INDEX('仕入請求台帳'!$L$5:$L$504,$O193)))</f>
        <v/>
      </c>
      <c r="G193" s="48">
        <f>IF($N193&lt;&gt;"減","",N(INDEX('仕入請求台帳'!$M$5:$M$504,$O193)))</f>
        <v/>
      </c>
      <c r="H193" s="49">
        <f>IF($N193="","",$H192+N($E193)-N($F193)-N($G193))</f>
        <v/>
      </c>
      <c r="I193" s="56" t="n"/>
      <c r="J193" s="32">
        <f>$J192+IF($N192="増",1,0)</f>
        <v/>
      </c>
      <c r="K193" s="32">
        <f>$K192+IF($N192="減",1,0)</f>
        <v/>
      </c>
      <c r="L193" s="35">
        <f>IF($B$3="",1E+9,IFERROR(SMALL('仕入請求台帳'!$U$5:$U$504,$J193+1),1E+9))</f>
        <v/>
      </c>
      <c r="M193" s="35">
        <f>IF($B$3="",1E+9,IFERROR(SMALL('仕入請求台帳'!$V$5:$V$504,$K193+1),1E+9))</f>
        <v/>
      </c>
      <c r="N193" s="32">
        <f>IF(MIN($L193,$M193)&gt;=1E+9,"",IF($L193&lt;=$M193,"増","減"))</f>
        <v/>
      </c>
      <c r="O193" s="32">
        <f>IF($N193="","",IF($N193="増",MATCH($L193,'仕入請求台帳'!$U$5:$U$504,0),MATCH($M193,'仕入請求台帳'!$V$5:$V$504,0)))</f>
        <v/>
      </c>
      <c r="P193" s="56" t="n"/>
      <c r="Q193" s="56" t="n"/>
    </row>
    <row r="194" ht="18" customHeight="1">
      <c r="A194" s="45">
        <f>IF($N194="","",IF($N194="増",INDEX('仕入請求台帳'!$S$5:$S$504,$O194),INDEX('仕入請求台帳'!$K$5:$K$504,$O194)))</f>
        <v/>
      </c>
      <c r="B194" s="46">
        <f>IF($N194="","",IF($N194="増","仕入","支払"))</f>
        <v/>
      </c>
      <c r="C194" s="46">
        <f>IF($N194="","",IF($N194="増",INDEX('仕入請求台帳'!$E$5:$E$504,$O194)&amp;"",INDEX('仕入請求台帳'!$E$5:$E$504,$O194)&amp;""))</f>
        <v/>
      </c>
      <c r="D194" s="47">
        <f>IF($N194="","",IF($N194="増",INDEX('仕入請求台帳'!$F$5:$F$504,$O194)&amp;"","支払"))</f>
        <v/>
      </c>
      <c r="E194" s="48">
        <f>IF($N194&lt;&gt;"増","",INDEX('仕入請求台帳'!$G$5:$G$504,$O194))</f>
        <v/>
      </c>
      <c r="F194" s="48">
        <f>IF($N194&lt;&gt;"減","",N(INDEX('仕入請求台帳'!$L$5:$L$504,$O194)))</f>
        <v/>
      </c>
      <c r="G194" s="48">
        <f>IF($N194&lt;&gt;"減","",N(INDEX('仕入請求台帳'!$M$5:$M$504,$O194)))</f>
        <v/>
      </c>
      <c r="H194" s="49">
        <f>IF($N194="","",$H193+N($E194)-N($F194)-N($G194))</f>
        <v/>
      </c>
      <c r="I194" s="56" t="n"/>
      <c r="J194" s="32">
        <f>$J193+IF($N193="増",1,0)</f>
        <v/>
      </c>
      <c r="K194" s="32">
        <f>$K193+IF($N193="減",1,0)</f>
        <v/>
      </c>
      <c r="L194" s="35">
        <f>IF($B$3="",1E+9,IFERROR(SMALL('仕入請求台帳'!$U$5:$U$504,$J194+1),1E+9))</f>
        <v/>
      </c>
      <c r="M194" s="35">
        <f>IF($B$3="",1E+9,IFERROR(SMALL('仕入請求台帳'!$V$5:$V$504,$K194+1),1E+9))</f>
        <v/>
      </c>
      <c r="N194" s="32">
        <f>IF(MIN($L194,$M194)&gt;=1E+9,"",IF($L194&lt;=$M194,"増","減"))</f>
        <v/>
      </c>
      <c r="O194" s="32">
        <f>IF($N194="","",IF($N194="増",MATCH($L194,'仕入請求台帳'!$U$5:$U$504,0),MATCH($M194,'仕入請求台帳'!$V$5:$V$504,0)))</f>
        <v/>
      </c>
      <c r="P194" s="56" t="n"/>
      <c r="Q194" s="56" t="n"/>
    </row>
    <row r="195" ht="18" customHeight="1">
      <c r="A195" s="45">
        <f>IF($N195="","",IF($N195="増",INDEX('仕入請求台帳'!$S$5:$S$504,$O195),INDEX('仕入請求台帳'!$K$5:$K$504,$O195)))</f>
        <v/>
      </c>
      <c r="B195" s="46">
        <f>IF($N195="","",IF($N195="増","仕入","支払"))</f>
        <v/>
      </c>
      <c r="C195" s="46">
        <f>IF($N195="","",IF($N195="増",INDEX('仕入請求台帳'!$E$5:$E$504,$O195)&amp;"",INDEX('仕入請求台帳'!$E$5:$E$504,$O195)&amp;""))</f>
        <v/>
      </c>
      <c r="D195" s="47">
        <f>IF($N195="","",IF($N195="増",INDEX('仕入請求台帳'!$F$5:$F$504,$O195)&amp;"","支払"))</f>
        <v/>
      </c>
      <c r="E195" s="48">
        <f>IF($N195&lt;&gt;"増","",INDEX('仕入請求台帳'!$G$5:$G$504,$O195))</f>
        <v/>
      </c>
      <c r="F195" s="48">
        <f>IF($N195&lt;&gt;"減","",N(INDEX('仕入請求台帳'!$L$5:$L$504,$O195)))</f>
        <v/>
      </c>
      <c r="G195" s="48">
        <f>IF($N195&lt;&gt;"減","",N(INDEX('仕入請求台帳'!$M$5:$M$504,$O195)))</f>
        <v/>
      </c>
      <c r="H195" s="49">
        <f>IF($N195="","",$H194+N($E195)-N($F195)-N($G195))</f>
        <v/>
      </c>
      <c r="I195" s="56" t="n"/>
      <c r="J195" s="32">
        <f>$J194+IF($N194="増",1,0)</f>
        <v/>
      </c>
      <c r="K195" s="32">
        <f>$K194+IF($N194="減",1,0)</f>
        <v/>
      </c>
      <c r="L195" s="35">
        <f>IF($B$3="",1E+9,IFERROR(SMALL('仕入請求台帳'!$U$5:$U$504,$J195+1),1E+9))</f>
        <v/>
      </c>
      <c r="M195" s="35">
        <f>IF($B$3="",1E+9,IFERROR(SMALL('仕入請求台帳'!$V$5:$V$504,$K195+1),1E+9))</f>
        <v/>
      </c>
      <c r="N195" s="32">
        <f>IF(MIN($L195,$M195)&gt;=1E+9,"",IF($L195&lt;=$M195,"増","減"))</f>
        <v/>
      </c>
      <c r="O195" s="32">
        <f>IF($N195="","",IF($N195="増",MATCH($L195,'仕入請求台帳'!$U$5:$U$504,0),MATCH($M195,'仕入請求台帳'!$V$5:$V$504,0)))</f>
        <v/>
      </c>
      <c r="P195" s="56" t="n"/>
      <c r="Q195" s="56" t="n"/>
    </row>
    <row r="196" ht="18" customHeight="1">
      <c r="A196" s="45">
        <f>IF($N196="","",IF($N196="増",INDEX('仕入請求台帳'!$S$5:$S$504,$O196),INDEX('仕入請求台帳'!$K$5:$K$504,$O196)))</f>
        <v/>
      </c>
      <c r="B196" s="46">
        <f>IF($N196="","",IF($N196="増","仕入","支払"))</f>
        <v/>
      </c>
      <c r="C196" s="46">
        <f>IF($N196="","",IF($N196="増",INDEX('仕入請求台帳'!$E$5:$E$504,$O196)&amp;"",INDEX('仕入請求台帳'!$E$5:$E$504,$O196)&amp;""))</f>
        <v/>
      </c>
      <c r="D196" s="47">
        <f>IF($N196="","",IF($N196="増",INDEX('仕入請求台帳'!$F$5:$F$504,$O196)&amp;"","支払"))</f>
        <v/>
      </c>
      <c r="E196" s="48">
        <f>IF($N196&lt;&gt;"増","",INDEX('仕入請求台帳'!$G$5:$G$504,$O196))</f>
        <v/>
      </c>
      <c r="F196" s="48">
        <f>IF($N196&lt;&gt;"減","",N(INDEX('仕入請求台帳'!$L$5:$L$504,$O196)))</f>
        <v/>
      </c>
      <c r="G196" s="48">
        <f>IF($N196&lt;&gt;"減","",N(INDEX('仕入請求台帳'!$M$5:$M$504,$O196)))</f>
        <v/>
      </c>
      <c r="H196" s="49">
        <f>IF($N196="","",$H195+N($E196)-N($F196)-N($G196))</f>
        <v/>
      </c>
      <c r="I196" s="56" t="n"/>
      <c r="J196" s="32">
        <f>$J195+IF($N195="増",1,0)</f>
        <v/>
      </c>
      <c r="K196" s="32">
        <f>$K195+IF($N195="減",1,0)</f>
        <v/>
      </c>
      <c r="L196" s="35">
        <f>IF($B$3="",1E+9,IFERROR(SMALL('仕入請求台帳'!$U$5:$U$504,$J196+1),1E+9))</f>
        <v/>
      </c>
      <c r="M196" s="35">
        <f>IF($B$3="",1E+9,IFERROR(SMALL('仕入請求台帳'!$V$5:$V$504,$K196+1),1E+9))</f>
        <v/>
      </c>
      <c r="N196" s="32">
        <f>IF(MIN($L196,$M196)&gt;=1E+9,"",IF($L196&lt;=$M196,"増","減"))</f>
        <v/>
      </c>
      <c r="O196" s="32">
        <f>IF($N196="","",IF($N196="増",MATCH($L196,'仕入請求台帳'!$U$5:$U$504,0),MATCH($M196,'仕入請求台帳'!$V$5:$V$504,0)))</f>
        <v/>
      </c>
      <c r="P196" s="56" t="n"/>
      <c r="Q196" s="56" t="n"/>
    </row>
    <row r="197" ht="18" customHeight="1">
      <c r="A197" s="45">
        <f>IF($N197="","",IF($N197="増",INDEX('仕入請求台帳'!$S$5:$S$504,$O197),INDEX('仕入請求台帳'!$K$5:$K$504,$O197)))</f>
        <v/>
      </c>
      <c r="B197" s="46">
        <f>IF($N197="","",IF($N197="増","仕入","支払"))</f>
        <v/>
      </c>
      <c r="C197" s="46">
        <f>IF($N197="","",IF($N197="増",INDEX('仕入請求台帳'!$E$5:$E$504,$O197)&amp;"",INDEX('仕入請求台帳'!$E$5:$E$504,$O197)&amp;""))</f>
        <v/>
      </c>
      <c r="D197" s="47">
        <f>IF($N197="","",IF($N197="増",INDEX('仕入請求台帳'!$F$5:$F$504,$O197)&amp;"","支払"))</f>
        <v/>
      </c>
      <c r="E197" s="48">
        <f>IF($N197&lt;&gt;"増","",INDEX('仕入請求台帳'!$G$5:$G$504,$O197))</f>
        <v/>
      </c>
      <c r="F197" s="48">
        <f>IF($N197&lt;&gt;"減","",N(INDEX('仕入請求台帳'!$L$5:$L$504,$O197)))</f>
        <v/>
      </c>
      <c r="G197" s="48">
        <f>IF($N197&lt;&gt;"減","",N(INDEX('仕入請求台帳'!$M$5:$M$504,$O197)))</f>
        <v/>
      </c>
      <c r="H197" s="49">
        <f>IF($N197="","",$H196+N($E197)-N($F197)-N($G197))</f>
        <v/>
      </c>
      <c r="I197" s="56" t="n"/>
      <c r="J197" s="32">
        <f>$J196+IF($N196="増",1,0)</f>
        <v/>
      </c>
      <c r="K197" s="32">
        <f>$K196+IF($N196="減",1,0)</f>
        <v/>
      </c>
      <c r="L197" s="35">
        <f>IF($B$3="",1E+9,IFERROR(SMALL('仕入請求台帳'!$U$5:$U$504,$J197+1),1E+9))</f>
        <v/>
      </c>
      <c r="M197" s="35">
        <f>IF($B$3="",1E+9,IFERROR(SMALL('仕入請求台帳'!$V$5:$V$504,$K197+1),1E+9))</f>
        <v/>
      </c>
      <c r="N197" s="32">
        <f>IF(MIN($L197,$M197)&gt;=1E+9,"",IF($L197&lt;=$M197,"増","減"))</f>
        <v/>
      </c>
      <c r="O197" s="32">
        <f>IF($N197="","",IF($N197="増",MATCH($L197,'仕入請求台帳'!$U$5:$U$504,0),MATCH($M197,'仕入請求台帳'!$V$5:$V$504,0)))</f>
        <v/>
      </c>
      <c r="P197" s="56" t="n"/>
      <c r="Q197" s="56" t="n"/>
    </row>
    <row r="198" ht="18" customHeight="1">
      <c r="A198" s="45">
        <f>IF($N198="","",IF($N198="増",INDEX('仕入請求台帳'!$S$5:$S$504,$O198),INDEX('仕入請求台帳'!$K$5:$K$504,$O198)))</f>
        <v/>
      </c>
      <c r="B198" s="46">
        <f>IF($N198="","",IF($N198="増","仕入","支払"))</f>
        <v/>
      </c>
      <c r="C198" s="46">
        <f>IF($N198="","",IF($N198="増",INDEX('仕入請求台帳'!$E$5:$E$504,$O198)&amp;"",INDEX('仕入請求台帳'!$E$5:$E$504,$O198)&amp;""))</f>
        <v/>
      </c>
      <c r="D198" s="47">
        <f>IF($N198="","",IF($N198="増",INDEX('仕入請求台帳'!$F$5:$F$504,$O198)&amp;"","支払"))</f>
        <v/>
      </c>
      <c r="E198" s="48">
        <f>IF($N198&lt;&gt;"増","",INDEX('仕入請求台帳'!$G$5:$G$504,$O198))</f>
        <v/>
      </c>
      <c r="F198" s="48">
        <f>IF($N198&lt;&gt;"減","",N(INDEX('仕入請求台帳'!$L$5:$L$504,$O198)))</f>
        <v/>
      </c>
      <c r="G198" s="48">
        <f>IF($N198&lt;&gt;"減","",N(INDEX('仕入請求台帳'!$M$5:$M$504,$O198)))</f>
        <v/>
      </c>
      <c r="H198" s="49">
        <f>IF($N198="","",$H197+N($E198)-N($F198)-N($G198))</f>
        <v/>
      </c>
      <c r="I198" s="56" t="n"/>
      <c r="J198" s="32">
        <f>$J197+IF($N197="増",1,0)</f>
        <v/>
      </c>
      <c r="K198" s="32">
        <f>$K197+IF($N197="減",1,0)</f>
        <v/>
      </c>
      <c r="L198" s="35">
        <f>IF($B$3="",1E+9,IFERROR(SMALL('仕入請求台帳'!$U$5:$U$504,$J198+1),1E+9))</f>
        <v/>
      </c>
      <c r="M198" s="35">
        <f>IF($B$3="",1E+9,IFERROR(SMALL('仕入請求台帳'!$V$5:$V$504,$K198+1),1E+9))</f>
        <v/>
      </c>
      <c r="N198" s="32">
        <f>IF(MIN($L198,$M198)&gt;=1E+9,"",IF($L198&lt;=$M198,"増","減"))</f>
        <v/>
      </c>
      <c r="O198" s="32">
        <f>IF($N198="","",IF($N198="増",MATCH($L198,'仕入請求台帳'!$U$5:$U$504,0),MATCH($M198,'仕入請求台帳'!$V$5:$V$504,0)))</f>
        <v/>
      </c>
      <c r="P198" s="56" t="n"/>
      <c r="Q198" s="56" t="n"/>
    </row>
    <row r="199" ht="18" customHeight="1">
      <c r="A199" s="45">
        <f>IF($N199="","",IF($N199="増",INDEX('仕入請求台帳'!$S$5:$S$504,$O199),INDEX('仕入請求台帳'!$K$5:$K$504,$O199)))</f>
        <v/>
      </c>
      <c r="B199" s="46">
        <f>IF($N199="","",IF($N199="増","仕入","支払"))</f>
        <v/>
      </c>
      <c r="C199" s="46">
        <f>IF($N199="","",IF($N199="増",INDEX('仕入請求台帳'!$E$5:$E$504,$O199)&amp;"",INDEX('仕入請求台帳'!$E$5:$E$504,$O199)&amp;""))</f>
        <v/>
      </c>
      <c r="D199" s="47">
        <f>IF($N199="","",IF($N199="増",INDEX('仕入請求台帳'!$F$5:$F$504,$O199)&amp;"","支払"))</f>
        <v/>
      </c>
      <c r="E199" s="48">
        <f>IF($N199&lt;&gt;"増","",INDEX('仕入請求台帳'!$G$5:$G$504,$O199))</f>
        <v/>
      </c>
      <c r="F199" s="48">
        <f>IF($N199&lt;&gt;"減","",N(INDEX('仕入請求台帳'!$L$5:$L$504,$O199)))</f>
        <v/>
      </c>
      <c r="G199" s="48">
        <f>IF($N199&lt;&gt;"減","",N(INDEX('仕入請求台帳'!$M$5:$M$504,$O199)))</f>
        <v/>
      </c>
      <c r="H199" s="49">
        <f>IF($N199="","",$H198+N($E199)-N($F199)-N($G199))</f>
        <v/>
      </c>
      <c r="I199" s="56" t="n"/>
      <c r="J199" s="32">
        <f>$J198+IF($N198="増",1,0)</f>
        <v/>
      </c>
      <c r="K199" s="32">
        <f>$K198+IF($N198="減",1,0)</f>
        <v/>
      </c>
      <c r="L199" s="35">
        <f>IF($B$3="",1E+9,IFERROR(SMALL('仕入請求台帳'!$U$5:$U$504,$J199+1),1E+9))</f>
        <v/>
      </c>
      <c r="M199" s="35">
        <f>IF($B$3="",1E+9,IFERROR(SMALL('仕入請求台帳'!$V$5:$V$504,$K199+1),1E+9))</f>
        <v/>
      </c>
      <c r="N199" s="32">
        <f>IF(MIN($L199,$M199)&gt;=1E+9,"",IF($L199&lt;=$M199,"増","減"))</f>
        <v/>
      </c>
      <c r="O199" s="32">
        <f>IF($N199="","",IF($N199="増",MATCH($L199,'仕入請求台帳'!$U$5:$U$504,0),MATCH($M199,'仕入請求台帳'!$V$5:$V$504,0)))</f>
        <v/>
      </c>
      <c r="P199" s="56" t="n"/>
      <c r="Q199" s="56" t="n"/>
    </row>
    <row r="200" ht="18" customHeight="1">
      <c r="A200" s="45">
        <f>IF($N200="","",IF($N200="増",INDEX('仕入請求台帳'!$S$5:$S$504,$O200),INDEX('仕入請求台帳'!$K$5:$K$504,$O200)))</f>
        <v/>
      </c>
      <c r="B200" s="46">
        <f>IF($N200="","",IF($N200="増","仕入","支払"))</f>
        <v/>
      </c>
      <c r="C200" s="46">
        <f>IF($N200="","",IF($N200="増",INDEX('仕入請求台帳'!$E$5:$E$504,$O200)&amp;"",INDEX('仕入請求台帳'!$E$5:$E$504,$O200)&amp;""))</f>
        <v/>
      </c>
      <c r="D200" s="47">
        <f>IF($N200="","",IF($N200="増",INDEX('仕入請求台帳'!$F$5:$F$504,$O200)&amp;"","支払"))</f>
        <v/>
      </c>
      <c r="E200" s="48">
        <f>IF($N200&lt;&gt;"増","",INDEX('仕入請求台帳'!$G$5:$G$504,$O200))</f>
        <v/>
      </c>
      <c r="F200" s="48">
        <f>IF($N200&lt;&gt;"減","",N(INDEX('仕入請求台帳'!$L$5:$L$504,$O200)))</f>
        <v/>
      </c>
      <c r="G200" s="48">
        <f>IF($N200&lt;&gt;"減","",N(INDEX('仕入請求台帳'!$M$5:$M$504,$O200)))</f>
        <v/>
      </c>
      <c r="H200" s="49">
        <f>IF($N200="","",$H199+N($E200)-N($F200)-N($G200))</f>
        <v/>
      </c>
      <c r="I200" s="56" t="n"/>
      <c r="J200" s="32">
        <f>$J199+IF($N199="増",1,0)</f>
        <v/>
      </c>
      <c r="K200" s="32">
        <f>$K199+IF($N199="減",1,0)</f>
        <v/>
      </c>
      <c r="L200" s="35">
        <f>IF($B$3="",1E+9,IFERROR(SMALL('仕入請求台帳'!$U$5:$U$504,$J200+1),1E+9))</f>
        <v/>
      </c>
      <c r="M200" s="35">
        <f>IF($B$3="",1E+9,IFERROR(SMALL('仕入請求台帳'!$V$5:$V$504,$K200+1),1E+9))</f>
        <v/>
      </c>
      <c r="N200" s="32">
        <f>IF(MIN($L200,$M200)&gt;=1E+9,"",IF($L200&lt;=$M200,"増","減"))</f>
        <v/>
      </c>
      <c r="O200" s="32">
        <f>IF($N200="","",IF($N200="増",MATCH($L200,'仕入請求台帳'!$U$5:$U$504,0),MATCH($M200,'仕入請求台帳'!$V$5:$V$504,0)))</f>
        <v/>
      </c>
      <c r="P200" s="56" t="n"/>
      <c r="Q200" s="56" t="n"/>
    </row>
    <row r="201" ht="18" customHeight="1">
      <c r="A201" s="45">
        <f>IF($N201="","",IF($N201="増",INDEX('仕入請求台帳'!$S$5:$S$504,$O201),INDEX('仕入請求台帳'!$K$5:$K$504,$O201)))</f>
        <v/>
      </c>
      <c r="B201" s="46">
        <f>IF($N201="","",IF($N201="増","仕入","支払"))</f>
        <v/>
      </c>
      <c r="C201" s="46">
        <f>IF($N201="","",IF($N201="増",INDEX('仕入請求台帳'!$E$5:$E$504,$O201)&amp;"",INDEX('仕入請求台帳'!$E$5:$E$504,$O201)&amp;""))</f>
        <v/>
      </c>
      <c r="D201" s="47">
        <f>IF($N201="","",IF($N201="増",INDEX('仕入請求台帳'!$F$5:$F$504,$O201)&amp;"","支払"))</f>
        <v/>
      </c>
      <c r="E201" s="48">
        <f>IF($N201&lt;&gt;"増","",INDEX('仕入請求台帳'!$G$5:$G$504,$O201))</f>
        <v/>
      </c>
      <c r="F201" s="48">
        <f>IF($N201&lt;&gt;"減","",N(INDEX('仕入請求台帳'!$L$5:$L$504,$O201)))</f>
        <v/>
      </c>
      <c r="G201" s="48">
        <f>IF($N201&lt;&gt;"減","",N(INDEX('仕入請求台帳'!$M$5:$M$504,$O201)))</f>
        <v/>
      </c>
      <c r="H201" s="49">
        <f>IF($N201="","",$H200+N($E201)-N($F201)-N($G201))</f>
        <v/>
      </c>
      <c r="I201" s="56" t="n"/>
      <c r="J201" s="32">
        <f>$J200+IF($N200="増",1,0)</f>
        <v/>
      </c>
      <c r="K201" s="32">
        <f>$K200+IF($N200="減",1,0)</f>
        <v/>
      </c>
      <c r="L201" s="35">
        <f>IF($B$3="",1E+9,IFERROR(SMALL('仕入請求台帳'!$U$5:$U$504,$J201+1),1E+9))</f>
        <v/>
      </c>
      <c r="M201" s="35">
        <f>IF($B$3="",1E+9,IFERROR(SMALL('仕入請求台帳'!$V$5:$V$504,$K201+1),1E+9))</f>
        <v/>
      </c>
      <c r="N201" s="32">
        <f>IF(MIN($L201,$M201)&gt;=1E+9,"",IF($L201&lt;=$M201,"増","減"))</f>
        <v/>
      </c>
      <c r="O201" s="32">
        <f>IF($N201="","",IF($N201="増",MATCH($L201,'仕入請求台帳'!$U$5:$U$504,0),MATCH($M201,'仕入請求台帳'!$V$5:$V$504,0)))</f>
        <v/>
      </c>
      <c r="P201" s="56" t="n"/>
      <c r="Q201" s="56" t="n"/>
    </row>
    <row r="202" ht="18" customHeight="1">
      <c r="A202" s="45">
        <f>IF($N202="","",IF($N202="増",INDEX('仕入請求台帳'!$S$5:$S$504,$O202),INDEX('仕入請求台帳'!$K$5:$K$504,$O202)))</f>
        <v/>
      </c>
      <c r="B202" s="46">
        <f>IF($N202="","",IF($N202="増","仕入","支払"))</f>
        <v/>
      </c>
      <c r="C202" s="46">
        <f>IF($N202="","",IF($N202="増",INDEX('仕入請求台帳'!$E$5:$E$504,$O202)&amp;"",INDEX('仕入請求台帳'!$E$5:$E$504,$O202)&amp;""))</f>
        <v/>
      </c>
      <c r="D202" s="47">
        <f>IF($N202="","",IF($N202="増",INDEX('仕入請求台帳'!$F$5:$F$504,$O202)&amp;"","支払"))</f>
        <v/>
      </c>
      <c r="E202" s="48">
        <f>IF($N202&lt;&gt;"増","",INDEX('仕入請求台帳'!$G$5:$G$504,$O202))</f>
        <v/>
      </c>
      <c r="F202" s="48">
        <f>IF($N202&lt;&gt;"減","",N(INDEX('仕入請求台帳'!$L$5:$L$504,$O202)))</f>
        <v/>
      </c>
      <c r="G202" s="48">
        <f>IF($N202&lt;&gt;"減","",N(INDEX('仕入請求台帳'!$M$5:$M$504,$O202)))</f>
        <v/>
      </c>
      <c r="H202" s="49">
        <f>IF($N202="","",$H201+N($E202)-N($F202)-N($G202))</f>
        <v/>
      </c>
      <c r="I202" s="56" t="n"/>
      <c r="J202" s="32">
        <f>$J201+IF($N201="増",1,0)</f>
        <v/>
      </c>
      <c r="K202" s="32">
        <f>$K201+IF($N201="減",1,0)</f>
        <v/>
      </c>
      <c r="L202" s="35">
        <f>IF($B$3="",1E+9,IFERROR(SMALL('仕入請求台帳'!$U$5:$U$504,$J202+1),1E+9))</f>
        <v/>
      </c>
      <c r="M202" s="35">
        <f>IF($B$3="",1E+9,IFERROR(SMALL('仕入請求台帳'!$V$5:$V$504,$K202+1),1E+9))</f>
        <v/>
      </c>
      <c r="N202" s="32">
        <f>IF(MIN($L202,$M202)&gt;=1E+9,"",IF($L202&lt;=$M202,"増","減"))</f>
        <v/>
      </c>
      <c r="O202" s="32">
        <f>IF($N202="","",IF($N202="増",MATCH($L202,'仕入請求台帳'!$U$5:$U$504,0),MATCH($M202,'仕入請求台帳'!$V$5:$V$504,0)))</f>
        <v/>
      </c>
      <c r="P202" s="56" t="n"/>
      <c r="Q202" s="56" t="n"/>
    </row>
    <row r="203" ht="18" customHeight="1">
      <c r="A203" s="45">
        <f>IF($N203="","",IF($N203="増",INDEX('仕入請求台帳'!$S$5:$S$504,$O203),INDEX('仕入請求台帳'!$K$5:$K$504,$O203)))</f>
        <v/>
      </c>
      <c r="B203" s="46">
        <f>IF($N203="","",IF($N203="増","仕入","支払"))</f>
        <v/>
      </c>
      <c r="C203" s="46">
        <f>IF($N203="","",IF($N203="増",INDEX('仕入請求台帳'!$E$5:$E$504,$O203)&amp;"",INDEX('仕入請求台帳'!$E$5:$E$504,$O203)&amp;""))</f>
        <v/>
      </c>
      <c r="D203" s="47">
        <f>IF($N203="","",IF($N203="増",INDEX('仕入請求台帳'!$F$5:$F$504,$O203)&amp;"","支払"))</f>
        <v/>
      </c>
      <c r="E203" s="48">
        <f>IF($N203&lt;&gt;"増","",INDEX('仕入請求台帳'!$G$5:$G$504,$O203))</f>
        <v/>
      </c>
      <c r="F203" s="48">
        <f>IF($N203&lt;&gt;"減","",N(INDEX('仕入請求台帳'!$L$5:$L$504,$O203)))</f>
        <v/>
      </c>
      <c r="G203" s="48">
        <f>IF($N203&lt;&gt;"減","",N(INDEX('仕入請求台帳'!$M$5:$M$504,$O203)))</f>
        <v/>
      </c>
      <c r="H203" s="49">
        <f>IF($N203="","",$H202+N($E203)-N($F203)-N($G203))</f>
        <v/>
      </c>
      <c r="I203" s="56" t="n"/>
      <c r="J203" s="32">
        <f>$J202+IF($N202="増",1,0)</f>
        <v/>
      </c>
      <c r="K203" s="32">
        <f>$K202+IF($N202="減",1,0)</f>
        <v/>
      </c>
      <c r="L203" s="35">
        <f>IF($B$3="",1E+9,IFERROR(SMALL('仕入請求台帳'!$U$5:$U$504,$J203+1),1E+9))</f>
        <v/>
      </c>
      <c r="M203" s="35">
        <f>IF($B$3="",1E+9,IFERROR(SMALL('仕入請求台帳'!$V$5:$V$504,$K203+1),1E+9))</f>
        <v/>
      </c>
      <c r="N203" s="32">
        <f>IF(MIN($L203,$M203)&gt;=1E+9,"",IF($L203&lt;=$M203,"増","減"))</f>
        <v/>
      </c>
      <c r="O203" s="32">
        <f>IF($N203="","",IF($N203="増",MATCH($L203,'仕入請求台帳'!$U$5:$U$504,0),MATCH($M203,'仕入請求台帳'!$V$5:$V$504,0)))</f>
        <v/>
      </c>
      <c r="P203" s="56" t="n"/>
      <c r="Q203" s="56" t="n"/>
    </row>
    <row r="204" ht="18" customHeight="1">
      <c r="A204" s="45">
        <f>IF($N204="","",IF($N204="増",INDEX('仕入請求台帳'!$S$5:$S$504,$O204),INDEX('仕入請求台帳'!$K$5:$K$504,$O204)))</f>
        <v/>
      </c>
      <c r="B204" s="46">
        <f>IF($N204="","",IF($N204="増","仕入","支払"))</f>
        <v/>
      </c>
      <c r="C204" s="46">
        <f>IF($N204="","",IF($N204="増",INDEX('仕入請求台帳'!$E$5:$E$504,$O204)&amp;"",INDEX('仕入請求台帳'!$E$5:$E$504,$O204)&amp;""))</f>
        <v/>
      </c>
      <c r="D204" s="47">
        <f>IF($N204="","",IF($N204="増",INDEX('仕入請求台帳'!$F$5:$F$504,$O204)&amp;"","支払"))</f>
        <v/>
      </c>
      <c r="E204" s="48">
        <f>IF($N204&lt;&gt;"増","",INDEX('仕入請求台帳'!$G$5:$G$504,$O204))</f>
        <v/>
      </c>
      <c r="F204" s="48">
        <f>IF($N204&lt;&gt;"減","",N(INDEX('仕入請求台帳'!$L$5:$L$504,$O204)))</f>
        <v/>
      </c>
      <c r="G204" s="48">
        <f>IF($N204&lt;&gt;"減","",N(INDEX('仕入請求台帳'!$M$5:$M$504,$O204)))</f>
        <v/>
      </c>
      <c r="H204" s="49">
        <f>IF($N204="","",$H203+N($E204)-N($F204)-N($G204))</f>
        <v/>
      </c>
      <c r="I204" s="56" t="n"/>
      <c r="J204" s="32">
        <f>$J203+IF($N203="増",1,0)</f>
        <v/>
      </c>
      <c r="K204" s="32">
        <f>$K203+IF($N203="減",1,0)</f>
        <v/>
      </c>
      <c r="L204" s="35">
        <f>IF($B$3="",1E+9,IFERROR(SMALL('仕入請求台帳'!$U$5:$U$504,$J204+1),1E+9))</f>
        <v/>
      </c>
      <c r="M204" s="35">
        <f>IF($B$3="",1E+9,IFERROR(SMALL('仕入請求台帳'!$V$5:$V$504,$K204+1),1E+9))</f>
        <v/>
      </c>
      <c r="N204" s="32">
        <f>IF(MIN($L204,$M204)&gt;=1E+9,"",IF($L204&lt;=$M204,"増","減"))</f>
        <v/>
      </c>
      <c r="O204" s="32">
        <f>IF($N204="","",IF($N204="増",MATCH($L204,'仕入請求台帳'!$U$5:$U$504,0),MATCH($M204,'仕入請求台帳'!$V$5:$V$504,0)))</f>
        <v/>
      </c>
      <c r="P204" s="56" t="n"/>
      <c r="Q204" s="56" t="n"/>
    </row>
    <row r="205" ht="18" customHeight="1">
      <c r="A205" s="45">
        <f>IF($N205="","",IF($N205="増",INDEX('仕入請求台帳'!$S$5:$S$504,$O205),INDEX('仕入請求台帳'!$K$5:$K$504,$O205)))</f>
        <v/>
      </c>
      <c r="B205" s="46">
        <f>IF($N205="","",IF($N205="増","仕入","支払"))</f>
        <v/>
      </c>
      <c r="C205" s="46">
        <f>IF($N205="","",IF($N205="増",INDEX('仕入請求台帳'!$E$5:$E$504,$O205)&amp;"",INDEX('仕入請求台帳'!$E$5:$E$504,$O205)&amp;""))</f>
        <v/>
      </c>
      <c r="D205" s="47">
        <f>IF($N205="","",IF($N205="増",INDEX('仕入請求台帳'!$F$5:$F$504,$O205)&amp;"","支払"))</f>
        <v/>
      </c>
      <c r="E205" s="48">
        <f>IF($N205&lt;&gt;"増","",INDEX('仕入請求台帳'!$G$5:$G$504,$O205))</f>
        <v/>
      </c>
      <c r="F205" s="48">
        <f>IF($N205&lt;&gt;"減","",N(INDEX('仕入請求台帳'!$L$5:$L$504,$O205)))</f>
        <v/>
      </c>
      <c r="G205" s="48">
        <f>IF($N205&lt;&gt;"減","",N(INDEX('仕入請求台帳'!$M$5:$M$504,$O205)))</f>
        <v/>
      </c>
      <c r="H205" s="49">
        <f>IF($N205="","",$H204+N($E205)-N($F205)-N($G205))</f>
        <v/>
      </c>
      <c r="I205" s="56" t="n"/>
      <c r="J205" s="32">
        <f>$J204+IF($N204="増",1,0)</f>
        <v/>
      </c>
      <c r="K205" s="32">
        <f>$K204+IF($N204="減",1,0)</f>
        <v/>
      </c>
      <c r="L205" s="35">
        <f>IF($B$3="",1E+9,IFERROR(SMALL('仕入請求台帳'!$U$5:$U$504,$J205+1),1E+9))</f>
        <v/>
      </c>
      <c r="M205" s="35">
        <f>IF($B$3="",1E+9,IFERROR(SMALL('仕入請求台帳'!$V$5:$V$504,$K205+1),1E+9))</f>
        <v/>
      </c>
      <c r="N205" s="32">
        <f>IF(MIN($L205,$M205)&gt;=1E+9,"",IF($L205&lt;=$M205,"増","減"))</f>
        <v/>
      </c>
      <c r="O205" s="32">
        <f>IF($N205="","",IF($N205="増",MATCH($L205,'仕入請求台帳'!$U$5:$U$504,0),MATCH($M205,'仕入請求台帳'!$V$5:$V$504,0)))</f>
        <v/>
      </c>
      <c r="P205" s="56" t="n"/>
      <c r="Q205" s="56" t="n"/>
    </row>
    <row r="206" ht="18" customHeight="1">
      <c r="A206" s="45">
        <f>IF($N206="","",IF($N206="増",INDEX('仕入請求台帳'!$S$5:$S$504,$O206),INDEX('仕入請求台帳'!$K$5:$K$504,$O206)))</f>
        <v/>
      </c>
      <c r="B206" s="46">
        <f>IF($N206="","",IF($N206="増","仕入","支払"))</f>
        <v/>
      </c>
      <c r="C206" s="46">
        <f>IF($N206="","",IF($N206="増",INDEX('仕入請求台帳'!$E$5:$E$504,$O206)&amp;"",INDEX('仕入請求台帳'!$E$5:$E$504,$O206)&amp;""))</f>
        <v/>
      </c>
      <c r="D206" s="47">
        <f>IF($N206="","",IF($N206="増",INDEX('仕入請求台帳'!$F$5:$F$504,$O206)&amp;"","支払"))</f>
        <v/>
      </c>
      <c r="E206" s="48">
        <f>IF($N206&lt;&gt;"増","",INDEX('仕入請求台帳'!$G$5:$G$504,$O206))</f>
        <v/>
      </c>
      <c r="F206" s="48">
        <f>IF($N206&lt;&gt;"減","",N(INDEX('仕入請求台帳'!$L$5:$L$504,$O206)))</f>
        <v/>
      </c>
      <c r="G206" s="48">
        <f>IF($N206&lt;&gt;"減","",N(INDEX('仕入請求台帳'!$M$5:$M$504,$O206)))</f>
        <v/>
      </c>
      <c r="H206" s="49">
        <f>IF($N206="","",$H205+N($E206)-N($F206)-N($G206))</f>
        <v/>
      </c>
      <c r="I206" s="56" t="n"/>
      <c r="J206" s="32">
        <f>$J205+IF($N205="増",1,0)</f>
        <v/>
      </c>
      <c r="K206" s="32">
        <f>$K205+IF($N205="減",1,0)</f>
        <v/>
      </c>
      <c r="L206" s="35">
        <f>IF($B$3="",1E+9,IFERROR(SMALL('仕入請求台帳'!$U$5:$U$504,$J206+1),1E+9))</f>
        <v/>
      </c>
      <c r="M206" s="35">
        <f>IF($B$3="",1E+9,IFERROR(SMALL('仕入請求台帳'!$V$5:$V$504,$K206+1),1E+9))</f>
        <v/>
      </c>
      <c r="N206" s="32">
        <f>IF(MIN($L206,$M206)&gt;=1E+9,"",IF($L206&lt;=$M206,"増","減"))</f>
        <v/>
      </c>
      <c r="O206" s="32">
        <f>IF($N206="","",IF($N206="増",MATCH($L206,'仕入請求台帳'!$U$5:$U$504,0),MATCH($M206,'仕入請求台帳'!$V$5:$V$504,0)))</f>
        <v/>
      </c>
      <c r="P206" s="56" t="n"/>
      <c r="Q206" s="56" t="n"/>
    </row>
    <row r="207" ht="18" customHeight="1">
      <c r="A207" s="45">
        <f>IF($N207="","",IF($N207="増",INDEX('仕入請求台帳'!$S$5:$S$504,$O207),INDEX('仕入請求台帳'!$K$5:$K$504,$O207)))</f>
        <v/>
      </c>
      <c r="B207" s="46">
        <f>IF($N207="","",IF($N207="増","仕入","支払"))</f>
        <v/>
      </c>
      <c r="C207" s="46">
        <f>IF($N207="","",IF($N207="増",INDEX('仕入請求台帳'!$E$5:$E$504,$O207)&amp;"",INDEX('仕入請求台帳'!$E$5:$E$504,$O207)&amp;""))</f>
        <v/>
      </c>
      <c r="D207" s="47">
        <f>IF($N207="","",IF($N207="増",INDEX('仕入請求台帳'!$F$5:$F$504,$O207)&amp;"","支払"))</f>
        <v/>
      </c>
      <c r="E207" s="48">
        <f>IF($N207&lt;&gt;"増","",INDEX('仕入請求台帳'!$G$5:$G$504,$O207))</f>
        <v/>
      </c>
      <c r="F207" s="48">
        <f>IF($N207&lt;&gt;"減","",N(INDEX('仕入請求台帳'!$L$5:$L$504,$O207)))</f>
        <v/>
      </c>
      <c r="G207" s="48">
        <f>IF($N207&lt;&gt;"減","",N(INDEX('仕入請求台帳'!$M$5:$M$504,$O207)))</f>
        <v/>
      </c>
      <c r="H207" s="49">
        <f>IF($N207="","",$H206+N($E207)-N($F207)-N($G207))</f>
        <v/>
      </c>
      <c r="I207" s="56" t="n"/>
      <c r="J207" s="32">
        <f>$J206+IF($N206="増",1,0)</f>
        <v/>
      </c>
      <c r="K207" s="32">
        <f>$K206+IF($N206="減",1,0)</f>
        <v/>
      </c>
      <c r="L207" s="35">
        <f>IF($B$3="",1E+9,IFERROR(SMALL('仕入請求台帳'!$U$5:$U$504,$J207+1),1E+9))</f>
        <v/>
      </c>
      <c r="M207" s="35">
        <f>IF($B$3="",1E+9,IFERROR(SMALL('仕入請求台帳'!$V$5:$V$504,$K207+1),1E+9))</f>
        <v/>
      </c>
      <c r="N207" s="32">
        <f>IF(MIN($L207,$M207)&gt;=1E+9,"",IF($L207&lt;=$M207,"増","減"))</f>
        <v/>
      </c>
      <c r="O207" s="32">
        <f>IF($N207="","",IF($N207="増",MATCH($L207,'仕入請求台帳'!$U$5:$U$504,0),MATCH($M207,'仕入請求台帳'!$V$5:$V$504,0)))</f>
        <v/>
      </c>
      <c r="P207" s="56" t="n"/>
      <c r="Q207" s="56" t="n"/>
    </row>
    <row r="208" ht="18" customHeight="1">
      <c r="A208" s="45">
        <f>IF($N208="","",IF($N208="増",INDEX('仕入請求台帳'!$S$5:$S$504,$O208),INDEX('仕入請求台帳'!$K$5:$K$504,$O208)))</f>
        <v/>
      </c>
      <c r="B208" s="46">
        <f>IF($N208="","",IF($N208="増","仕入","支払"))</f>
        <v/>
      </c>
      <c r="C208" s="46">
        <f>IF($N208="","",IF($N208="増",INDEX('仕入請求台帳'!$E$5:$E$504,$O208)&amp;"",INDEX('仕入請求台帳'!$E$5:$E$504,$O208)&amp;""))</f>
        <v/>
      </c>
      <c r="D208" s="47">
        <f>IF($N208="","",IF($N208="増",INDEX('仕入請求台帳'!$F$5:$F$504,$O208)&amp;"","支払"))</f>
        <v/>
      </c>
      <c r="E208" s="48">
        <f>IF($N208&lt;&gt;"増","",INDEX('仕入請求台帳'!$G$5:$G$504,$O208))</f>
        <v/>
      </c>
      <c r="F208" s="48">
        <f>IF($N208&lt;&gt;"減","",N(INDEX('仕入請求台帳'!$L$5:$L$504,$O208)))</f>
        <v/>
      </c>
      <c r="G208" s="48">
        <f>IF($N208&lt;&gt;"減","",N(INDEX('仕入請求台帳'!$M$5:$M$504,$O208)))</f>
        <v/>
      </c>
      <c r="H208" s="49">
        <f>IF($N208="","",$H207+N($E208)-N($F208)-N($G208))</f>
        <v/>
      </c>
      <c r="I208" s="56" t="n"/>
      <c r="J208" s="32">
        <f>$J207+IF($N207="増",1,0)</f>
        <v/>
      </c>
      <c r="K208" s="32">
        <f>$K207+IF($N207="減",1,0)</f>
        <v/>
      </c>
      <c r="L208" s="35">
        <f>IF($B$3="",1E+9,IFERROR(SMALL('仕入請求台帳'!$U$5:$U$504,$J208+1),1E+9))</f>
        <v/>
      </c>
      <c r="M208" s="35">
        <f>IF($B$3="",1E+9,IFERROR(SMALL('仕入請求台帳'!$V$5:$V$504,$K208+1),1E+9))</f>
        <v/>
      </c>
      <c r="N208" s="32">
        <f>IF(MIN($L208,$M208)&gt;=1E+9,"",IF($L208&lt;=$M208,"増","減"))</f>
        <v/>
      </c>
      <c r="O208" s="32">
        <f>IF($N208="","",IF($N208="増",MATCH($L208,'仕入請求台帳'!$U$5:$U$504,0),MATCH($M208,'仕入請求台帳'!$V$5:$V$504,0)))</f>
        <v/>
      </c>
      <c r="P208" s="56" t="n"/>
      <c r="Q208" s="56" t="n"/>
    </row>
    <row r="209" ht="18" customHeight="1">
      <c r="A209" s="45">
        <f>IF($N209="","",IF($N209="増",INDEX('仕入請求台帳'!$S$5:$S$504,$O209),INDEX('仕入請求台帳'!$K$5:$K$504,$O209)))</f>
        <v/>
      </c>
      <c r="B209" s="46">
        <f>IF($N209="","",IF($N209="増","仕入","支払"))</f>
        <v/>
      </c>
      <c r="C209" s="46">
        <f>IF($N209="","",IF($N209="増",INDEX('仕入請求台帳'!$E$5:$E$504,$O209)&amp;"",INDEX('仕入請求台帳'!$E$5:$E$504,$O209)&amp;""))</f>
        <v/>
      </c>
      <c r="D209" s="47">
        <f>IF($N209="","",IF($N209="増",INDEX('仕入請求台帳'!$F$5:$F$504,$O209)&amp;"","支払"))</f>
        <v/>
      </c>
      <c r="E209" s="48">
        <f>IF($N209&lt;&gt;"増","",INDEX('仕入請求台帳'!$G$5:$G$504,$O209))</f>
        <v/>
      </c>
      <c r="F209" s="48">
        <f>IF($N209&lt;&gt;"減","",N(INDEX('仕入請求台帳'!$L$5:$L$504,$O209)))</f>
        <v/>
      </c>
      <c r="G209" s="48">
        <f>IF($N209&lt;&gt;"減","",N(INDEX('仕入請求台帳'!$M$5:$M$504,$O209)))</f>
        <v/>
      </c>
      <c r="H209" s="49">
        <f>IF($N209="","",$H208+N($E209)-N($F209)-N($G209))</f>
        <v/>
      </c>
      <c r="I209" s="56" t="n"/>
      <c r="J209" s="32">
        <f>$J208+IF($N208="増",1,0)</f>
        <v/>
      </c>
      <c r="K209" s="32">
        <f>$K208+IF($N208="減",1,0)</f>
        <v/>
      </c>
      <c r="L209" s="35">
        <f>IF($B$3="",1E+9,IFERROR(SMALL('仕入請求台帳'!$U$5:$U$504,$J209+1),1E+9))</f>
        <v/>
      </c>
      <c r="M209" s="35">
        <f>IF($B$3="",1E+9,IFERROR(SMALL('仕入請求台帳'!$V$5:$V$504,$K209+1),1E+9))</f>
        <v/>
      </c>
      <c r="N209" s="32">
        <f>IF(MIN($L209,$M209)&gt;=1E+9,"",IF($L209&lt;=$M209,"増","減"))</f>
        <v/>
      </c>
      <c r="O209" s="32">
        <f>IF($N209="","",IF($N209="増",MATCH($L209,'仕入請求台帳'!$U$5:$U$504,0),MATCH($M209,'仕入請求台帳'!$V$5:$V$504,0)))</f>
        <v/>
      </c>
      <c r="P209" s="56" t="n"/>
      <c r="Q209" s="56" t="n"/>
    </row>
    <row r="210" ht="18" customHeight="1">
      <c r="A210" s="45">
        <f>IF($N210="","",IF($N210="増",INDEX('仕入請求台帳'!$S$5:$S$504,$O210),INDEX('仕入請求台帳'!$K$5:$K$504,$O210)))</f>
        <v/>
      </c>
      <c r="B210" s="46">
        <f>IF($N210="","",IF($N210="増","仕入","支払"))</f>
        <v/>
      </c>
      <c r="C210" s="46">
        <f>IF($N210="","",IF($N210="増",INDEX('仕入請求台帳'!$E$5:$E$504,$O210)&amp;"",INDEX('仕入請求台帳'!$E$5:$E$504,$O210)&amp;""))</f>
        <v/>
      </c>
      <c r="D210" s="47">
        <f>IF($N210="","",IF($N210="増",INDEX('仕入請求台帳'!$F$5:$F$504,$O210)&amp;"","支払"))</f>
        <v/>
      </c>
      <c r="E210" s="48">
        <f>IF($N210&lt;&gt;"増","",INDEX('仕入請求台帳'!$G$5:$G$504,$O210))</f>
        <v/>
      </c>
      <c r="F210" s="48">
        <f>IF($N210&lt;&gt;"減","",N(INDEX('仕入請求台帳'!$L$5:$L$504,$O210)))</f>
        <v/>
      </c>
      <c r="G210" s="48">
        <f>IF($N210&lt;&gt;"減","",N(INDEX('仕入請求台帳'!$M$5:$M$504,$O210)))</f>
        <v/>
      </c>
      <c r="H210" s="49">
        <f>IF($N210="","",$H209+N($E210)-N($F210)-N($G210))</f>
        <v/>
      </c>
      <c r="I210" s="56" t="n"/>
      <c r="J210" s="32">
        <f>$J209+IF($N209="増",1,0)</f>
        <v/>
      </c>
      <c r="K210" s="32">
        <f>$K209+IF($N209="減",1,0)</f>
        <v/>
      </c>
      <c r="L210" s="35">
        <f>IF($B$3="",1E+9,IFERROR(SMALL('仕入請求台帳'!$U$5:$U$504,$J210+1),1E+9))</f>
        <v/>
      </c>
      <c r="M210" s="35">
        <f>IF($B$3="",1E+9,IFERROR(SMALL('仕入請求台帳'!$V$5:$V$504,$K210+1),1E+9))</f>
        <v/>
      </c>
      <c r="N210" s="32">
        <f>IF(MIN($L210,$M210)&gt;=1E+9,"",IF($L210&lt;=$M210,"増","減"))</f>
        <v/>
      </c>
      <c r="O210" s="32">
        <f>IF($N210="","",IF($N210="増",MATCH($L210,'仕入請求台帳'!$U$5:$U$504,0),MATCH($M210,'仕入請求台帳'!$V$5:$V$504,0)))</f>
        <v/>
      </c>
      <c r="P210" s="56" t="n"/>
      <c r="Q210" s="56" t="n"/>
    </row>
    <row r="211" ht="18" customHeight="1">
      <c r="A211" s="45">
        <f>IF($N211="","",IF($N211="増",INDEX('仕入請求台帳'!$S$5:$S$504,$O211),INDEX('仕入請求台帳'!$K$5:$K$504,$O211)))</f>
        <v/>
      </c>
      <c r="B211" s="46">
        <f>IF($N211="","",IF($N211="増","仕入","支払"))</f>
        <v/>
      </c>
      <c r="C211" s="46">
        <f>IF($N211="","",IF($N211="増",INDEX('仕入請求台帳'!$E$5:$E$504,$O211)&amp;"",INDEX('仕入請求台帳'!$E$5:$E$504,$O211)&amp;""))</f>
        <v/>
      </c>
      <c r="D211" s="47">
        <f>IF($N211="","",IF($N211="増",INDEX('仕入請求台帳'!$F$5:$F$504,$O211)&amp;"","支払"))</f>
        <v/>
      </c>
      <c r="E211" s="48">
        <f>IF($N211&lt;&gt;"増","",INDEX('仕入請求台帳'!$G$5:$G$504,$O211))</f>
        <v/>
      </c>
      <c r="F211" s="48">
        <f>IF($N211&lt;&gt;"減","",N(INDEX('仕入請求台帳'!$L$5:$L$504,$O211)))</f>
        <v/>
      </c>
      <c r="G211" s="48">
        <f>IF($N211&lt;&gt;"減","",N(INDEX('仕入請求台帳'!$M$5:$M$504,$O211)))</f>
        <v/>
      </c>
      <c r="H211" s="49">
        <f>IF($N211="","",$H210+N($E211)-N($F211)-N($G211))</f>
        <v/>
      </c>
      <c r="I211" s="56" t="n"/>
      <c r="J211" s="32">
        <f>$J210+IF($N210="増",1,0)</f>
        <v/>
      </c>
      <c r="K211" s="32">
        <f>$K210+IF($N210="減",1,0)</f>
        <v/>
      </c>
      <c r="L211" s="35">
        <f>IF($B$3="",1E+9,IFERROR(SMALL('仕入請求台帳'!$U$5:$U$504,$J211+1),1E+9))</f>
        <v/>
      </c>
      <c r="M211" s="35">
        <f>IF($B$3="",1E+9,IFERROR(SMALL('仕入請求台帳'!$V$5:$V$504,$K211+1),1E+9))</f>
        <v/>
      </c>
      <c r="N211" s="32">
        <f>IF(MIN($L211,$M211)&gt;=1E+9,"",IF($L211&lt;=$M211,"増","減"))</f>
        <v/>
      </c>
      <c r="O211" s="32">
        <f>IF($N211="","",IF($N211="増",MATCH($L211,'仕入請求台帳'!$U$5:$U$504,0),MATCH($M211,'仕入請求台帳'!$V$5:$V$504,0)))</f>
        <v/>
      </c>
      <c r="P211" s="56" t="n"/>
      <c r="Q211" s="56" t="n"/>
    </row>
    <row r="212" ht="18" customHeight="1">
      <c r="A212" s="45">
        <f>IF($N212="","",IF($N212="増",INDEX('仕入請求台帳'!$S$5:$S$504,$O212),INDEX('仕入請求台帳'!$K$5:$K$504,$O212)))</f>
        <v/>
      </c>
      <c r="B212" s="46">
        <f>IF($N212="","",IF($N212="増","仕入","支払"))</f>
        <v/>
      </c>
      <c r="C212" s="46">
        <f>IF($N212="","",IF($N212="増",INDEX('仕入請求台帳'!$E$5:$E$504,$O212)&amp;"",INDEX('仕入請求台帳'!$E$5:$E$504,$O212)&amp;""))</f>
        <v/>
      </c>
      <c r="D212" s="47">
        <f>IF($N212="","",IF($N212="増",INDEX('仕入請求台帳'!$F$5:$F$504,$O212)&amp;"","支払"))</f>
        <v/>
      </c>
      <c r="E212" s="48">
        <f>IF($N212&lt;&gt;"増","",INDEX('仕入請求台帳'!$G$5:$G$504,$O212))</f>
        <v/>
      </c>
      <c r="F212" s="48">
        <f>IF($N212&lt;&gt;"減","",N(INDEX('仕入請求台帳'!$L$5:$L$504,$O212)))</f>
        <v/>
      </c>
      <c r="G212" s="48">
        <f>IF($N212&lt;&gt;"減","",N(INDEX('仕入請求台帳'!$M$5:$M$504,$O212)))</f>
        <v/>
      </c>
      <c r="H212" s="49">
        <f>IF($N212="","",$H211+N($E212)-N($F212)-N($G212))</f>
        <v/>
      </c>
      <c r="I212" s="56" t="n"/>
      <c r="J212" s="32">
        <f>$J211+IF($N211="増",1,0)</f>
        <v/>
      </c>
      <c r="K212" s="32">
        <f>$K211+IF($N211="減",1,0)</f>
        <v/>
      </c>
      <c r="L212" s="35">
        <f>IF($B$3="",1E+9,IFERROR(SMALL('仕入請求台帳'!$U$5:$U$504,$J212+1),1E+9))</f>
        <v/>
      </c>
      <c r="M212" s="35">
        <f>IF($B$3="",1E+9,IFERROR(SMALL('仕入請求台帳'!$V$5:$V$504,$K212+1),1E+9))</f>
        <v/>
      </c>
      <c r="N212" s="32">
        <f>IF(MIN($L212,$M212)&gt;=1E+9,"",IF($L212&lt;=$M212,"増","減"))</f>
        <v/>
      </c>
      <c r="O212" s="32">
        <f>IF($N212="","",IF($N212="増",MATCH($L212,'仕入請求台帳'!$U$5:$U$504,0),MATCH($M212,'仕入請求台帳'!$V$5:$V$504,0)))</f>
        <v/>
      </c>
      <c r="P212" s="56" t="n"/>
      <c r="Q212" s="56" t="n"/>
    </row>
    <row r="213" ht="18" customHeight="1">
      <c r="A213" s="45">
        <f>IF($N213="","",IF($N213="増",INDEX('仕入請求台帳'!$S$5:$S$504,$O213),INDEX('仕入請求台帳'!$K$5:$K$504,$O213)))</f>
        <v/>
      </c>
      <c r="B213" s="46">
        <f>IF($N213="","",IF($N213="増","仕入","支払"))</f>
        <v/>
      </c>
      <c r="C213" s="46">
        <f>IF($N213="","",IF($N213="増",INDEX('仕入請求台帳'!$E$5:$E$504,$O213)&amp;"",INDEX('仕入請求台帳'!$E$5:$E$504,$O213)&amp;""))</f>
        <v/>
      </c>
      <c r="D213" s="47">
        <f>IF($N213="","",IF($N213="増",INDEX('仕入請求台帳'!$F$5:$F$504,$O213)&amp;"","支払"))</f>
        <v/>
      </c>
      <c r="E213" s="48">
        <f>IF($N213&lt;&gt;"増","",INDEX('仕入請求台帳'!$G$5:$G$504,$O213))</f>
        <v/>
      </c>
      <c r="F213" s="48">
        <f>IF($N213&lt;&gt;"減","",N(INDEX('仕入請求台帳'!$L$5:$L$504,$O213)))</f>
        <v/>
      </c>
      <c r="G213" s="48">
        <f>IF($N213&lt;&gt;"減","",N(INDEX('仕入請求台帳'!$M$5:$M$504,$O213)))</f>
        <v/>
      </c>
      <c r="H213" s="49">
        <f>IF($N213="","",$H212+N($E213)-N($F213)-N($G213))</f>
        <v/>
      </c>
      <c r="I213" s="56" t="n"/>
      <c r="J213" s="32">
        <f>$J212+IF($N212="増",1,0)</f>
        <v/>
      </c>
      <c r="K213" s="32">
        <f>$K212+IF($N212="減",1,0)</f>
        <v/>
      </c>
      <c r="L213" s="35">
        <f>IF($B$3="",1E+9,IFERROR(SMALL('仕入請求台帳'!$U$5:$U$504,$J213+1),1E+9))</f>
        <v/>
      </c>
      <c r="M213" s="35">
        <f>IF($B$3="",1E+9,IFERROR(SMALL('仕入請求台帳'!$V$5:$V$504,$K213+1),1E+9))</f>
        <v/>
      </c>
      <c r="N213" s="32">
        <f>IF(MIN($L213,$M213)&gt;=1E+9,"",IF($L213&lt;=$M213,"増","減"))</f>
        <v/>
      </c>
      <c r="O213" s="32">
        <f>IF($N213="","",IF($N213="増",MATCH($L213,'仕入請求台帳'!$U$5:$U$504,0),MATCH($M213,'仕入請求台帳'!$V$5:$V$504,0)))</f>
        <v/>
      </c>
      <c r="P213" s="56" t="n"/>
      <c r="Q213" s="56" t="n"/>
    </row>
    <row r="214" ht="18" customHeight="1">
      <c r="A214" s="45">
        <f>IF($N214="","",IF($N214="増",INDEX('仕入請求台帳'!$S$5:$S$504,$O214),INDEX('仕入請求台帳'!$K$5:$K$504,$O214)))</f>
        <v/>
      </c>
      <c r="B214" s="46">
        <f>IF($N214="","",IF($N214="増","仕入","支払"))</f>
        <v/>
      </c>
      <c r="C214" s="46">
        <f>IF($N214="","",IF($N214="増",INDEX('仕入請求台帳'!$E$5:$E$504,$O214)&amp;"",INDEX('仕入請求台帳'!$E$5:$E$504,$O214)&amp;""))</f>
        <v/>
      </c>
      <c r="D214" s="47">
        <f>IF($N214="","",IF($N214="増",INDEX('仕入請求台帳'!$F$5:$F$504,$O214)&amp;"","支払"))</f>
        <v/>
      </c>
      <c r="E214" s="48">
        <f>IF($N214&lt;&gt;"増","",INDEX('仕入請求台帳'!$G$5:$G$504,$O214))</f>
        <v/>
      </c>
      <c r="F214" s="48">
        <f>IF($N214&lt;&gt;"減","",N(INDEX('仕入請求台帳'!$L$5:$L$504,$O214)))</f>
        <v/>
      </c>
      <c r="G214" s="48">
        <f>IF($N214&lt;&gt;"減","",N(INDEX('仕入請求台帳'!$M$5:$M$504,$O214)))</f>
        <v/>
      </c>
      <c r="H214" s="49">
        <f>IF($N214="","",$H213+N($E214)-N($F214)-N($G214))</f>
        <v/>
      </c>
      <c r="I214" s="56" t="n"/>
      <c r="J214" s="32">
        <f>$J213+IF($N213="増",1,0)</f>
        <v/>
      </c>
      <c r="K214" s="32">
        <f>$K213+IF($N213="減",1,0)</f>
        <v/>
      </c>
      <c r="L214" s="35">
        <f>IF($B$3="",1E+9,IFERROR(SMALL('仕入請求台帳'!$U$5:$U$504,$J214+1),1E+9))</f>
        <v/>
      </c>
      <c r="M214" s="35">
        <f>IF($B$3="",1E+9,IFERROR(SMALL('仕入請求台帳'!$V$5:$V$504,$K214+1),1E+9))</f>
        <v/>
      </c>
      <c r="N214" s="32">
        <f>IF(MIN($L214,$M214)&gt;=1E+9,"",IF($L214&lt;=$M214,"増","減"))</f>
        <v/>
      </c>
      <c r="O214" s="32">
        <f>IF($N214="","",IF($N214="増",MATCH($L214,'仕入請求台帳'!$U$5:$U$504,0),MATCH($M214,'仕入請求台帳'!$V$5:$V$504,0)))</f>
        <v/>
      </c>
      <c r="P214" s="56" t="n"/>
      <c r="Q214" s="56" t="n"/>
    </row>
    <row r="215" ht="18" customHeight="1">
      <c r="A215" s="45">
        <f>IF($N215="","",IF($N215="増",INDEX('仕入請求台帳'!$S$5:$S$504,$O215),INDEX('仕入請求台帳'!$K$5:$K$504,$O215)))</f>
        <v/>
      </c>
      <c r="B215" s="46">
        <f>IF($N215="","",IF($N215="増","仕入","支払"))</f>
        <v/>
      </c>
      <c r="C215" s="46">
        <f>IF($N215="","",IF($N215="増",INDEX('仕入請求台帳'!$E$5:$E$504,$O215)&amp;"",INDEX('仕入請求台帳'!$E$5:$E$504,$O215)&amp;""))</f>
        <v/>
      </c>
      <c r="D215" s="47">
        <f>IF($N215="","",IF($N215="増",INDEX('仕入請求台帳'!$F$5:$F$504,$O215)&amp;"","支払"))</f>
        <v/>
      </c>
      <c r="E215" s="48">
        <f>IF($N215&lt;&gt;"増","",INDEX('仕入請求台帳'!$G$5:$G$504,$O215))</f>
        <v/>
      </c>
      <c r="F215" s="48">
        <f>IF($N215&lt;&gt;"減","",N(INDEX('仕入請求台帳'!$L$5:$L$504,$O215)))</f>
        <v/>
      </c>
      <c r="G215" s="48">
        <f>IF($N215&lt;&gt;"減","",N(INDEX('仕入請求台帳'!$M$5:$M$504,$O215)))</f>
        <v/>
      </c>
      <c r="H215" s="49">
        <f>IF($N215="","",$H214+N($E215)-N($F215)-N($G215))</f>
        <v/>
      </c>
      <c r="I215" s="56" t="n"/>
      <c r="J215" s="32">
        <f>$J214+IF($N214="増",1,0)</f>
        <v/>
      </c>
      <c r="K215" s="32">
        <f>$K214+IF($N214="減",1,0)</f>
        <v/>
      </c>
      <c r="L215" s="35">
        <f>IF($B$3="",1E+9,IFERROR(SMALL('仕入請求台帳'!$U$5:$U$504,$J215+1),1E+9))</f>
        <v/>
      </c>
      <c r="M215" s="35">
        <f>IF($B$3="",1E+9,IFERROR(SMALL('仕入請求台帳'!$V$5:$V$504,$K215+1),1E+9))</f>
        <v/>
      </c>
      <c r="N215" s="32">
        <f>IF(MIN($L215,$M215)&gt;=1E+9,"",IF($L215&lt;=$M215,"増","減"))</f>
        <v/>
      </c>
      <c r="O215" s="32">
        <f>IF($N215="","",IF($N215="増",MATCH($L215,'仕入請求台帳'!$U$5:$U$504,0),MATCH($M215,'仕入請求台帳'!$V$5:$V$504,0)))</f>
        <v/>
      </c>
      <c r="P215" s="56" t="n"/>
      <c r="Q215" s="56" t="n"/>
    </row>
    <row r="216" ht="18" customHeight="1">
      <c r="A216" s="45">
        <f>IF($N216="","",IF($N216="増",INDEX('仕入請求台帳'!$S$5:$S$504,$O216),INDEX('仕入請求台帳'!$K$5:$K$504,$O216)))</f>
        <v/>
      </c>
      <c r="B216" s="46">
        <f>IF($N216="","",IF($N216="増","仕入","支払"))</f>
        <v/>
      </c>
      <c r="C216" s="46">
        <f>IF($N216="","",IF($N216="増",INDEX('仕入請求台帳'!$E$5:$E$504,$O216)&amp;"",INDEX('仕入請求台帳'!$E$5:$E$504,$O216)&amp;""))</f>
        <v/>
      </c>
      <c r="D216" s="47">
        <f>IF($N216="","",IF($N216="増",INDEX('仕入請求台帳'!$F$5:$F$504,$O216)&amp;"","支払"))</f>
        <v/>
      </c>
      <c r="E216" s="48">
        <f>IF($N216&lt;&gt;"増","",INDEX('仕入請求台帳'!$G$5:$G$504,$O216))</f>
        <v/>
      </c>
      <c r="F216" s="48">
        <f>IF($N216&lt;&gt;"減","",N(INDEX('仕入請求台帳'!$L$5:$L$504,$O216)))</f>
        <v/>
      </c>
      <c r="G216" s="48">
        <f>IF($N216&lt;&gt;"減","",N(INDEX('仕入請求台帳'!$M$5:$M$504,$O216)))</f>
        <v/>
      </c>
      <c r="H216" s="49">
        <f>IF($N216="","",$H215+N($E216)-N($F216)-N($G216))</f>
        <v/>
      </c>
      <c r="I216" s="56" t="n"/>
      <c r="J216" s="32">
        <f>$J215+IF($N215="増",1,0)</f>
        <v/>
      </c>
      <c r="K216" s="32">
        <f>$K215+IF($N215="減",1,0)</f>
        <v/>
      </c>
      <c r="L216" s="35">
        <f>IF($B$3="",1E+9,IFERROR(SMALL('仕入請求台帳'!$U$5:$U$504,$J216+1),1E+9))</f>
        <v/>
      </c>
      <c r="M216" s="35">
        <f>IF($B$3="",1E+9,IFERROR(SMALL('仕入請求台帳'!$V$5:$V$504,$K216+1),1E+9))</f>
        <v/>
      </c>
      <c r="N216" s="32">
        <f>IF(MIN($L216,$M216)&gt;=1E+9,"",IF($L216&lt;=$M216,"増","減"))</f>
        <v/>
      </c>
      <c r="O216" s="32">
        <f>IF($N216="","",IF($N216="増",MATCH($L216,'仕入請求台帳'!$U$5:$U$504,0),MATCH($M216,'仕入請求台帳'!$V$5:$V$504,0)))</f>
        <v/>
      </c>
      <c r="P216" s="56" t="n"/>
      <c r="Q216" s="56" t="n"/>
    </row>
    <row r="217" ht="18" customHeight="1">
      <c r="A217" s="45">
        <f>IF($N217="","",IF($N217="増",INDEX('仕入請求台帳'!$S$5:$S$504,$O217),INDEX('仕入請求台帳'!$K$5:$K$504,$O217)))</f>
        <v/>
      </c>
      <c r="B217" s="46">
        <f>IF($N217="","",IF($N217="増","仕入","支払"))</f>
        <v/>
      </c>
      <c r="C217" s="46">
        <f>IF($N217="","",IF($N217="増",INDEX('仕入請求台帳'!$E$5:$E$504,$O217)&amp;"",INDEX('仕入請求台帳'!$E$5:$E$504,$O217)&amp;""))</f>
        <v/>
      </c>
      <c r="D217" s="47">
        <f>IF($N217="","",IF($N217="増",INDEX('仕入請求台帳'!$F$5:$F$504,$O217)&amp;"","支払"))</f>
        <v/>
      </c>
      <c r="E217" s="48">
        <f>IF($N217&lt;&gt;"増","",INDEX('仕入請求台帳'!$G$5:$G$504,$O217))</f>
        <v/>
      </c>
      <c r="F217" s="48">
        <f>IF($N217&lt;&gt;"減","",N(INDEX('仕入請求台帳'!$L$5:$L$504,$O217)))</f>
        <v/>
      </c>
      <c r="G217" s="48">
        <f>IF($N217&lt;&gt;"減","",N(INDEX('仕入請求台帳'!$M$5:$M$504,$O217)))</f>
        <v/>
      </c>
      <c r="H217" s="49">
        <f>IF($N217="","",$H216+N($E217)-N($F217)-N($G217))</f>
        <v/>
      </c>
      <c r="I217" s="56" t="n"/>
      <c r="J217" s="32">
        <f>$J216+IF($N216="増",1,0)</f>
        <v/>
      </c>
      <c r="K217" s="32">
        <f>$K216+IF($N216="減",1,0)</f>
        <v/>
      </c>
      <c r="L217" s="35">
        <f>IF($B$3="",1E+9,IFERROR(SMALL('仕入請求台帳'!$U$5:$U$504,$J217+1),1E+9))</f>
        <v/>
      </c>
      <c r="M217" s="35">
        <f>IF($B$3="",1E+9,IFERROR(SMALL('仕入請求台帳'!$V$5:$V$504,$K217+1),1E+9))</f>
        <v/>
      </c>
      <c r="N217" s="32">
        <f>IF(MIN($L217,$M217)&gt;=1E+9,"",IF($L217&lt;=$M217,"増","減"))</f>
        <v/>
      </c>
      <c r="O217" s="32">
        <f>IF($N217="","",IF($N217="増",MATCH($L217,'仕入請求台帳'!$U$5:$U$504,0),MATCH($M217,'仕入請求台帳'!$V$5:$V$504,0)))</f>
        <v/>
      </c>
      <c r="P217" s="56" t="n"/>
      <c r="Q217" s="56" t="n"/>
    </row>
    <row r="218" ht="18" customHeight="1">
      <c r="A218" s="45">
        <f>IF($N218="","",IF($N218="増",INDEX('仕入請求台帳'!$S$5:$S$504,$O218),INDEX('仕入請求台帳'!$K$5:$K$504,$O218)))</f>
        <v/>
      </c>
      <c r="B218" s="46">
        <f>IF($N218="","",IF($N218="増","仕入","支払"))</f>
        <v/>
      </c>
      <c r="C218" s="46">
        <f>IF($N218="","",IF($N218="増",INDEX('仕入請求台帳'!$E$5:$E$504,$O218)&amp;"",INDEX('仕入請求台帳'!$E$5:$E$504,$O218)&amp;""))</f>
        <v/>
      </c>
      <c r="D218" s="47">
        <f>IF($N218="","",IF($N218="増",INDEX('仕入請求台帳'!$F$5:$F$504,$O218)&amp;"","支払"))</f>
        <v/>
      </c>
      <c r="E218" s="48">
        <f>IF($N218&lt;&gt;"増","",INDEX('仕入請求台帳'!$G$5:$G$504,$O218))</f>
        <v/>
      </c>
      <c r="F218" s="48">
        <f>IF($N218&lt;&gt;"減","",N(INDEX('仕入請求台帳'!$L$5:$L$504,$O218)))</f>
        <v/>
      </c>
      <c r="G218" s="48">
        <f>IF($N218&lt;&gt;"減","",N(INDEX('仕入請求台帳'!$M$5:$M$504,$O218)))</f>
        <v/>
      </c>
      <c r="H218" s="49">
        <f>IF($N218="","",$H217+N($E218)-N($F218)-N($G218))</f>
        <v/>
      </c>
      <c r="I218" s="56" t="n"/>
      <c r="J218" s="32">
        <f>$J217+IF($N217="増",1,0)</f>
        <v/>
      </c>
      <c r="K218" s="32">
        <f>$K217+IF($N217="減",1,0)</f>
        <v/>
      </c>
      <c r="L218" s="35">
        <f>IF($B$3="",1E+9,IFERROR(SMALL('仕入請求台帳'!$U$5:$U$504,$J218+1),1E+9))</f>
        <v/>
      </c>
      <c r="M218" s="35">
        <f>IF($B$3="",1E+9,IFERROR(SMALL('仕入請求台帳'!$V$5:$V$504,$K218+1),1E+9))</f>
        <v/>
      </c>
      <c r="N218" s="32">
        <f>IF(MIN($L218,$M218)&gt;=1E+9,"",IF($L218&lt;=$M218,"増","減"))</f>
        <v/>
      </c>
      <c r="O218" s="32">
        <f>IF($N218="","",IF($N218="増",MATCH($L218,'仕入請求台帳'!$U$5:$U$504,0),MATCH($M218,'仕入請求台帳'!$V$5:$V$504,0)))</f>
        <v/>
      </c>
      <c r="P218" s="56" t="n"/>
      <c r="Q218" s="56" t="n"/>
    </row>
    <row r="219" ht="18" customHeight="1">
      <c r="A219" s="45">
        <f>IF($N219="","",IF($N219="増",INDEX('仕入請求台帳'!$S$5:$S$504,$O219),INDEX('仕入請求台帳'!$K$5:$K$504,$O219)))</f>
        <v/>
      </c>
      <c r="B219" s="46">
        <f>IF($N219="","",IF($N219="増","仕入","支払"))</f>
        <v/>
      </c>
      <c r="C219" s="46">
        <f>IF($N219="","",IF($N219="増",INDEX('仕入請求台帳'!$E$5:$E$504,$O219)&amp;"",INDEX('仕入請求台帳'!$E$5:$E$504,$O219)&amp;""))</f>
        <v/>
      </c>
      <c r="D219" s="47">
        <f>IF($N219="","",IF($N219="増",INDEX('仕入請求台帳'!$F$5:$F$504,$O219)&amp;"","支払"))</f>
        <v/>
      </c>
      <c r="E219" s="48">
        <f>IF($N219&lt;&gt;"増","",INDEX('仕入請求台帳'!$G$5:$G$504,$O219))</f>
        <v/>
      </c>
      <c r="F219" s="48">
        <f>IF($N219&lt;&gt;"減","",N(INDEX('仕入請求台帳'!$L$5:$L$504,$O219)))</f>
        <v/>
      </c>
      <c r="G219" s="48">
        <f>IF($N219&lt;&gt;"減","",N(INDEX('仕入請求台帳'!$M$5:$M$504,$O219)))</f>
        <v/>
      </c>
      <c r="H219" s="49">
        <f>IF($N219="","",$H218+N($E219)-N($F219)-N($G219))</f>
        <v/>
      </c>
      <c r="I219" s="56" t="n"/>
      <c r="J219" s="32">
        <f>$J218+IF($N218="増",1,0)</f>
        <v/>
      </c>
      <c r="K219" s="32">
        <f>$K218+IF($N218="減",1,0)</f>
        <v/>
      </c>
      <c r="L219" s="35">
        <f>IF($B$3="",1E+9,IFERROR(SMALL('仕入請求台帳'!$U$5:$U$504,$J219+1),1E+9))</f>
        <v/>
      </c>
      <c r="M219" s="35">
        <f>IF($B$3="",1E+9,IFERROR(SMALL('仕入請求台帳'!$V$5:$V$504,$K219+1),1E+9))</f>
        <v/>
      </c>
      <c r="N219" s="32">
        <f>IF(MIN($L219,$M219)&gt;=1E+9,"",IF($L219&lt;=$M219,"増","減"))</f>
        <v/>
      </c>
      <c r="O219" s="32">
        <f>IF($N219="","",IF($N219="増",MATCH($L219,'仕入請求台帳'!$U$5:$U$504,0),MATCH($M219,'仕入請求台帳'!$V$5:$V$504,0)))</f>
        <v/>
      </c>
      <c r="P219" s="56" t="n"/>
      <c r="Q219" s="56" t="n"/>
    </row>
    <row r="220" ht="18" customHeight="1">
      <c r="A220" s="45">
        <f>IF($N220="","",IF($N220="増",INDEX('仕入請求台帳'!$S$5:$S$504,$O220),INDEX('仕入請求台帳'!$K$5:$K$504,$O220)))</f>
        <v/>
      </c>
      <c r="B220" s="46">
        <f>IF($N220="","",IF($N220="増","仕入","支払"))</f>
        <v/>
      </c>
      <c r="C220" s="46">
        <f>IF($N220="","",IF($N220="増",INDEX('仕入請求台帳'!$E$5:$E$504,$O220)&amp;"",INDEX('仕入請求台帳'!$E$5:$E$504,$O220)&amp;""))</f>
        <v/>
      </c>
      <c r="D220" s="47">
        <f>IF($N220="","",IF($N220="増",INDEX('仕入請求台帳'!$F$5:$F$504,$O220)&amp;"","支払"))</f>
        <v/>
      </c>
      <c r="E220" s="48">
        <f>IF($N220&lt;&gt;"増","",INDEX('仕入請求台帳'!$G$5:$G$504,$O220))</f>
        <v/>
      </c>
      <c r="F220" s="48">
        <f>IF($N220&lt;&gt;"減","",N(INDEX('仕入請求台帳'!$L$5:$L$504,$O220)))</f>
        <v/>
      </c>
      <c r="G220" s="48">
        <f>IF($N220&lt;&gt;"減","",N(INDEX('仕入請求台帳'!$M$5:$M$504,$O220)))</f>
        <v/>
      </c>
      <c r="H220" s="49">
        <f>IF($N220="","",$H219+N($E220)-N($F220)-N($G220))</f>
        <v/>
      </c>
      <c r="I220" s="56" t="n"/>
      <c r="J220" s="32">
        <f>$J219+IF($N219="増",1,0)</f>
        <v/>
      </c>
      <c r="K220" s="32">
        <f>$K219+IF($N219="減",1,0)</f>
        <v/>
      </c>
      <c r="L220" s="35">
        <f>IF($B$3="",1E+9,IFERROR(SMALL('仕入請求台帳'!$U$5:$U$504,$J220+1),1E+9))</f>
        <v/>
      </c>
      <c r="M220" s="35">
        <f>IF($B$3="",1E+9,IFERROR(SMALL('仕入請求台帳'!$V$5:$V$504,$K220+1),1E+9))</f>
        <v/>
      </c>
      <c r="N220" s="32">
        <f>IF(MIN($L220,$M220)&gt;=1E+9,"",IF($L220&lt;=$M220,"増","減"))</f>
        <v/>
      </c>
      <c r="O220" s="32">
        <f>IF($N220="","",IF($N220="増",MATCH($L220,'仕入請求台帳'!$U$5:$U$504,0),MATCH($M220,'仕入請求台帳'!$V$5:$V$504,0)))</f>
        <v/>
      </c>
      <c r="P220" s="56" t="n"/>
      <c r="Q220" s="56" t="n"/>
    </row>
    <row r="221" ht="18" customHeight="1">
      <c r="A221" s="45">
        <f>IF($N221="","",IF($N221="増",INDEX('仕入請求台帳'!$S$5:$S$504,$O221),INDEX('仕入請求台帳'!$K$5:$K$504,$O221)))</f>
        <v/>
      </c>
      <c r="B221" s="46">
        <f>IF($N221="","",IF($N221="増","仕入","支払"))</f>
        <v/>
      </c>
      <c r="C221" s="46">
        <f>IF($N221="","",IF($N221="増",INDEX('仕入請求台帳'!$E$5:$E$504,$O221)&amp;"",INDEX('仕入請求台帳'!$E$5:$E$504,$O221)&amp;""))</f>
        <v/>
      </c>
      <c r="D221" s="47">
        <f>IF($N221="","",IF($N221="増",INDEX('仕入請求台帳'!$F$5:$F$504,$O221)&amp;"","支払"))</f>
        <v/>
      </c>
      <c r="E221" s="48">
        <f>IF($N221&lt;&gt;"増","",INDEX('仕入請求台帳'!$G$5:$G$504,$O221))</f>
        <v/>
      </c>
      <c r="F221" s="48">
        <f>IF($N221&lt;&gt;"減","",N(INDEX('仕入請求台帳'!$L$5:$L$504,$O221)))</f>
        <v/>
      </c>
      <c r="G221" s="48">
        <f>IF($N221&lt;&gt;"減","",N(INDEX('仕入請求台帳'!$M$5:$M$504,$O221)))</f>
        <v/>
      </c>
      <c r="H221" s="49">
        <f>IF($N221="","",$H220+N($E221)-N($F221)-N($G221))</f>
        <v/>
      </c>
      <c r="I221" s="56" t="n"/>
      <c r="J221" s="32">
        <f>$J220+IF($N220="増",1,0)</f>
        <v/>
      </c>
      <c r="K221" s="32">
        <f>$K220+IF($N220="減",1,0)</f>
        <v/>
      </c>
      <c r="L221" s="35">
        <f>IF($B$3="",1E+9,IFERROR(SMALL('仕入請求台帳'!$U$5:$U$504,$J221+1),1E+9))</f>
        <v/>
      </c>
      <c r="M221" s="35">
        <f>IF($B$3="",1E+9,IFERROR(SMALL('仕入請求台帳'!$V$5:$V$504,$K221+1),1E+9))</f>
        <v/>
      </c>
      <c r="N221" s="32">
        <f>IF(MIN($L221,$M221)&gt;=1E+9,"",IF($L221&lt;=$M221,"増","減"))</f>
        <v/>
      </c>
      <c r="O221" s="32">
        <f>IF($N221="","",IF($N221="増",MATCH($L221,'仕入請求台帳'!$U$5:$U$504,0),MATCH($M221,'仕入請求台帳'!$V$5:$V$504,0)))</f>
        <v/>
      </c>
      <c r="P221" s="56" t="n"/>
      <c r="Q221" s="56" t="n"/>
    </row>
    <row r="222" ht="18" customHeight="1">
      <c r="A222" s="45">
        <f>IF($N222="","",IF($N222="増",INDEX('仕入請求台帳'!$S$5:$S$504,$O222),INDEX('仕入請求台帳'!$K$5:$K$504,$O222)))</f>
        <v/>
      </c>
      <c r="B222" s="46">
        <f>IF($N222="","",IF($N222="増","仕入","支払"))</f>
        <v/>
      </c>
      <c r="C222" s="46">
        <f>IF($N222="","",IF($N222="増",INDEX('仕入請求台帳'!$E$5:$E$504,$O222)&amp;"",INDEX('仕入請求台帳'!$E$5:$E$504,$O222)&amp;""))</f>
        <v/>
      </c>
      <c r="D222" s="47">
        <f>IF($N222="","",IF($N222="増",INDEX('仕入請求台帳'!$F$5:$F$504,$O222)&amp;"","支払"))</f>
        <v/>
      </c>
      <c r="E222" s="48">
        <f>IF($N222&lt;&gt;"増","",INDEX('仕入請求台帳'!$G$5:$G$504,$O222))</f>
        <v/>
      </c>
      <c r="F222" s="48">
        <f>IF($N222&lt;&gt;"減","",N(INDEX('仕入請求台帳'!$L$5:$L$504,$O222)))</f>
        <v/>
      </c>
      <c r="G222" s="48">
        <f>IF($N222&lt;&gt;"減","",N(INDEX('仕入請求台帳'!$M$5:$M$504,$O222)))</f>
        <v/>
      </c>
      <c r="H222" s="49">
        <f>IF($N222="","",$H221+N($E222)-N($F222)-N($G222))</f>
        <v/>
      </c>
      <c r="I222" s="56" t="n"/>
      <c r="J222" s="32">
        <f>$J221+IF($N221="増",1,0)</f>
        <v/>
      </c>
      <c r="K222" s="32">
        <f>$K221+IF($N221="減",1,0)</f>
        <v/>
      </c>
      <c r="L222" s="35">
        <f>IF($B$3="",1E+9,IFERROR(SMALL('仕入請求台帳'!$U$5:$U$504,$J222+1),1E+9))</f>
        <v/>
      </c>
      <c r="M222" s="35">
        <f>IF($B$3="",1E+9,IFERROR(SMALL('仕入請求台帳'!$V$5:$V$504,$K222+1),1E+9))</f>
        <v/>
      </c>
      <c r="N222" s="32">
        <f>IF(MIN($L222,$M222)&gt;=1E+9,"",IF($L222&lt;=$M222,"増","減"))</f>
        <v/>
      </c>
      <c r="O222" s="32">
        <f>IF($N222="","",IF($N222="増",MATCH($L222,'仕入請求台帳'!$U$5:$U$504,0),MATCH($M222,'仕入請求台帳'!$V$5:$V$504,0)))</f>
        <v/>
      </c>
      <c r="P222" s="56" t="n"/>
      <c r="Q222" s="56" t="n"/>
    </row>
    <row r="223" ht="18" customHeight="1">
      <c r="A223" s="45">
        <f>IF($N223="","",IF($N223="増",INDEX('仕入請求台帳'!$S$5:$S$504,$O223),INDEX('仕入請求台帳'!$K$5:$K$504,$O223)))</f>
        <v/>
      </c>
      <c r="B223" s="46">
        <f>IF($N223="","",IF($N223="増","仕入","支払"))</f>
        <v/>
      </c>
      <c r="C223" s="46">
        <f>IF($N223="","",IF($N223="増",INDEX('仕入請求台帳'!$E$5:$E$504,$O223)&amp;"",INDEX('仕入請求台帳'!$E$5:$E$504,$O223)&amp;""))</f>
        <v/>
      </c>
      <c r="D223" s="47">
        <f>IF($N223="","",IF($N223="増",INDEX('仕入請求台帳'!$F$5:$F$504,$O223)&amp;"","支払"))</f>
        <v/>
      </c>
      <c r="E223" s="48">
        <f>IF($N223&lt;&gt;"増","",INDEX('仕入請求台帳'!$G$5:$G$504,$O223))</f>
        <v/>
      </c>
      <c r="F223" s="48">
        <f>IF($N223&lt;&gt;"減","",N(INDEX('仕入請求台帳'!$L$5:$L$504,$O223)))</f>
        <v/>
      </c>
      <c r="G223" s="48">
        <f>IF($N223&lt;&gt;"減","",N(INDEX('仕入請求台帳'!$M$5:$M$504,$O223)))</f>
        <v/>
      </c>
      <c r="H223" s="49">
        <f>IF($N223="","",$H222+N($E223)-N($F223)-N($G223))</f>
        <v/>
      </c>
      <c r="I223" s="56" t="n"/>
      <c r="J223" s="32">
        <f>$J222+IF($N222="増",1,0)</f>
        <v/>
      </c>
      <c r="K223" s="32">
        <f>$K222+IF($N222="減",1,0)</f>
        <v/>
      </c>
      <c r="L223" s="35">
        <f>IF($B$3="",1E+9,IFERROR(SMALL('仕入請求台帳'!$U$5:$U$504,$J223+1),1E+9))</f>
        <v/>
      </c>
      <c r="M223" s="35">
        <f>IF($B$3="",1E+9,IFERROR(SMALL('仕入請求台帳'!$V$5:$V$504,$K223+1),1E+9))</f>
        <v/>
      </c>
      <c r="N223" s="32">
        <f>IF(MIN($L223,$M223)&gt;=1E+9,"",IF($L223&lt;=$M223,"増","減"))</f>
        <v/>
      </c>
      <c r="O223" s="32">
        <f>IF($N223="","",IF($N223="増",MATCH($L223,'仕入請求台帳'!$U$5:$U$504,0),MATCH($M223,'仕入請求台帳'!$V$5:$V$504,0)))</f>
        <v/>
      </c>
      <c r="P223" s="56" t="n"/>
      <c r="Q223" s="56" t="n"/>
    </row>
    <row r="224" ht="18" customHeight="1">
      <c r="A224" s="45">
        <f>IF($N224="","",IF($N224="増",INDEX('仕入請求台帳'!$S$5:$S$504,$O224),INDEX('仕入請求台帳'!$K$5:$K$504,$O224)))</f>
        <v/>
      </c>
      <c r="B224" s="46">
        <f>IF($N224="","",IF($N224="増","仕入","支払"))</f>
        <v/>
      </c>
      <c r="C224" s="46">
        <f>IF($N224="","",IF($N224="増",INDEX('仕入請求台帳'!$E$5:$E$504,$O224)&amp;"",INDEX('仕入請求台帳'!$E$5:$E$504,$O224)&amp;""))</f>
        <v/>
      </c>
      <c r="D224" s="47">
        <f>IF($N224="","",IF($N224="増",INDEX('仕入請求台帳'!$F$5:$F$504,$O224)&amp;"","支払"))</f>
        <v/>
      </c>
      <c r="E224" s="48">
        <f>IF($N224&lt;&gt;"増","",INDEX('仕入請求台帳'!$G$5:$G$504,$O224))</f>
        <v/>
      </c>
      <c r="F224" s="48">
        <f>IF($N224&lt;&gt;"減","",N(INDEX('仕入請求台帳'!$L$5:$L$504,$O224)))</f>
        <v/>
      </c>
      <c r="G224" s="48">
        <f>IF($N224&lt;&gt;"減","",N(INDEX('仕入請求台帳'!$M$5:$M$504,$O224)))</f>
        <v/>
      </c>
      <c r="H224" s="49">
        <f>IF($N224="","",$H223+N($E224)-N($F224)-N($G224))</f>
        <v/>
      </c>
      <c r="I224" s="56" t="n"/>
      <c r="J224" s="32">
        <f>$J223+IF($N223="増",1,0)</f>
        <v/>
      </c>
      <c r="K224" s="32">
        <f>$K223+IF($N223="減",1,0)</f>
        <v/>
      </c>
      <c r="L224" s="35">
        <f>IF($B$3="",1E+9,IFERROR(SMALL('仕入請求台帳'!$U$5:$U$504,$J224+1),1E+9))</f>
        <v/>
      </c>
      <c r="M224" s="35">
        <f>IF($B$3="",1E+9,IFERROR(SMALL('仕入請求台帳'!$V$5:$V$504,$K224+1),1E+9))</f>
        <v/>
      </c>
      <c r="N224" s="32">
        <f>IF(MIN($L224,$M224)&gt;=1E+9,"",IF($L224&lt;=$M224,"増","減"))</f>
        <v/>
      </c>
      <c r="O224" s="32">
        <f>IF($N224="","",IF($N224="増",MATCH($L224,'仕入請求台帳'!$U$5:$U$504,0),MATCH($M224,'仕入請求台帳'!$V$5:$V$504,0)))</f>
        <v/>
      </c>
      <c r="P224" s="56" t="n"/>
      <c r="Q224" s="56" t="n"/>
    </row>
    <row r="225" ht="18" customHeight="1">
      <c r="A225" s="45">
        <f>IF($N225="","",IF($N225="増",INDEX('仕入請求台帳'!$S$5:$S$504,$O225),INDEX('仕入請求台帳'!$K$5:$K$504,$O225)))</f>
        <v/>
      </c>
      <c r="B225" s="46">
        <f>IF($N225="","",IF($N225="増","仕入","支払"))</f>
        <v/>
      </c>
      <c r="C225" s="46">
        <f>IF($N225="","",IF($N225="増",INDEX('仕入請求台帳'!$E$5:$E$504,$O225)&amp;"",INDEX('仕入請求台帳'!$E$5:$E$504,$O225)&amp;""))</f>
        <v/>
      </c>
      <c r="D225" s="47">
        <f>IF($N225="","",IF($N225="増",INDEX('仕入請求台帳'!$F$5:$F$504,$O225)&amp;"","支払"))</f>
        <v/>
      </c>
      <c r="E225" s="48">
        <f>IF($N225&lt;&gt;"増","",INDEX('仕入請求台帳'!$G$5:$G$504,$O225))</f>
        <v/>
      </c>
      <c r="F225" s="48">
        <f>IF($N225&lt;&gt;"減","",N(INDEX('仕入請求台帳'!$L$5:$L$504,$O225)))</f>
        <v/>
      </c>
      <c r="G225" s="48">
        <f>IF($N225&lt;&gt;"減","",N(INDEX('仕入請求台帳'!$M$5:$M$504,$O225)))</f>
        <v/>
      </c>
      <c r="H225" s="49">
        <f>IF($N225="","",$H224+N($E225)-N($F225)-N($G225))</f>
        <v/>
      </c>
      <c r="I225" s="56" t="n"/>
      <c r="J225" s="32">
        <f>$J224+IF($N224="増",1,0)</f>
        <v/>
      </c>
      <c r="K225" s="32">
        <f>$K224+IF($N224="減",1,0)</f>
        <v/>
      </c>
      <c r="L225" s="35">
        <f>IF($B$3="",1E+9,IFERROR(SMALL('仕入請求台帳'!$U$5:$U$504,$J225+1),1E+9))</f>
        <v/>
      </c>
      <c r="M225" s="35">
        <f>IF($B$3="",1E+9,IFERROR(SMALL('仕入請求台帳'!$V$5:$V$504,$K225+1),1E+9))</f>
        <v/>
      </c>
      <c r="N225" s="32">
        <f>IF(MIN($L225,$M225)&gt;=1E+9,"",IF($L225&lt;=$M225,"増","減"))</f>
        <v/>
      </c>
      <c r="O225" s="32">
        <f>IF($N225="","",IF($N225="増",MATCH($L225,'仕入請求台帳'!$U$5:$U$504,0),MATCH($M225,'仕入請求台帳'!$V$5:$V$504,0)))</f>
        <v/>
      </c>
      <c r="P225" s="56" t="n"/>
      <c r="Q225" s="56" t="n"/>
    </row>
    <row r="226" ht="18" customHeight="1">
      <c r="A226" s="45">
        <f>IF($N226="","",IF($N226="増",INDEX('仕入請求台帳'!$S$5:$S$504,$O226),INDEX('仕入請求台帳'!$K$5:$K$504,$O226)))</f>
        <v/>
      </c>
      <c r="B226" s="46">
        <f>IF($N226="","",IF($N226="増","仕入","支払"))</f>
        <v/>
      </c>
      <c r="C226" s="46">
        <f>IF($N226="","",IF($N226="増",INDEX('仕入請求台帳'!$E$5:$E$504,$O226)&amp;"",INDEX('仕入請求台帳'!$E$5:$E$504,$O226)&amp;""))</f>
        <v/>
      </c>
      <c r="D226" s="47">
        <f>IF($N226="","",IF($N226="増",INDEX('仕入請求台帳'!$F$5:$F$504,$O226)&amp;"","支払"))</f>
        <v/>
      </c>
      <c r="E226" s="48">
        <f>IF($N226&lt;&gt;"増","",INDEX('仕入請求台帳'!$G$5:$G$504,$O226))</f>
        <v/>
      </c>
      <c r="F226" s="48">
        <f>IF($N226&lt;&gt;"減","",N(INDEX('仕入請求台帳'!$L$5:$L$504,$O226)))</f>
        <v/>
      </c>
      <c r="G226" s="48">
        <f>IF($N226&lt;&gt;"減","",N(INDEX('仕入請求台帳'!$M$5:$M$504,$O226)))</f>
        <v/>
      </c>
      <c r="H226" s="49">
        <f>IF($N226="","",$H225+N($E226)-N($F226)-N($G226))</f>
        <v/>
      </c>
      <c r="I226" s="56" t="n"/>
      <c r="J226" s="32">
        <f>$J225+IF($N225="増",1,0)</f>
        <v/>
      </c>
      <c r="K226" s="32">
        <f>$K225+IF($N225="減",1,0)</f>
        <v/>
      </c>
      <c r="L226" s="35">
        <f>IF($B$3="",1E+9,IFERROR(SMALL('仕入請求台帳'!$U$5:$U$504,$J226+1),1E+9))</f>
        <v/>
      </c>
      <c r="M226" s="35">
        <f>IF($B$3="",1E+9,IFERROR(SMALL('仕入請求台帳'!$V$5:$V$504,$K226+1),1E+9))</f>
        <v/>
      </c>
      <c r="N226" s="32">
        <f>IF(MIN($L226,$M226)&gt;=1E+9,"",IF($L226&lt;=$M226,"増","減"))</f>
        <v/>
      </c>
      <c r="O226" s="32">
        <f>IF($N226="","",IF($N226="増",MATCH($L226,'仕入請求台帳'!$U$5:$U$504,0),MATCH($M226,'仕入請求台帳'!$V$5:$V$504,0)))</f>
        <v/>
      </c>
      <c r="P226" s="56" t="n"/>
      <c r="Q226" s="56" t="n"/>
    </row>
    <row r="227" ht="18" customHeight="1">
      <c r="A227" s="45">
        <f>IF($N227="","",IF($N227="増",INDEX('仕入請求台帳'!$S$5:$S$504,$O227),INDEX('仕入請求台帳'!$K$5:$K$504,$O227)))</f>
        <v/>
      </c>
      <c r="B227" s="46">
        <f>IF($N227="","",IF($N227="増","仕入","支払"))</f>
        <v/>
      </c>
      <c r="C227" s="46">
        <f>IF($N227="","",IF($N227="増",INDEX('仕入請求台帳'!$E$5:$E$504,$O227)&amp;"",INDEX('仕入請求台帳'!$E$5:$E$504,$O227)&amp;""))</f>
        <v/>
      </c>
      <c r="D227" s="47">
        <f>IF($N227="","",IF($N227="増",INDEX('仕入請求台帳'!$F$5:$F$504,$O227)&amp;"","支払"))</f>
        <v/>
      </c>
      <c r="E227" s="48">
        <f>IF($N227&lt;&gt;"増","",INDEX('仕入請求台帳'!$G$5:$G$504,$O227))</f>
        <v/>
      </c>
      <c r="F227" s="48">
        <f>IF($N227&lt;&gt;"減","",N(INDEX('仕入請求台帳'!$L$5:$L$504,$O227)))</f>
        <v/>
      </c>
      <c r="G227" s="48">
        <f>IF($N227&lt;&gt;"減","",N(INDEX('仕入請求台帳'!$M$5:$M$504,$O227)))</f>
        <v/>
      </c>
      <c r="H227" s="49">
        <f>IF($N227="","",$H226+N($E227)-N($F227)-N($G227))</f>
        <v/>
      </c>
      <c r="I227" s="56" t="n"/>
      <c r="J227" s="32">
        <f>$J226+IF($N226="増",1,0)</f>
        <v/>
      </c>
      <c r="K227" s="32">
        <f>$K226+IF($N226="減",1,0)</f>
        <v/>
      </c>
      <c r="L227" s="35">
        <f>IF($B$3="",1E+9,IFERROR(SMALL('仕入請求台帳'!$U$5:$U$504,$J227+1),1E+9))</f>
        <v/>
      </c>
      <c r="M227" s="35">
        <f>IF($B$3="",1E+9,IFERROR(SMALL('仕入請求台帳'!$V$5:$V$504,$K227+1),1E+9))</f>
        <v/>
      </c>
      <c r="N227" s="32">
        <f>IF(MIN($L227,$M227)&gt;=1E+9,"",IF($L227&lt;=$M227,"増","減"))</f>
        <v/>
      </c>
      <c r="O227" s="32">
        <f>IF($N227="","",IF($N227="増",MATCH($L227,'仕入請求台帳'!$U$5:$U$504,0),MATCH($M227,'仕入請求台帳'!$V$5:$V$504,0)))</f>
        <v/>
      </c>
      <c r="P227" s="56" t="n"/>
      <c r="Q227" s="56" t="n"/>
    </row>
    <row r="228" ht="18" customHeight="1">
      <c r="A228" s="45">
        <f>IF($N228="","",IF($N228="増",INDEX('仕入請求台帳'!$S$5:$S$504,$O228),INDEX('仕入請求台帳'!$K$5:$K$504,$O228)))</f>
        <v/>
      </c>
      <c r="B228" s="46">
        <f>IF($N228="","",IF($N228="増","仕入","支払"))</f>
        <v/>
      </c>
      <c r="C228" s="46">
        <f>IF($N228="","",IF($N228="増",INDEX('仕入請求台帳'!$E$5:$E$504,$O228)&amp;"",INDEX('仕入請求台帳'!$E$5:$E$504,$O228)&amp;""))</f>
        <v/>
      </c>
      <c r="D228" s="47">
        <f>IF($N228="","",IF($N228="増",INDEX('仕入請求台帳'!$F$5:$F$504,$O228)&amp;"","支払"))</f>
        <v/>
      </c>
      <c r="E228" s="48">
        <f>IF($N228&lt;&gt;"増","",INDEX('仕入請求台帳'!$G$5:$G$504,$O228))</f>
        <v/>
      </c>
      <c r="F228" s="48">
        <f>IF($N228&lt;&gt;"減","",N(INDEX('仕入請求台帳'!$L$5:$L$504,$O228)))</f>
        <v/>
      </c>
      <c r="G228" s="48">
        <f>IF($N228&lt;&gt;"減","",N(INDEX('仕入請求台帳'!$M$5:$M$504,$O228)))</f>
        <v/>
      </c>
      <c r="H228" s="49">
        <f>IF($N228="","",$H227+N($E228)-N($F228)-N($G228))</f>
        <v/>
      </c>
      <c r="I228" s="56" t="n"/>
      <c r="J228" s="32">
        <f>$J227+IF($N227="増",1,0)</f>
        <v/>
      </c>
      <c r="K228" s="32">
        <f>$K227+IF($N227="減",1,0)</f>
        <v/>
      </c>
      <c r="L228" s="35">
        <f>IF($B$3="",1E+9,IFERROR(SMALL('仕入請求台帳'!$U$5:$U$504,$J228+1),1E+9))</f>
        <v/>
      </c>
      <c r="M228" s="35">
        <f>IF($B$3="",1E+9,IFERROR(SMALL('仕入請求台帳'!$V$5:$V$504,$K228+1),1E+9))</f>
        <v/>
      </c>
      <c r="N228" s="32">
        <f>IF(MIN($L228,$M228)&gt;=1E+9,"",IF($L228&lt;=$M228,"増","減"))</f>
        <v/>
      </c>
      <c r="O228" s="32">
        <f>IF($N228="","",IF($N228="増",MATCH($L228,'仕入請求台帳'!$U$5:$U$504,0),MATCH($M228,'仕入請求台帳'!$V$5:$V$504,0)))</f>
        <v/>
      </c>
      <c r="P228" s="56" t="n"/>
      <c r="Q228" s="56" t="n"/>
    </row>
    <row r="229" ht="18" customHeight="1">
      <c r="A229" s="45">
        <f>IF($N229="","",IF($N229="増",INDEX('仕入請求台帳'!$S$5:$S$504,$O229),INDEX('仕入請求台帳'!$K$5:$K$504,$O229)))</f>
        <v/>
      </c>
      <c r="B229" s="46">
        <f>IF($N229="","",IF($N229="増","仕入","支払"))</f>
        <v/>
      </c>
      <c r="C229" s="46">
        <f>IF($N229="","",IF($N229="増",INDEX('仕入請求台帳'!$E$5:$E$504,$O229)&amp;"",INDEX('仕入請求台帳'!$E$5:$E$504,$O229)&amp;""))</f>
        <v/>
      </c>
      <c r="D229" s="47">
        <f>IF($N229="","",IF($N229="増",INDEX('仕入請求台帳'!$F$5:$F$504,$O229)&amp;"","支払"))</f>
        <v/>
      </c>
      <c r="E229" s="48">
        <f>IF($N229&lt;&gt;"増","",INDEX('仕入請求台帳'!$G$5:$G$504,$O229))</f>
        <v/>
      </c>
      <c r="F229" s="48">
        <f>IF($N229&lt;&gt;"減","",N(INDEX('仕入請求台帳'!$L$5:$L$504,$O229)))</f>
        <v/>
      </c>
      <c r="G229" s="48">
        <f>IF($N229&lt;&gt;"減","",N(INDEX('仕入請求台帳'!$M$5:$M$504,$O229)))</f>
        <v/>
      </c>
      <c r="H229" s="49">
        <f>IF($N229="","",$H228+N($E229)-N($F229)-N($G229))</f>
        <v/>
      </c>
      <c r="I229" s="56" t="n"/>
      <c r="J229" s="32">
        <f>$J228+IF($N228="増",1,0)</f>
        <v/>
      </c>
      <c r="K229" s="32">
        <f>$K228+IF($N228="減",1,0)</f>
        <v/>
      </c>
      <c r="L229" s="35">
        <f>IF($B$3="",1E+9,IFERROR(SMALL('仕入請求台帳'!$U$5:$U$504,$J229+1),1E+9))</f>
        <v/>
      </c>
      <c r="M229" s="35">
        <f>IF($B$3="",1E+9,IFERROR(SMALL('仕入請求台帳'!$V$5:$V$504,$K229+1),1E+9))</f>
        <v/>
      </c>
      <c r="N229" s="32">
        <f>IF(MIN($L229,$M229)&gt;=1E+9,"",IF($L229&lt;=$M229,"増","減"))</f>
        <v/>
      </c>
      <c r="O229" s="32">
        <f>IF($N229="","",IF($N229="増",MATCH($L229,'仕入請求台帳'!$U$5:$U$504,0),MATCH($M229,'仕入請求台帳'!$V$5:$V$504,0)))</f>
        <v/>
      </c>
      <c r="P229" s="56" t="n"/>
      <c r="Q229" s="56" t="n"/>
    </row>
    <row r="230" ht="18" customHeight="1">
      <c r="A230" s="45">
        <f>IF($N230="","",IF($N230="増",INDEX('仕入請求台帳'!$S$5:$S$504,$O230),INDEX('仕入請求台帳'!$K$5:$K$504,$O230)))</f>
        <v/>
      </c>
      <c r="B230" s="46">
        <f>IF($N230="","",IF($N230="増","仕入","支払"))</f>
        <v/>
      </c>
      <c r="C230" s="46">
        <f>IF($N230="","",IF($N230="増",INDEX('仕入請求台帳'!$E$5:$E$504,$O230)&amp;"",INDEX('仕入請求台帳'!$E$5:$E$504,$O230)&amp;""))</f>
        <v/>
      </c>
      <c r="D230" s="47">
        <f>IF($N230="","",IF($N230="増",INDEX('仕入請求台帳'!$F$5:$F$504,$O230)&amp;"","支払"))</f>
        <v/>
      </c>
      <c r="E230" s="48">
        <f>IF($N230&lt;&gt;"増","",INDEX('仕入請求台帳'!$G$5:$G$504,$O230))</f>
        <v/>
      </c>
      <c r="F230" s="48">
        <f>IF($N230&lt;&gt;"減","",N(INDEX('仕入請求台帳'!$L$5:$L$504,$O230)))</f>
        <v/>
      </c>
      <c r="G230" s="48">
        <f>IF($N230&lt;&gt;"減","",N(INDEX('仕入請求台帳'!$M$5:$M$504,$O230)))</f>
        <v/>
      </c>
      <c r="H230" s="49">
        <f>IF($N230="","",$H229+N($E230)-N($F230)-N($G230))</f>
        <v/>
      </c>
      <c r="I230" s="56" t="n"/>
      <c r="J230" s="32">
        <f>$J229+IF($N229="増",1,0)</f>
        <v/>
      </c>
      <c r="K230" s="32">
        <f>$K229+IF($N229="減",1,0)</f>
        <v/>
      </c>
      <c r="L230" s="35">
        <f>IF($B$3="",1E+9,IFERROR(SMALL('仕入請求台帳'!$U$5:$U$504,$J230+1),1E+9))</f>
        <v/>
      </c>
      <c r="M230" s="35">
        <f>IF($B$3="",1E+9,IFERROR(SMALL('仕入請求台帳'!$V$5:$V$504,$K230+1),1E+9))</f>
        <v/>
      </c>
      <c r="N230" s="32">
        <f>IF(MIN($L230,$M230)&gt;=1E+9,"",IF($L230&lt;=$M230,"増","減"))</f>
        <v/>
      </c>
      <c r="O230" s="32">
        <f>IF($N230="","",IF($N230="増",MATCH($L230,'仕入請求台帳'!$U$5:$U$504,0),MATCH($M230,'仕入請求台帳'!$V$5:$V$504,0)))</f>
        <v/>
      </c>
      <c r="P230" s="56" t="n"/>
      <c r="Q230" s="56" t="n"/>
    </row>
    <row r="231" ht="18" customHeight="1">
      <c r="A231" s="45">
        <f>IF($N231="","",IF($N231="増",INDEX('仕入請求台帳'!$S$5:$S$504,$O231),INDEX('仕入請求台帳'!$K$5:$K$504,$O231)))</f>
        <v/>
      </c>
      <c r="B231" s="46">
        <f>IF($N231="","",IF($N231="増","仕入","支払"))</f>
        <v/>
      </c>
      <c r="C231" s="46">
        <f>IF($N231="","",IF($N231="増",INDEX('仕入請求台帳'!$E$5:$E$504,$O231)&amp;"",INDEX('仕入請求台帳'!$E$5:$E$504,$O231)&amp;""))</f>
        <v/>
      </c>
      <c r="D231" s="47">
        <f>IF($N231="","",IF($N231="増",INDEX('仕入請求台帳'!$F$5:$F$504,$O231)&amp;"","支払"))</f>
        <v/>
      </c>
      <c r="E231" s="48">
        <f>IF($N231&lt;&gt;"増","",INDEX('仕入請求台帳'!$G$5:$G$504,$O231))</f>
        <v/>
      </c>
      <c r="F231" s="48">
        <f>IF($N231&lt;&gt;"減","",N(INDEX('仕入請求台帳'!$L$5:$L$504,$O231)))</f>
        <v/>
      </c>
      <c r="G231" s="48">
        <f>IF($N231&lt;&gt;"減","",N(INDEX('仕入請求台帳'!$M$5:$M$504,$O231)))</f>
        <v/>
      </c>
      <c r="H231" s="49">
        <f>IF($N231="","",$H230+N($E231)-N($F231)-N($G231))</f>
        <v/>
      </c>
      <c r="I231" s="56" t="n"/>
      <c r="J231" s="32">
        <f>$J230+IF($N230="増",1,0)</f>
        <v/>
      </c>
      <c r="K231" s="32">
        <f>$K230+IF($N230="減",1,0)</f>
        <v/>
      </c>
      <c r="L231" s="35">
        <f>IF($B$3="",1E+9,IFERROR(SMALL('仕入請求台帳'!$U$5:$U$504,$J231+1),1E+9))</f>
        <v/>
      </c>
      <c r="M231" s="35">
        <f>IF($B$3="",1E+9,IFERROR(SMALL('仕入請求台帳'!$V$5:$V$504,$K231+1),1E+9))</f>
        <v/>
      </c>
      <c r="N231" s="32">
        <f>IF(MIN($L231,$M231)&gt;=1E+9,"",IF($L231&lt;=$M231,"増","減"))</f>
        <v/>
      </c>
      <c r="O231" s="32">
        <f>IF($N231="","",IF($N231="増",MATCH($L231,'仕入請求台帳'!$U$5:$U$504,0),MATCH($M231,'仕入請求台帳'!$V$5:$V$504,0)))</f>
        <v/>
      </c>
      <c r="P231" s="56" t="n"/>
      <c r="Q231" s="56" t="n"/>
    </row>
    <row r="232" ht="18" customHeight="1">
      <c r="A232" s="45">
        <f>IF($N232="","",IF($N232="増",INDEX('仕入請求台帳'!$S$5:$S$504,$O232),INDEX('仕入請求台帳'!$K$5:$K$504,$O232)))</f>
        <v/>
      </c>
      <c r="B232" s="46">
        <f>IF($N232="","",IF($N232="増","仕入","支払"))</f>
        <v/>
      </c>
      <c r="C232" s="46">
        <f>IF($N232="","",IF($N232="増",INDEX('仕入請求台帳'!$E$5:$E$504,$O232)&amp;"",INDEX('仕入請求台帳'!$E$5:$E$504,$O232)&amp;""))</f>
        <v/>
      </c>
      <c r="D232" s="47">
        <f>IF($N232="","",IF($N232="増",INDEX('仕入請求台帳'!$F$5:$F$504,$O232)&amp;"","支払"))</f>
        <v/>
      </c>
      <c r="E232" s="48">
        <f>IF($N232&lt;&gt;"増","",INDEX('仕入請求台帳'!$G$5:$G$504,$O232))</f>
        <v/>
      </c>
      <c r="F232" s="48">
        <f>IF($N232&lt;&gt;"減","",N(INDEX('仕入請求台帳'!$L$5:$L$504,$O232)))</f>
        <v/>
      </c>
      <c r="G232" s="48">
        <f>IF($N232&lt;&gt;"減","",N(INDEX('仕入請求台帳'!$M$5:$M$504,$O232)))</f>
        <v/>
      </c>
      <c r="H232" s="49">
        <f>IF($N232="","",$H231+N($E232)-N($F232)-N($G232))</f>
        <v/>
      </c>
      <c r="I232" s="56" t="n"/>
      <c r="J232" s="32">
        <f>$J231+IF($N231="増",1,0)</f>
        <v/>
      </c>
      <c r="K232" s="32">
        <f>$K231+IF($N231="減",1,0)</f>
        <v/>
      </c>
      <c r="L232" s="35">
        <f>IF($B$3="",1E+9,IFERROR(SMALL('仕入請求台帳'!$U$5:$U$504,$J232+1),1E+9))</f>
        <v/>
      </c>
      <c r="M232" s="35">
        <f>IF($B$3="",1E+9,IFERROR(SMALL('仕入請求台帳'!$V$5:$V$504,$K232+1),1E+9))</f>
        <v/>
      </c>
      <c r="N232" s="32">
        <f>IF(MIN($L232,$M232)&gt;=1E+9,"",IF($L232&lt;=$M232,"増","減"))</f>
        <v/>
      </c>
      <c r="O232" s="32">
        <f>IF($N232="","",IF($N232="増",MATCH($L232,'仕入請求台帳'!$U$5:$U$504,0),MATCH($M232,'仕入請求台帳'!$V$5:$V$504,0)))</f>
        <v/>
      </c>
      <c r="P232" s="56" t="n"/>
      <c r="Q232" s="56" t="n"/>
    </row>
    <row r="233" ht="18" customHeight="1">
      <c r="A233" s="45">
        <f>IF($N233="","",IF($N233="増",INDEX('仕入請求台帳'!$S$5:$S$504,$O233),INDEX('仕入請求台帳'!$K$5:$K$504,$O233)))</f>
        <v/>
      </c>
      <c r="B233" s="46">
        <f>IF($N233="","",IF($N233="増","仕入","支払"))</f>
        <v/>
      </c>
      <c r="C233" s="46">
        <f>IF($N233="","",IF($N233="増",INDEX('仕入請求台帳'!$E$5:$E$504,$O233)&amp;"",INDEX('仕入請求台帳'!$E$5:$E$504,$O233)&amp;""))</f>
        <v/>
      </c>
      <c r="D233" s="47">
        <f>IF($N233="","",IF($N233="増",INDEX('仕入請求台帳'!$F$5:$F$504,$O233)&amp;"","支払"))</f>
        <v/>
      </c>
      <c r="E233" s="48">
        <f>IF($N233&lt;&gt;"増","",INDEX('仕入請求台帳'!$G$5:$G$504,$O233))</f>
        <v/>
      </c>
      <c r="F233" s="48">
        <f>IF($N233&lt;&gt;"減","",N(INDEX('仕入請求台帳'!$L$5:$L$504,$O233)))</f>
        <v/>
      </c>
      <c r="G233" s="48">
        <f>IF($N233&lt;&gt;"減","",N(INDEX('仕入請求台帳'!$M$5:$M$504,$O233)))</f>
        <v/>
      </c>
      <c r="H233" s="49">
        <f>IF($N233="","",$H232+N($E233)-N($F233)-N($G233))</f>
        <v/>
      </c>
      <c r="I233" s="56" t="n"/>
      <c r="J233" s="32">
        <f>$J232+IF($N232="増",1,0)</f>
        <v/>
      </c>
      <c r="K233" s="32">
        <f>$K232+IF($N232="減",1,0)</f>
        <v/>
      </c>
      <c r="L233" s="35">
        <f>IF($B$3="",1E+9,IFERROR(SMALL('仕入請求台帳'!$U$5:$U$504,$J233+1),1E+9))</f>
        <v/>
      </c>
      <c r="M233" s="35">
        <f>IF($B$3="",1E+9,IFERROR(SMALL('仕入請求台帳'!$V$5:$V$504,$K233+1),1E+9))</f>
        <v/>
      </c>
      <c r="N233" s="32">
        <f>IF(MIN($L233,$M233)&gt;=1E+9,"",IF($L233&lt;=$M233,"増","減"))</f>
        <v/>
      </c>
      <c r="O233" s="32">
        <f>IF($N233="","",IF($N233="増",MATCH($L233,'仕入請求台帳'!$U$5:$U$504,0),MATCH($M233,'仕入請求台帳'!$V$5:$V$504,0)))</f>
        <v/>
      </c>
      <c r="P233" s="56" t="n"/>
      <c r="Q233" s="56" t="n"/>
    </row>
    <row r="234" ht="18" customHeight="1">
      <c r="A234" s="45">
        <f>IF($N234="","",IF($N234="増",INDEX('仕入請求台帳'!$S$5:$S$504,$O234),INDEX('仕入請求台帳'!$K$5:$K$504,$O234)))</f>
        <v/>
      </c>
      <c r="B234" s="46">
        <f>IF($N234="","",IF($N234="増","仕入","支払"))</f>
        <v/>
      </c>
      <c r="C234" s="46">
        <f>IF($N234="","",IF($N234="増",INDEX('仕入請求台帳'!$E$5:$E$504,$O234)&amp;"",INDEX('仕入請求台帳'!$E$5:$E$504,$O234)&amp;""))</f>
        <v/>
      </c>
      <c r="D234" s="47">
        <f>IF($N234="","",IF($N234="増",INDEX('仕入請求台帳'!$F$5:$F$504,$O234)&amp;"","支払"))</f>
        <v/>
      </c>
      <c r="E234" s="48">
        <f>IF($N234&lt;&gt;"増","",INDEX('仕入請求台帳'!$G$5:$G$504,$O234))</f>
        <v/>
      </c>
      <c r="F234" s="48">
        <f>IF($N234&lt;&gt;"減","",N(INDEX('仕入請求台帳'!$L$5:$L$504,$O234)))</f>
        <v/>
      </c>
      <c r="G234" s="48">
        <f>IF($N234&lt;&gt;"減","",N(INDEX('仕入請求台帳'!$M$5:$M$504,$O234)))</f>
        <v/>
      </c>
      <c r="H234" s="49">
        <f>IF($N234="","",$H233+N($E234)-N($F234)-N($G234))</f>
        <v/>
      </c>
      <c r="I234" s="56" t="n"/>
      <c r="J234" s="32">
        <f>$J233+IF($N233="増",1,0)</f>
        <v/>
      </c>
      <c r="K234" s="32">
        <f>$K233+IF($N233="減",1,0)</f>
        <v/>
      </c>
      <c r="L234" s="35">
        <f>IF($B$3="",1E+9,IFERROR(SMALL('仕入請求台帳'!$U$5:$U$504,$J234+1),1E+9))</f>
        <v/>
      </c>
      <c r="M234" s="35">
        <f>IF($B$3="",1E+9,IFERROR(SMALL('仕入請求台帳'!$V$5:$V$504,$K234+1),1E+9))</f>
        <v/>
      </c>
      <c r="N234" s="32">
        <f>IF(MIN($L234,$M234)&gt;=1E+9,"",IF($L234&lt;=$M234,"増","減"))</f>
        <v/>
      </c>
      <c r="O234" s="32">
        <f>IF($N234="","",IF($N234="増",MATCH($L234,'仕入請求台帳'!$U$5:$U$504,0),MATCH($M234,'仕入請求台帳'!$V$5:$V$504,0)))</f>
        <v/>
      </c>
      <c r="P234" s="56" t="n"/>
      <c r="Q234" s="56" t="n"/>
    </row>
    <row r="235" ht="18" customHeight="1">
      <c r="A235" s="45">
        <f>IF($N235="","",IF($N235="増",INDEX('仕入請求台帳'!$S$5:$S$504,$O235),INDEX('仕入請求台帳'!$K$5:$K$504,$O235)))</f>
        <v/>
      </c>
      <c r="B235" s="46">
        <f>IF($N235="","",IF($N235="増","仕入","支払"))</f>
        <v/>
      </c>
      <c r="C235" s="46">
        <f>IF($N235="","",IF($N235="増",INDEX('仕入請求台帳'!$E$5:$E$504,$O235)&amp;"",INDEX('仕入請求台帳'!$E$5:$E$504,$O235)&amp;""))</f>
        <v/>
      </c>
      <c r="D235" s="47">
        <f>IF($N235="","",IF($N235="増",INDEX('仕入請求台帳'!$F$5:$F$504,$O235)&amp;"","支払"))</f>
        <v/>
      </c>
      <c r="E235" s="48">
        <f>IF($N235&lt;&gt;"増","",INDEX('仕入請求台帳'!$G$5:$G$504,$O235))</f>
        <v/>
      </c>
      <c r="F235" s="48">
        <f>IF($N235&lt;&gt;"減","",N(INDEX('仕入請求台帳'!$L$5:$L$504,$O235)))</f>
        <v/>
      </c>
      <c r="G235" s="48">
        <f>IF($N235&lt;&gt;"減","",N(INDEX('仕入請求台帳'!$M$5:$M$504,$O235)))</f>
        <v/>
      </c>
      <c r="H235" s="49">
        <f>IF($N235="","",$H234+N($E235)-N($F235)-N($G235))</f>
        <v/>
      </c>
      <c r="I235" s="56" t="n"/>
      <c r="J235" s="32">
        <f>$J234+IF($N234="増",1,0)</f>
        <v/>
      </c>
      <c r="K235" s="32">
        <f>$K234+IF($N234="減",1,0)</f>
        <v/>
      </c>
      <c r="L235" s="35">
        <f>IF($B$3="",1E+9,IFERROR(SMALL('仕入請求台帳'!$U$5:$U$504,$J235+1),1E+9))</f>
        <v/>
      </c>
      <c r="M235" s="35">
        <f>IF($B$3="",1E+9,IFERROR(SMALL('仕入請求台帳'!$V$5:$V$504,$K235+1),1E+9))</f>
        <v/>
      </c>
      <c r="N235" s="32">
        <f>IF(MIN($L235,$M235)&gt;=1E+9,"",IF($L235&lt;=$M235,"増","減"))</f>
        <v/>
      </c>
      <c r="O235" s="32">
        <f>IF($N235="","",IF($N235="増",MATCH($L235,'仕入請求台帳'!$U$5:$U$504,0),MATCH($M235,'仕入請求台帳'!$V$5:$V$504,0)))</f>
        <v/>
      </c>
      <c r="P235" s="56" t="n"/>
      <c r="Q235" s="56" t="n"/>
    </row>
    <row r="236" ht="18" customHeight="1">
      <c r="A236" s="45">
        <f>IF($N236="","",IF($N236="増",INDEX('仕入請求台帳'!$S$5:$S$504,$O236),INDEX('仕入請求台帳'!$K$5:$K$504,$O236)))</f>
        <v/>
      </c>
      <c r="B236" s="46">
        <f>IF($N236="","",IF($N236="増","仕入","支払"))</f>
        <v/>
      </c>
      <c r="C236" s="46">
        <f>IF($N236="","",IF($N236="増",INDEX('仕入請求台帳'!$E$5:$E$504,$O236)&amp;"",INDEX('仕入請求台帳'!$E$5:$E$504,$O236)&amp;""))</f>
        <v/>
      </c>
      <c r="D236" s="47">
        <f>IF($N236="","",IF($N236="増",INDEX('仕入請求台帳'!$F$5:$F$504,$O236)&amp;"","支払"))</f>
        <v/>
      </c>
      <c r="E236" s="48">
        <f>IF($N236&lt;&gt;"増","",INDEX('仕入請求台帳'!$G$5:$G$504,$O236))</f>
        <v/>
      </c>
      <c r="F236" s="48">
        <f>IF($N236&lt;&gt;"減","",N(INDEX('仕入請求台帳'!$L$5:$L$504,$O236)))</f>
        <v/>
      </c>
      <c r="G236" s="48">
        <f>IF($N236&lt;&gt;"減","",N(INDEX('仕入請求台帳'!$M$5:$M$504,$O236)))</f>
        <v/>
      </c>
      <c r="H236" s="49">
        <f>IF($N236="","",$H235+N($E236)-N($F236)-N($G236))</f>
        <v/>
      </c>
      <c r="I236" s="56" t="n"/>
      <c r="J236" s="32">
        <f>$J235+IF($N235="増",1,0)</f>
        <v/>
      </c>
      <c r="K236" s="32">
        <f>$K235+IF($N235="減",1,0)</f>
        <v/>
      </c>
      <c r="L236" s="35">
        <f>IF($B$3="",1E+9,IFERROR(SMALL('仕入請求台帳'!$U$5:$U$504,$J236+1),1E+9))</f>
        <v/>
      </c>
      <c r="M236" s="35">
        <f>IF($B$3="",1E+9,IFERROR(SMALL('仕入請求台帳'!$V$5:$V$504,$K236+1),1E+9))</f>
        <v/>
      </c>
      <c r="N236" s="32">
        <f>IF(MIN($L236,$M236)&gt;=1E+9,"",IF($L236&lt;=$M236,"増","減"))</f>
        <v/>
      </c>
      <c r="O236" s="32">
        <f>IF($N236="","",IF($N236="増",MATCH($L236,'仕入請求台帳'!$U$5:$U$504,0),MATCH($M236,'仕入請求台帳'!$V$5:$V$504,0)))</f>
        <v/>
      </c>
      <c r="P236" s="56" t="n"/>
      <c r="Q236" s="56" t="n"/>
    </row>
    <row r="237" ht="18" customHeight="1">
      <c r="A237" s="45">
        <f>IF($N237="","",IF($N237="増",INDEX('仕入請求台帳'!$S$5:$S$504,$O237),INDEX('仕入請求台帳'!$K$5:$K$504,$O237)))</f>
        <v/>
      </c>
      <c r="B237" s="46">
        <f>IF($N237="","",IF($N237="増","仕入","支払"))</f>
        <v/>
      </c>
      <c r="C237" s="46">
        <f>IF($N237="","",IF($N237="増",INDEX('仕入請求台帳'!$E$5:$E$504,$O237)&amp;"",INDEX('仕入請求台帳'!$E$5:$E$504,$O237)&amp;""))</f>
        <v/>
      </c>
      <c r="D237" s="47">
        <f>IF($N237="","",IF($N237="増",INDEX('仕入請求台帳'!$F$5:$F$504,$O237)&amp;"","支払"))</f>
        <v/>
      </c>
      <c r="E237" s="48">
        <f>IF($N237&lt;&gt;"増","",INDEX('仕入請求台帳'!$G$5:$G$504,$O237))</f>
        <v/>
      </c>
      <c r="F237" s="48">
        <f>IF($N237&lt;&gt;"減","",N(INDEX('仕入請求台帳'!$L$5:$L$504,$O237)))</f>
        <v/>
      </c>
      <c r="G237" s="48">
        <f>IF($N237&lt;&gt;"減","",N(INDEX('仕入請求台帳'!$M$5:$M$504,$O237)))</f>
        <v/>
      </c>
      <c r="H237" s="49">
        <f>IF($N237="","",$H236+N($E237)-N($F237)-N($G237))</f>
        <v/>
      </c>
      <c r="I237" s="56" t="n"/>
      <c r="J237" s="32">
        <f>$J236+IF($N236="増",1,0)</f>
        <v/>
      </c>
      <c r="K237" s="32">
        <f>$K236+IF($N236="減",1,0)</f>
        <v/>
      </c>
      <c r="L237" s="35">
        <f>IF($B$3="",1E+9,IFERROR(SMALL('仕入請求台帳'!$U$5:$U$504,$J237+1),1E+9))</f>
        <v/>
      </c>
      <c r="M237" s="35">
        <f>IF($B$3="",1E+9,IFERROR(SMALL('仕入請求台帳'!$V$5:$V$504,$K237+1),1E+9))</f>
        <v/>
      </c>
      <c r="N237" s="32">
        <f>IF(MIN($L237,$M237)&gt;=1E+9,"",IF($L237&lt;=$M237,"増","減"))</f>
        <v/>
      </c>
      <c r="O237" s="32">
        <f>IF($N237="","",IF($N237="増",MATCH($L237,'仕入請求台帳'!$U$5:$U$504,0),MATCH($M237,'仕入請求台帳'!$V$5:$V$504,0)))</f>
        <v/>
      </c>
      <c r="P237" s="56" t="n"/>
      <c r="Q237" s="56" t="n"/>
    </row>
    <row r="238" ht="18" customHeight="1">
      <c r="A238" s="45">
        <f>IF($N238="","",IF($N238="増",INDEX('仕入請求台帳'!$S$5:$S$504,$O238),INDEX('仕入請求台帳'!$K$5:$K$504,$O238)))</f>
        <v/>
      </c>
      <c r="B238" s="46">
        <f>IF($N238="","",IF($N238="増","仕入","支払"))</f>
        <v/>
      </c>
      <c r="C238" s="46">
        <f>IF($N238="","",IF($N238="増",INDEX('仕入請求台帳'!$E$5:$E$504,$O238)&amp;"",INDEX('仕入請求台帳'!$E$5:$E$504,$O238)&amp;""))</f>
        <v/>
      </c>
      <c r="D238" s="47">
        <f>IF($N238="","",IF($N238="増",INDEX('仕入請求台帳'!$F$5:$F$504,$O238)&amp;"","支払"))</f>
        <v/>
      </c>
      <c r="E238" s="48">
        <f>IF($N238&lt;&gt;"増","",INDEX('仕入請求台帳'!$G$5:$G$504,$O238))</f>
        <v/>
      </c>
      <c r="F238" s="48">
        <f>IF($N238&lt;&gt;"減","",N(INDEX('仕入請求台帳'!$L$5:$L$504,$O238)))</f>
        <v/>
      </c>
      <c r="G238" s="48">
        <f>IF($N238&lt;&gt;"減","",N(INDEX('仕入請求台帳'!$M$5:$M$504,$O238)))</f>
        <v/>
      </c>
      <c r="H238" s="49">
        <f>IF($N238="","",$H237+N($E238)-N($F238)-N($G238))</f>
        <v/>
      </c>
      <c r="I238" s="56" t="n"/>
      <c r="J238" s="32">
        <f>$J237+IF($N237="増",1,0)</f>
        <v/>
      </c>
      <c r="K238" s="32">
        <f>$K237+IF($N237="減",1,0)</f>
        <v/>
      </c>
      <c r="L238" s="35">
        <f>IF($B$3="",1E+9,IFERROR(SMALL('仕入請求台帳'!$U$5:$U$504,$J238+1),1E+9))</f>
        <v/>
      </c>
      <c r="M238" s="35">
        <f>IF($B$3="",1E+9,IFERROR(SMALL('仕入請求台帳'!$V$5:$V$504,$K238+1),1E+9))</f>
        <v/>
      </c>
      <c r="N238" s="32">
        <f>IF(MIN($L238,$M238)&gt;=1E+9,"",IF($L238&lt;=$M238,"増","減"))</f>
        <v/>
      </c>
      <c r="O238" s="32">
        <f>IF($N238="","",IF($N238="増",MATCH($L238,'仕入請求台帳'!$U$5:$U$504,0),MATCH($M238,'仕入請求台帳'!$V$5:$V$504,0)))</f>
        <v/>
      </c>
      <c r="P238" s="56" t="n"/>
      <c r="Q238" s="56" t="n"/>
    </row>
    <row r="239" ht="18" customHeight="1">
      <c r="A239" s="45">
        <f>IF($N239="","",IF($N239="増",INDEX('仕入請求台帳'!$S$5:$S$504,$O239),INDEX('仕入請求台帳'!$K$5:$K$504,$O239)))</f>
        <v/>
      </c>
      <c r="B239" s="46">
        <f>IF($N239="","",IF($N239="増","仕入","支払"))</f>
        <v/>
      </c>
      <c r="C239" s="46">
        <f>IF($N239="","",IF($N239="増",INDEX('仕入請求台帳'!$E$5:$E$504,$O239)&amp;"",INDEX('仕入請求台帳'!$E$5:$E$504,$O239)&amp;""))</f>
        <v/>
      </c>
      <c r="D239" s="47">
        <f>IF($N239="","",IF($N239="増",INDEX('仕入請求台帳'!$F$5:$F$504,$O239)&amp;"","支払"))</f>
        <v/>
      </c>
      <c r="E239" s="48">
        <f>IF($N239&lt;&gt;"増","",INDEX('仕入請求台帳'!$G$5:$G$504,$O239))</f>
        <v/>
      </c>
      <c r="F239" s="48">
        <f>IF($N239&lt;&gt;"減","",N(INDEX('仕入請求台帳'!$L$5:$L$504,$O239)))</f>
        <v/>
      </c>
      <c r="G239" s="48">
        <f>IF($N239&lt;&gt;"減","",N(INDEX('仕入請求台帳'!$M$5:$M$504,$O239)))</f>
        <v/>
      </c>
      <c r="H239" s="49">
        <f>IF($N239="","",$H238+N($E239)-N($F239)-N($G239))</f>
        <v/>
      </c>
      <c r="I239" s="56" t="n"/>
      <c r="J239" s="32">
        <f>$J238+IF($N238="増",1,0)</f>
        <v/>
      </c>
      <c r="K239" s="32">
        <f>$K238+IF($N238="減",1,0)</f>
        <v/>
      </c>
      <c r="L239" s="35">
        <f>IF($B$3="",1E+9,IFERROR(SMALL('仕入請求台帳'!$U$5:$U$504,$J239+1),1E+9))</f>
        <v/>
      </c>
      <c r="M239" s="35">
        <f>IF($B$3="",1E+9,IFERROR(SMALL('仕入請求台帳'!$V$5:$V$504,$K239+1),1E+9))</f>
        <v/>
      </c>
      <c r="N239" s="32">
        <f>IF(MIN($L239,$M239)&gt;=1E+9,"",IF($L239&lt;=$M239,"増","減"))</f>
        <v/>
      </c>
      <c r="O239" s="32">
        <f>IF($N239="","",IF($N239="増",MATCH($L239,'仕入請求台帳'!$U$5:$U$504,0),MATCH($M239,'仕入請求台帳'!$V$5:$V$504,0)))</f>
        <v/>
      </c>
      <c r="P239" s="56" t="n"/>
      <c r="Q239" s="56" t="n"/>
    </row>
    <row r="240" ht="18" customHeight="1">
      <c r="A240" s="45">
        <f>IF($N240="","",IF($N240="増",INDEX('仕入請求台帳'!$S$5:$S$504,$O240),INDEX('仕入請求台帳'!$K$5:$K$504,$O240)))</f>
        <v/>
      </c>
      <c r="B240" s="46">
        <f>IF($N240="","",IF($N240="増","仕入","支払"))</f>
        <v/>
      </c>
      <c r="C240" s="46">
        <f>IF($N240="","",IF($N240="増",INDEX('仕入請求台帳'!$E$5:$E$504,$O240)&amp;"",INDEX('仕入請求台帳'!$E$5:$E$504,$O240)&amp;""))</f>
        <v/>
      </c>
      <c r="D240" s="47">
        <f>IF($N240="","",IF($N240="増",INDEX('仕入請求台帳'!$F$5:$F$504,$O240)&amp;"","支払"))</f>
        <v/>
      </c>
      <c r="E240" s="48">
        <f>IF($N240&lt;&gt;"増","",INDEX('仕入請求台帳'!$G$5:$G$504,$O240))</f>
        <v/>
      </c>
      <c r="F240" s="48">
        <f>IF($N240&lt;&gt;"減","",N(INDEX('仕入請求台帳'!$L$5:$L$504,$O240)))</f>
        <v/>
      </c>
      <c r="G240" s="48">
        <f>IF($N240&lt;&gt;"減","",N(INDEX('仕入請求台帳'!$M$5:$M$504,$O240)))</f>
        <v/>
      </c>
      <c r="H240" s="49">
        <f>IF($N240="","",$H239+N($E240)-N($F240)-N($G240))</f>
        <v/>
      </c>
      <c r="I240" s="56" t="n"/>
      <c r="J240" s="32">
        <f>$J239+IF($N239="増",1,0)</f>
        <v/>
      </c>
      <c r="K240" s="32">
        <f>$K239+IF($N239="減",1,0)</f>
        <v/>
      </c>
      <c r="L240" s="35">
        <f>IF($B$3="",1E+9,IFERROR(SMALL('仕入請求台帳'!$U$5:$U$504,$J240+1),1E+9))</f>
        <v/>
      </c>
      <c r="M240" s="35">
        <f>IF($B$3="",1E+9,IFERROR(SMALL('仕入請求台帳'!$V$5:$V$504,$K240+1),1E+9))</f>
        <v/>
      </c>
      <c r="N240" s="32">
        <f>IF(MIN($L240,$M240)&gt;=1E+9,"",IF($L240&lt;=$M240,"増","減"))</f>
        <v/>
      </c>
      <c r="O240" s="32">
        <f>IF($N240="","",IF($N240="増",MATCH($L240,'仕入請求台帳'!$U$5:$U$504,0),MATCH($M240,'仕入請求台帳'!$V$5:$V$504,0)))</f>
        <v/>
      </c>
      <c r="P240" s="56" t="n"/>
      <c r="Q240" s="56" t="n"/>
    </row>
    <row r="241" ht="18" customHeight="1">
      <c r="A241" s="45">
        <f>IF($N241="","",IF($N241="増",INDEX('仕入請求台帳'!$S$5:$S$504,$O241),INDEX('仕入請求台帳'!$K$5:$K$504,$O241)))</f>
        <v/>
      </c>
      <c r="B241" s="46">
        <f>IF($N241="","",IF($N241="増","仕入","支払"))</f>
        <v/>
      </c>
      <c r="C241" s="46">
        <f>IF($N241="","",IF($N241="増",INDEX('仕入請求台帳'!$E$5:$E$504,$O241)&amp;"",INDEX('仕入請求台帳'!$E$5:$E$504,$O241)&amp;""))</f>
        <v/>
      </c>
      <c r="D241" s="47">
        <f>IF($N241="","",IF($N241="増",INDEX('仕入請求台帳'!$F$5:$F$504,$O241)&amp;"","支払"))</f>
        <v/>
      </c>
      <c r="E241" s="48">
        <f>IF($N241&lt;&gt;"増","",INDEX('仕入請求台帳'!$G$5:$G$504,$O241))</f>
        <v/>
      </c>
      <c r="F241" s="48">
        <f>IF($N241&lt;&gt;"減","",N(INDEX('仕入請求台帳'!$L$5:$L$504,$O241)))</f>
        <v/>
      </c>
      <c r="G241" s="48">
        <f>IF($N241&lt;&gt;"減","",N(INDEX('仕入請求台帳'!$M$5:$M$504,$O241)))</f>
        <v/>
      </c>
      <c r="H241" s="49">
        <f>IF($N241="","",$H240+N($E241)-N($F241)-N($G241))</f>
        <v/>
      </c>
      <c r="I241" s="56" t="n"/>
      <c r="J241" s="32">
        <f>$J240+IF($N240="増",1,0)</f>
        <v/>
      </c>
      <c r="K241" s="32">
        <f>$K240+IF($N240="減",1,0)</f>
        <v/>
      </c>
      <c r="L241" s="35">
        <f>IF($B$3="",1E+9,IFERROR(SMALL('仕入請求台帳'!$U$5:$U$504,$J241+1),1E+9))</f>
        <v/>
      </c>
      <c r="M241" s="35">
        <f>IF($B$3="",1E+9,IFERROR(SMALL('仕入請求台帳'!$V$5:$V$504,$K241+1),1E+9))</f>
        <v/>
      </c>
      <c r="N241" s="32">
        <f>IF(MIN($L241,$M241)&gt;=1E+9,"",IF($L241&lt;=$M241,"増","減"))</f>
        <v/>
      </c>
      <c r="O241" s="32">
        <f>IF($N241="","",IF($N241="増",MATCH($L241,'仕入請求台帳'!$U$5:$U$504,0),MATCH($M241,'仕入請求台帳'!$V$5:$V$504,0)))</f>
        <v/>
      </c>
      <c r="P241" s="56" t="n"/>
      <c r="Q241" s="56" t="n"/>
    </row>
    <row r="242" ht="18" customHeight="1">
      <c r="A242" s="45">
        <f>IF($N242="","",IF($N242="増",INDEX('仕入請求台帳'!$S$5:$S$504,$O242),INDEX('仕入請求台帳'!$K$5:$K$504,$O242)))</f>
        <v/>
      </c>
      <c r="B242" s="46">
        <f>IF($N242="","",IF($N242="増","仕入","支払"))</f>
        <v/>
      </c>
      <c r="C242" s="46">
        <f>IF($N242="","",IF($N242="増",INDEX('仕入請求台帳'!$E$5:$E$504,$O242)&amp;"",INDEX('仕入請求台帳'!$E$5:$E$504,$O242)&amp;""))</f>
        <v/>
      </c>
      <c r="D242" s="47">
        <f>IF($N242="","",IF($N242="増",INDEX('仕入請求台帳'!$F$5:$F$504,$O242)&amp;"","支払"))</f>
        <v/>
      </c>
      <c r="E242" s="48">
        <f>IF($N242&lt;&gt;"増","",INDEX('仕入請求台帳'!$G$5:$G$504,$O242))</f>
        <v/>
      </c>
      <c r="F242" s="48">
        <f>IF($N242&lt;&gt;"減","",N(INDEX('仕入請求台帳'!$L$5:$L$504,$O242)))</f>
        <v/>
      </c>
      <c r="G242" s="48">
        <f>IF($N242&lt;&gt;"減","",N(INDEX('仕入請求台帳'!$M$5:$M$504,$O242)))</f>
        <v/>
      </c>
      <c r="H242" s="49">
        <f>IF($N242="","",$H241+N($E242)-N($F242)-N($G242))</f>
        <v/>
      </c>
      <c r="I242" s="56" t="n"/>
      <c r="J242" s="32">
        <f>$J241+IF($N241="増",1,0)</f>
        <v/>
      </c>
      <c r="K242" s="32">
        <f>$K241+IF($N241="減",1,0)</f>
        <v/>
      </c>
      <c r="L242" s="35">
        <f>IF($B$3="",1E+9,IFERROR(SMALL('仕入請求台帳'!$U$5:$U$504,$J242+1),1E+9))</f>
        <v/>
      </c>
      <c r="M242" s="35">
        <f>IF($B$3="",1E+9,IFERROR(SMALL('仕入請求台帳'!$V$5:$V$504,$K242+1),1E+9))</f>
        <v/>
      </c>
      <c r="N242" s="32">
        <f>IF(MIN($L242,$M242)&gt;=1E+9,"",IF($L242&lt;=$M242,"増","減"))</f>
        <v/>
      </c>
      <c r="O242" s="32">
        <f>IF($N242="","",IF($N242="増",MATCH($L242,'仕入請求台帳'!$U$5:$U$504,0),MATCH($M242,'仕入請求台帳'!$V$5:$V$504,0)))</f>
        <v/>
      </c>
      <c r="P242" s="56" t="n"/>
      <c r="Q242" s="56" t="n"/>
    </row>
    <row r="243" ht="18" customHeight="1">
      <c r="A243" s="45">
        <f>IF($N243="","",IF($N243="増",INDEX('仕入請求台帳'!$S$5:$S$504,$O243),INDEX('仕入請求台帳'!$K$5:$K$504,$O243)))</f>
        <v/>
      </c>
      <c r="B243" s="46">
        <f>IF($N243="","",IF($N243="増","仕入","支払"))</f>
        <v/>
      </c>
      <c r="C243" s="46">
        <f>IF($N243="","",IF($N243="増",INDEX('仕入請求台帳'!$E$5:$E$504,$O243)&amp;"",INDEX('仕入請求台帳'!$E$5:$E$504,$O243)&amp;""))</f>
        <v/>
      </c>
      <c r="D243" s="47">
        <f>IF($N243="","",IF($N243="増",INDEX('仕入請求台帳'!$F$5:$F$504,$O243)&amp;"","支払"))</f>
        <v/>
      </c>
      <c r="E243" s="48">
        <f>IF($N243&lt;&gt;"増","",INDEX('仕入請求台帳'!$G$5:$G$504,$O243))</f>
        <v/>
      </c>
      <c r="F243" s="48">
        <f>IF($N243&lt;&gt;"減","",N(INDEX('仕入請求台帳'!$L$5:$L$504,$O243)))</f>
        <v/>
      </c>
      <c r="G243" s="48">
        <f>IF($N243&lt;&gt;"減","",N(INDEX('仕入請求台帳'!$M$5:$M$504,$O243)))</f>
        <v/>
      </c>
      <c r="H243" s="49">
        <f>IF($N243="","",$H242+N($E243)-N($F243)-N($G243))</f>
        <v/>
      </c>
      <c r="I243" s="56" t="n"/>
      <c r="J243" s="32">
        <f>$J242+IF($N242="増",1,0)</f>
        <v/>
      </c>
      <c r="K243" s="32">
        <f>$K242+IF($N242="減",1,0)</f>
        <v/>
      </c>
      <c r="L243" s="35">
        <f>IF($B$3="",1E+9,IFERROR(SMALL('仕入請求台帳'!$U$5:$U$504,$J243+1),1E+9))</f>
        <v/>
      </c>
      <c r="M243" s="35">
        <f>IF($B$3="",1E+9,IFERROR(SMALL('仕入請求台帳'!$V$5:$V$504,$K243+1),1E+9))</f>
        <v/>
      </c>
      <c r="N243" s="32">
        <f>IF(MIN($L243,$M243)&gt;=1E+9,"",IF($L243&lt;=$M243,"増","減"))</f>
        <v/>
      </c>
      <c r="O243" s="32">
        <f>IF($N243="","",IF($N243="増",MATCH($L243,'仕入請求台帳'!$U$5:$U$504,0),MATCH($M243,'仕入請求台帳'!$V$5:$V$504,0)))</f>
        <v/>
      </c>
      <c r="P243" s="56" t="n"/>
      <c r="Q243" s="56" t="n"/>
    </row>
    <row r="244" ht="18" customHeight="1">
      <c r="A244" s="45">
        <f>IF($N244="","",IF($N244="増",INDEX('仕入請求台帳'!$S$5:$S$504,$O244),INDEX('仕入請求台帳'!$K$5:$K$504,$O244)))</f>
        <v/>
      </c>
      <c r="B244" s="46">
        <f>IF($N244="","",IF($N244="増","仕入","支払"))</f>
        <v/>
      </c>
      <c r="C244" s="46">
        <f>IF($N244="","",IF($N244="増",INDEX('仕入請求台帳'!$E$5:$E$504,$O244)&amp;"",INDEX('仕入請求台帳'!$E$5:$E$504,$O244)&amp;""))</f>
        <v/>
      </c>
      <c r="D244" s="47">
        <f>IF($N244="","",IF($N244="増",INDEX('仕入請求台帳'!$F$5:$F$504,$O244)&amp;"","支払"))</f>
        <v/>
      </c>
      <c r="E244" s="48">
        <f>IF($N244&lt;&gt;"増","",INDEX('仕入請求台帳'!$G$5:$G$504,$O244))</f>
        <v/>
      </c>
      <c r="F244" s="48">
        <f>IF($N244&lt;&gt;"減","",N(INDEX('仕入請求台帳'!$L$5:$L$504,$O244)))</f>
        <v/>
      </c>
      <c r="G244" s="48">
        <f>IF($N244&lt;&gt;"減","",N(INDEX('仕入請求台帳'!$M$5:$M$504,$O244)))</f>
        <v/>
      </c>
      <c r="H244" s="49">
        <f>IF($N244="","",$H243+N($E244)-N($F244)-N($G244))</f>
        <v/>
      </c>
      <c r="I244" s="56" t="n"/>
      <c r="J244" s="32">
        <f>$J243+IF($N243="増",1,0)</f>
        <v/>
      </c>
      <c r="K244" s="32">
        <f>$K243+IF($N243="減",1,0)</f>
        <v/>
      </c>
      <c r="L244" s="35">
        <f>IF($B$3="",1E+9,IFERROR(SMALL('仕入請求台帳'!$U$5:$U$504,$J244+1),1E+9))</f>
        <v/>
      </c>
      <c r="M244" s="35">
        <f>IF($B$3="",1E+9,IFERROR(SMALL('仕入請求台帳'!$V$5:$V$504,$K244+1),1E+9))</f>
        <v/>
      </c>
      <c r="N244" s="32">
        <f>IF(MIN($L244,$M244)&gt;=1E+9,"",IF($L244&lt;=$M244,"増","減"))</f>
        <v/>
      </c>
      <c r="O244" s="32">
        <f>IF($N244="","",IF($N244="増",MATCH($L244,'仕入請求台帳'!$U$5:$U$504,0),MATCH($M244,'仕入請求台帳'!$V$5:$V$504,0)))</f>
        <v/>
      </c>
      <c r="P244" s="56" t="n"/>
      <c r="Q244" s="56" t="n"/>
    </row>
    <row r="245" ht="18" customHeight="1">
      <c r="A245" s="45">
        <f>IF($N245="","",IF($N245="増",INDEX('仕入請求台帳'!$S$5:$S$504,$O245),INDEX('仕入請求台帳'!$K$5:$K$504,$O245)))</f>
        <v/>
      </c>
      <c r="B245" s="46">
        <f>IF($N245="","",IF($N245="増","仕入","支払"))</f>
        <v/>
      </c>
      <c r="C245" s="46">
        <f>IF($N245="","",IF($N245="増",INDEX('仕入請求台帳'!$E$5:$E$504,$O245)&amp;"",INDEX('仕入請求台帳'!$E$5:$E$504,$O245)&amp;""))</f>
        <v/>
      </c>
      <c r="D245" s="47">
        <f>IF($N245="","",IF($N245="増",INDEX('仕入請求台帳'!$F$5:$F$504,$O245)&amp;"","支払"))</f>
        <v/>
      </c>
      <c r="E245" s="48">
        <f>IF($N245&lt;&gt;"増","",INDEX('仕入請求台帳'!$G$5:$G$504,$O245))</f>
        <v/>
      </c>
      <c r="F245" s="48">
        <f>IF($N245&lt;&gt;"減","",N(INDEX('仕入請求台帳'!$L$5:$L$504,$O245)))</f>
        <v/>
      </c>
      <c r="G245" s="48">
        <f>IF($N245&lt;&gt;"減","",N(INDEX('仕入請求台帳'!$M$5:$M$504,$O245)))</f>
        <v/>
      </c>
      <c r="H245" s="49">
        <f>IF($N245="","",$H244+N($E245)-N($F245)-N($G245))</f>
        <v/>
      </c>
      <c r="I245" s="56" t="n"/>
      <c r="J245" s="32">
        <f>$J244+IF($N244="増",1,0)</f>
        <v/>
      </c>
      <c r="K245" s="32">
        <f>$K244+IF($N244="減",1,0)</f>
        <v/>
      </c>
      <c r="L245" s="35">
        <f>IF($B$3="",1E+9,IFERROR(SMALL('仕入請求台帳'!$U$5:$U$504,$J245+1),1E+9))</f>
        <v/>
      </c>
      <c r="M245" s="35">
        <f>IF($B$3="",1E+9,IFERROR(SMALL('仕入請求台帳'!$V$5:$V$504,$K245+1),1E+9))</f>
        <v/>
      </c>
      <c r="N245" s="32">
        <f>IF(MIN($L245,$M245)&gt;=1E+9,"",IF($L245&lt;=$M245,"増","減"))</f>
        <v/>
      </c>
      <c r="O245" s="32">
        <f>IF($N245="","",IF($N245="増",MATCH($L245,'仕入請求台帳'!$U$5:$U$504,0),MATCH($M245,'仕入請求台帳'!$V$5:$V$504,0)))</f>
        <v/>
      </c>
      <c r="P245" s="56" t="n"/>
      <c r="Q245" s="56" t="n"/>
    </row>
    <row r="246" ht="18" customHeight="1">
      <c r="A246" s="45">
        <f>IF($N246="","",IF($N246="増",INDEX('仕入請求台帳'!$S$5:$S$504,$O246),INDEX('仕入請求台帳'!$K$5:$K$504,$O246)))</f>
        <v/>
      </c>
      <c r="B246" s="46">
        <f>IF($N246="","",IF($N246="増","仕入","支払"))</f>
        <v/>
      </c>
      <c r="C246" s="46">
        <f>IF($N246="","",IF($N246="増",INDEX('仕入請求台帳'!$E$5:$E$504,$O246)&amp;"",INDEX('仕入請求台帳'!$E$5:$E$504,$O246)&amp;""))</f>
        <v/>
      </c>
      <c r="D246" s="47">
        <f>IF($N246="","",IF($N246="増",INDEX('仕入請求台帳'!$F$5:$F$504,$O246)&amp;"","支払"))</f>
        <v/>
      </c>
      <c r="E246" s="48">
        <f>IF($N246&lt;&gt;"増","",INDEX('仕入請求台帳'!$G$5:$G$504,$O246))</f>
        <v/>
      </c>
      <c r="F246" s="48">
        <f>IF($N246&lt;&gt;"減","",N(INDEX('仕入請求台帳'!$L$5:$L$504,$O246)))</f>
        <v/>
      </c>
      <c r="G246" s="48">
        <f>IF($N246&lt;&gt;"減","",N(INDEX('仕入請求台帳'!$M$5:$M$504,$O246)))</f>
        <v/>
      </c>
      <c r="H246" s="49">
        <f>IF($N246="","",$H245+N($E246)-N($F246)-N($G246))</f>
        <v/>
      </c>
      <c r="I246" s="56" t="n"/>
      <c r="J246" s="32">
        <f>$J245+IF($N245="増",1,0)</f>
        <v/>
      </c>
      <c r="K246" s="32">
        <f>$K245+IF($N245="減",1,0)</f>
        <v/>
      </c>
      <c r="L246" s="35">
        <f>IF($B$3="",1E+9,IFERROR(SMALL('仕入請求台帳'!$U$5:$U$504,$J246+1),1E+9))</f>
        <v/>
      </c>
      <c r="M246" s="35">
        <f>IF($B$3="",1E+9,IFERROR(SMALL('仕入請求台帳'!$V$5:$V$504,$K246+1),1E+9))</f>
        <v/>
      </c>
      <c r="N246" s="32">
        <f>IF(MIN($L246,$M246)&gt;=1E+9,"",IF($L246&lt;=$M246,"増","減"))</f>
        <v/>
      </c>
      <c r="O246" s="32">
        <f>IF($N246="","",IF($N246="増",MATCH($L246,'仕入請求台帳'!$U$5:$U$504,0),MATCH($M246,'仕入請求台帳'!$V$5:$V$504,0)))</f>
        <v/>
      </c>
      <c r="P246" s="56" t="n"/>
      <c r="Q246" s="56" t="n"/>
    </row>
    <row r="247" ht="18" customHeight="1">
      <c r="A247" s="45">
        <f>IF($N247="","",IF($N247="増",INDEX('仕入請求台帳'!$S$5:$S$504,$O247),INDEX('仕入請求台帳'!$K$5:$K$504,$O247)))</f>
        <v/>
      </c>
      <c r="B247" s="46">
        <f>IF($N247="","",IF($N247="増","仕入","支払"))</f>
        <v/>
      </c>
      <c r="C247" s="46">
        <f>IF($N247="","",IF($N247="増",INDEX('仕入請求台帳'!$E$5:$E$504,$O247)&amp;"",INDEX('仕入請求台帳'!$E$5:$E$504,$O247)&amp;""))</f>
        <v/>
      </c>
      <c r="D247" s="47">
        <f>IF($N247="","",IF($N247="増",INDEX('仕入請求台帳'!$F$5:$F$504,$O247)&amp;"","支払"))</f>
        <v/>
      </c>
      <c r="E247" s="48">
        <f>IF($N247&lt;&gt;"増","",INDEX('仕入請求台帳'!$G$5:$G$504,$O247))</f>
        <v/>
      </c>
      <c r="F247" s="48">
        <f>IF($N247&lt;&gt;"減","",N(INDEX('仕入請求台帳'!$L$5:$L$504,$O247)))</f>
        <v/>
      </c>
      <c r="G247" s="48">
        <f>IF($N247&lt;&gt;"減","",N(INDEX('仕入請求台帳'!$M$5:$M$504,$O247)))</f>
        <v/>
      </c>
      <c r="H247" s="49">
        <f>IF($N247="","",$H246+N($E247)-N($F247)-N($G247))</f>
        <v/>
      </c>
      <c r="I247" s="56" t="n"/>
      <c r="J247" s="32">
        <f>$J246+IF($N246="増",1,0)</f>
        <v/>
      </c>
      <c r="K247" s="32">
        <f>$K246+IF($N246="減",1,0)</f>
        <v/>
      </c>
      <c r="L247" s="35">
        <f>IF($B$3="",1E+9,IFERROR(SMALL('仕入請求台帳'!$U$5:$U$504,$J247+1),1E+9))</f>
        <v/>
      </c>
      <c r="M247" s="35">
        <f>IF($B$3="",1E+9,IFERROR(SMALL('仕入請求台帳'!$V$5:$V$504,$K247+1),1E+9))</f>
        <v/>
      </c>
      <c r="N247" s="32">
        <f>IF(MIN($L247,$M247)&gt;=1E+9,"",IF($L247&lt;=$M247,"増","減"))</f>
        <v/>
      </c>
      <c r="O247" s="32">
        <f>IF($N247="","",IF($N247="増",MATCH($L247,'仕入請求台帳'!$U$5:$U$504,0),MATCH($M247,'仕入請求台帳'!$V$5:$V$504,0)))</f>
        <v/>
      </c>
      <c r="P247" s="56" t="n"/>
      <c r="Q247" s="56" t="n"/>
    </row>
    <row r="248" ht="18" customHeight="1">
      <c r="A248" s="45">
        <f>IF($N248="","",IF($N248="増",INDEX('仕入請求台帳'!$S$5:$S$504,$O248),INDEX('仕入請求台帳'!$K$5:$K$504,$O248)))</f>
        <v/>
      </c>
      <c r="B248" s="46">
        <f>IF($N248="","",IF($N248="増","仕入","支払"))</f>
        <v/>
      </c>
      <c r="C248" s="46">
        <f>IF($N248="","",IF($N248="増",INDEX('仕入請求台帳'!$E$5:$E$504,$O248)&amp;"",INDEX('仕入請求台帳'!$E$5:$E$504,$O248)&amp;""))</f>
        <v/>
      </c>
      <c r="D248" s="47">
        <f>IF($N248="","",IF($N248="増",INDEX('仕入請求台帳'!$F$5:$F$504,$O248)&amp;"","支払"))</f>
        <v/>
      </c>
      <c r="E248" s="48">
        <f>IF($N248&lt;&gt;"増","",INDEX('仕入請求台帳'!$G$5:$G$504,$O248))</f>
        <v/>
      </c>
      <c r="F248" s="48">
        <f>IF($N248&lt;&gt;"減","",N(INDEX('仕入請求台帳'!$L$5:$L$504,$O248)))</f>
        <v/>
      </c>
      <c r="G248" s="48">
        <f>IF($N248&lt;&gt;"減","",N(INDEX('仕入請求台帳'!$M$5:$M$504,$O248)))</f>
        <v/>
      </c>
      <c r="H248" s="49">
        <f>IF($N248="","",$H247+N($E248)-N($F248)-N($G248))</f>
        <v/>
      </c>
      <c r="I248" s="56" t="n"/>
      <c r="J248" s="32">
        <f>$J247+IF($N247="増",1,0)</f>
        <v/>
      </c>
      <c r="K248" s="32">
        <f>$K247+IF($N247="減",1,0)</f>
        <v/>
      </c>
      <c r="L248" s="35">
        <f>IF($B$3="",1E+9,IFERROR(SMALL('仕入請求台帳'!$U$5:$U$504,$J248+1),1E+9))</f>
        <v/>
      </c>
      <c r="M248" s="35">
        <f>IF($B$3="",1E+9,IFERROR(SMALL('仕入請求台帳'!$V$5:$V$504,$K248+1),1E+9))</f>
        <v/>
      </c>
      <c r="N248" s="32">
        <f>IF(MIN($L248,$M248)&gt;=1E+9,"",IF($L248&lt;=$M248,"増","減"))</f>
        <v/>
      </c>
      <c r="O248" s="32">
        <f>IF($N248="","",IF($N248="増",MATCH($L248,'仕入請求台帳'!$U$5:$U$504,0),MATCH($M248,'仕入請求台帳'!$V$5:$V$504,0)))</f>
        <v/>
      </c>
      <c r="P248" s="56" t="n"/>
      <c r="Q248" s="56" t="n"/>
    </row>
    <row r="249" ht="18" customHeight="1">
      <c r="A249" s="45">
        <f>IF($N249="","",IF($N249="増",INDEX('仕入請求台帳'!$S$5:$S$504,$O249),INDEX('仕入請求台帳'!$K$5:$K$504,$O249)))</f>
        <v/>
      </c>
      <c r="B249" s="46">
        <f>IF($N249="","",IF($N249="増","仕入","支払"))</f>
        <v/>
      </c>
      <c r="C249" s="46">
        <f>IF($N249="","",IF($N249="増",INDEX('仕入請求台帳'!$E$5:$E$504,$O249)&amp;"",INDEX('仕入請求台帳'!$E$5:$E$504,$O249)&amp;""))</f>
        <v/>
      </c>
      <c r="D249" s="47">
        <f>IF($N249="","",IF($N249="増",INDEX('仕入請求台帳'!$F$5:$F$504,$O249)&amp;"","支払"))</f>
        <v/>
      </c>
      <c r="E249" s="48">
        <f>IF($N249&lt;&gt;"増","",INDEX('仕入請求台帳'!$G$5:$G$504,$O249))</f>
        <v/>
      </c>
      <c r="F249" s="48">
        <f>IF($N249&lt;&gt;"減","",N(INDEX('仕入請求台帳'!$L$5:$L$504,$O249)))</f>
        <v/>
      </c>
      <c r="G249" s="48">
        <f>IF($N249&lt;&gt;"減","",N(INDEX('仕入請求台帳'!$M$5:$M$504,$O249)))</f>
        <v/>
      </c>
      <c r="H249" s="49">
        <f>IF($N249="","",$H248+N($E249)-N($F249)-N($G249))</f>
        <v/>
      </c>
      <c r="I249" s="56" t="n"/>
      <c r="J249" s="32">
        <f>$J248+IF($N248="増",1,0)</f>
        <v/>
      </c>
      <c r="K249" s="32">
        <f>$K248+IF($N248="減",1,0)</f>
        <v/>
      </c>
      <c r="L249" s="35">
        <f>IF($B$3="",1E+9,IFERROR(SMALL('仕入請求台帳'!$U$5:$U$504,$J249+1),1E+9))</f>
        <v/>
      </c>
      <c r="M249" s="35">
        <f>IF($B$3="",1E+9,IFERROR(SMALL('仕入請求台帳'!$V$5:$V$504,$K249+1),1E+9))</f>
        <v/>
      </c>
      <c r="N249" s="32">
        <f>IF(MIN($L249,$M249)&gt;=1E+9,"",IF($L249&lt;=$M249,"増","減"))</f>
        <v/>
      </c>
      <c r="O249" s="32">
        <f>IF($N249="","",IF($N249="増",MATCH($L249,'仕入請求台帳'!$U$5:$U$504,0),MATCH($M249,'仕入請求台帳'!$V$5:$V$504,0)))</f>
        <v/>
      </c>
      <c r="P249" s="56" t="n"/>
      <c r="Q249" s="56" t="n"/>
    </row>
    <row r="250" ht="18" customHeight="1">
      <c r="A250" s="45">
        <f>IF($N250="","",IF($N250="増",INDEX('仕入請求台帳'!$S$5:$S$504,$O250),INDEX('仕入請求台帳'!$K$5:$K$504,$O250)))</f>
        <v/>
      </c>
      <c r="B250" s="46">
        <f>IF($N250="","",IF($N250="増","仕入","支払"))</f>
        <v/>
      </c>
      <c r="C250" s="46">
        <f>IF($N250="","",IF($N250="増",INDEX('仕入請求台帳'!$E$5:$E$504,$O250)&amp;"",INDEX('仕入請求台帳'!$E$5:$E$504,$O250)&amp;""))</f>
        <v/>
      </c>
      <c r="D250" s="47">
        <f>IF($N250="","",IF($N250="増",INDEX('仕入請求台帳'!$F$5:$F$504,$O250)&amp;"","支払"))</f>
        <v/>
      </c>
      <c r="E250" s="48">
        <f>IF($N250&lt;&gt;"増","",INDEX('仕入請求台帳'!$G$5:$G$504,$O250))</f>
        <v/>
      </c>
      <c r="F250" s="48">
        <f>IF($N250&lt;&gt;"減","",N(INDEX('仕入請求台帳'!$L$5:$L$504,$O250)))</f>
        <v/>
      </c>
      <c r="G250" s="48">
        <f>IF($N250&lt;&gt;"減","",N(INDEX('仕入請求台帳'!$M$5:$M$504,$O250)))</f>
        <v/>
      </c>
      <c r="H250" s="49">
        <f>IF($N250="","",$H249+N($E250)-N($F250)-N($G250))</f>
        <v/>
      </c>
      <c r="I250" s="56" t="n"/>
      <c r="J250" s="32">
        <f>$J249+IF($N249="増",1,0)</f>
        <v/>
      </c>
      <c r="K250" s="32">
        <f>$K249+IF($N249="減",1,0)</f>
        <v/>
      </c>
      <c r="L250" s="35">
        <f>IF($B$3="",1E+9,IFERROR(SMALL('仕入請求台帳'!$U$5:$U$504,$J250+1),1E+9))</f>
        <v/>
      </c>
      <c r="M250" s="35">
        <f>IF($B$3="",1E+9,IFERROR(SMALL('仕入請求台帳'!$V$5:$V$504,$K250+1),1E+9))</f>
        <v/>
      </c>
      <c r="N250" s="32">
        <f>IF(MIN($L250,$M250)&gt;=1E+9,"",IF($L250&lt;=$M250,"増","減"))</f>
        <v/>
      </c>
      <c r="O250" s="32">
        <f>IF($N250="","",IF($N250="増",MATCH($L250,'仕入請求台帳'!$U$5:$U$504,0),MATCH($M250,'仕入請求台帳'!$V$5:$V$504,0)))</f>
        <v/>
      </c>
      <c r="P250" s="56" t="n"/>
      <c r="Q250" s="56" t="n"/>
    </row>
    <row r="251" ht="18" customHeight="1">
      <c r="A251" s="45">
        <f>IF($N251="","",IF($N251="増",INDEX('仕入請求台帳'!$S$5:$S$504,$O251),INDEX('仕入請求台帳'!$K$5:$K$504,$O251)))</f>
        <v/>
      </c>
      <c r="B251" s="46">
        <f>IF($N251="","",IF($N251="増","仕入","支払"))</f>
        <v/>
      </c>
      <c r="C251" s="46">
        <f>IF($N251="","",IF($N251="増",INDEX('仕入請求台帳'!$E$5:$E$504,$O251)&amp;"",INDEX('仕入請求台帳'!$E$5:$E$504,$O251)&amp;""))</f>
        <v/>
      </c>
      <c r="D251" s="47">
        <f>IF($N251="","",IF($N251="増",INDEX('仕入請求台帳'!$F$5:$F$504,$O251)&amp;"","支払"))</f>
        <v/>
      </c>
      <c r="E251" s="48">
        <f>IF($N251&lt;&gt;"増","",INDEX('仕入請求台帳'!$G$5:$G$504,$O251))</f>
        <v/>
      </c>
      <c r="F251" s="48">
        <f>IF($N251&lt;&gt;"減","",N(INDEX('仕入請求台帳'!$L$5:$L$504,$O251)))</f>
        <v/>
      </c>
      <c r="G251" s="48">
        <f>IF($N251&lt;&gt;"減","",N(INDEX('仕入請求台帳'!$M$5:$M$504,$O251)))</f>
        <v/>
      </c>
      <c r="H251" s="49">
        <f>IF($N251="","",$H250+N($E251)-N($F251)-N($G251))</f>
        <v/>
      </c>
      <c r="I251" s="56" t="n"/>
      <c r="J251" s="32">
        <f>$J250+IF($N250="増",1,0)</f>
        <v/>
      </c>
      <c r="K251" s="32">
        <f>$K250+IF($N250="減",1,0)</f>
        <v/>
      </c>
      <c r="L251" s="35">
        <f>IF($B$3="",1E+9,IFERROR(SMALL('仕入請求台帳'!$U$5:$U$504,$J251+1),1E+9))</f>
        <v/>
      </c>
      <c r="M251" s="35">
        <f>IF($B$3="",1E+9,IFERROR(SMALL('仕入請求台帳'!$V$5:$V$504,$K251+1),1E+9))</f>
        <v/>
      </c>
      <c r="N251" s="32">
        <f>IF(MIN($L251,$M251)&gt;=1E+9,"",IF($L251&lt;=$M251,"増","減"))</f>
        <v/>
      </c>
      <c r="O251" s="32">
        <f>IF($N251="","",IF($N251="増",MATCH($L251,'仕入請求台帳'!$U$5:$U$504,0),MATCH($M251,'仕入請求台帳'!$V$5:$V$504,0)))</f>
        <v/>
      </c>
      <c r="P251" s="56" t="n"/>
      <c r="Q251" s="56" t="n"/>
    </row>
    <row r="252" ht="18" customHeight="1">
      <c r="A252" s="45">
        <f>IF($N252="","",IF($N252="増",INDEX('仕入請求台帳'!$S$5:$S$504,$O252),INDEX('仕入請求台帳'!$K$5:$K$504,$O252)))</f>
        <v/>
      </c>
      <c r="B252" s="46">
        <f>IF($N252="","",IF($N252="増","仕入","支払"))</f>
        <v/>
      </c>
      <c r="C252" s="46">
        <f>IF($N252="","",IF($N252="増",INDEX('仕入請求台帳'!$E$5:$E$504,$O252)&amp;"",INDEX('仕入請求台帳'!$E$5:$E$504,$O252)&amp;""))</f>
        <v/>
      </c>
      <c r="D252" s="47">
        <f>IF($N252="","",IF($N252="増",INDEX('仕入請求台帳'!$F$5:$F$504,$O252)&amp;"","支払"))</f>
        <v/>
      </c>
      <c r="E252" s="48">
        <f>IF($N252&lt;&gt;"増","",INDEX('仕入請求台帳'!$G$5:$G$504,$O252))</f>
        <v/>
      </c>
      <c r="F252" s="48">
        <f>IF($N252&lt;&gt;"減","",N(INDEX('仕入請求台帳'!$L$5:$L$504,$O252)))</f>
        <v/>
      </c>
      <c r="G252" s="48">
        <f>IF($N252&lt;&gt;"減","",N(INDEX('仕入請求台帳'!$M$5:$M$504,$O252)))</f>
        <v/>
      </c>
      <c r="H252" s="49">
        <f>IF($N252="","",$H251+N($E252)-N($F252)-N($G252))</f>
        <v/>
      </c>
      <c r="I252" s="56" t="n"/>
      <c r="J252" s="32">
        <f>$J251+IF($N251="増",1,0)</f>
        <v/>
      </c>
      <c r="K252" s="32">
        <f>$K251+IF($N251="減",1,0)</f>
        <v/>
      </c>
      <c r="L252" s="35">
        <f>IF($B$3="",1E+9,IFERROR(SMALL('仕入請求台帳'!$U$5:$U$504,$J252+1),1E+9))</f>
        <v/>
      </c>
      <c r="M252" s="35">
        <f>IF($B$3="",1E+9,IFERROR(SMALL('仕入請求台帳'!$V$5:$V$504,$K252+1),1E+9))</f>
        <v/>
      </c>
      <c r="N252" s="32">
        <f>IF(MIN($L252,$M252)&gt;=1E+9,"",IF($L252&lt;=$M252,"増","減"))</f>
        <v/>
      </c>
      <c r="O252" s="32">
        <f>IF($N252="","",IF($N252="増",MATCH($L252,'仕入請求台帳'!$U$5:$U$504,0),MATCH($M252,'仕入請求台帳'!$V$5:$V$504,0)))</f>
        <v/>
      </c>
      <c r="P252" s="56" t="n"/>
      <c r="Q252" s="56" t="n"/>
    </row>
    <row r="253" ht="18" customHeight="1">
      <c r="A253" s="45">
        <f>IF($N253="","",IF($N253="増",INDEX('仕入請求台帳'!$S$5:$S$504,$O253),INDEX('仕入請求台帳'!$K$5:$K$504,$O253)))</f>
        <v/>
      </c>
      <c r="B253" s="46">
        <f>IF($N253="","",IF($N253="増","仕入","支払"))</f>
        <v/>
      </c>
      <c r="C253" s="46">
        <f>IF($N253="","",IF($N253="増",INDEX('仕入請求台帳'!$E$5:$E$504,$O253)&amp;"",INDEX('仕入請求台帳'!$E$5:$E$504,$O253)&amp;""))</f>
        <v/>
      </c>
      <c r="D253" s="47">
        <f>IF($N253="","",IF($N253="増",INDEX('仕入請求台帳'!$F$5:$F$504,$O253)&amp;"","支払"))</f>
        <v/>
      </c>
      <c r="E253" s="48">
        <f>IF($N253&lt;&gt;"増","",INDEX('仕入請求台帳'!$G$5:$G$504,$O253))</f>
        <v/>
      </c>
      <c r="F253" s="48">
        <f>IF($N253&lt;&gt;"減","",N(INDEX('仕入請求台帳'!$L$5:$L$504,$O253)))</f>
        <v/>
      </c>
      <c r="G253" s="48">
        <f>IF($N253&lt;&gt;"減","",N(INDEX('仕入請求台帳'!$M$5:$M$504,$O253)))</f>
        <v/>
      </c>
      <c r="H253" s="49">
        <f>IF($N253="","",$H252+N($E253)-N($F253)-N($G253))</f>
        <v/>
      </c>
      <c r="I253" s="56" t="n"/>
      <c r="J253" s="32">
        <f>$J252+IF($N252="増",1,0)</f>
        <v/>
      </c>
      <c r="K253" s="32">
        <f>$K252+IF($N252="減",1,0)</f>
        <v/>
      </c>
      <c r="L253" s="35">
        <f>IF($B$3="",1E+9,IFERROR(SMALL('仕入請求台帳'!$U$5:$U$504,$J253+1),1E+9))</f>
        <v/>
      </c>
      <c r="M253" s="35">
        <f>IF($B$3="",1E+9,IFERROR(SMALL('仕入請求台帳'!$V$5:$V$504,$K253+1),1E+9))</f>
        <v/>
      </c>
      <c r="N253" s="32">
        <f>IF(MIN($L253,$M253)&gt;=1E+9,"",IF($L253&lt;=$M253,"増","減"))</f>
        <v/>
      </c>
      <c r="O253" s="32">
        <f>IF($N253="","",IF($N253="増",MATCH($L253,'仕入請求台帳'!$U$5:$U$504,0),MATCH($M253,'仕入請求台帳'!$V$5:$V$504,0)))</f>
        <v/>
      </c>
      <c r="P253" s="56" t="n"/>
      <c r="Q253" s="56" t="n"/>
    </row>
    <row r="254" ht="18" customHeight="1">
      <c r="A254" s="45">
        <f>IF($N254="","",IF($N254="増",INDEX('仕入請求台帳'!$S$5:$S$504,$O254),INDEX('仕入請求台帳'!$K$5:$K$504,$O254)))</f>
        <v/>
      </c>
      <c r="B254" s="46">
        <f>IF($N254="","",IF($N254="増","仕入","支払"))</f>
        <v/>
      </c>
      <c r="C254" s="46">
        <f>IF($N254="","",IF($N254="増",INDEX('仕入請求台帳'!$E$5:$E$504,$O254)&amp;"",INDEX('仕入請求台帳'!$E$5:$E$504,$O254)&amp;""))</f>
        <v/>
      </c>
      <c r="D254" s="47">
        <f>IF($N254="","",IF($N254="増",INDEX('仕入請求台帳'!$F$5:$F$504,$O254)&amp;"","支払"))</f>
        <v/>
      </c>
      <c r="E254" s="48">
        <f>IF($N254&lt;&gt;"増","",INDEX('仕入請求台帳'!$G$5:$G$504,$O254))</f>
        <v/>
      </c>
      <c r="F254" s="48">
        <f>IF($N254&lt;&gt;"減","",N(INDEX('仕入請求台帳'!$L$5:$L$504,$O254)))</f>
        <v/>
      </c>
      <c r="G254" s="48">
        <f>IF($N254&lt;&gt;"減","",N(INDEX('仕入請求台帳'!$M$5:$M$504,$O254)))</f>
        <v/>
      </c>
      <c r="H254" s="49">
        <f>IF($N254="","",$H253+N($E254)-N($F254)-N($G254))</f>
        <v/>
      </c>
      <c r="I254" s="56" t="n"/>
      <c r="J254" s="32">
        <f>$J253+IF($N253="増",1,0)</f>
        <v/>
      </c>
      <c r="K254" s="32">
        <f>$K253+IF($N253="減",1,0)</f>
        <v/>
      </c>
      <c r="L254" s="35">
        <f>IF($B$3="",1E+9,IFERROR(SMALL('仕入請求台帳'!$U$5:$U$504,$J254+1),1E+9))</f>
        <v/>
      </c>
      <c r="M254" s="35">
        <f>IF($B$3="",1E+9,IFERROR(SMALL('仕入請求台帳'!$V$5:$V$504,$K254+1),1E+9))</f>
        <v/>
      </c>
      <c r="N254" s="32">
        <f>IF(MIN($L254,$M254)&gt;=1E+9,"",IF($L254&lt;=$M254,"増","減"))</f>
        <v/>
      </c>
      <c r="O254" s="32">
        <f>IF($N254="","",IF($N254="増",MATCH($L254,'仕入請求台帳'!$U$5:$U$504,0),MATCH($M254,'仕入請求台帳'!$V$5:$V$504,0)))</f>
        <v/>
      </c>
      <c r="P254" s="56" t="n"/>
      <c r="Q254" s="56" t="n"/>
    </row>
    <row r="255" ht="18" customHeight="1">
      <c r="A255" s="45">
        <f>IF($N255="","",IF($N255="増",INDEX('仕入請求台帳'!$S$5:$S$504,$O255),INDEX('仕入請求台帳'!$K$5:$K$504,$O255)))</f>
        <v/>
      </c>
      <c r="B255" s="46">
        <f>IF($N255="","",IF($N255="増","仕入","支払"))</f>
        <v/>
      </c>
      <c r="C255" s="46">
        <f>IF($N255="","",IF($N255="増",INDEX('仕入請求台帳'!$E$5:$E$504,$O255)&amp;"",INDEX('仕入請求台帳'!$E$5:$E$504,$O255)&amp;""))</f>
        <v/>
      </c>
      <c r="D255" s="47">
        <f>IF($N255="","",IF($N255="増",INDEX('仕入請求台帳'!$F$5:$F$504,$O255)&amp;"","支払"))</f>
        <v/>
      </c>
      <c r="E255" s="48">
        <f>IF($N255&lt;&gt;"増","",INDEX('仕入請求台帳'!$G$5:$G$504,$O255))</f>
        <v/>
      </c>
      <c r="F255" s="48">
        <f>IF($N255&lt;&gt;"減","",N(INDEX('仕入請求台帳'!$L$5:$L$504,$O255)))</f>
        <v/>
      </c>
      <c r="G255" s="48">
        <f>IF($N255&lt;&gt;"減","",N(INDEX('仕入請求台帳'!$M$5:$M$504,$O255)))</f>
        <v/>
      </c>
      <c r="H255" s="49">
        <f>IF($N255="","",$H254+N($E255)-N($F255)-N($G255))</f>
        <v/>
      </c>
      <c r="I255" s="56" t="n"/>
      <c r="J255" s="32">
        <f>$J254+IF($N254="増",1,0)</f>
        <v/>
      </c>
      <c r="K255" s="32">
        <f>$K254+IF($N254="減",1,0)</f>
        <v/>
      </c>
      <c r="L255" s="35">
        <f>IF($B$3="",1E+9,IFERROR(SMALL('仕入請求台帳'!$U$5:$U$504,$J255+1),1E+9))</f>
        <v/>
      </c>
      <c r="M255" s="35">
        <f>IF($B$3="",1E+9,IFERROR(SMALL('仕入請求台帳'!$V$5:$V$504,$K255+1),1E+9))</f>
        <v/>
      </c>
      <c r="N255" s="32">
        <f>IF(MIN($L255,$M255)&gt;=1E+9,"",IF($L255&lt;=$M255,"増","減"))</f>
        <v/>
      </c>
      <c r="O255" s="32">
        <f>IF($N255="","",IF($N255="増",MATCH($L255,'仕入請求台帳'!$U$5:$U$504,0),MATCH($M255,'仕入請求台帳'!$V$5:$V$504,0)))</f>
        <v/>
      </c>
      <c r="P255" s="56" t="n"/>
      <c r="Q255" s="56" t="n"/>
    </row>
    <row r="256" ht="18" customHeight="1">
      <c r="A256" s="45">
        <f>IF($N256="","",IF($N256="増",INDEX('仕入請求台帳'!$S$5:$S$504,$O256),INDEX('仕入請求台帳'!$K$5:$K$504,$O256)))</f>
        <v/>
      </c>
      <c r="B256" s="46">
        <f>IF($N256="","",IF($N256="増","仕入","支払"))</f>
        <v/>
      </c>
      <c r="C256" s="46">
        <f>IF($N256="","",IF($N256="増",INDEX('仕入請求台帳'!$E$5:$E$504,$O256)&amp;"",INDEX('仕入請求台帳'!$E$5:$E$504,$O256)&amp;""))</f>
        <v/>
      </c>
      <c r="D256" s="47">
        <f>IF($N256="","",IF($N256="増",INDEX('仕入請求台帳'!$F$5:$F$504,$O256)&amp;"","支払"))</f>
        <v/>
      </c>
      <c r="E256" s="48">
        <f>IF($N256&lt;&gt;"増","",INDEX('仕入請求台帳'!$G$5:$G$504,$O256))</f>
        <v/>
      </c>
      <c r="F256" s="48">
        <f>IF($N256&lt;&gt;"減","",N(INDEX('仕入請求台帳'!$L$5:$L$504,$O256)))</f>
        <v/>
      </c>
      <c r="G256" s="48">
        <f>IF($N256&lt;&gt;"減","",N(INDEX('仕入請求台帳'!$M$5:$M$504,$O256)))</f>
        <v/>
      </c>
      <c r="H256" s="49">
        <f>IF($N256="","",$H255+N($E256)-N($F256)-N($G256))</f>
        <v/>
      </c>
      <c r="I256" s="56" t="n"/>
      <c r="J256" s="32">
        <f>$J255+IF($N255="増",1,0)</f>
        <v/>
      </c>
      <c r="K256" s="32">
        <f>$K255+IF($N255="減",1,0)</f>
        <v/>
      </c>
      <c r="L256" s="35">
        <f>IF($B$3="",1E+9,IFERROR(SMALL('仕入請求台帳'!$U$5:$U$504,$J256+1),1E+9))</f>
        <v/>
      </c>
      <c r="M256" s="35">
        <f>IF($B$3="",1E+9,IFERROR(SMALL('仕入請求台帳'!$V$5:$V$504,$K256+1),1E+9))</f>
        <v/>
      </c>
      <c r="N256" s="32">
        <f>IF(MIN($L256,$M256)&gt;=1E+9,"",IF($L256&lt;=$M256,"増","減"))</f>
        <v/>
      </c>
      <c r="O256" s="32">
        <f>IF($N256="","",IF($N256="増",MATCH($L256,'仕入請求台帳'!$U$5:$U$504,0),MATCH($M256,'仕入請求台帳'!$V$5:$V$504,0)))</f>
        <v/>
      </c>
      <c r="P256" s="56" t="n"/>
      <c r="Q256" s="56" t="n"/>
    </row>
    <row r="257" ht="18" customHeight="1">
      <c r="A257" s="45">
        <f>IF($N257="","",IF($N257="増",INDEX('仕入請求台帳'!$S$5:$S$504,$O257),INDEX('仕入請求台帳'!$K$5:$K$504,$O257)))</f>
        <v/>
      </c>
      <c r="B257" s="46">
        <f>IF($N257="","",IF($N257="増","仕入","支払"))</f>
        <v/>
      </c>
      <c r="C257" s="46">
        <f>IF($N257="","",IF($N257="増",INDEX('仕入請求台帳'!$E$5:$E$504,$O257)&amp;"",INDEX('仕入請求台帳'!$E$5:$E$504,$O257)&amp;""))</f>
        <v/>
      </c>
      <c r="D257" s="47">
        <f>IF($N257="","",IF($N257="増",INDEX('仕入請求台帳'!$F$5:$F$504,$O257)&amp;"","支払"))</f>
        <v/>
      </c>
      <c r="E257" s="48">
        <f>IF($N257&lt;&gt;"増","",INDEX('仕入請求台帳'!$G$5:$G$504,$O257))</f>
        <v/>
      </c>
      <c r="F257" s="48">
        <f>IF($N257&lt;&gt;"減","",N(INDEX('仕入請求台帳'!$L$5:$L$504,$O257)))</f>
        <v/>
      </c>
      <c r="G257" s="48">
        <f>IF($N257&lt;&gt;"減","",N(INDEX('仕入請求台帳'!$M$5:$M$504,$O257)))</f>
        <v/>
      </c>
      <c r="H257" s="49">
        <f>IF($N257="","",$H256+N($E257)-N($F257)-N($G257))</f>
        <v/>
      </c>
      <c r="I257" s="56" t="n"/>
      <c r="J257" s="32">
        <f>$J256+IF($N256="増",1,0)</f>
        <v/>
      </c>
      <c r="K257" s="32">
        <f>$K256+IF($N256="減",1,0)</f>
        <v/>
      </c>
      <c r="L257" s="35">
        <f>IF($B$3="",1E+9,IFERROR(SMALL('仕入請求台帳'!$U$5:$U$504,$J257+1),1E+9))</f>
        <v/>
      </c>
      <c r="M257" s="35">
        <f>IF($B$3="",1E+9,IFERROR(SMALL('仕入請求台帳'!$V$5:$V$504,$K257+1),1E+9))</f>
        <v/>
      </c>
      <c r="N257" s="32">
        <f>IF(MIN($L257,$M257)&gt;=1E+9,"",IF($L257&lt;=$M257,"増","減"))</f>
        <v/>
      </c>
      <c r="O257" s="32">
        <f>IF($N257="","",IF($N257="増",MATCH($L257,'仕入請求台帳'!$U$5:$U$504,0),MATCH($M257,'仕入請求台帳'!$V$5:$V$504,0)))</f>
        <v/>
      </c>
      <c r="P257" s="56" t="n"/>
      <c r="Q257" s="56" t="n"/>
    </row>
    <row r="258" ht="18" customHeight="1">
      <c r="A258" s="45">
        <f>IF($N258="","",IF($N258="増",INDEX('仕入請求台帳'!$S$5:$S$504,$O258),INDEX('仕入請求台帳'!$K$5:$K$504,$O258)))</f>
        <v/>
      </c>
      <c r="B258" s="46">
        <f>IF($N258="","",IF($N258="増","仕入","支払"))</f>
        <v/>
      </c>
      <c r="C258" s="46">
        <f>IF($N258="","",IF($N258="増",INDEX('仕入請求台帳'!$E$5:$E$504,$O258)&amp;"",INDEX('仕入請求台帳'!$E$5:$E$504,$O258)&amp;""))</f>
        <v/>
      </c>
      <c r="D258" s="47">
        <f>IF($N258="","",IF($N258="増",INDEX('仕入請求台帳'!$F$5:$F$504,$O258)&amp;"","支払"))</f>
        <v/>
      </c>
      <c r="E258" s="48">
        <f>IF($N258&lt;&gt;"増","",INDEX('仕入請求台帳'!$G$5:$G$504,$O258))</f>
        <v/>
      </c>
      <c r="F258" s="48">
        <f>IF($N258&lt;&gt;"減","",N(INDEX('仕入請求台帳'!$L$5:$L$504,$O258)))</f>
        <v/>
      </c>
      <c r="G258" s="48">
        <f>IF($N258&lt;&gt;"減","",N(INDEX('仕入請求台帳'!$M$5:$M$504,$O258)))</f>
        <v/>
      </c>
      <c r="H258" s="49">
        <f>IF($N258="","",$H257+N($E258)-N($F258)-N($G258))</f>
        <v/>
      </c>
      <c r="I258" s="56" t="n"/>
      <c r="J258" s="32">
        <f>$J257+IF($N257="増",1,0)</f>
        <v/>
      </c>
      <c r="K258" s="32">
        <f>$K257+IF($N257="減",1,0)</f>
        <v/>
      </c>
      <c r="L258" s="35">
        <f>IF($B$3="",1E+9,IFERROR(SMALL('仕入請求台帳'!$U$5:$U$504,$J258+1),1E+9))</f>
        <v/>
      </c>
      <c r="M258" s="35">
        <f>IF($B$3="",1E+9,IFERROR(SMALL('仕入請求台帳'!$V$5:$V$504,$K258+1),1E+9))</f>
        <v/>
      </c>
      <c r="N258" s="32">
        <f>IF(MIN($L258,$M258)&gt;=1E+9,"",IF($L258&lt;=$M258,"増","減"))</f>
        <v/>
      </c>
      <c r="O258" s="32">
        <f>IF($N258="","",IF($N258="増",MATCH($L258,'仕入請求台帳'!$U$5:$U$504,0),MATCH($M258,'仕入請求台帳'!$V$5:$V$504,0)))</f>
        <v/>
      </c>
      <c r="P258" s="56" t="n"/>
      <c r="Q258" s="56" t="n"/>
    </row>
    <row r="259" ht="18" customHeight="1">
      <c r="A259" s="45">
        <f>IF($N259="","",IF($N259="増",INDEX('仕入請求台帳'!$S$5:$S$504,$O259),INDEX('仕入請求台帳'!$K$5:$K$504,$O259)))</f>
        <v/>
      </c>
      <c r="B259" s="46">
        <f>IF($N259="","",IF($N259="増","仕入","支払"))</f>
        <v/>
      </c>
      <c r="C259" s="46">
        <f>IF($N259="","",IF($N259="増",INDEX('仕入請求台帳'!$E$5:$E$504,$O259)&amp;"",INDEX('仕入請求台帳'!$E$5:$E$504,$O259)&amp;""))</f>
        <v/>
      </c>
      <c r="D259" s="47">
        <f>IF($N259="","",IF($N259="増",INDEX('仕入請求台帳'!$F$5:$F$504,$O259)&amp;"","支払"))</f>
        <v/>
      </c>
      <c r="E259" s="48">
        <f>IF($N259&lt;&gt;"増","",INDEX('仕入請求台帳'!$G$5:$G$504,$O259))</f>
        <v/>
      </c>
      <c r="F259" s="48">
        <f>IF($N259&lt;&gt;"減","",N(INDEX('仕入請求台帳'!$L$5:$L$504,$O259)))</f>
        <v/>
      </c>
      <c r="G259" s="48">
        <f>IF($N259&lt;&gt;"減","",N(INDEX('仕入請求台帳'!$M$5:$M$504,$O259)))</f>
        <v/>
      </c>
      <c r="H259" s="49">
        <f>IF($N259="","",$H258+N($E259)-N($F259)-N($G259))</f>
        <v/>
      </c>
      <c r="I259" s="56" t="n"/>
      <c r="J259" s="32">
        <f>$J258+IF($N258="増",1,0)</f>
        <v/>
      </c>
      <c r="K259" s="32">
        <f>$K258+IF($N258="減",1,0)</f>
        <v/>
      </c>
      <c r="L259" s="35">
        <f>IF($B$3="",1E+9,IFERROR(SMALL('仕入請求台帳'!$U$5:$U$504,$J259+1),1E+9))</f>
        <v/>
      </c>
      <c r="M259" s="35">
        <f>IF($B$3="",1E+9,IFERROR(SMALL('仕入請求台帳'!$V$5:$V$504,$K259+1),1E+9))</f>
        <v/>
      </c>
      <c r="N259" s="32">
        <f>IF(MIN($L259,$M259)&gt;=1E+9,"",IF($L259&lt;=$M259,"増","減"))</f>
        <v/>
      </c>
      <c r="O259" s="32">
        <f>IF($N259="","",IF($N259="増",MATCH($L259,'仕入請求台帳'!$U$5:$U$504,0),MATCH($M259,'仕入請求台帳'!$V$5:$V$504,0)))</f>
        <v/>
      </c>
      <c r="P259" s="56" t="n"/>
      <c r="Q259" s="56" t="n"/>
    </row>
    <row r="260" ht="18" customHeight="1">
      <c r="A260" s="45">
        <f>IF($N260="","",IF($N260="増",INDEX('仕入請求台帳'!$S$5:$S$504,$O260),INDEX('仕入請求台帳'!$K$5:$K$504,$O260)))</f>
        <v/>
      </c>
      <c r="B260" s="46">
        <f>IF($N260="","",IF($N260="増","仕入","支払"))</f>
        <v/>
      </c>
      <c r="C260" s="46">
        <f>IF($N260="","",IF($N260="増",INDEX('仕入請求台帳'!$E$5:$E$504,$O260)&amp;"",INDEX('仕入請求台帳'!$E$5:$E$504,$O260)&amp;""))</f>
        <v/>
      </c>
      <c r="D260" s="47">
        <f>IF($N260="","",IF($N260="増",INDEX('仕入請求台帳'!$F$5:$F$504,$O260)&amp;"","支払"))</f>
        <v/>
      </c>
      <c r="E260" s="48">
        <f>IF($N260&lt;&gt;"増","",INDEX('仕入請求台帳'!$G$5:$G$504,$O260))</f>
        <v/>
      </c>
      <c r="F260" s="48">
        <f>IF($N260&lt;&gt;"減","",N(INDEX('仕入請求台帳'!$L$5:$L$504,$O260)))</f>
        <v/>
      </c>
      <c r="G260" s="48">
        <f>IF($N260&lt;&gt;"減","",N(INDEX('仕入請求台帳'!$M$5:$M$504,$O260)))</f>
        <v/>
      </c>
      <c r="H260" s="49">
        <f>IF($N260="","",$H259+N($E260)-N($F260)-N($G260))</f>
        <v/>
      </c>
      <c r="I260" s="56" t="n"/>
      <c r="J260" s="32">
        <f>$J259+IF($N259="増",1,0)</f>
        <v/>
      </c>
      <c r="K260" s="32">
        <f>$K259+IF($N259="減",1,0)</f>
        <v/>
      </c>
      <c r="L260" s="35">
        <f>IF($B$3="",1E+9,IFERROR(SMALL('仕入請求台帳'!$U$5:$U$504,$J260+1),1E+9))</f>
        <v/>
      </c>
      <c r="M260" s="35">
        <f>IF($B$3="",1E+9,IFERROR(SMALL('仕入請求台帳'!$V$5:$V$504,$K260+1),1E+9))</f>
        <v/>
      </c>
      <c r="N260" s="32">
        <f>IF(MIN($L260,$M260)&gt;=1E+9,"",IF($L260&lt;=$M260,"増","減"))</f>
        <v/>
      </c>
      <c r="O260" s="32">
        <f>IF($N260="","",IF($N260="増",MATCH($L260,'仕入請求台帳'!$U$5:$U$504,0),MATCH($M260,'仕入請求台帳'!$V$5:$V$504,0)))</f>
        <v/>
      </c>
      <c r="P260" s="56" t="n"/>
      <c r="Q260" s="56" t="n"/>
    </row>
    <row r="261" ht="18" customHeight="1">
      <c r="A261" s="45">
        <f>IF($N261="","",IF($N261="増",INDEX('仕入請求台帳'!$S$5:$S$504,$O261),INDEX('仕入請求台帳'!$K$5:$K$504,$O261)))</f>
        <v/>
      </c>
      <c r="B261" s="46">
        <f>IF($N261="","",IF($N261="増","仕入","支払"))</f>
        <v/>
      </c>
      <c r="C261" s="46">
        <f>IF($N261="","",IF($N261="増",INDEX('仕入請求台帳'!$E$5:$E$504,$O261)&amp;"",INDEX('仕入請求台帳'!$E$5:$E$504,$O261)&amp;""))</f>
        <v/>
      </c>
      <c r="D261" s="47">
        <f>IF($N261="","",IF($N261="増",INDEX('仕入請求台帳'!$F$5:$F$504,$O261)&amp;"","支払"))</f>
        <v/>
      </c>
      <c r="E261" s="48">
        <f>IF($N261&lt;&gt;"増","",INDEX('仕入請求台帳'!$G$5:$G$504,$O261))</f>
        <v/>
      </c>
      <c r="F261" s="48">
        <f>IF($N261&lt;&gt;"減","",N(INDEX('仕入請求台帳'!$L$5:$L$504,$O261)))</f>
        <v/>
      </c>
      <c r="G261" s="48">
        <f>IF($N261&lt;&gt;"減","",N(INDEX('仕入請求台帳'!$M$5:$M$504,$O261)))</f>
        <v/>
      </c>
      <c r="H261" s="49">
        <f>IF($N261="","",$H260+N($E261)-N($F261)-N($G261))</f>
        <v/>
      </c>
      <c r="I261" s="56" t="n"/>
      <c r="J261" s="32">
        <f>$J260+IF($N260="増",1,0)</f>
        <v/>
      </c>
      <c r="K261" s="32">
        <f>$K260+IF($N260="減",1,0)</f>
        <v/>
      </c>
      <c r="L261" s="35">
        <f>IF($B$3="",1E+9,IFERROR(SMALL('仕入請求台帳'!$U$5:$U$504,$J261+1),1E+9))</f>
        <v/>
      </c>
      <c r="M261" s="35">
        <f>IF($B$3="",1E+9,IFERROR(SMALL('仕入請求台帳'!$V$5:$V$504,$K261+1),1E+9))</f>
        <v/>
      </c>
      <c r="N261" s="32">
        <f>IF(MIN($L261,$M261)&gt;=1E+9,"",IF($L261&lt;=$M261,"増","減"))</f>
        <v/>
      </c>
      <c r="O261" s="32">
        <f>IF($N261="","",IF($N261="増",MATCH($L261,'仕入請求台帳'!$U$5:$U$504,0),MATCH($M261,'仕入請求台帳'!$V$5:$V$504,0)))</f>
        <v/>
      </c>
      <c r="P261" s="56" t="n"/>
      <c r="Q261" s="56" t="n"/>
    </row>
    <row r="262" ht="18" customHeight="1">
      <c r="A262" s="45">
        <f>IF($N262="","",IF($N262="増",INDEX('仕入請求台帳'!$S$5:$S$504,$O262),INDEX('仕入請求台帳'!$K$5:$K$504,$O262)))</f>
        <v/>
      </c>
      <c r="B262" s="46">
        <f>IF($N262="","",IF($N262="増","仕入","支払"))</f>
        <v/>
      </c>
      <c r="C262" s="46">
        <f>IF($N262="","",IF($N262="増",INDEX('仕入請求台帳'!$E$5:$E$504,$O262)&amp;"",INDEX('仕入請求台帳'!$E$5:$E$504,$O262)&amp;""))</f>
        <v/>
      </c>
      <c r="D262" s="47">
        <f>IF($N262="","",IF($N262="増",INDEX('仕入請求台帳'!$F$5:$F$504,$O262)&amp;"","支払"))</f>
        <v/>
      </c>
      <c r="E262" s="48">
        <f>IF($N262&lt;&gt;"増","",INDEX('仕入請求台帳'!$G$5:$G$504,$O262))</f>
        <v/>
      </c>
      <c r="F262" s="48">
        <f>IF($N262&lt;&gt;"減","",N(INDEX('仕入請求台帳'!$L$5:$L$504,$O262)))</f>
        <v/>
      </c>
      <c r="G262" s="48">
        <f>IF($N262&lt;&gt;"減","",N(INDEX('仕入請求台帳'!$M$5:$M$504,$O262)))</f>
        <v/>
      </c>
      <c r="H262" s="49">
        <f>IF($N262="","",$H261+N($E262)-N($F262)-N($G262))</f>
        <v/>
      </c>
      <c r="I262" s="56" t="n"/>
      <c r="J262" s="32">
        <f>$J261+IF($N261="増",1,0)</f>
        <v/>
      </c>
      <c r="K262" s="32">
        <f>$K261+IF($N261="減",1,0)</f>
        <v/>
      </c>
      <c r="L262" s="35">
        <f>IF($B$3="",1E+9,IFERROR(SMALL('仕入請求台帳'!$U$5:$U$504,$J262+1),1E+9))</f>
        <v/>
      </c>
      <c r="M262" s="35">
        <f>IF($B$3="",1E+9,IFERROR(SMALL('仕入請求台帳'!$V$5:$V$504,$K262+1),1E+9))</f>
        <v/>
      </c>
      <c r="N262" s="32">
        <f>IF(MIN($L262,$M262)&gt;=1E+9,"",IF($L262&lt;=$M262,"増","減"))</f>
        <v/>
      </c>
      <c r="O262" s="32">
        <f>IF($N262="","",IF($N262="増",MATCH($L262,'仕入請求台帳'!$U$5:$U$504,0),MATCH($M262,'仕入請求台帳'!$V$5:$V$504,0)))</f>
        <v/>
      </c>
      <c r="P262" s="56" t="n"/>
      <c r="Q262" s="56" t="n"/>
    </row>
    <row r="263" ht="18" customHeight="1">
      <c r="A263" s="45">
        <f>IF($N263="","",IF($N263="増",INDEX('仕入請求台帳'!$S$5:$S$504,$O263),INDEX('仕入請求台帳'!$K$5:$K$504,$O263)))</f>
        <v/>
      </c>
      <c r="B263" s="46">
        <f>IF($N263="","",IF($N263="増","仕入","支払"))</f>
        <v/>
      </c>
      <c r="C263" s="46">
        <f>IF($N263="","",IF($N263="増",INDEX('仕入請求台帳'!$E$5:$E$504,$O263)&amp;"",INDEX('仕入請求台帳'!$E$5:$E$504,$O263)&amp;""))</f>
        <v/>
      </c>
      <c r="D263" s="47">
        <f>IF($N263="","",IF($N263="増",INDEX('仕入請求台帳'!$F$5:$F$504,$O263)&amp;"","支払"))</f>
        <v/>
      </c>
      <c r="E263" s="48">
        <f>IF($N263&lt;&gt;"増","",INDEX('仕入請求台帳'!$G$5:$G$504,$O263))</f>
        <v/>
      </c>
      <c r="F263" s="48">
        <f>IF($N263&lt;&gt;"減","",N(INDEX('仕入請求台帳'!$L$5:$L$504,$O263)))</f>
        <v/>
      </c>
      <c r="G263" s="48">
        <f>IF($N263&lt;&gt;"減","",N(INDEX('仕入請求台帳'!$M$5:$M$504,$O263)))</f>
        <v/>
      </c>
      <c r="H263" s="49">
        <f>IF($N263="","",$H262+N($E263)-N($F263)-N($G263))</f>
        <v/>
      </c>
      <c r="I263" s="56" t="n"/>
      <c r="J263" s="32">
        <f>$J262+IF($N262="増",1,0)</f>
        <v/>
      </c>
      <c r="K263" s="32">
        <f>$K262+IF($N262="減",1,0)</f>
        <v/>
      </c>
      <c r="L263" s="35">
        <f>IF($B$3="",1E+9,IFERROR(SMALL('仕入請求台帳'!$U$5:$U$504,$J263+1),1E+9))</f>
        <v/>
      </c>
      <c r="M263" s="35">
        <f>IF($B$3="",1E+9,IFERROR(SMALL('仕入請求台帳'!$V$5:$V$504,$K263+1),1E+9))</f>
        <v/>
      </c>
      <c r="N263" s="32">
        <f>IF(MIN($L263,$M263)&gt;=1E+9,"",IF($L263&lt;=$M263,"増","減"))</f>
        <v/>
      </c>
      <c r="O263" s="32">
        <f>IF($N263="","",IF($N263="増",MATCH($L263,'仕入請求台帳'!$U$5:$U$504,0),MATCH($M263,'仕入請求台帳'!$V$5:$V$504,0)))</f>
        <v/>
      </c>
      <c r="P263" s="56" t="n"/>
      <c r="Q263" s="56" t="n"/>
    </row>
    <row r="264" ht="18" customHeight="1">
      <c r="A264" s="45">
        <f>IF($N264="","",IF($N264="増",INDEX('仕入請求台帳'!$S$5:$S$504,$O264),INDEX('仕入請求台帳'!$K$5:$K$504,$O264)))</f>
        <v/>
      </c>
      <c r="B264" s="46">
        <f>IF($N264="","",IF($N264="増","仕入","支払"))</f>
        <v/>
      </c>
      <c r="C264" s="46">
        <f>IF($N264="","",IF($N264="増",INDEX('仕入請求台帳'!$E$5:$E$504,$O264)&amp;"",INDEX('仕入請求台帳'!$E$5:$E$504,$O264)&amp;""))</f>
        <v/>
      </c>
      <c r="D264" s="47">
        <f>IF($N264="","",IF($N264="増",INDEX('仕入請求台帳'!$F$5:$F$504,$O264)&amp;"","支払"))</f>
        <v/>
      </c>
      <c r="E264" s="48">
        <f>IF($N264&lt;&gt;"増","",INDEX('仕入請求台帳'!$G$5:$G$504,$O264))</f>
        <v/>
      </c>
      <c r="F264" s="48">
        <f>IF($N264&lt;&gt;"減","",N(INDEX('仕入請求台帳'!$L$5:$L$504,$O264)))</f>
        <v/>
      </c>
      <c r="G264" s="48">
        <f>IF($N264&lt;&gt;"減","",N(INDEX('仕入請求台帳'!$M$5:$M$504,$O264)))</f>
        <v/>
      </c>
      <c r="H264" s="49">
        <f>IF($N264="","",$H263+N($E264)-N($F264)-N($G264))</f>
        <v/>
      </c>
      <c r="I264" s="56" t="n"/>
      <c r="J264" s="32">
        <f>$J263+IF($N263="増",1,0)</f>
        <v/>
      </c>
      <c r="K264" s="32">
        <f>$K263+IF($N263="減",1,0)</f>
        <v/>
      </c>
      <c r="L264" s="35">
        <f>IF($B$3="",1E+9,IFERROR(SMALL('仕入請求台帳'!$U$5:$U$504,$J264+1),1E+9))</f>
        <v/>
      </c>
      <c r="M264" s="35">
        <f>IF($B$3="",1E+9,IFERROR(SMALL('仕入請求台帳'!$V$5:$V$504,$K264+1),1E+9))</f>
        <v/>
      </c>
      <c r="N264" s="32">
        <f>IF(MIN($L264,$M264)&gt;=1E+9,"",IF($L264&lt;=$M264,"増","減"))</f>
        <v/>
      </c>
      <c r="O264" s="32">
        <f>IF($N264="","",IF($N264="増",MATCH($L264,'仕入請求台帳'!$U$5:$U$504,0),MATCH($M264,'仕入請求台帳'!$V$5:$V$504,0)))</f>
        <v/>
      </c>
      <c r="P264" s="56" t="n"/>
      <c r="Q264" s="56" t="n"/>
    </row>
    <row r="265" ht="18" customHeight="1">
      <c r="A265" s="45">
        <f>IF($N265="","",IF($N265="増",INDEX('仕入請求台帳'!$S$5:$S$504,$O265),INDEX('仕入請求台帳'!$K$5:$K$504,$O265)))</f>
        <v/>
      </c>
      <c r="B265" s="46">
        <f>IF($N265="","",IF($N265="増","仕入","支払"))</f>
        <v/>
      </c>
      <c r="C265" s="46">
        <f>IF($N265="","",IF($N265="増",INDEX('仕入請求台帳'!$E$5:$E$504,$O265)&amp;"",INDEX('仕入請求台帳'!$E$5:$E$504,$O265)&amp;""))</f>
        <v/>
      </c>
      <c r="D265" s="47">
        <f>IF($N265="","",IF($N265="増",INDEX('仕入請求台帳'!$F$5:$F$504,$O265)&amp;"","支払"))</f>
        <v/>
      </c>
      <c r="E265" s="48">
        <f>IF($N265&lt;&gt;"増","",INDEX('仕入請求台帳'!$G$5:$G$504,$O265))</f>
        <v/>
      </c>
      <c r="F265" s="48">
        <f>IF($N265&lt;&gt;"減","",N(INDEX('仕入請求台帳'!$L$5:$L$504,$O265)))</f>
        <v/>
      </c>
      <c r="G265" s="48">
        <f>IF($N265&lt;&gt;"減","",N(INDEX('仕入請求台帳'!$M$5:$M$504,$O265)))</f>
        <v/>
      </c>
      <c r="H265" s="49">
        <f>IF($N265="","",$H264+N($E265)-N($F265)-N($G265))</f>
        <v/>
      </c>
      <c r="I265" s="56" t="n"/>
      <c r="J265" s="32">
        <f>$J264+IF($N264="増",1,0)</f>
        <v/>
      </c>
      <c r="K265" s="32">
        <f>$K264+IF($N264="減",1,0)</f>
        <v/>
      </c>
      <c r="L265" s="35">
        <f>IF($B$3="",1E+9,IFERROR(SMALL('仕入請求台帳'!$U$5:$U$504,$J265+1),1E+9))</f>
        <v/>
      </c>
      <c r="M265" s="35">
        <f>IF($B$3="",1E+9,IFERROR(SMALL('仕入請求台帳'!$V$5:$V$504,$K265+1),1E+9))</f>
        <v/>
      </c>
      <c r="N265" s="32">
        <f>IF(MIN($L265,$M265)&gt;=1E+9,"",IF($L265&lt;=$M265,"増","減"))</f>
        <v/>
      </c>
      <c r="O265" s="32">
        <f>IF($N265="","",IF($N265="増",MATCH($L265,'仕入請求台帳'!$U$5:$U$504,0),MATCH($M265,'仕入請求台帳'!$V$5:$V$504,0)))</f>
        <v/>
      </c>
      <c r="P265" s="56" t="n"/>
      <c r="Q265" s="56" t="n"/>
    </row>
    <row r="266" ht="18" customHeight="1">
      <c r="A266" s="45">
        <f>IF($N266="","",IF($N266="増",INDEX('仕入請求台帳'!$S$5:$S$504,$O266),INDEX('仕入請求台帳'!$K$5:$K$504,$O266)))</f>
        <v/>
      </c>
      <c r="B266" s="46">
        <f>IF($N266="","",IF($N266="増","仕入","支払"))</f>
        <v/>
      </c>
      <c r="C266" s="46">
        <f>IF($N266="","",IF($N266="増",INDEX('仕入請求台帳'!$E$5:$E$504,$O266)&amp;"",INDEX('仕入請求台帳'!$E$5:$E$504,$O266)&amp;""))</f>
        <v/>
      </c>
      <c r="D266" s="47">
        <f>IF($N266="","",IF($N266="増",INDEX('仕入請求台帳'!$F$5:$F$504,$O266)&amp;"","支払"))</f>
        <v/>
      </c>
      <c r="E266" s="48">
        <f>IF($N266&lt;&gt;"増","",INDEX('仕入請求台帳'!$G$5:$G$504,$O266))</f>
        <v/>
      </c>
      <c r="F266" s="48">
        <f>IF($N266&lt;&gt;"減","",N(INDEX('仕入請求台帳'!$L$5:$L$504,$O266)))</f>
        <v/>
      </c>
      <c r="G266" s="48">
        <f>IF($N266&lt;&gt;"減","",N(INDEX('仕入請求台帳'!$M$5:$M$504,$O266)))</f>
        <v/>
      </c>
      <c r="H266" s="49">
        <f>IF($N266="","",$H265+N($E266)-N($F266)-N($G266))</f>
        <v/>
      </c>
      <c r="I266" s="56" t="n"/>
      <c r="J266" s="32">
        <f>$J265+IF($N265="増",1,0)</f>
        <v/>
      </c>
      <c r="K266" s="32">
        <f>$K265+IF($N265="減",1,0)</f>
        <v/>
      </c>
      <c r="L266" s="35">
        <f>IF($B$3="",1E+9,IFERROR(SMALL('仕入請求台帳'!$U$5:$U$504,$J266+1),1E+9))</f>
        <v/>
      </c>
      <c r="M266" s="35">
        <f>IF($B$3="",1E+9,IFERROR(SMALL('仕入請求台帳'!$V$5:$V$504,$K266+1),1E+9))</f>
        <v/>
      </c>
      <c r="N266" s="32">
        <f>IF(MIN($L266,$M266)&gt;=1E+9,"",IF($L266&lt;=$M266,"増","減"))</f>
        <v/>
      </c>
      <c r="O266" s="32">
        <f>IF($N266="","",IF($N266="増",MATCH($L266,'仕入請求台帳'!$U$5:$U$504,0),MATCH($M266,'仕入請求台帳'!$V$5:$V$504,0)))</f>
        <v/>
      </c>
      <c r="P266" s="56" t="n"/>
      <c r="Q266" s="56" t="n"/>
    </row>
    <row r="267" ht="18" customHeight="1">
      <c r="A267" s="45">
        <f>IF($N267="","",IF($N267="増",INDEX('仕入請求台帳'!$S$5:$S$504,$O267),INDEX('仕入請求台帳'!$K$5:$K$504,$O267)))</f>
        <v/>
      </c>
      <c r="B267" s="46">
        <f>IF($N267="","",IF($N267="増","仕入","支払"))</f>
        <v/>
      </c>
      <c r="C267" s="46">
        <f>IF($N267="","",IF($N267="増",INDEX('仕入請求台帳'!$E$5:$E$504,$O267)&amp;"",INDEX('仕入請求台帳'!$E$5:$E$504,$O267)&amp;""))</f>
        <v/>
      </c>
      <c r="D267" s="47">
        <f>IF($N267="","",IF($N267="増",INDEX('仕入請求台帳'!$F$5:$F$504,$O267)&amp;"","支払"))</f>
        <v/>
      </c>
      <c r="E267" s="48">
        <f>IF($N267&lt;&gt;"増","",INDEX('仕入請求台帳'!$G$5:$G$504,$O267))</f>
        <v/>
      </c>
      <c r="F267" s="48">
        <f>IF($N267&lt;&gt;"減","",N(INDEX('仕入請求台帳'!$L$5:$L$504,$O267)))</f>
        <v/>
      </c>
      <c r="G267" s="48">
        <f>IF($N267&lt;&gt;"減","",N(INDEX('仕入請求台帳'!$M$5:$M$504,$O267)))</f>
        <v/>
      </c>
      <c r="H267" s="49">
        <f>IF($N267="","",$H266+N($E267)-N($F267)-N($G267))</f>
        <v/>
      </c>
      <c r="I267" s="56" t="n"/>
      <c r="J267" s="32">
        <f>$J266+IF($N266="増",1,0)</f>
        <v/>
      </c>
      <c r="K267" s="32">
        <f>$K266+IF($N266="減",1,0)</f>
        <v/>
      </c>
      <c r="L267" s="35">
        <f>IF($B$3="",1E+9,IFERROR(SMALL('仕入請求台帳'!$U$5:$U$504,$J267+1),1E+9))</f>
        <v/>
      </c>
      <c r="M267" s="35">
        <f>IF($B$3="",1E+9,IFERROR(SMALL('仕入請求台帳'!$V$5:$V$504,$K267+1),1E+9))</f>
        <v/>
      </c>
      <c r="N267" s="32">
        <f>IF(MIN($L267,$M267)&gt;=1E+9,"",IF($L267&lt;=$M267,"増","減"))</f>
        <v/>
      </c>
      <c r="O267" s="32">
        <f>IF($N267="","",IF($N267="増",MATCH($L267,'仕入請求台帳'!$U$5:$U$504,0),MATCH($M267,'仕入請求台帳'!$V$5:$V$504,0)))</f>
        <v/>
      </c>
      <c r="P267" s="56" t="n"/>
      <c r="Q267" s="56" t="n"/>
    </row>
    <row r="268" ht="18" customHeight="1">
      <c r="A268" s="45">
        <f>IF($N268="","",IF($N268="増",INDEX('仕入請求台帳'!$S$5:$S$504,$O268),INDEX('仕入請求台帳'!$K$5:$K$504,$O268)))</f>
        <v/>
      </c>
      <c r="B268" s="46">
        <f>IF($N268="","",IF($N268="増","仕入","支払"))</f>
        <v/>
      </c>
      <c r="C268" s="46">
        <f>IF($N268="","",IF($N268="増",INDEX('仕入請求台帳'!$E$5:$E$504,$O268)&amp;"",INDEX('仕入請求台帳'!$E$5:$E$504,$O268)&amp;""))</f>
        <v/>
      </c>
      <c r="D268" s="47">
        <f>IF($N268="","",IF($N268="増",INDEX('仕入請求台帳'!$F$5:$F$504,$O268)&amp;"","支払"))</f>
        <v/>
      </c>
      <c r="E268" s="48">
        <f>IF($N268&lt;&gt;"増","",INDEX('仕入請求台帳'!$G$5:$G$504,$O268))</f>
        <v/>
      </c>
      <c r="F268" s="48">
        <f>IF($N268&lt;&gt;"減","",N(INDEX('仕入請求台帳'!$L$5:$L$504,$O268)))</f>
        <v/>
      </c>
      <c r="G268" s="48">
        <f>IF($N268&lt;&gt;"減","",N(INDEX('仕入請求台帳'!$M$5:$M$504,$O268)))</f>
        <v/>
      </c>
      <c r="H268" s="49">
        <f>IF($N268="","",$H267+N($E268)-N($F268)-N($G268))</f>
        <v/>
      </c>
      <c r="I268" s="56" t="n"/>
      <c r="J268" s="32">
        <f>$J267+IF($N267="増",1,0)</f>
        <v/>
      </c>
      <c r="K268" s="32">
        <f>$K267+IF($N267="減",1,0)</f>
        <v/>
      </c>
      <c r="L268" s="35">
        <f>IF($B$3="",1E+9,IFERROR(SMALL('仕入請求台帳'!$U$5:$U$504,$J268+1),1E+9))</f>
        <v/>
      </c>
      <c r="M268" s="35">
        <f>IF($B$3="",1E+9,IFERROR(SMALL('仕入請求台帳'!$V$5:$V$504,$K268+1),1E+9))</f>
        <v/>
      </c>
      <c r="N268" s="32">
        <f>IF(MIN($L268,$M268)&gt;=1E+9,"",IF($L268&lt;=$M268,"増","減"))</f>
        <v/>
      </c>
      <c r="O268" s="32">
        <f>IF($N268="","",IF($N268="増",MATCH($L268,'仕入請求台帳'!$U$5:$U$504,0),MATCH($M268,'仕入請求台帳'!$V$5:$V$504,0)))</f>
        <v/>
      </c>
      <c r="P268" s="56" t="n"/>
      <c r="Q268" s="56" t="n"/>
    </row>
    <row r="269" ht="18" customHeight="1">
      <c r="A269" s="45">
        <f>IF($N269="","",IF($N269="増",INDEX('仕入請求台帳'!$S$5:$S$504,$O269),INDEX('仕入請求台帳'!$K$5:$K$504,$O269)))</f>
        <v/>
      </c>
      <c r="B269" s="46">
        <f>IF($N269="","",IF($N269="増","仕入","支払"))</f>
        <v/>
      </c>
      <c r="C269" s="46">
        <f>IF($N269="","",IF($N269="増",INDEX('仕入請求台帳'!$E$5:$E$504,$O269)&amp;"",INDEX('仕入請求台帳'!$E$5:$E$504,$O269)&amp;""))</f>
        <v/>
      </c>
      <c r="D269" s="47">
        <f>IF($N269="","",IF($N269="増",INDEX('仕入請求台帳'!$F$5:$F$504,$O269)&amp;"","支払"))</f>
        <v/>
      </c>
      <c r="E269" s="48">
        <f>IF($N269&lt;&gt;"増","",INDEX('仕入請求台帳'!$G$5:$G$504,$O269))</f>
        <v/>
      </c>
      <c r="F269" s="48">
        <f>IF($N269&lt;&gt;"減","",N(INDEX('仕入請求台帳'!$L$5:$L$504,$O269)))</f>
        <v/>
      </c>
      <c r="G269" s="48">
        <f>IF($N269&lt;&gt;"減","",N(INDEX('仕入請求台帳'!$M$5:$M$504,$O269)))</f>
        <v/>
      </c>
      <c r="H269" s="49">
        <f>IF($N269="","",$H268+N($E269)-N($F269)-N($G269))</f>
        <v/>
      </c>
      <c r="I269" s="56" t="n"/>
      <c r="J269" s="32">
        <f>$J268+IF($N268="増",1,0)</f>
        <v/>
      </c>
      <c r="K269" s="32">
        <f>$K268+IF($N268="減",1,0)</f>
        <v/>
      </c>
      <c r="L269" s="35">
        <f>IF($B$3="",1E+9,IFERROR(SMALL('仕入請求台帳'!$U$5:$U$504,$J269+1),1E+9))</f>
        <v/>
      </c>
      <c r="M269" s="35">
        <f>IF($B$3="",1E+9,IFERROR(SMALL('仕入請求台帳'!$V$5:$V$504,$K269+1),1E+9))</f>
        <v/>
      </c>
      <c r="N269" s="32">
        <f>IF(MIN($L269,$M269)&gt;=1E+9,"",IF($L269&lt;=$M269,"増","減"))</f>
        <v/>
      </c>
      <c r="O269" s="32">
        <f>IF($N269="","",IF($N269="増",MATCH($L269,'仕入請求台帳'!$U$5:$U$504,0),MATCH($M269,'仕入請求台帳'!$V$5:$V$504,0)))</f>
        <v/>
      </c>
      <c r="P269" s="56" t="n"/>
      <c r="Q269" s="56" t="n"/>
    </row>
    <row r="270" ht="18" customHeight="1">
      <c r="A270" s="45">
        <f>IF($N270="","",IF($N270="増",INDEX('仕入請求台帳'!$S$5:$S$504,$O270),INDEX('仕入請求台帳'!$K$5:$K$504,$O270)))</f>
        <v/>
      </c>
      <c r="B270" s="46">
        <f>IF($N270="","",IF($N270="増","仕入","支払"))</f>
        <v/>
      </c>
      <c r="C270" s="46">
        <f>IF($N270="","",IF($N270="増",INDEX('仕入請求台帳'!$E$5:$E$504,$O270)&amp;"",INDEX('仕入請求台帳'!$E$5:$E$504,$O270)&amp;""))</f>
        <v/>
      </c>
      <c r="D270" s="47">
        <f>IF($N270="","",IF($N270="増",INDEX('仕入請求台帳'!$F$5:$F$504,$O270)&amp;"","支払"))</f>
        <v/>
      </c>
      <c r="E270" s="48">
        <f>IF($N270&lt;&gt;"増","",INDEX('仕入請求台帳'!$G$5:$G$504,$O270))</f>
        <v/>
      </c>
      <c r="F270" s="48">
        <f>IF($N270&lt;&gt;"減","",N(INDEX('仕入請求台帳'!$L$5:$L$504,$O270)))</f>
        <v/>
      </c>
      <c r="G270" s="48">
        <f>IF($N270&lt;&gt;"減","",N(INDEX('仕入請求台帳'!$M$5:$M$504,$O270)))</f>
        <v/>
      </c>
      <c r="H270" s="49">
        <f>IF($N270="","",$H269+N($E270)-N($F270)-N($G270))</f>
        <v/>
      </c>
      <c r="I270" s="56" t="n"/>
      <c r="J270" s="32">
        <f>$J269+IF($N269="増",1,0)</f>
        <v/>
      </c>
      <c r="K270" s="32">
        <f>$K269+IF($N269="減",1,0)</f>
        <v/>
      </c>
      <c r="L270" s="35">
        <f>IF($B$3="",1E+9,IFERROR(SMALL('仕入請求台帳'!$U$5:$U$504,$J270+1),1E+9))</f>
        <v/>
      </c>
      <c r="M270" s="35">
        <f>IF($B$3="",1E+9,IFERROR(SMALL('仕入請求台帳'!$V$5:$V$504,$K270+1),1E+9))</f>
        <v/>
      </c>
      <c r="N270" s="32">
        <f>IF(MIN($L270,$M270)&gt;=1E+9,"",IF($L270&lt;=$M270,"増","減"))</f>
        <v/>
      </c>
      <c r="O270" s="32">
        <f>IF($N270="","",IF($N270="増",MATCH($L270,'仕入請求台帳'!$U$5:$U$504,0),MATCH($M270,'仕入請求台帳'!$V$5:$V$504,0)))</f>
        <v/>
      </c>
      <c r="P270" s="56" t="n"/>
      <c r="Q270" s="56" t="n"/>
    </row>
    <row r="271" ht="18" customHeight="1">
      <c r="A271" s="45">
        <f>IF($N271="","",IF($N271="増",INDEX('仕入請求台帳'!$S$5:$S$504,$O271),INDEX('仕入請求台帳'!$K$5:$K$504,$O271)))</f>
        <v/>
      </c>
      <c r="B271" s="46">
        <f>IF($N271="","",IF($N271="増","仕入","支払"))</f>
        <v/>
      </c>
      <c r="C271" s="46">
        <f>IF($N271="","",IF($N271="増",INDEX('仕入請求台帳'!$E$5:$E$504,$O271)&amp;"",INDEX('仕入請求台帳'!$E$5:$E$504,$O271)&amp;""))</f>
        <v/>
      </c>
      <c r="D271" s="47">
        <f>IF($N271="","",IF($N271="増",INDEX('仕入請求台帳'!$F$5:$F$504,$O271)&amp;"","支払"))</f>
        <v/>
      </c>
      <c r="E271" s="48">
        <f>IF($N271&lt;&gt;"増","",INDEX('仕入請求台帳'!$G$5:$G$504,$O271))</f>
        <v/>
      </c>
      <c r="F271" s="48">
        <f>IF($N271&lt;&gt;"減","",N(INDEX('仕入請求台帳'!$L$5:$L$504,$O271)))</f>
        <v/>
      </c>
      <c r="G271" s="48">
        <f>IF($N271&lt;&gt;"減","",N(INDEX('仕入請求台帳'!$M$5:$M$504,$O271)))</f>
        <v/>
      </c>
      <c r="H271" s="49">
        <f>IF($N271="","",$H270+N($E271)-N($F271)-N($G271))</f>
        <v/>
      </c>
      <c r="I271" s="56" t="n"/>
      <c r="J271" s="32">
        <f>$J270+IF($N270="増",1,0)</f>
        <v/>
      </c>
      <c r="K271" s="32">
        <f>$K270+IF($N270="減",1,0)</f>
        <v/>
      </c>
      <c r="L271" s="35">
        <f>IF($B$3="",1E+9,IFERROR(SMALL('仕入請求台帳'!$U$5:$U$504,$J271+1),1E+9))</f>
        <v/>
      </c>
      <c r="M271" s="35">
        <f>IF($B$3="",1E+9,IFERROR(SMALL('仕入請求台帳'!$V$5:$V$504,$K271+1),1E+9))</f>
        <v/>
      </c>
      <c r="N271" s="32">
        <f>IF(MIN($L271,$M271)&gt;=1E+9,"",IF($L271&lt;=$M271,"増","減"))</f>
        <v/>
      </c>
      <c r="O271" s="32">
        <f>IF($N271="","",IF($N271="増",MATCH($L271,'仕入請求台帳'!$U$5:$U$504,0),MATCH($M271,'仕入請求台帳'!$V$5:$V$504,0)))</f>
        <v/>
      </c>
      <c r="P271" s="56" t="n"/>
      <c r="Q271" s="56" t="n"/>
    </row>
    <row r="272" ht="18" customHeight="1">
      <c r="A272" s="45">
        <f>IF($N272="","",IF($N272="増",INDEX('仕入請求台帳'!$S$5:$S$504,$O272),INDEX('仕入請求台帳'!$K$5:$K$504,$O272)))</f>
        <v/>
      </c>
      <c r="B272" s="46">
        <f>IF($N272="","",IF($N272="増","仕入","支払"))</f>
        <v/>
      </c>
      <c r="C272" s="46">
        <f>IF($N272="","",IF($N272="増",INDEX('仕入請求台帳'!$E$5:$E$504,$O272)&amp;"",INDEX('仕入請求台帳'!$E$5:$E$504,$O272)&amp;""))</f>
        <v/>
      </c>
      <c r="D272" s="47">
        <f>IF($N272="","",IF($N272="増",INDEX('仕入請求台帳'!$F$5:$F$504,$O272)&amp;"","支払"))</f>
        <v/>
      </c>
      <c r="E272" s="48">
        <f>IF($N272&lt;&gt;"増","",INDEX('仕入請求台帳'!$G$5:$G$504,$O272))</f>
        <v/>
      </c>
      <c r="F272" s="48">
        <f>IF($N272&lt;&gt;"減","",N(INDEX('仕入請求台帳'!$L$5:$L$504,$O272)))</f>
        <v/>
      </c>
      <c r="G272" s="48">
        <f>IF($N272&lt;&gt;"減","",N(INDEX('仕入請求台帳'!$M$5:$M$504,$O272)))</f>
        <v/>
      </c>
      <c r="H272" s="49">
        <f>IF($N272="","",$H271+N($E272)-N($F272)-N($G272))</f>
        <v/>
      </c>
      <c r="I272" s="56" t="n"/>
      <c r="J272" s="32">
        <f>$J271+IF($N271="増",1,0)</f>
        <v/>
      </c>
      <c r="K272" s="32">
        <f>$K271+IF($N271="減",1,0)</f>
        <v/>
      </c>
      <c r="L272" s="35">
        <f>IF($B$3="",1E+9,IFERROR(SMALL('仕入請求台帳'!$U$5:$U$504,$J272+1),1E+9))</f>
        <v/>
      </c>
      <c r="M272" s="35">
        <f>IF($B$3="",1E+9,IFERROR(SMALL('仕入請求台帳'!$V$5:$V$504,$K272+1),1E+9))</f>
        <v/>
      </c>
      <c r="N272" s="32">
        <f>IF(MIN($L272,$M272)&gt;=1E+9,"",IF($L272&lt;=$M272,"増","減"))</f>
        <v/>
      </c>
      <c r="O272" s="32">
        <f>IF($N272="","",IF($N272="増",MATCH($L272,'仕入請求台帳'!$U$5:$U$504,0),MATCH($M272,'仕入請求台帳'!$V$5:$V$504,0)))</f>
        <v/>
      </c>
      <c r="P272" s="56" t="n"/>
      <c r="Q272" s="56" t="n"/>
    </row>
    <row r="273" ht="18" customHeight="1">
      <c r="A273" s="45">
        <f>IF($N273="","",IF($N273="増",INDEX('仕入請求台帳'!$S$5:$S$504,$O273),INDEX('仕入請求台帳'!$K$5:$K$504,$O273)))</f>
        <v/>
      </c>
      <c r="B273" s="46">
        <f>IF($N273="","",IF($N273="増","仕入","支払"))</f>
        <v/>
      </c>
      <c r="C273" s="46">
        <f>IF($N273="","",IF($N273="増",INDEX('仕入請求台帳'!$E$5:$E$504,$O273)&amp;"",INDEX('仕入請求台帳'!$E$5:$E$504,$O273)&amp;""))</f>
        <v/>
      </c>
      <c r="D273" s="47">
        <f>IF($N273="","",IF($N273="増",INDEX('仕入請求台帳'!$F$5:$F$504,$O273)&amp;"","支払"))</f>
        <v/>
      </c>
      <c r="E273" s="48">
        <f>IF($N273&lt;&gt;"増","",INDEX('仕入請求台帳'!$G$5:$G$504,$O273))</f>
        <v/>
      </c>
      <c r="F273" s="48">
        <f>IF($N273&lt;&gt;"減","",N(INDEX('仕入請求台帳'!$L$5:$L$504,$O273)))</f>
        <v/>
      </c>
      <c r="G273" s="48">
        <f>IF($N273&lt;&gt;"減","",N(INDEX('仕入請求台帳'!$M$5:$M$504,$O273)))</f>
        <v/>
      </c>
      <c r="H273" s="49">
        <f>IF($N273="","",$H272+N($E273)-N($F273)-N($G273))</f>
        <v/>
      </c>
      <c r="I273" s="56" t="n"/>
      <c r="J273" s="32">
        <f>$J272+IF($N272="増",1,0)</f>
        <v/>
      </c>
      <c r="K273" s="32">
        <f>$K272+IF($N272="減",1,0)</f>
        <v/>
      </c>
      <c r="L273" s="35">
        <f>IF($B$3="",1E+9,IFERROR(SMALL('仕入請求台帳'!$U$5:$U$504,$J273+1),1E+9))</f>
        <v/>
      </c>
      <c r="M273" s="35">
        <f>IF($B$3="",1E+9,IFERROR(SMALL('仕入請求台帳'!$V$5:$V$504,$K273+1),1E+9))</f>
        <v/>
      </c>
      <c r="N273" s="32">
        <f>IF(MIN($L273,$M273)&gt;=1E+9,"",IF($L273&lt;=$M273,"増","減"))</f>
        <v/>
      </c>
      <c r="O273" s="32">
        <f>IF($N273="","",IF($N273="増",MATCH($L273,'仕入請求台帳'!$U$5:$U$504,0),MATCH($M273,'仕入請求台帳'!$V$5:$V$504,0)))</f>
        <v/>
      </c>
      <c r="P273" s="56" t="n"/>
      <c r="Q273" s="56" t="n"/>
    </row>
    <row r="274" ht="18" customHeight="1">
      <c r="A274" s="45">
        <f>IF($N274="","",IF($N274="増",INDEX('仕入請求台帳'!$S$5:$S$504,$O274),INDEX('仕入請求台帳'!$K$5:$K$504,$O274)))</f>
        <v/>
      </c>
      <c r="B274" s="46">
        <f>IF($N274="","",IF($N274="増","仕入","支払"))</f>
        <v/>
      </c>
      <c r="C274" s="46">
        <f>IF($N274="","",IF($N274="増",INDEX('仕入請求台帳'!$E$5:$E$504,$O274)&amp;"",INDEX('仕入請求台帳'!$E$5:$E$504,$O274)&amp;""))</f>
        <v/>
      </c>
      <c r="D274" s="47">
        <f>IF($N274="","",IF($N274="増",INDEX('仕入請求台帳'!$F$5:$F$504,$O274)&amp;"","支払"))</f>
        <v/>
      </c>
      <c r="E274" s="48">
        <f>IF($N274&lt;&gt;"増","",INDEX('仕入請求台帳'!$G$5:$G$504,$O274))</f>
        <v/>
      </c>
      <c r="F274" s="48">
        <f>IF($N274&lt;&gt;"減","",N(INDEX('仕入請求台帳'!$L$5:$L$504,$O274)))</f>
        <v/>
      </c>
      <c r="G274" s="48">
        <f>IF($N274&lt;&gt;"減","",N(INDEX('仕入請求台帳'!$M$5:$M$504,$O274)))</f>
        <v/>
      </c>
      <c r="H274" s="49">
        <f>IF($N274="","",$H273+N($E274)-N($F274)-N($G274))</f>
        <v/>
      </c>
      <c r="I274" s="56" t="n"/>
      <c r="J274" s="32">
        <f>$J273+IF($N273="増",1,0)</f>
        <v/>
      </c>
      <c r="K274" s="32">
        <f>$K273+IF($N273="減",1,0)</f>
        <v/>
      </c>
      <c r="L274" s="35">
        <f>IF($B$3="",1E+9,IFERROR(SMALL('仕入請求台帳'!$U$5:$U$504,$J274+1),1E+9))</f>
        <v/>
      </c>
      <c r="M274" s="35">
        <f>IF($B$3="",1E+9,IFERROR(SMALL('仕入請求台帳'!$V$5:$V$504,$K274+1),1E+9))</f>
        <v/>
      </c>
      <c r="N274" s="32">
        <f>IF(MIN($L274,$M274)&gt;=1E+9,"",IF($L274&lt;=$M274,"増","減"))</f>
        <v/>
      </c>
      <c r="O274" s="32">
        <f>IF($N274="","",IF($N274="増",MATCH($L274,'仕入請求台帳'!$U$5:$U$504,0),MATCH($M274,'仕入請求台帳'!$V$5:$V$504,0)))</f>
        <v/>
      </c>
      <c r="P274" s="56" t="n"/>
      <c r="Q274" s="56" t="n"/>
    </row>
    <row r="275" ht="18" customHeight="1">
      <c r="A275" s="45">
        <f>IF($N275="","",IF($N275="増",INDEX('仕入請求台帳'!$S$5:$S$504,$O275),INDEX('仕入請求台帳'!$K$5:$K$504,$O275)))</f>
        <v/>
      </c>
      <c r="B275" s="46">
        <f>IF($N275="","",IF($N275="増","仕入","支払"))</f>
        <v/>
      </c>
      <c r="C275" s="46">
        <f>IF($N275="","",IF($N275="増",INDEX('仕入請求台帳'!$E$5:$E$504,$O275)&amp;"",INDEX('仕入請求台帳'!$E$5:$E$504,$O275)&amp;""))</f>
        <v/>
      </c>
      <c r="D275" s="47">
        <f>IF($N275="","",IF($N275="増",INDEX('仕入請求台帳'!$F$5:$F$504,$O275)&amp;"","支払"))</f>
        <v/>
      </c>
      <c r="E275" s="48">
        <f>IF($N275&lt;&gt;"増","",INDEX('仕入請求台帳'!$G$5:$G$504,$O275))</f>
        <v/>
      </c>
      <c r="F275" s="48">
        <f>IF($N275&lt;&gt;"減","",N(INDEX('仕入請求台帳'!$L$5:$L$504,$O275)))</f>
        <v/>
      </c>
      <c r="G275" s="48">
        <f>IF($N275&lt;&gt;"減","",N(INDEX('仕入請求台帳'!$M$5:$M$504,$O275)))</f>
        <v/>
      </c>
      <c r="H275" s="49">
        <f>IF($N275="","",$H274+N($E275)-N($F275)-N($G275))</f>
        <v/>
      </c>
      <c r="I275" s="56" t="n"/>
      <c r="J275" s="32">
        <f>$J274+IF($N274="増",1,0)</f>
        <v/>
      </c>
      <c r="K275" s="32">
        <f>$K274+IF($N274="減",1,0)</f>
        <v/>
      </c>
      <c r="L275" s="35">
        <f>IF($B$3="",1E+9,IFERROR(SMALL('仕入請求台帳'!$U$5:$U$504,$J275+1),1E+9))</f>
        <v/>
      </c>
      <c r="M275" s="35">
        <f>IF($B$3="",1E+9,IFERROR(SMALL('仕入請求台帳'!$V$5:$V$504,$K275+1),1E+9))</f>
        <v/>
      </c>
      <c r="N275" s="32">
        <f>IF(MIN($L275,$M275)&gt;=1E+9,"",IF($L275&lt;=$M275,"増","減"))</f>
        <v/>
      </c>
      <c r="O275" s="32">
        <f>IF($N275="","",IF($N275="増",MATCH($L275,'仕入請求台帳'!$U$5:$U$504,0),MATCH($M275,'仕入請求台帳'!$V$5:$V$504,0)))</f>
        <v/>
      </c>
      <c r="P275" s="56" t="n"/>
      <c r="Q275" s="56" t="n"/>
    </row>
    <row r="276" ht="18" customHeight="1">
      <c r="A276" s="45">
        <f>IF($N276="","",IF($N276="増",INDEX('仕入請求台帳'!$S$5:$S$504,$O276),INDEX('仕入請求台帳'!$K$5:$K$504,$O276)))</f>
        <v/>
      </c>
      <c r="B276" s="46">
        <f>IF($N276="","",IF($N276="増","仕入","支払"))</f>
        <v/>
      </c>
      <c r="C276" s="46">
        <f>IF($N276="","",IF($N276="増",INDEX('仕入請求台帳'!$E$5:$E$504,$O276)&amp;"",INDEX('仕入請求台帳'!$E$5:$E$504,$O276)&amp;""))</f>
        <v/>
      </c>
      <c r="D276" s="47">
        <f>IF($N276="","",IF($N276="増",INDEX('仕入請求台帳'!$F$5:$F$504,$O276)&amp;"","支払"))</f>
        <v/>
      </c>
      <c r="E276" s="48">
        <f>IF($N276&lt;&gt;"増","",INDEX('仕入請求台帳'!$G$5:$G$504,$O276))</f>
        <v/>
      </c>
      <c r="F276" s="48">
        <f>IF($N276&lt;&gt;"減","",N(INDEX('仕入請求台帳'!$L$5:$L$504,$O276)))</f>
        <v/>
      </c>
      <c r="G276" s="48">
        <f>IF($N276&lt;&gt;"減","",N(INDEX('仕入請求台帳'!$M$5:$M$504,$O276)))</f>
        <v/>
      </c>
      <c r="H276" s="49">
        <f>IF($N276="","",$H275+N($E276)-N($F276)-N($G276))</f>
        <v/>
      </c>
      <c r="I276" s="56" t="n"/>
      <c r="J276" s="32">
        <f>$J275+IF($N275="増",1,0)</f>
        <v/>
      </c>
      <c r="K276" s="32">
        <f>$K275+IF($N275="減",1,0)</f>
        <v/>
      </c>
      <c r="L276" s="35">
        <f>IF($B$3="",1E+9,IFERROR(SMALL('仕入請求台帳'!$U$5:$U$504,$J276+1),1E+9))</f>
        <v/>
      </c>
      <c r="M276" s="35">
        <f>IF($B$3="",1E+9,IFERROR(SMALL('仕入請求台帳'!$V$5:$V$504,$K276+1),1E+9))</f>
        <v/>
      </c>
      <c r="N276" s="32">
        <f>IF(MIN($L276,$M276)&gt;=1E+9,"",IF($L276&lt;=$M276,"増","減"))</f>
        <v/>
      </c>
      <c r="O276" s="32">
        <f>IF($N276="","",IF($N276="増",MATCH($L276,'仕入請求台帳'!$U$5:$U$504,0),MATCH($M276,'仕入請求台帳'!$V$5:$V$504,0)))</f>
        <v/>
      </c>
      <c r="P276" s="56" t="n"/>
      <c r="Q276" s="56" t="n"/>
    </row>
    <row r="277" ht="18" customHeight="1">
      <c r="A277" s="45">
        <f>IF($N277="","",IF($N277="増",INDEX('仕入請求台帳'!$S$5:$S$504,$O277),INDEX('仕入請求台帳'!$K$5:$K$504,$O277)))</f>
        <v/>
      </c>
      <c r="B277" s="46">
        <f>IF($N277="","",IF($N277="増","仕入","支払"))</f>
        <v/>
      </c>
      <c r="C277" s="46">
        <f>IF($N277="","",IF($N277="増",INDEX('仕入請求台帳'!$E$5:$E$504,$O277)&amp;"",INDEX('仕入請求台帳'!$E$5:$E$504,$O277)&amp;""))</f>
        <v/>
      </c>
      <c r="D277" s="47">
        <f>IF($N277="","",IF($N277="増",INDEX('仕入請求台帳'!$F$5:$F$504,$O277)&amp;"","支払"))</f>
        <v/>
      </c>
      <c r="E277" s="48">
        <f>IF($N277&lt;&gt;"増","",INDEX('仕入請求台帳'!$G$5:$G$504,$O277))</f>
        <v/>
      </c>
      <c r="F277" s="48">
        <f>IF($N277&lt;&gt;"減","",N(INDEX('仕入請求台帳'!$L$5:$L$504,$O277)))</f>
        <v/>
      </c>
      <c r="G277" s="48">
        <f>IF($N277&lt;&gt;"減","",N(INDEX('仕入請求台帳'!$M$5:$M$504,$O277)))</f>
        <v/>
      </c>
      <c r="H277" s="49">
        <f>IF($N277="","",$H276+N($E277)-N($F277)-N($G277))</f>
        <v/>
      </c>
      <c r="I277" s="56" t="n"/>
      <c r="J277" s="32">
        <f>$J276+IF($N276="増",1,0)</f>
        <v/>
      </c>
      <c r="K277" s="32">
        <f>$K276+IF($N276="減",1,0)</f>
        <v/>
      </c>
      <c r="L277" s="35">
        <f>IF($B$3="",1E+9,IFERROR(SMALL('仕入請求台帳'!$U$5:$U$504,$J277+1),1E+9))</f>
        <v/>
      </c>
      <c r="M277" s="35">
        <f>IF($B$3="",1E+9,IFERROR(SMALL('仕入請求台帳'!$V$5:$V$504,$K277+1),1E+9))</f>
        <v/>
      </c>
      <c r="N277" s="32">
        <f>IF(MIN($L277,$M277)&gt;=1E+9,"",IF($L277&lt;=$M277,"増","減"))</f>
        <v/>
      </c>
      <c r="O277" s="32">
        <f>IF($N277="","",IF($N277="増",MATCH($L277,'仕入請求台帳'!$U$5:$U$504,0),MATCH($M277,'仕入請求台帳'!$V$5:$V$504,0)))</f>
        <v/>
      </c>
      <c r="P277" s="56" t="n"/>
      <c r="Q277" s="56" t="n"/>
    </row>
    <row r="278" ht="18" customHeight="1">
      <c r="A278" s="45">
        <f>IF($N278="","",IF($N278="増",INDEX('仕入請求台帳'!$S$5:$S$504,$O278),INDEX('仕入請求台帳'!$K$5:$K$504,$O278)))</f>
        <v/>
      </c>
      <c r="B278" s="46">
        <f>IF($N278="","",IF($N278="増","仕入","支払"))</f>
        <v/>
      </c>
      <c r="C278" s="46">
        <f>IF($N278="","",IF($N278="増",INDEX('仕入請求台帳'!$E$5:$E$504,$O278)&amp;"",INDEX('仕入請求台帳'!$E$5:$E$504,$O278)&amp;""))</f>
        <v/>
      </c>
      <c r="D278" s="47">
        <f>IF($N278="","",IF($N278="増",INDEX('仕入請求台帳'!$F$5:$F$504,$O278)&amp;"","支払"))</f>
        <v/>
      </c>
      <c r="E278" s="48">
        <f>IF($N278&lt;&gt;"増","",INDEX('仕入請求台帳'!$G$5:$G$504,$O278))</f>
        <v/>
      </c>
      <c r="F278" s="48">
        <f>IF($N278&lt;&gt;"減","",N(INDEX('仕入請求台帳'!$L$5:$L$504,$O278)))</f>
        <v/>
      </c>
      <c r="G278" s="48">
        <f>IF($N278&lt;&gt;"減","",N(INDEX('仕入請求台帳'!$M$5:$M$504,$O278)))</f>
        <v/>
      </c>
      <c r="H278" s="49">
        <f>IF($N278="","",$H277+N($E278)-N($F278)-N($G278))</f>
        <v/>
      </c>
      <c r="I278" s="56" t="n"/>
      <c r="J278" s="32">
        <f>$J277+IF($N277="増",1,0)</f>
        <v/>
      </c>
      <c r="K278" s="32">
        <f>$K277+IF($N277="減",1,0)</f>
        <v/>
      </c>
      <c r="L278" s="35">
        <f>IF($B$3="",1E+9,IFERROR(SMALL('仕入請求台帳'!$U$5:$U$504,$J278+1),1E+9))</f>
        <v/>
      </c>
      <c r="M278" s="35">
        <f>IF($B$3="",1E+9,IFERROR(SMALL('仕入請求台帳'!$V$5:$V$504,$K278+1),1E+9))</f>
        <v/>
      </c>
      <c r="N278" s="32">
        <f>IF(MIN($L278,$M278)&gt;=1E+9,"",IF($L278&lt;=$M278,"増","減"))</f>
        <v/>
      </c>
      <c r="O278" s="32">
        <f>IF($N278="","",IF($N278="増",MATCH($L278,'仕入請求台帳'!$U$5:$U$504,0),MATCH($M278,'仕入請求台帳'!$V$5:$V$504,0)))</f>
        <v/>
      </c>
      <c r="P278" s="56" t="n"/>
      <c r="Q278" s="56" t="n"/>
    </row>
    <row r="279" ht="18" customHeight="1">
      <c r="A279" s="45">
        <f>IF($N279="","",IF($N279="増",INDEX('仕入請求台帳'!$S$5:$S$504,$O279),INDEX('仕入請求台帳'!$K$5:$K$504,$O279)))</f>
        <v/>
      </c>
      <c r="B279" s="46">
        <f>IF($N279="","",IF($N279="増","仕入","支払"))</f>
        <v/>
      </c>
      <c r="C279" s="46">
        <f>IF($N279="","",IF($N279="増",INDEX('仕入請求台帳'!$E$5:$E$504,$O279)&amp;"",INDEX('仕入請求台帳'!$E$5:$E$504,$O279)&amp;""))</f>
        <v/>
      </c>
      <c r="D279" s="47">
        <f>IF($N279="","",IF($N279="増",INDEX('仕入請求台帳'!$F$5:$F$504,$O279)&amp;"","支払"))</f>
        <v/>
      </c>
      <c r="E279" s="48">
        <f>IF($N279&lt;&gt;"増","",INDEX('仕入請求台帳'!$G$5:$G$504,$O279))</f>
        <v/>
      </c>
      <c r="F279" s="48">
        <f>IF($N279&lt;&gt;"減","",N(INDEX('仕入請求台帳'!$L$5:$L$504,$O279)))</f>
        <v/>
      </c>
      <c r="G279" s="48">
        <f>IF($N279&lt;&gt;"減","",N(INDEX('仕入請求台帳'!$M$5:$M$504,$O279)))</f>
        <v/>
      </c>
      <c r="H279" s="49">
        <f>IF($N279="","",$H278+N($E279)-N($F279)-N($G279))</f>
        <v/>
      </c>
      <c r="I279" s="56" t="n"/>
      <c r="J279" s="32">
        <f>$J278+IF($N278="増",1,0)</f>
        <v/>
      </c>
      <c r="K279" s="32">
        <f>$K278+IF($N278="減",1,0)</f>
        <v/>
      </c>
      <c r="L279" s="35">
        <f>IF($B$3="",1E+9,IFERROR(SMALL('仕入請求台帳'!$U$5:$U$504,$J279+1),1E+9))</f>
        <v/>
      </c>
      <c r="M279" s="35">
        <f>IF($B$3="",1E+9,IFERROR(SMALL('仕入請求台帳'!$V$5:$V$504,$K279+1),1E+9))</f>
        <v/>
      </c>
      <c r="N279" s="32">
        <f>IF(MIN($L279,$M279)&gt;=1E+9,"",IF($L279&lt;=$M279,"増","減"))</f>
        <v/>
      </c>
      <c r="O279" s="32">
        <f>IF($N279="","",IF($N279="増",MATCH($L279,'仕入請求台帳'!$U$5:$U$504,0),MATCH($M279,'仕入請求台帳'!$V$5:$V$504,0)))</f>
        <v/>
      </c>
      <c r="P279" s="56" t="n"/>
      <c r="Q279" s="56" t="n"/>
    </row>
    <row r="280" ht="18" customHeight="1">
      <c r="A280" s="45">
        <f>IF($N280="","",IF($N280="増",INDEX('仕入請求台帳'!$S$5:$S$504,$O280),INDEX('仕入請求台帳'!$K$5:$K$504,$O280)))</f>
        <v/>
      </c>
      <c r="B280" s="46">
        <f>IF($N280="","",IF($N280="増","仕入","支払"))</f>
        <v/>
      </c>
      <c r="C280" s="46">
        <f>IF($N280="","",IF($N280="増",INDEX('仕入請求台帳'!$E$5:$E$504,$O280)&amp;"",INDEX('仕入請求台帳'!$E$5:$E$504,$O280)&amp;""))</f>
        <v/>
      </c>
      <c r="D280" s="47">
        <f>IF($N280="","",IF($N280="増",INDEX('仕入請求台帳'!$F$5:$F$504,$O280)&amp;"","支払"))</f>
        <v/>
      </c>
      <c r="E280" s="48">
        <f>IF($N280&lt;&gt;"増","",INDEX('仕入請求台帳'!$G$5:$G$504,$O280))</f>
        <v/>
      </c>
      <c r="F280" s="48">
        <f>IF($N280&lt;&gt;"減","",N(INDEX('仕入請求台帳'!$L$5:$L$504,$O280)))</f>
        <v/>
      </c>
      <c r="G280" s="48">
        <f>IF($N280&lt;&gt;"減","",N(INDEX('仕入請求台帳'!$M$5:$M$504,$O280)))</f>
        <v/>
      </c>
      <c r="H280" s="49">
        <f>IF($N280="","",$H279+N($E280)-N($F280)-N($G280))</f>
        <v/>
      </c>
      <c r="I280" s="56" t="n"/>
      <c r="J280" s="32">
        <f>$J279+IF($N279="増",1,0)</f>
        <v/>
      </c>
      <c r="K280" s="32">
        <f>$K279+IF($N279="減",1,0)</f>
        <v/>
      </c>
      <c r="L280" s="35">
        <f>IF($B$3="",1E+9,IFERROR(SMALL('仕入請求台帳'!$U$5:$U$504,$J280+1),1E+9))</f>
        <v/>
      </c>
      <c r="M280" s="35">
        <f>IF($B$3="",1E+9,IFERROR(SMALL('仕入請求台帳'!$V$5:$V$504,$K280+1),1E+9))</f>
        <v/>
      </c>
      <c r="N280" s="32">
        <f>IF(MIN($L280,$M280)&gt;=1E+9,"",IF($L280&lt;=$M280,"増","減"))</f>
        <v/>
      </c>
      <c r="O280" s="32">
        <f>IF($N280="","",IF($N280="増",MATCH($L280,'仕入請求台帳'!$U$5:$U$504,0),MATCH($M280,'仕入請求台帳'!$V$5:$V$504,0)))</f>
        <v/>
      </c>
      <c r="P280" s="56" t="n"/>
      <c r="Q280" s="56" t="n"/>
    </row>
    <row r="281" ht="18" customHeight="1">
      <c r="A281" s="45">
        <f>IF($N281="","",IF($N281="増",INDEX('仕入請求台帳'!$S$5:$S$504,$O281),INDEX('仕入請求台帳'!$K$5:$K$504,$O281)))</f>
        <v/>
      </c>
      <c r="B281" s="46">
        <f>IF($N281="","",IF($N281="増","仕入","支払"))</f>
        <v/>
      </c>
      <c r="C281" s="46">
        <f>IF($N281="","",IF($N281="増",INDEX('仕入請求台帳'!$E$5:$E$504,$O281)&amp;"",INDEX('仕入請求台帳'!$E$5:$E$504,$O281)&amp;""))</f>
        <v/>
      </c>
      <c r="D281" s="47">
        <f>IF($N281="","",IF($N281="増",INDEX('仕入請求台帳'!$F$5:$F$504,$O281)&amp;"","支払"))</f>
        <v/>
      </c>
      <c r="E281" s="48">
        <f>IF($N281&lt;&gt;"増","",INDEX('仕入請求台帳'!$G$5:$G$504,$O281))</f>
        <v/>
      </c>
      <c r="F281" s="48">
        <f>IF($N281&lt;&gt;"減","",N(INDEX('仕入請求台帳'!$L$5:$L$504,$O281)))</f>
        <v/>
      </c>
      <c r="G281" s="48">
        <f>IF($N281&lt;&gt;"減","",N(INDEX('仕入請求台帳'!$M$5:$M$504,$O281)))</f>
        <v/>
      </c>
      <c r="H281" s="49">
        <f>IF($N281="","",$H280+N($E281)-N($F281)-N($G281))</f>
        <v/>
      </c>
      <c r="I281" s="56" t="n"/>
      <c r="J281" s="32">
        <f>$J280+IF($N280="増",1,0)</f>
        <v/>
      </c>
      <c r="K281" s="32">
        <f>$K280+IF($N280="減",1,0)</f>
        <v/>
      </c>
      <c r="L281" s="35">
        <f>IF($B$3="",1E+9,IFERROR(SMALL('仕入請求台帳'!$U$5:$U$504,$J281+1),1E+9))</f>
        <v/>
      </c>
      <c r="M281" s="35">
        <f>IF($B$3="",1E+9,IFERROR(SMALL('仕入請求台帳'!$V$5:$V$504,$K281+1),1E+9))</f>
        <v/>
      </c>
      <c r="N281" s="32">
        <f>IF(MIN($L281,$M281)&gt;=1E+9,"",IF($L281&lt;=$M281,"増","減"))</f>
        <v/>
      </c>
      <c r="O281" s="32">
        <f>IF($N281="","",IF($N281="増",MATCH($L281,'仕入請求台帳'!$U$5:$U$504,0),MATCH($M281,'仕入請求台帳'!$V$5:$V$504,0)))</f>
        <v/>
      </c>
      <c r="P281" s="56" t="n"/>
      <c r="Q281" s="56" t="n"/>
    </row>
    <row r="282" ht="18" customHeight="1">
      <c r="A282" s="45">
        <f>IF($N282="","",IF($N282="増",INDEX('仕入請求台帳'!$S$5:$S$504,$O282),INDEX('仕入請求台帳'!$K$5:$K$504,$O282)))</f>
        <v/>
      </c>
      <c r="B282" s="46">
        <f>IF($N282="","",IF($N282="増","仕入","支払"))</f>
        <v/>
      </c>
      <c r="C282" s="46">
        <f>IF($N282="","",IF($N282="増",INDEX('仕入請求台帳'!$E$5:$E$504,$O282)&amp;"",INDEX('仕入請求台帳'!$E$5:$E$504,$O282)&amp;""))</f>
        <v/>
      </c>
      <c r="D282" s="47">
        <f>IF($N282="","",IF($N282="増",INDEX('仕入請求台帳'!$F$5:$F$504,$O282)&amp;"","支払"))</f>
        <v/>
      </c>
      <c r="E282" s="48">
        <f>IF($N282&lt;&gt;"増","",INDEX('仕入請求台帳'!$G$5:$G$504,$O282))</f>
        <v/>
      </c>
      <c r="F282" s="48">
        <f>IF($N282&lt;&gt;"減","",N(INDEX('仕入請求台帳'!$L$5:$L$504,$O282)))</f>
        <v/>
      </c>
      <c r="G282" s="48">
        <f>IF($N282&lt;&gt;"減","",N(INDEX('仕入請求台帳'!$M$5:$M$504,$O282)))</f>
        <v/>
      </c>
      <c r="H282" s="49">
        <f>IF($N282="","",$H281+N($E282)-N($F282)-N($G282))</f>
        <v/>
      </c>
      <c r="I282" s="56" t="n"/>
      <c r="J282" s="32">
        <f>$J281+IF($N281="増",1,0)</f>
        <v/>
      </c>
      <c r="K282" s="32">
        <f>$K281+IF($N281="減",1,0)</f>
        <v/>
      </c>
      <c r="L282" s="35">
        <f>IF($B$3="",1E+9,IFERROR(SMALL('仕入請求台帳'!$U$5:$U$504,$J282+1),1E+9))</f>
        <v/>
      </c>
      <c r="M282" s="35">
        <f>IF($B$3="",1E+9,IFERROR(SMALL('仕入請求台帳'!$V$5:$V$504,$K282+1),1E+9))</f>
        <v/>
      </c>
      <c r="N282" s="32">
        <f>IF(MIN($L282,$M282)&gt;=1E+9,"",IF($L282&lt;=$M282,"増","減"))</f>
        <v/>
      </c>
      <c r="O282" s="32">
        <f>IF($N282="","",IF($N282="増",MATCH($L282,'仕入請求台帳'!$U$5:$U$504,0),MATCH($M282,'仕入請求台帳'!$V$5:$V$504,0)))</f>
        <v/>
      </c>
      <c r="P282" s="56" t="n"/>
      <c r="Q282" s="56" t="n"/>
    </row>
    <row r="283" ht="18" customHeight="1">
      <c r="A283" s="45">
        <f>IF($N283="","",IF($N283="増",INDEX('仕入請求台帳'!$S$5:$S$504,$O283),INDEX('仕入請求台帳'!$K$5:$K$504,$O283)))</f>
        <v/>
      </c>
      <c r="B283" s="46">
        <f>IF($N283="","",IF($N283="増","仕入","支払"))</f>
        <v/>
      </c>
      <c r="C283" s="46">
        <f>IF($N283="","",IF($N283="増",INDEX('仕入請求台帳'!$E$5:$E$504,$O283)&amp;"",INDEX('仕入請求台帳'!$E$5:$E$504,$O283)&amp;""))</f>
        <v/>
      </c>
      <c r="D283" s="47">
        <f>IF($N283="","",IF($N283="増",INDEX('仕入請求台帳'!$F$5:$F$504,$O283)&amp;"","支払"))</f>
        <v/>
      </c>
      <c r="E283" s="48">
        <f>IF($N283&lt;&gt;"増","",INDEX('仕入請求台帳'!$G$5:$G$504,$O283))</f>
        <v/>
      </c>
      <c r="F283" s="48">
        <f>IF($N283&lt;&gt;"減","",N(INDEX('仕入請求台帳'!$L$5:$L$504,$O283)))</f>
        <v/>
      </c>
      <c r="G283" s="48">
        <f>IF($N283&lt;&gt;"減","",N(INDEX('仕入請求台帳'!$M$5:$M$504,$O283)))</f>
        <v/>
      </c>
      <c r="H283" s="49">
        <f>IF($N283="","",$H282+N($E283)-N($F283)-N($G283))</f>
        <v/>
      </c>
      <c r="I283" s="56" t="n"/>
      <c r="J283" s="32">
        <f>$J282+IF($N282="増",1,0)</f>
        <v/>
      </c>
      <c r="K283" s="32">
        <f>$K282+IF($N282="減",1,0)</f>
        <v/>
      </c>
      <c r="L283" s="35">
        <f>IF($B$3="",1E+9,IFERROR(SMALL('仕入請求台帳'!$U$5:$U$504,$J283+1),1E+9))</f>
        <v/>
      </c>
      <c r="M283" s="35">
        <f>IF($B$3="",1E+9,IFERROR(SMALL('仕入請求台帳'!$V$5:$V$504,$K283+1),1E+9))</f>
        <v/>
      </c>
      <c r="N283" s="32">
        <f>IF(MIN($L283,$M283)&gt;=1E+9,"",IF($L283&lt;=$M283,"増","減"))</f>
        <v/>
      </c>
      <c r="O283" s="32">
        <f>IF($N283="","",IF($N283="増",MATCH($L283,'仕入請求台帳'!$U$5:$U$504,0),MATCH($M283,'仕入請求台帳'!$V$5:$V$504,0)))</f>
        <v/>
      </c>
      <c r="P283" s="56" t="n"/>
      <c r="Q283" s="56" t="n"/>
    </row>
    <row r="284" ht="18" customHeight="1">
      <c r="A284" s="45">
        <f>IF($N284="","",IF($N284="増",INDEX('仕入請求台帳'!$S$5:$S$504,$O284),INDEX('仕入請求台帳'!$K$5:$K$504,$O284)))</f>
        <v/>
      </c>
      <c r="B284" s="46">
        <f>IF($N284="","",IF($N284="増","仕入","支払"))</f>
        <v/>
      </c>
      <c r="C284" s="46">
        <f>IF($N284="","",IF($N284="増",INDEX('仕入請求台帳'!$E$5:$E$504,$O284)&amp;"",INDEX('仕入請求台帳'!$E$5:$E$504,$O284)&amp;""))</f>
        <v/>
      </c>
      <c r="D284" s="47">
        <f>IF($N284="","",IF($N284="増",INDEX('仕入請求台帳'!$F$5:$F$504,$O284)&amp;"","支払"))</f>
        <v/>
      </c>
      <c r="E284" s="48">
        <f>IF($N284&lt;&gt;"増","",INDEX('仕入請求台帳'!$G$5:$G$504,$O284))</f>
        <v/>
      </c>
      <c r="F284" s="48">
        <f>IF($N284&lt;&gt;"減","",N(INDEX('仕入請求台帳'!$L$5:$L$504,$O284)))</f>
        <v/>
      </c>
      <c r="G284" s="48">
        <f>IF($N284&lt;&gt;"減","",N(INDEX('仕入請求台帳'!$M$5:$M$504,$O284)))</f>
        <v/>
      </c>
      <c r="H284" s="49">
        <f>IF($N284="","",$H283+N($E284)-N($F284)-N($G284))</f>
        <v/>
      </c>
      <c r="I284" s="56" t="n"/>
      <c r="J284" s="32">
        <f>$J283+IF($N283="増",1,0)</f>
        <v/>
      </c>
      <c r="K284" s="32">
        <f>$K283+IF($N283="減",1,0)</f>
        <v/>
      </c>
      <c r="L284" s="35">
        <f>IF($B$3="",1E+9,IFERROR(SMALL('仕入請求台帳'!$U$5:$U$504,$J284+1),1E+9))</f>
        <v/>
      </c>
      <c r="M284" s="35">
        <f>IF($B$3="",1E+9,IFERROR(SMALL('仕入請求台帳'!$V$5:$V$504,$K284+1),1E+9))</f>
        <v/>
      </c>
      <c r="N284" s="32">
        <f>IF(MIN($L284,$M284)&gt;=1E+9,"",IF($L284&lt;=$M284,"増","減"))</f>
        <v/>
      </c>
      <c r="O284" s="32">
        <f>IF($N284="","",IF($N284="増",MATCH($L284,'仕入請求台帳'!$U$5:$U$504,0),MATCH($M284,'仕入請求台帳'!$V$5:$V$504,0)))</f>
        <v/>
      </c>
      <c r="P284" s="56" t="n"/>
      <c r="Q284" s="56" t="n"/>
    </row>
    <row r="285" ht="18" customHeight="1">
      <c r="A285" s="45">
        <f>IF($N285="","",IF($N285="増",INDEX('仕入請求台帳'!$S$5:$S$504,$O285),INDEX('仕入請求台帳'!$K$5:$K$504,$O285)))</f>
        <v/>
      </c>
      <c r="B285" s="46">
        <f>IF($N285="","",IF($N285="増","仕入","支払"))</f>
        <v/>
      </c>
      <c r="C285" s="46">
        <f>IF($N285="","",IF($N285="増",INDEX('仕入請求台帳'!$E$5:$E$504,$O285)&amp;"",INDEX('仕入請求台帳'!$E$5:$E$504,$O285)&amp;""))</f>
        <v/>
      </c>
      <c r="D285" s="47">
        <f>IF($N285="","",IF($N285="増",INDEX('仕入請求台帳'!$F$5:$F$504,$O285)&amp;"","支払"))</f>
        <v/>
      </c>
      <c r="E285" s="48">
        <f>IF($N285&lt;&gt;"増","",INDEX('仕入請求台帳'!$G$5:$G$504,$O285))</f>
        <v/>
      </c>
      <c r="F285" s="48">
        <f>IF($N285&lt;&gt;"減","",N(INDEX('仕入請求台帳'!$L$5:$L$504,$O285)))</f>
        <v/>
      </c>
      <c r="G285" s="48">
        <f>IF($N285&lt;&gt;"減","",N(INDEX('仕入請求台帳'!$M$5:$M$504,$O285)))</f>
        <v/>
      </c>
      <c r="H285" s="49">
        <f>IF($N285="","",$H284+N($E285)-N($F285)-N($G285))</f>
        <v/>
      </c>
      <c r="I285" s="56" t="n"/>
      <c r="J285" s="32">
        <f>$J284+IF($N284="増",1,0)</f>
        <v/>
      </c>
      <c r="K285" s="32">
        <f>$K284+IF($N284="減",1,0)</f>
        <v/>
      </c>
      <c r="L285" s="35">
        <f>IF($B$3="",1E+9,IFERROR(SMALL('仕入請求台帳'!$U$5:$U$504,$J285+1),1E+9))</f>
        <v/>
      </c>
      <c r="M285" s="35">
        <f>IF($B$3="",1E+9,IFERROR(SMALL('仕入請求台帳'!$V$5:$V$504,$K285+1),1E+9))</f>
        <v/>
      </c>
      <c r="N285" s="32">
        <f>IF(MIN($L285,$M285)&gt;=1E+9,"",IF($L285&lt;=$M285,"増","減"))</f>
        <v/>
      </c>
      <c r="O285" s="32">
        <f>IF($N285="","",IF($N285="増",MATCH($L285,'仕入請求台帳'!$U$5:$U$504,0),MATCH($M285,'仕入請求台帳'!$V$5:$V$504,0)))</f>
        <v/>
      </c>
      <c r="P285" s="56" t="n"/>
      <c r="Q285" s="56" t="n"/>
    </row>
    <row r="286" ht="18" customHeight="1">
      <c r="A286" s="45">
        <f>IF($N286="","",IF($N286="増",INDEX('仕入請求台帳'!$S$5:$S$504,$O286),INDEX('仕入請求台帳'!$K$5:$K$504,$O286)))</f>
        <v/>
      </c>
      <c r="B286" s="46">
        <f>IF($N286="","",IF($N286="増","仕入","支払"))</f>
        <v/>
      </c>
      <c r="C286" s="46">
        <f>IF($N286="","",IF($N286="増",INDEX('仕入請求台帳'!$E$5:$E$504,$O286)&amp;"",INDEX('仕入請求台帳'!$E$5:$E$504,$O286)&amp;""))</f>
        <v/>
      </c>
      <c r="D286" s="47">
        <f>IF($N286="","",IF($N286="増",INDEX('仕入請求台帳'!$F$5:$F$504,$O286)&amp;"","支払"))</f>
        <v/>
      </c>
      <c r="E286" s="48">
        <f>IF($N286&lt;&gt;"増","",INDEX('仕入請求台帳'!$G$5:$G$504,$O286))</f>
        <v/>
      </c>
      <c r="F286" s="48">
        <f>IF($N286&lt;&gt;"減","",N(INDEX('仕入請求台帳'!$L$5:$L$504,$O286)))</f>
        <v/>
      </c>
      <c r="G286" s="48">
        <f>IF($N286&lt;&gt;"減","",N(INDEX('仕入請求台帳'!$M$5:$M$504,$O286)))</f>
        <v/>
      </c>
      <c r="H286" s="49">
        <f>IF($N286="","",$H285+N($E286)-N($F286)-N($G286))</f>
        <v/>
      </c>
      <c r="I286" s="56" t="n"/>
      <c r="J286" s="32">
        <f>$J285+IF($N285="増",1,0)</f>
        <v/>
      </c>
      <c r="K286" s="32">
        <f>$K285+IF($N285="減",1,0)</f>
        <v/>
      </c>
      <c r="L286" s="35">
        <f>IF($B$3="",1E+9,IFERROR(SMALL('仕入請求台帳'!$U$5:$U$504,$J286+1),1E+9))</f>
        <v/>
      </c>
      <c r="M286" s="35">
        <f>IF($B$3="",1E+9,IFERROR(SMALL('仕入請求台帳'!$V$5:$V$504,$K286+1),1E+9))</f>
        <v/>
      </c>
      <c r="N286" s="32">
        <f>IF(MIN($L286,$M286)&gt;=1E+9,"",IF($L286&lt;=$M286,"増","減"))</f>
        <v/>
      </c>
      <c r="O286" s="32">
        <f>IF($N286="","",IF($N286="増",MATCH($L286,'仕入請求台帳'!$U$5:$U$504,0),MATCH($M286,'仕入請求台帳'!$V$5:$V$504,0)))</f>
        <v/>
      </c>
      <c r="P286" s="56" t="n"/>
      <c r="Q286" s="56" t="n"/>
    </row>
    <row r="287" ht="18" customHeight="1">
      <c r="A287" s="45">
        <f>IF($N287="","",IF($N287="増",INDEX('仕入請求台帳'!$S$5:$S$504,$O287),INDEX('仕入請求台帳'!$K$5:$K$504,$O287)))</f>
        <v/>
      </c>
      <c r="B287" s="46">
        <f>IF($N287="","",IF($N287="増","仕入","支払"))</f>
        <v/>
      </c>
      <c r="C287" s="46">
        <f>IF($N287="","",IF($N287="増",INDEX('仕入請求台帳'!$E$5:$E$504,$O287)&amp;"",INDEX('仕入請求台帳'!$E$5:$E$504,$O287)&amp;""))</f>
        <v/>
      </c>
      <c r="D287" s="47">
        <f>IF($N287="","",IF($N287="増",INDEX('仕入請求台帳'!$F$5:$F$504,$O287)&amp;"","支払"))</f>
        <v/>
      </c>
      <c r="E287" s="48">
        <f>IF($N287&lt;&gt;"増","",INDEX('仕入請求台帳'!$G$5:$G$504,$O287))</f>
        <v/>
      </c>
      <c r="F287" s="48">
        <f>IF($N287&lt;&gt;"減","",N(INDEX('仕入請求台帳'!$L$5:$L$504,$O287)))</f>
        <v/>
      </c>
      <c r="G287" s="48">
        <f>IF($N287&lt;&gt;"減","",N(INDEX('仕入請求台帳'!$M$5:$M$504,$O287)))</f>
        <v/>
      </c>
      <c r="H287" s="49">
        <f>IF($N287="","",$H286+N($E287)-N($F287)-N($G287))</f>
        <v/>
      </c>
      <c r="I287" s="56" t="n"/>
      <c r="J287" s="32">
        <f>$J286+IF($N286="増",1,0)</f>
        <v/>
      </c>
      <c r="K287" s="32">
        <f>$K286+IF($N286="減",1,0)</f>
        <v/>
      </c>
      <c r="L287" s="35">
        <f>IF($B$3="",1E+9,IFERROR(SMALL('仕入請求台帳'!$U$5:$U$504,$J287+1),1E+9))</f>
        <v/>
      </c>
      <c r="M287" s="35">
        <f>IF($B$3="",1E+9,IFERROR(SMALL('仕入請求台帳'!$V$5:$V$504,$K287+1),1E+9))</f>
        <v/>
      </c>
      <c r="N287" s="32">
        <f>IF(MIN($L287,$M287)&gt;=1E+9,"",IF($L287&lt;=$M287,"増","減"))</f>
        <v/>
      </c>
      <c r="O287" s="32">
        <f>IF($N287="","",IF($N287="増",MATCH($L287,'仕入請求台帳'!$U$5:$U$504,0),MATCH($M287,'仕入請求台帳'!$V$5:$V$504,0)))</f>
        <v/>
      </c>
      <c r="P287" s="56" t="n"/>
      <c r="Q287" s="56" t="n"/>
    </row>
    <row r="288" ht="18" customHeight="1">
      <c r="A288" s="45">
        <f>IF($N288="","",IF($N288="増",INDEX('仕入請求台帳'!$S$5:$S$504,$O288),INDEX('仕入請求台帳'!$K$5:$K$504,$O288)))</f>
        <v/>
      </c>
      <c r="B288" s="46">
        <f>IF($N288="","",IF($N288="増","仕入","支払"))</f>
        <v/>
      </c>
      <c r="C288" s="46">
        <f>IF($N288="","",IF($N288="増",INDEX('仕入請求台帳'!$E$5:$E$504,$O288)&amp;"",INDEX('仕入請求台帳'!$E$5:$E$504,$O288)&amp;""))</f>
        <v/>
      </c>
      <c r="D288" s="47">
        <f>IF($N288="","",IF($N288="増",INDEX('仕入請求台帳'!$F$5:$F$504,$O288)&amp;"","支払"))</f>
        <v/>
      </c>
      <c r="E288" s="48">
        <f>IF($N288&lt;&gt;"増","",INDEX('仕入請求台帳'!$G$5:$G$504,$O288))</f>
        <v/>
      </c>
      <c r="F288" s="48">
        <f>IF($N288&lt;&gt;"減","",N(INDEX('仕入請求台帳'!$L$5:$L$504,$O288)))</f>
        <v/>
      </c>
      <c r="G288" s="48">
        <f>IF($N288&lt;&gt;"減","",N(INDEX('仕入請求台帳'!$M$5:$M$504,$O288)))</f>
        <v/>
      </c>
      <c r="H288" s="49">
        <f>IF($N288="","",$H287+N($E288)-N($F288)-N($G288))</f>
        <v/>
      </c>
      <c r="I288" s="56" t="n"/>
      <c r="J288" s="32">
        <f>$J287+IF($N287="増",1,0)</f>
        <v/>
      </c>
      <c r="K288" s="32">
        <f>$K287+IF($N287="減",1,0)</f>
        <v/>
      </c>
      <c r="L288" s="35">
        <f>IF($B$3="",1E+9,IFERROR(SMALL('仕入請求台帳'!$U$5:$U$504,$J288+1),1E+9))</f>
        <v/>
      </c>
      <c r="M288" s="35">
        <f>IF($B$3="",1E+9,IFERROR(SMALL('仕入請求台帳'!$V$5:$V$504,$K288+1),1E+9))</f>
        <v/>
      </c>
      <c r="N288" s="32">
        <f>IF(MIN($L288,$M288)&gt;=1E+9,"",IF($L288&lt;=$M288,"増","減"))</f>
        <v/>
      </c>
      <c r="O288" s="32">
        <f>IF($N288="","",IF($N288="増",MATCH($L288,'仕入請求台帳'!$U$5:$U$504,0),MATCH($M288,'仕入請求台帳'!$V$5:$V$504,0)))</f>
        <v/>
      </c>
      <c r="P288" s="56" t="n"/>
      <c r="Q288" s="56" t="n"/>
    </row>
    <row r="289" ht="18" customHeight="1">
      <c r="A289" s="45">
        <f>IF($N289="","",IF($N289="増",INDEX('仕入請求台帳'!$S$5:$S$504,$O289),INDEX('仕入請求台帳'!$K$5:$K$504,$O289)))</f>
        <v/>
      </c>
      <c r="B289" s="46">
        <f>IF($N289="","",IF($N289="増","仕入","支払"))</f>
        <v/>
      </c>
      <c r="C289" s="46">
        <f>IF($N289="","",IF($N289="増",INDEX('仕入請求台帳'!$E$5:$E$504,$O289)&amp;"",INDEX('仕入請求台帳'!$E$5:$E$504,$O289)&amp;""))</f>
        <v/>
      </c>
      <c r="D289" s="47">
        <f>IF($N289="","",IF($N289="増",INDEX('仕入請求台帳'!$F$5:$F$504,$O289)&amp;"","支払"))</f>
        <v/>
      </c>
      <c r="E289" s="48">
        <f>IF($N289&lt;&gt;"増","",INDEX('仕入請求台帳'!$G$5:$G$504,$O289))</f>
        <v/>
      </c>
      <c r="F289" s="48">
        <f>IF($N289&lt;&gt;"減","",N(INDEX('仕入請求台帳'!$L$5:$L$504,$O289)))</f>
        <v/>
      </c>
      <c r="G289" s="48">
        <f>IF($N289&lt;&gt;"減","",N(INDEX('仕入請求台帳'!$M$5:$M$504,$O289)))</f>
        <v/>
      </c>
      <c r="H289" s="49">
        <f>IF($N289="","",$H288+N($E289)-N($F289)-N($G289))</f>
        <v/>
      </c>
      <c r="I289" s="56" t="n"/>
      <c r="J289" s="32">
        <f>$J288+IF($N288="増",1,0)</f>
        <v/>
      </c>
      <c r="K289" s="32">
        <f>$K288+IF($N288="減",1,0)</f>
        <v/>
      </c>
      <c r="L289" s="35">
        <f>IF($B$3="",1E+9,IFERROR(SMALL('仕入請求台帳'!$U$5:$U$504,$J289+1),1E+9))</f>
        <v/>
      </c>
      <c r="M289" s="35">
        <f>IF($B$3="",1E+9,IFERROR(SMALL('仕入請求台帳'!$V$5:$V$504,$K289+1),1E+9))</f>
        <v/>
      </c>
      <c r="N289" s="32">
        <f>IF(MIN($L289,$M289)&gt;=1E+9,"",IF($L289&lt;=$M289,"増","減"))</f>
        <v/>
      </c>
      <c r="O289" s="32">
        <f>IF($N289="","",IF($N289="増",MATCH($L289,'仕入請求台帳'!$U$5:$U$504,0),MATCH($M289,'仕入請求台帳'!$V$5:$V$504,0)))</f>
        <v/>
      </c>
      <c r="P289" s="56" t="n"/>
      <c r="Q289" s="56" t="n"/>
    </row>
    <row r="290" ht="18" customHeight="1">
      <c r="A290" s="45">
        <f>IF($N290="","",IF($N290="増",INDEX('仕入請求台帳'!$S$5:$S$504,$O290),INDEX('仕入請求台帳'!$K$5:$K$504,$O290)))</f>
        <v/>
      </c>
      <c r="B290" s="46">
        <f>IF($N290="","",IF($N290="増","仕入","支払"))</f>
        <v/>
      </c>
      <c r="C290" s="46">
        <f>IF($N290="","",IF($N290="増",INDEX('仕入請求台帳'!$E$5:$E$504,$O290)&amp;"",INDEX('仕入請求台帳'!$E$5:$E$504,$O290)&amp;""))</f>
        <v/>
      </c>
      <c r="D290" s="47">
        <f>IF($N290="","",IF($N290="増",INDEX('仕入請求台帳'!$F$5:$F$504,$O290)&amp;"","支払"))</f>
        <v/>
      </c>
      <c r="E290" s="48">
        <f>IF($N290&lt;&gt;"増","",INDEX('仕入請求台帳'!$G$5:$G$504,$O290))</f>
        <v/>
      </c>
      <c r="F290" s="48">
        <f>IF($N290&lt;&gt;"減","",N(INDEX('仕入請求台帳'!$L$5:$L$504,$O290)))</f>
        <v/>
      </c>
      <c r="G290" s="48">
        <f>IF($N290&lt;&gt;"減","",N(INDEX('仕入請求台帳'!$M$5:$M$504,$O290)))</f>
        <v/>
      </c>
      <c r="H290" s="49">
        <f>IF($N290="","",$H289+N($E290)-N($F290)-N($G290))</f>
        <v/>
      </c>
      <c r="I290" s="56" t="n"/>
      <c r="J290" s="32">
        <f>$J289+IF($N289="増",1,0)</f>
        <v/>
      </c>
      <c r="K290" s="32">
        <f>$K289+IF($N289="減",1,0)</f>
        <v/>
      </c>
      <c r="L290" s="35">
        <f>IF($B$3="",1E+9,IFERROR(SMALL('仕入請求台帳'!$U$5:$U$504,$J290+1),1E+9))</f>
        <v/>
      </c>
      <c r="M290" s="35">
        <f>IF($B$3="",1E+9,IFERROR(SMALL('仕入請求台帳'!$V$5:$V$504,$K290+1),1E+9))</f>
        <v/>
      </c>
      <c r="N290" s="32">
        <f>IF(MIN($L290,$M290)&gt;=1E+9,"",IF($L290&lt;=$M290,"増","減"))</f>
        <v/>
      </c>
      <c r="O290" s="32">
        <f>IF($N290="","",IF($N290="増",MATCH($L290,'仕入請求台帳'!$U$5:$U$504,0),MATCH($M290,'仕入請求台帳'!$V$5:$V$504,0)))</f>
        <v/>
      </c>
      <c r="P290" s="56" t="n"/>
      <c r="Q290" s="56" t="n"/>
    </row>
    <row r="291" ht="18" customHeight="1">
      <c r="A291" s="45">
        <f>IF($N291="","",IF($N291="増",INDEX('仕入請求台帳'!$S$5:$S$504,$O291),INDEX('仕入請求台帳'!$K$5:$K$504,$O291)))</f>
        <v/>
      </c>
      <c r="B291" s="46">
        <f>IF($N291="","",IF($N291="増","仕入","支払"))</f>
        <v/>
      </c>
      <c r="C291" s="46">
        <f>IF($N291="","",IF($N291="増",INDEX('仕入請求台帳'!$E$5:$E$504,$O291)&amp;"",INDEX('仕入請求台帳'!$E$5:$E$504,$O291)&amp;""))</f>
        <v/>
      </c>
      <c r="D291" s="47">
        <f>IF($N291="","",IF($N291="増",INDEX('仕入請求台帳'!$F$5:$F$504,$O291)&amp;"","支払"))</f>
        <v/>
      </c>
      <c r="E291" s="48">
        <f>IF($N291&lt;&gt;"増","",INDEX('仕入請求台帳'!$G$5:$G$504,$O291))</f>
        <v/>
      </c>
      <c r="F291" s="48">
        <f>IF($N291&lt;&gt;"減","",N(INDEX('仕入請求台帳'!$L$5:$L$504,$O291)))</f>
        <v/>
      </c>
      <c r="G291" s="48">
        <f>IF($N291&lt;&gt;"減","",N(INDEX('仕入請求台帳'!$M$5:$M$504,$O291)))</f>
        <v/>
      </c>
      <c r="H291" s="49">
        <f>IF($N291="","",$H290+N($E291)-N($F291)-N($G291))</f>
        <v/>
      </c>
      <c r="I291" s="56" t="n"/>
      <c r="J291" s="32">
        <f>$J290+IF($N290="増",1,0)</f>
        <v/>
      </c>
      <c r="K291" s="32">
        <f>$K290+IF($N290="減",1,0)</f>
        <v/>
      </c>
      <c r="L291" s="35">
        <f>IF($B$3="",1E+9,IFERROR(SMALL('仕入請求台帳'!$U$5:$U$504,$J291+1),1E+9))</f>
        <v/>
      </c>
      <c r="M291" s="35">
        <f>IF($B$3="",1E+9,IFERROR(SMALL('仕入請求台帳'!$V$5:$V$504,$K291+1),1E+9))</f>
        <v/>
      </c>
      <c r="N291" s="32">
        <f>IF(MIN($L291,$M291)&gt;=1E+9,"",IF($L291&lt;=$M291,"増","減"))</f>
        <v/>
      </c>
      <c r="O291" s="32">
        <f>IF($N291="","",IF($N291="増",MATCH($L291,'仕入請求台帳'!$U$5:$U$504,0),MATCH($M291,'仕入請求台帳'!$V$5:$V$504,0)))</f>
        <v/>
      </c>
      <c r="P291" s="56" t="n"/>
      <c r="Q291" s="56" t="n"/>
    </row>
    <row r="292" ht="18" customHeight="1">
      <c r="A292" s="45">
        <f>IF($N292="","",IF($N292="増",INDEX('仕入請求台帳'!$S$5:$S$504,$O292),INDEX('仕入請求台帳'!$K$5:$K$504,$O292)))</f>
        <v/>
      </c>
      <c r="B292" s="46">
        <f>IF($N292="","",IF($N292="増","仕入","支払"))</f>
        <v/>
      </c>
      <c r="C292" s="46">
        <f>IF($N292="","",IF($N292="増",INDEX('仕入請求台帳'!$E$5:$E$504,$O292)&amp;"",INDEX('仕入請求台帳'!$E$5:$E$504,$O292)&amp;""))</f>
        <v/>
      </c>
      <c r="D292" s="47">
        <f>IF($N292="","",IF($N292="増",INDEX('仕入請求台帳'!$F$5:$F$504,$O292)&amp;"","支払"))</f>
        <v/>
      </c>
      <c r="E292" s="48">
        <f>IF($N292&lt;&gt;"増","",INDEX('仕入請求台帳'!$G$5:$G$504,$O292))</f>
        <v/>
      </c>
      <c r="F292" s="48">
        <f>IF($N292&lt;&gt;"減","",N(INDEX('仕入請求台帳'!$L$5:$L$504,$O292)))</f>
        <v/>
      </c>
      <c r="G292" s="48">
        <f>IF($N292&lt;&gt;"減","",N(INDEX('仕入請求台帳'!$M$5:$M$504,$O292)))</f>
        <v/>
      </c>
      <c r="H292" s="49">
        <f>IF($N292="","",$H291+N($E292)-N($F292)-N($G292))</f>
        <v/>
      </c>
      <c r="I292" s="56" t="n"/>
      <c r="J292" s="32">
        <f>$J291+IF($N291="増",1,0)</f>
        <v/>
      </c>
      <c r="K292" s="32">
        <f>$K291+IF($N291="減",1,0)</f>
        <v/>
      </c>
      <c r="L292" s="35">
        <f>IF($B$3="",1E+9,IFERROR(SMALL('仕入請求台帳'!$U$5:$U$504,$J292+1),1E+9))</f>
        <v/>
      </c>
      <c r="M292" s="35">
        <f>IF($B$3="",1E+9,IFERROR(SMALL('仕入請求台帳'!$V$5:$V$504,$K292+1),1E+9))</f>
        <v/>
      </c>
      <c r="N292" s="32">
        <f>IF(MIN($L292,$M292)&gt;=1E+9,"",IF($L292&lt;=$M292,"増","減"))</f>
        <v/>
      </c>
      <c r="O292" s="32">
        <f>IF($N292="","",IF($N292="増",MATCH($L292,'仕入請求台帳'!$U$5:$U$504,0),MATCH($M292,'仕入請求台帳'!$V$5:$V$504,0)))</f>
        <v/>
      </c>
      <c r="P292" s="56" t="n"/>
      <c r="Q292" s="56" t="n"/>
    </row>
    <row r="293" ht="18" customHeight="1">
      <c r="A293" s="45">
        <f>IF($N293="","",IF($N293="増",INDEX('仕入請求台帳'!$S$5:$S$504,$O293),INDEX('仕入請求台帳'!$K$5:$K$504,$O293)))</f>
        <v/>
      </c>
      <c r="B293" s="46">
        <f>IF($N293="","",IF($N293="増","仕入","支払"))</f>
        <v/>
      </c>
      <c r="C293" s="46">
        <f>IF($N293="","",IF($N293="増",INDEX('仕入請求台帳'!$E$5:$E$504,$O293)&amp;"",INDEX('仕入請求台帳'!$E$5:$E$504,$O293)&amp;""))</f>
        <v/>
      </c>
      <c r="D293" s="47">
        <f>IF($N293="","",IF($N293="増",INDEX('仕入請求台帳'!$F$5:$F$504,$O293)&amp;"","支払"))</f>
        <v/>
      </c>
      <c r="E293" s="48">
        <f>IF($N293&lt;&gt;"増","",INDEX('仕入請求台帳'!$G$5:$G$504,$O293))</f>
        <v/>
      </c>
      <c r="F293" s="48">
        <f>IF($N293&lt;&gt;"減","",N(INDEX('仕入請求台帳'!$L$5:$L$504,$O293)))</f>
        <v/>
      </c>
      <c r="G293" s="48">
        <f>IF($N293&lt;&gt;"減","",N(INDEX('仕入請求台帳'!$M$5:$M$504,$O293)))</f>
        <v/>
      </c>
      <c r="H293" s="49">
        <f>IF($N293="","",$H292+N($E293)-N($F293)-N($G293))</f>
        <v/>
      </c>
      <c r="I293" s="56" t="n"/>
      <c r="J293" s="32">
        <f>$J292+IF($N292="増",1,0)</f>
        <v/>
      </c>
      <c r="K293" s="32">
        <f>$K292+IF($N292="減",1,0)</f>
        <v/>
      </c>
      <c r="L293" s="35">
        <f>IF($B$3="",1E+9,IFERROR(SMALL('仕入請求台帳'!$U$5:$U$504,$J293+1),1E+9))</f>
        <v/>
      </c>
      <c r="M293" s="35">
        <f>IF($B$3="",1E+9,IFERROR(SMALL('仕入請求台帳'!$V$5:$V$504,$K293+1),1E+9))</f>
        <v/>
      </c>
      <c r="N293" s="32">
        <f>IF(MIN($L293,$M293)&gt;=1E+9,"",IF($L293&lt;=$M293,"増","減"))</f>
        <v/>
      </c>
      <c r="O293" s="32">
        <f>IF($N293="","",IF($N293="増",MATCH($L293,'仕入請求台帳'!$U$5:$U$504,0),MATCH($M293,'仕入請求台帳'!$V$5:$V$504,0)))</f>
        <v/>
      </c>
      <c r="P293" s="56" t="n"/>
      <c r="Q293" s="56" t="n"/>
    </row>
    <row r="294" ht="18" customHeight="1">
      <c r="A294" s="45">
        <f>IF($N294="","",IF($N294="増",INDEX('仕入請求台帳'!$S$5:$S$504,$O294),INDEX('仕入請求台帳'!$K$5:$K$504,$O294)))</f>
        <v/>
      </c>
      <c r="B294" s="46">
        <f>IF($N294="","",IF($N294="増","仕入","支払"))</f>
        <v/>
      </c>
      <c r="C294" s="46">
        <f>IF($N294="","",IF($N294="増",INDEX('仕入請求台帳'!$E$5:$E$504,$O294)&amp;"",INDEX('仕入請求台帳'!$E$5:$E$504,$O294)&amp;""))</f>
        <v/>
      </c>
      <c r="D294" s="47">
        <f>IF($N294="","",IF($N294="増",INDEX('仕入請求台帳'!$F$5:$F$504,$O294)&amp;"","支払"))</f>
        <v/>
      </c>
      <c r="E294" s="48">
        <f>IF($N294&lt;&gt;"増","",INDEX('仕入請求台帳'!$G$5:$G$504,$O294))</f>
        <v/>
      </c>
      <c r="F294" s="48">
        <f>IF($N294&lt;&gt;"減","",N(INDEX('仕入請求台帳'!$L$5:$L$504,$O294)))</f>
        <v/>
      </c>
      <c r="G294" s="48">
        <f>IF($N294&lt;&gt;"減","",N(INDEX('仕入請求台帳'!$M$5:$M$504,$O294)))</f>
        <v/>
      </c>
      <c r="H294" s="49">
        <f>IF($N294="","",$H293+N($E294)-N($F294)-N($G294))</f>
        <v/>
      </c>
      <c r="I294" s="56" t="n"/>
      <c r="J294" s="32">
        <f>$J293+IF($N293="増",1,0)</f>
        <v/>
      </c>
      <c r="K294" s="32">
        <f>$K293+IF($N293="減",1,0)</f>
        <v/>
      </c>
      <c r="L294" s="35">
        <f>IF($B$3="",1E+9,IFERROR(SMALL('仕入請求台帳'!$U$5:$U$504,$J294+1),1E+9))</f>
        <v/>
      </c>
      <c r="M294" s="35">
        <f>IF($B$3="",1E+9,IFERROR(SMALL('仕入請求台帳'!$V$5:$V$504,$K294+1),1E+9))</f>
        <v/>
      </c>
      <c r="N294" s="32">
        <f>IF(MIN($L294,$M294)&gt;=1E+9,"",IF($L294&lt;=$M294,"増","減"))</f>
        <v/>
      </c>
      <c r="O294" s="32">
        <f>IF($N294="","",IF($N294="増",MATCH($L294,'仕入請求台帳'!$U$5:$U$504,0),MATCH($M294,'仕入請求台帳'!$V$5:$V$504,0)))</f>
        <v/>
      </c>
      <c r="P294" s="56" t="n"/>
      <c r="Q294" s="56" t="n"/>
    </row>
    <row r="295" ht="18" customHeight="1">
      <c r="A295" s="45">
        <f>IF($N295="","",IF($N295="増",INDEX('仕入請求台帳'!$S$5:$S$504,$O295),INDEX('仕入請求台帳'!$K$5:$K$504,$O295)))</f>
        <v/>
      </c>
      <c r="B295" s="46">
        <f>IF($N295="","",IF($N295="増","仕入","支払"))</f>
        <v/>
      </c>
      <c r="C295" s="46">
        <f>IF($N295="","",IF($N295="増",INDEX('仕入請求台帳'!$E$5:$E$504,$O295)&amp;"",INDEX('仕入請求台帳'!$E$5:$E$504,$O295)&amp;""))</f>
        <v/>
      </c>
      <c r="D295" s="47">
        <f>IF($N295="","",IF($N295="増",INDEX('仕入請求台帳'!$F$5:$F$504,$O295)&amp;"","支払"))</f>
        <v/>
      </c>
      <c r="E295" s="48">
        <f>IF($N295&lt;&gt;"増","",INDEX('仕入請求台帳'!$G$5:$G$504,$O295))</f>
        <v/>
      </c>
      <c r="F295" s="48">
        <f>IF($N295&lt;&gt;"減","",N(INDEX('仕入請求台帳'!$L$5:$L$504,$O295)))</f>
        <v/>
      </c>
      <c r="G295" s="48">
        <f>IF($N295&lt;&gt;"減","",N(INDEX('仕入請求台帳'!$M$5:$M$504,$O295)))</f>
        <v/>
      </c>
      <c r="H295" s="49">
        <f>IF($N295="","",$H294+N($E295)-N($F295)-N($G295))</f>
        <v/>
      </c>
      <c r="I295" s="56" t="n"/>
      <c r="J295" s="32">
        <f>$J294+IF($N294="増",1,0)</f>
        <v/>
      </c>
      <c r="K295" s="32">
        <f>$K294+IF($N294="減",1,0)</f>
        <v/>
      </c>
      <c r="L295" s="35">
        <f>IF($B$3="",1E+9,IFERROR(SMALL('仕入請求台帳'!$U$5:$U$504,$J295+1),1E+9))</f>
        <v/>
      </c>
      <c r="M295" s="35">
        <f>IF($B$3="",1E+9,IFERROR(SMALL('仕入請求台帳'!$V$5:$V$504,$K295+1),1E+9))</f>
        <v/>
      </c>
      <c r="N295" s="32">
        <f>IF(MIN($L295,$M295)&gt;=1E+9,"",IF($L295&lt;=$M295,"増","減"))</f>
        <v/>
      </c>
      <c r="O295" s="32">
        <f>IF($N295="","",IF($N295="増",MATCH($L295,'仕入請求台帳'!$U$5:$U$504,0),MATCH($M295,'仕入請求台帳'!$V$5:$V$504,0)))</f>
        <v/>
      </c>
      <c r="P295" s="56" t="n"/>
      <c r="Q295" s="56" t="n"/>
    </row>
    <row r="296" ht="18" customHeight="1">
      <c r="A296" s="45">
        <f>IF($N296="","",IF($N296="増",INDEX('仕入請求台帳'!$S$5:$S$504,$O296),INDEX('仕入請求台帳'!$K$5:$K$504,$O296)))</f>
        <v/>
      </c>
      <c r="B296" s="46">
        <f>IF($N296="","",IF($N296="増","仕入","支払"))</f>
        <v/>
      </c>
      <c r="C296" s="46">
        <f>IF($N296="","",IF($N296="増",INDEX('仕入請求台帳'!$E$5:$E$504,$O296)&amp;"",INDEX('仕入請求台帳'!$E$5:$E$504,$O296)&amp;""))</f>
        <v/>
      </c>
      <c r="D296" s="47">
        <f>IF($N296="","",IF($N296="増",INDEX('仕入請求台帳'!$F$5:$F$504,$O296)&amp;"","支払"))</f>
        <v/>
      </c>
      <c r="E296" s="48">
        <f>IF($N296&lt;&gt;"増","",INDEX('仕入請求台帳'!$G$5:$G$504,$O296))</f>
        <v/>
      </c>
      <c r="F296" s="48">
        <f>IF($N296&lt;&gt;"減","",N(INDEX('仕入請求台帳'!$L$5:$L$504,$O296)))</f>
        <v/>
      </c>
      <c r="G296" s="48">
        <f>IF($N296&lt;&gt;"減","",N(INDEX('仕入請求台帳'!$M$5:$M$504,$O296)))</f>
        <v/>
      </c>
      <c r="H296" s="49">
        <f>IF($N296="","",$H295+N($E296)-N($F296)-N($G296))</f>
        <v/>
      </c>
      <c r="I296" s="56" t="n"/>
      <c r="J296" s="32">
        <f>$J295+IF($N295="増",1,0)</f>
        <v/>
      </c>
      <c r="K296" s="32">
        <f>$K295+IF($N295="減",1,0)</f>
        <v/>
      </c>
      <c r="L296" s="35">
        <f>IF($B$3="",1E+9,IFERROR(SMALL('仕入請求台帳'!$U$5:$U$504,$J296+1),1E+9))</f>
        <v/>
      </c>
      <c r="M296" s="35">
        <f>IF($B$3="",1E+9,IFERROR(SMALL('仕入請求台帳'!$V$5:$V$504,$K296+1),1E+9))</f>
        <v/>
      </c>
      <c r="N296" s="32">
        <f>IF(MIN($L296,$M296)&gt;=1E+9,"",IF($L296&lt;=$M296,"増","減"))</f>
        <v/>
      </c>
      <c r="O296" s="32">
        <f>IF($N296="","",IF($N296="増",MATCH($L296,'仕入請求台帳'!$U$5:$U$504,0),MATCH($M296,'仕入請求台帳'!$V$5:$V$504,0)))</f>
        <v/>
      </c>
      <c r="P296" s="56" t="n"/>
      <c r="Q296" s="56" t="n"/>
    </row>
    <row r="297" ht="18" customHeight="1">
      <c r="A297" s="45">
        <f>IF($N297="","",IF($N297="増",INDEX('仕入請求台帳'!$S$5:$S$504,$O297),INDEX('仕入請求台帳'!$K$5:$K$504,$O297)))</f>
        <v/>
      </c>
      <c r="B297" s="46">
        <f>IF($N297="","",IF($N297="増","仕入","支払"))</f>
        <v/>
      </c>
      <c r="C297" s="46">
        <f>IF($N297="","",IF($N297="増",INDEX('仕入請求台帳'!$E$5:$E$504,$O297)&amp;"",INDEX('仕入請求台帳'!$E$5:$E$504,$O297)&amp;""))</f>
        <v/>
      </c>
      <c r="D297" s="47">
        <f>IF($N297="","",IF($N297="増",INDEX('仕入請求台帳'!$F$5:$F$504,$O297)&amp;"","支払"))</f>
        <v/>
      </c>
      <c r="E297" s="48">
        <f>IF($N297&lt;&gt;"増","",INDEX('仕入請求台帳'!$G$5:$G$504,$O297))</f>
        <v/>
      </c>
      <c r="F297" s="48">
        <f>IF($N297&lt;&gt;"減","",N(INDEX('仕入請求台帳'!$L$5:$L$504,$O297)))</f>
        <v/>
      </c>
      <c r="G297" s="48">
        <f>IF($N297&lt;&gt;"減","",N(INDEX('仕入請求台帳'!$M$5:$M$504,$O297)))</f>
        <v/>
      </c>
      <c r="H297" s="49">
        <f>IF($N297="","",$H296+N($E297)-N($F297)-N($G297))</f>
        <v/>
      </c>
      <c r="I297" s="56" t="n"/>
      <c r="J297" s="32">
        <f>$J296+IF($N296="増",1,0)</f>
        <v/>
      </c>
      <c r="K297" s="32">
        <f>$K296+IF($N296="減",1,0)</f>
        <v/>
      </c>
      <c r="L297" s="35">
        <f>IF($B$3="",1E+9,IFERROR(SMALL('仕入請求台帳'!$U$5:$U$504,$J297+1),1E+9))</f>
        <v/>
      </c>
      <c r="M297" s="35">
        <f>IF($B$3="",1E+9,IFERROR(SMALL('仕入請求台帳'!$V$5:$V$504,$K297+1),1E+9))</f>
        <v/>
      </c>
      <c r="N297" s="32">
        <f>IF(MIN($L297,$M297)&gt;=1E+9,"",IF($L297&lt;=$M297,"増","減"))</f>
        <v/>
      </c>
      <c r="O297" s="32">
        <f>IF($N297="","",IF($N297="増",MATCH($L297,'仕入請求台帳'!$U$5:$U$504,0),MATCH($M297,'仕入請求台帳'!$V$5:$V$504,0)))</f>
        <v/>
      </c>
      <c r="P297" s="56" t="n"/>
      <c r="Q297" s="56" t="n"/>
    </row>
    <row r="298" ht="18" customHeight="1">
      <c r="A298" s="45">
        <f>IF($N298="","",IF($N298="増",INDEX('仕入請求台帳'!$S$5:$S$504,$O298),INDEX('仕入請求台帳'!$K$5:$K$504,$O298)))</f>
        <v/>
      </c>
      <c r="B298" s="46">
        <f>IF($N298="","",IF($N298="増","仕入","支払"))</f>
        <v/>
      </c>
      <c r="C298" s="46">
        <f>IF($N298="","",IF($N298="増",INDEX('仕入請求台帳'!$E$5:$E$504,$O298)&amp;"",INDEX('仕入請求台帳'!$E$5:$E$504,$O298)&amp;""))</f>
        <v/>
      </c>
      <c r="D298" s="47">
        <f>IF($N298="","",IF($N298="増",INDEX('仕入請求台帳'!$F$5:$F$504,$O298)&amp;"","支払"))</f>
        <v/>
      </c>
      <c r="E298" s="48">
        <f>IF($N298&lt;&gt;"増","",INDEX('仕入請求台帳'!$G$5:$G$504,$O298))</f>
        <v/>
      </c>
      <c r="F298" s="48">
        <f>IF($N298&lt;&gt;"減","",N(INDEX('仕入請求台帳'!$L$5:$L$504,$O298)))</f>
        <v/>
      </c>
      <c r="G298" s="48">
        <f>IF($N298&lt;&gt;"減","",N(INDEX('仕入請求台帳'!$M$5:$M$504,$O298)))</f>
        <v/>
      </c>
      <c r="H298" s="49">
        <f>IF($N298="","",$H297+N($E298)-N($F298)-N($G298))</f>
        <v/>
      </c>
      <c r="I298" s="56" t="n"/>
      <c r="J298" s="32">
        <f>$J297+IF($N297="増",1,0)</f>
        <v/>
      </c>
      <c r="K298" s="32">
        <f>$K297+IF($N297="減",1,0)</f>
        <v/>
      </c>
      <c r="L298" s="35">
        <f>IF($B$3="",1E+9,IFERROR(SMALL('仕入請求台帳'!$U$5:$U$504,$J298+1),1E+9))</f>
        <v/>
      </c>
      <c r="M298" s="35">
        <f>IF($B$3="",1E+9,IFERROR(SMALL('仕入請求台帳'!$V$5:$V$504,$K298+1),1E+9))</f>
        <v/>
      </c>
      <c r="N298" s="32">
        <f>IF(MIN($L298,$M298)&gt;=1E+9,"",IF($L298&lt;=$M298,"増","減"))</f>
        <v/>
      </c>
      <c r="O298" s="32">
        <f>IF($N298="","",IF($N298="増",MATCH($L298,'仕入請求台帳'!$U$5:$U$504,0),MATCH($M298,'仕入請求台帳'!$V$5:$V$504,0)))</f>
        <v/>
      </c>
      <c r="P298" s="56" t="n"/>
      <c r="Q298" s="56" t="n"/>
    </row>
    <row r="299" ht="18" customHeight="1">
      <c r="A299" s="45">
        <f>IF($N299="","",IF($N299="増",INDEX('仕入請求台帳'!$S$5:$S$504,$O299),INDEX('仕入請求台帳'!$K$5:$K$504,$O299)))</f>
        <v/>
      </c>
      <c r="B299" s="46">
        <f>IF($N299="","",IF($N299="増","仕入","支払"))</f>
        <v/>
      </c>
      <c r="C299" s="46">
        <f>IF($N299="","",IF($N299="増",INDEX('仕入請求台帳'!$E$5:$E$504,$O299)&amp;"",INDEX('仕入請求台帳'!$E$5:$E$504,$O299)&amp;""))</f>
        <v/>
      </c>
      <c r="D299" s="47">
        <f>IF($N299="","",IF($N299="増",INDEX('仕入請求台帳'!$F$5:$F$504,$O299)&amp;"","支払"))</f>
        <v/>
      </c>
      <c r="E299" s="48">
        <f>IF($N299&lt;&gt;"増","",INDEX('仕入請求台帳'!$G$5:$G$504,$O299))</f>
        <v/>
      </c>
      <c r="F299" s="48">
        <f>IF($N299&lt;&gt;"減","",N(INDEX('仕入請求台帳'!$L$5:$L$504,$O299)))</f>
        <v/>
      </c>
      <c r="G299" s="48">
        <f>IF($N299&lt;&gt;"減","",N(INDEX('仕入請求台帳'!$M$5:$M$504,$O299)))</f>
        <v/>
      </c>
      <c r="H299" s="49">
        <f>IF($N299="","",$H298+N($E299)-N($F299)-N($G299))</f>
        <v/>
      </c>
      <c r="I299" s="56" t="n"/>
      <c r="J299" s="32">
        <f>$J298+IF($N298="増",1,0)</f>
        <v/>
      </c>
      <c r="K299" s="32">
        <f>$K298+IF($N298="減",1,0)</f>
        <v/>
      </c>
      <c r="L299" s="35">
        <f>IF($B$3="",1E+9,IFERROR(SMALL('仕入請求台帳'!$U$5:$U$504,$J299+1),1E+9))</f>
        <v/>
      </c>
      <c r="M299" s="35">
        <f>IF($B$3="",1E+9,IFERROR(SMALL('仕入請求台帳'!$V$5:$V$504,$K299+1),1E+9))</f>
        <v/>
      </c>
      <c r="N299" s="32">
        <f>IF(MIN($L299,$M299)&gt;=1E+9,"",IF($L299&lt;=$M299,"増","減"))</f>
        <v/>
      </c>
      <c r="O299" s="32">
        <f>IF($N299="","",IF($N299="増",MATCH($L299,'仕入請求台帳'!$U$5:$U$504,0),MATCH($M299,'仕入請求台帳'!$V$5:$V$504,0)))</f>
        <v/>
      </c>
      <c r="P299" s="56" t="n"/>
      <c r="Q299" s="56" t="n"/>
    </row>
    <row r="300" ht="18" customHeight="1">
      <c r="A300" s="45">
        <f>IF($N300="","",IF($N300="増",INDEX('仕入請求台帳'!$S$5:$S$504,$O300),INDEX('仕入請求台帳'!$K$5:$K$504,$O300)))</f>
        <v/>
      </c>
      <c r="B300" s="46">
        <f>IF($N300="","",IF($N300="増","仕入","支払"))</f>
        <v/>
      </c>
      <c r="C300" s="46">
        <f>IF($N300="","",IF($N300="増",INDEX('仕入請求台帳'!$E$5:$E$504,$O300)&amp;"",INDEX('仕入請求台帳'!$E$5:$E$504,$O300)&amp;""))</f>
        <v/>
      </c>
      <c r="D300" s="47">
        <f>IF($N300="","",IF($N300="増",INDEX('仕入請求台帳'!$F$5:$F$504,$O300)&amp;"","支払"))</f>
        <v/>
      </c>
      <c r="E300" s="48">
        <f>IF($N300&lt;&gt;"増","",INDEX('仕入請求台帳'!$G$5:$G$504,$O300))</f>
        <v/>
      </c>
      <c r="F300" s="48">
        <f>IF($N300&lt;&gt;"減","",N(INDEX('仕入請求台帳'!$L$5:$L$504,$O300)))</f>
        <v/>
      </c>
      <c r="G300" s="48">
        <f>IF($N300&lt;&gt;"減","",N(INDEX('仕入請求台帳'!$M$5:$M$504,$O300)))</f>
        <v/>
      </c>
      <c r="H300" s="49">
        <f>IF($N300="","",$H299+N($E300)-N($F300)-N($G300))</f>
        <v/>
      </c>
      <c r="I300" s="56" t="n"/>
      <c r="J300" s="32">
        <f>$J299+IF($N299="増",1,0)</f>
        <v/>
      </c>
      <c r="K300" s="32">
        <f>$K299+IF($N299="減",1,0)</f>
        <v/>
      </c>
      <c r="L300" s="35">
        <f>IF($B$3="",1E+9,IFERROR(SMALL('仕入請求台帳'!$U$5:$U$504,$J300+1),1E+9))</f>
        <v/>
      </c>
      <c r="M300" s="35">
        <f>IF($B$3="",1E+9,IFERROR(SMALL('仕入請求台帳'!$V$5:$V$504,$K300+1),1E+9))</f>
        <v/>
      </c>
      <c r="N300" s="32">
        <f>IF(MIN($L300,$M300)&gt;=1E+9,"",IF($L300&lt;=$M300,"増","減"))</f>
        <v/>
      </c>
      <c r="O300" s="32">
        <f>IF($N300="","",IF($N300="増",MATCH($L300,'仕入請求台帳'!$U$5:$U$504,0),MATCH($M300,'仕入請求台帳'!$V$5:$V$504,0)))</f>
        <v/>
      </c>
      <c r="P300" s="56" t="n"/>
      <c r="Q300" s="56" t="n"/>
    </row>
    <row r="301" ht="18" customHeight="1">
      <c r="A301" s="45">
        <f>IF($N301="","",IF($N301="増",INDEX('仕入請求台帳'!$S$5:$S$504,$O301),INDEX('仕入請求台帳'!$K$5:$K$504,$O301)))</f>
        <v/>
      </c>
      <c r="B301" s="46">
        <f>IF($N301="","",IF($N301="増","仕入","支払"))</f>
        <v/>
      </c>
      <c r="C301" s="46">
        <f>IF($N301="","",IF($N301="増",INDEX('仕入請求台帳'!$E$5:$E$504,$O301)&amp;"",INDEX('仕入請求台帳'!$E$5:$E$504,$O301)&amp;""))</f>
        <v/>
      </c>
      <c r="D301" s="47">
        <f>IF($N301="","",IF($N301="増",INDEX('仕入請求台帳'!$F$5:$F$504,$O301)&amp;"","支払"))</f>
        <v/>
      </c>
      <c r="E301" s="48">
        <f>IF($N301&lt;&gt;"増","",INDEX('仕入請求台帳'!$G$5:$G$504,$O301))</f>
        <v/>
      </c>
      <c r="F301" s="48">
        <f>IF($N301&lt;&gt;"減","",N(INDEX('仕入請求台帳'!$L$5:$L$504,$O301)))</f>
        <v/>
      </c>
      <c r="G301" s="48">
        <f>IF($N301&lt;&gt;"減","",N(INDEX('仕入請求台帳'!$M$5:$M$504,$O301)))</f>
        <v/>
      </c>
      <c r="H301" s="49">
        <f>IF($N301="","",$H300+N($E301)-N($F301)-N($G301))</f>
        <v/>
      </c>
      <c r="I301" s="56" t="n"/>
      <c r="J301" s="32">
        <f>$J300+IF($N300="増",1,0)</f>
        <v/>
      </c>
      <c r="K301" s="32">
        <f>$K300+IF($N300="減",1,0)</f>
        <v/>
      </c>
      <c r="L301" s="35">
        <f>IF($B$3="",1E+9,IFERROR(SMALL('仕入請求台帳'!$U$5:$U$504,$J301+1),1E+9))</f>
        <v/>
      </c>
      <c r="M301" s="35">
        <f>IF($B$3="",1E+9,IFERROR(SMALL('仕入請求台帳'!$V$5:$V$504,$K301+1),1E+9))</f>
        <v/>
      </c>
      <c r="N301" s="32">
        <f>IF(MIN($L301,$M301)&gt;=1E+9,"",IF($L301&lt;=$M301,"増","減"))</f>
        <v/>
      </c>
      <c r="O301" s="32">
        <f>IF($N301="","",IF($N301="増",MATCH($L301,'仕入請求台帳'!$U$5:$U$504,0),MATCH($M301,'仕入請求台帳'!$V$5:$V$504,0)))</f>
        <v/>
      </c>
      <c r="P301" s="56" t="n"/>
      <c r="Q301" s="56" t="n"/>
    </row>
    <row r="302" ht="18" customHeight="1">
      <c r="A302" s="45">
        <f>IF($N302="","",IF($N302="増",INDEX('仕入請求台帳'!$S$5:$S$504,$O302),INDEX('仕入請求台帳'!$K$5:$K$504,$O302)))</f>
        <v/>
      </c>
      <c r="B302" s="46">
        <f>IF($N302="","",IF($N302="増","仕入","支払"))</f>
        <v/>
      </c>
      <c r="C302" s="46">
        <f>IF($N302="","",IF($N302="増",INDEX('仕入請求台帳'!$E$5:$E$504,$O302)&amp;"",INDEX('仕入請求台帳'!$E$5:$E$504,$O302)&amp;""))</f>
        <v/>
      </c>
      <c r="D302" s="47">
        <f>IF($N302="","",IF($N302="増",INDEX('仕入請求台帳'!$F$5:$F$504,$O302)&amp;"","支払"))</f>
        <v/>
      </c>
      <c r="E302" s="48">
        <f>IF($N302&lt;&gt;"増","",INDEX('仕入請求台帳'!$G$5:$G$504,$O302))</f>
        <v/>
      </c>
      <c r="F302" s="48">
        <f>IF($N302&lt;&gt;"減","",N(INDEX('仕入請求台帳'!$L$5:$L$504,$O302)))</f>
        <v/>
      </c>
      <c r="G302" s="48">
        <f>IF($N302&lt;&gt;"減","",N(INDEX('仕入請求台帳'!$M$5:$M$504,$O302)))</f>
        <v/>
      </c>
      <c r="H302" s="49">
        <f>IF($N302="","",$H301+N($E302)-N($F302)-N($G302))</f>
        <v/>
      </c>
      <c r="I302" s="56" t="n"/>
      <c r="J302" s="32">
        <f>$J301+IF($N301="増",1,0)</f>
        <v/>
      </c>
      <c r="K302" s="32">
        <f>$K301+IF($N301="減",1,0)</f>
        <v/>
      </c>
      <c r="L302" s="35">
        <f>IF($B$3="",1E+9,IFERROR(SMALL('仕入請求台帳'!$U$5:$U$504,$J302+1),1E+9))</f>
        <v/>
      </c>
      <c r="M302" s="35">
        <f>IF($B$3="",1E+9,IFERROR(SMALL('仕入請求台帳'!$V$5:$V$504,$K302+1),1E+9))</f>
        <v/>
      </c>
      <c r="N302" s="32">
        <f>IF(MIN($L302,$M302)&gt;=1E+9,"",IF($L302&lt;=$M302,"増","減"))</f>
        <v/>
      </c>
      <c r="O302" s="32">
        <f>IF($N302="","",IF($N302="増",MATCH($L302,'仕入請求台帳'!$U$5:$U$504,0),MATCH($M302,'仕入請求台帳'!$V$5:$V$504,0)))</f>
        <v/>
      </c>
      <c r="P302" s="56" t="n"/>
      <c r="Q302" s="56" t="n"/>
    </row>
    <row r="303" ht="18" customHeight="1">
      <c r="A303" s="45">
        <f>IF($N303="","",IF($N303="増",INDEX('仕入請求台帳'!$S$5:$S$504,$O303),INDEX('仕入請求台帳'!$K$5:$K$504,$O303)))</f>
        <v/>
      </c>
      <c r="B303" s="46">
        <f>IF($N303="","",IF($N303="増","仕入","支払"))</f>
        <v/>
      </c>
      <c r="C303" s="46">
        <f>IF($N303="","",IF($N303="増",INDEX('仕入請求台帳'!$E$5:$E$504,$O303)&amp;"",INDEX('仕入請求台帳'!$E$5:$E$504,$O303)&amp;""))</f>
        <v/>
      </c>
      <c r="D303" s="47">
        <f>IF($N303="","",IF($N303="増",INDEX('仕入請求台帳'!$F$5:$F$504,$O303)&amp;"","支払"))</f>
        <v/>
      </c>
      <c r="E303" s="48">
        <f>IF($N303&lt;&gt;"増","",INDEX('仕入請求台帳'!$G$5:$G$504,$O303))</f>
        <v/>
      </c>
      <c r="F303" s="48">
        <f>IF($N303&lt;&gt;"減","",N(INDEX('仕入請求台帳'!$L$5:$L$504,$O303)))</f>
        <v/>
      </c>
      <c r="G303" s="48">
        <f>IF($N303&lt;&gt;"減","",N(INDEX('仕入請求台帳'!$M$5:$M$504,$O303)))</f>
        <v/>
      </c>
      <c r="H303" s="49">
        <f>IF($N303="","",$H302+N($E303)-N($F303)-N($G303))</f>
        <v/>
      </c>
      <c r="I303" s="56" t="n"/>
      <c r="J303" s="32">
        <f>$J302+IF($N302="増",1,0)</f>
        <v/>
      </c>
      <c r="K303" s="32">
        <f>$K302+IF($N302="減",1,0)</f>
        <v/>
      </c>
      <c r="L303" s="35">
        <f>IF($B$3="",1E+9,IFERROR(SMALL('仕入請求台帳'!$U$5:$U$504,$J303+1),1E+9))</f>
        <v/>
      </c>
      <c r="M303" s="35">
        <f>IF($B$3="",1E+9,IFERROR(SMALL('仕入請求台帳'!$V$5:$V$504,$K303+1),1E+9))</f>
        <v/>
      </c>
      <c r="N303" s="32">
        <f>IF(MIN($L303,$M303)&gt;=1E+9,"",IF($L303&lt;=$M303,"増","減"))</f>
        <v/>
      </c>
      <c r="O303" s="32">
        <f>IF($N303="","",IF($N303="増",MATCH($L303,'仕入請求台帳'!$U$5:$U$504,0),MATCH($M303,'仕入請求台帳'!$V$5:$V$504,0)))</f>
        <v/>
      </c>
      <c r="P303" s="56" t="n"/>
      <c r="Q303" s="56" t="n"/>
    </row>
    <row r="304" ht="18" customHeight="1">
      <c r="A304" s="45">
        <f>IF($N304="","",IF($N304="増",INDEX('仕入請求台帳'!$S$5:$S$504,$O304),INDEX('仕入請求台帳'!$K$5:$K$504,$O304)))</f>
        <v/>
      </c>
      <c r="B304" s="46">
        <f>IF($N304="","",IF($N304="増","仕入","支払"))</f>
        <v/>
      </c>
      <c r="C304" s="46">
        <f>IF($N304="","",IF($N304="増",INDEX('仕入請求台帳'!$E$5:$E$504,$O304)&amp;"",INDEX('仕入請求台帳'!$E$5:$E$504,$O304)&amp;""))</f>
        <v/>
      </c>
      <c r="D304" s="47">
        <f>IF($N304="","",IF($N304="増",INDEX('仕入請求台帳'!$F$5:$F$504,$O304)&amp;"","支払"))</f>
        <v/>
      </c>
      <c r="E304" s="48">
        <f>IF($N304&lt;&gt;"増","",INDEX('仕入請求台帳'!$G$5:$G$504,$O304))</f>
        <v/>
      </c>
      <c r="F304" s="48">
        <f>IF($N304&lt;&gt;"減","",N(INDEX('仕入請求台帳'!$L$5:$L$504,$O304)))</f>
        <v/>
      </c>
      <c r="G304" s="48">
        <f>IF($N304&lt;&gt;"減","",N(INDEX('仕入請求台帳'!$M$5:$M$504,$O304)))</f>
        <v/>
      </c>
      <c r="H304" s="49">
        <f>IF($N304="","",$H303+N($E304)-N($F304)-N($G304))</f>
        <v/>
      </c>
      <c r="I304" s="56" t="n"/>
      <c r="J304" s="32">
        <f>$J303+IF($N303="増",1,0)</f>
        <v/>
      </c>
      <c r="K304" s="32">
        <f>$K303+IF($N303="減",1,0)</f>
        <v/>
      </c>
      <c r="L304" s="35">
        <f>IF($B$3="",1E+9,IFERROR(SMALL('仕入請求台帳'!$U$5:$U$504,$J304+1),1E+9))</f>
        <v/>
      </c>
      <c r="M304" s="35">
        <f>IF($B$3="",1E+9,IFERROR(SMALL('仕入請求台帳'!$V$5:$V$504,$K304+1),1E+9))</f>
        <v/>
      </c>
      <c r="N304" s="32">
        <f>IF(MIN($L304,$M304)&gt;=1E+9,"",IF($L304&lt;=$M304,"増","減"))</f>
        <v/>
      </c>
      <c r="O304" s="32">
        <f>IF($N304="","",IF($N304="増",MATCH($L304,'仕入請求台帳'!$U$5:$U$504,0),MATCH($M304,'仕入請求台帳'!$V$5:$V$504,0)))</f>
        <v/>
      </c>
      <c r="P304" s="56" t="n"/>
      <c r="Q304" s="56" t="n"/>
    </row>
    <row r="305" ht="18" customHeight="1">
      <c r="A305" s="45">
        <f>IF($N305="","",IF($N305="増",INDEX('仕入請求台帳'!$S$5:$S$504,$O305),INDEX('仕入請求台帳'!$K$5:$K$504,$O305)))</f>
        <v/>
      </c>
      <c r="B305" s="46">
        <f>IF($N305="","",IF($N305="増","仕入","支払"))</f>
        <v/>
      </c>
      <c r="C305" s="46">
        <f>IF($N305="","",IF($N305="増",INDEX('仕入請求台帳'!$E$5:$E$504,$O305)&amp;"",INDEX('仕入請求台帳'!$E$5:$E$504,$O305)&amp;""))</f>
        <v/>
      </c>
      <c r="D305" s="47">
        <f>IF($N305="","",IF($N305="増",INDEX('仕入請求台帳'!$F$5:$F$504,$O305)&amp;"","支払"))</f>
        <v/>
      </c>
      <c r="E305" s="48">
        <f>IF($N305&lt;&gt;"増","",INDEX('仕入請求台帳'!$G$5:$G$504,$O305))</f>
        <v/>
      </c>
      <c r="F305" s="48">
        <f>IF($N305&lt;&gt;"減","",N(INDEX('仕入請求台帳'!$L$5:$L$504,$O305)))</f>
        <v/>
      </c>
      <c r="G305" s="48">
        <f>IF($N305&lt;&gt;"減","",N(INDEX('仕入請求台帳'!$M$5:$M$504,$O305)))</f>
        <v/>
      </c>
      <c r="H305" s="49">
        <f>IF($N305="","",$H304+N($E305)-N($F305)-N($G305))</f>
        <v/>
      </c>
      <c r="I305" s="56" t="n"/>
      <c r="J305" s="32">
        <f>$J304+IF($N304="増",1,0)</f>
        <v/>
      </c>
      <c r="K305" s="32">
        <f>$K304+IF($N304="減",1,0)</f>
        <v/>
      </c>
      <c r="L305" s="35">
        <f>IF($B$3="",1E+9,IFERROR(SMALL('仕入請求台帳'!$U$5:$U$504,$J305+1),1E+9))</f>
        <v/>
      </c>
      <c r="M305" s="35">
        <f>IF($B$3="",1E+9,IFERROR(SMALL('仕入請求台帳'!$V$5:$V$504,$K305+1),1E+9))</f>
        <v/>
      </c>
      <c r="N305" s="32">
        <f>IF(MIN($L305,$M305)&gt;=1E+9,"",IF($L305&lt;=$M305,"増","減"))</f>
        <v/>
      </c>
      <c r="O305" s="32">
        <f>IF($N305="","",IF($N305="増",MATCH($L305,'仕入請求台帳'!$U$5:$U$504,0),MATCH($M305,'仕入請求台帳'!$V$5:$V$504,0)))</f>
        <v/>
      </c>
      <c r="P305" s="56" t="n"/>
      <c r="Q305" s="56" t="n"/>
    </row>
    <row r="306" ht="18" customHeight="1">
      <c r="A306" s="45">
        <f>IF($N306="","",IF($N306="増",INDEX('仕入請求台帳'!$S$5:$S$504,$O306),INDEX('仕入請求台帳'!$K$5:$K$504,$O306)))</f>
        <v/>
      </c>
      <c r="B306" s="46">
        <f>IF($N306="","",IF($N306="増","仕入","支払"))</f>
        <v/>
      </c>
      <c r="C306" s="46">
        <f>IF($N306="","",IF($N306="増",INDEX('仕入請求台帳'!$E$5:$E$504,$O306)&amp;"",INDEX('仕入請求台帳'!$E$5:$E$504,$O306)&amp;""))</f>
        <v/>
      </c>
      <c r="D306" s="47">
        <f>IF($N306="","",IF($N306="増",INDEX('仕入請求台帳'!$F$5:$F$504,$O306)&amp;"","支払"))</f>
        <v/>
      </c>
      <c r="E306" s="48">
        <f>IF($N306&lt;&gt;"増","",INDEX('仕入請求台帳'!$G$5:$G$504,$O306))</f>
        <v/>
      </c>
      <c r="F306" s="48">
        <f>IF($N306&lt;&gt;"減","",N(INDEX('仕入請求台帳'!$L$5:$L$504,$O306)))</f>
        <v/>
      </c>
      <c r="G306" s="48">
        <f>IF($N306&lt;&gt;"減","",N(INDEX('仕入請求台帳'!$M$5:$M$504,$O306)))</f>
        <v/>
      </c>
      <c r="H306" s="49">
        <f>IF($N306="","",$H305+N($E306)-N($F306)-N($G306))</f>
        <v/>
      </c>
      <c r="I306" s="56" t="n"/>
      <c r="J306" s="32">
        <f>$J305+IF($N305="増",1,0)</f>
        <v/>
      </c>
      <c r="K306" s="32">
        <f>$K305+IF($N305="減",1,0)</f>
        <v/>
      </c>
      <c r="L306" s="35">
        <f>IF($B$3="",1E+9,IFERROR(SMALL('仕入請求台帳'!$U$5:$U$504,$J306+1),1E+9))</f>
        <v/>
      </c>
      <c r="M306" s="35">
        <f>IF($B$3="",1E+9,IFERROR(SMALL('仕入請求台帳'!$V$5:$V$504,$K306+1),1E+9))</f>
        <v/>
      </c>
      <c r="N306" s="32">
        <f>IF(MIN($L306,$M306)&gt;=1E+9,"",IF($L306&lt;=$M306,"増","減"))</f>
        <v/>
      </c>
      <c r="O306" s="32">
        <f>IF($N306="","",IF($N306="増",MATCH($L306,'仕入請求台帳'!$U$5:$U$504,0),MATCH($M306,'仕入請求台帳'!$V$5:$V$504,0)))</f>
        <v/>
      </c>
      <c r="P306" s="56" t="n"/>
      <c r="Q306" s="56" t="n"/>
    </row>
    <row r="307" ht="18" customHeight="1">
      <c r="A307" s="45">
        <f>IF($N307="","",IF($N307="増",INDEX('仕入請求台帳'!$S$5:$S$504,$O307),INDEX('仕入請求台帳'!$K$5:$K$504,$O307)))</f>
        <v/>
      </c>
      <c r="B307" s="46">
        <f>IF($N307="","",IF($N307="増","仕入","支払"))</f>
        <v/>
      </c>
      <c r="C307" s="46">
        <f>IF($N307="","",IF($N307="増",INDEX('仕入請求台帳'!$E$5:$E$504,$O307)&amp;"",INDEX('仕入請求台帳'!$E$5:$E$504,$O307)&amp;""))</f>
        <v/>
      </c>
      <c r="D307" s="47">
        <f>IF($N307="","",IF($N307="増",INDEX('仕入請求台帳'!$F$5:$F$504,$O307)&amp;"","支払"))</f>
        <v/>
      </c>
      <c r="E307" s="48">
        <f>IF($N307&lt;&gt;"増","",INDEX('仕入請求台帳'!$G$5:$G$504,$O307))</f>
        <v/>
      </c>
      <c r="F307" s="48">
        <f>IF($N307&lt;&gt;"減","",N(INDEX('仕入請求台帳'!$L$5:$L$504,$O307)))</f>
        <v/>
      </c>
      <c r="G307" s="48">
        <f>IF($N307&lt;&gt;"減","",N(INDEX('仕入請求台帳'!$M$5:$M$504,$O307)))</f>
        <v/>
      </c>
      <c r="H307" s="49">
        <f>IF($N307="","",$H306+N($E307)-N($F307)-N($G307))</f>
        <v/>
      </c>
      <c r="I307" s="56" t="n"/>
      <c r="J307" s="32">
        <f>$J306+IF($N306="増",1,0)</f>
        <v/>
      </c>
      <c r="K307" s="32">
        <f>$K306+IF($N306="減",1,0)</f>
        <v/>
      </c>
      <c r="L307" s="35">
        <f>IF($B$3="",1E+9,IFERROR(SMALL('仕入請求台帳'!$U$5:$U$504,$J307+1),1E+9))</f>
        <v/>
      </c>
      <c r="M307" s="35">
        <f>IF($B$3="",1E+9,IFERROR(SMALL('仕入請求台帳'!$V$5:$V$504,$K307+1),1E+9))</f>
        <v/>
      </c>
      <c r="N307" s="32">
        <f>IF(MIN($L307,$M307)&gt;=1E+9,"",IF($L307&lt;=$M307,"増","減"))</f>
        <v/>
      </c>
      <c r="O307" s="32">
        <f>IF($N307="","",IF($N307="増",MATCH($L307,'仕入請求台帳'!$U$5:$U$504,0),MATCH($M307,'仕入請求台帳'!$V$5:$V$504,0)))</f>
        <v/>
      </c>
      <c r="P307" s="56" t="n"/>
      <c r="Q307" s="56" t="n"/>
    </row>
    <row r="308" ht="18" customHeight="1">
      <c r="A308" s="45">
        <f>IF($N308="","",IF($N308="増",INDEX('仕入請求台帳'!$S$5:$S$504,$O308),INDEX('仕入請求台帳'!$K$5:$K$504,$O308)))</f>
        <v/>
      </c>
      <c r="B308" s="46">
        <f>IF($N308="","",IF($N308="増","仕入","支払"))</f>
        <v/>
      </c>
      <c r="C308" s="46">
        <f>IF($N308="","",IF($N308="増",INDEX('仕入請求台帳'!$E$5:$E$504,$O308)&amp;"",INDEX('仕入請求台帳'!$E$5:$E$504,$O308)&amp;""))</f>
        <v/>
      </c>
      <c r="D308" s="47">
        <f>IF($N308="","",IF($N308="増",INDEX('仕入請求台帳'!$F$5:$F$504,$O308)&amp;"","支払"))</f>
        <v/>
      </c>
      <c r="E308" s="48">
        <f>IF($N308&lt;&gt;"増","",INDEX('仕入請求台帳'!$G$5:$G$504,$O308))</f>
        <v/>
      </c>
      <c r="F308" s="48">
        <f>IF($N308&lt;&gt;"減","",N(INDEX('仕入請求台帳'!$L$5:$L$504,$O308)))</f>
        <v/>
      </c>
      <c r="G308" s="48">
        <f>IF($N308&lt;&gt;"減","",N(INDEX('仕入請求台帳'!$M$5:$M$504,$O308)))</f>
        <v/>
      </c>
      <c r="H308" s="49">
        <f>IF($N308="","",$H307+N($E308)-N($F308)-N($G308))</f>
        <v/>
      </c>
      <c r="I308" s="56" t="n"/>
      <c r="J308" s="32">
        <f>$J307+IF($N307="増",1,0)</f>
        <v/>
      </c>
      <c r="K308" s="32">
        <f>$K307+IF($N307="減",1,0)</f>
        <v/>
      </c>
      <c r="L308" s="35">
        <f>IF($B$3="",1E+9,IFERROR(SMALL('仕入請求台帳'!$U$5:$U$504,$J308+1),1E+9))</f>
        <v/>
      </c>
      <c r="M308" s="35">
        <f>IF($B$3="",1E+9,IFERROR(SMALL('仕入請求台帳'!$V$5:$V$504,$K308+1),1E+9))</f>
        <v/>
      </c>
      <c r="N308" s="32">
        <f>IF(MIN($L308,$M308)&gt;=1E+9,"",IF($L308&lt;=$M308,"増","減"))</f>
        <v/>
      </c>
      <c r="O308" s="32">
        <f>IF($N308="","",IF($N308="増",MATCH($L308,'仕入請求台帳'!$U$5:$U$504,0),MATCH($M308,'仕入請求台帳'!$V$5:$V$504,0)))</f>
        <v/>
      </c>
      <c r="P308" s="56" t="n"/>
      <c r="Q308" s="56" t="n"/>
    </row>
    <row r="309" ht="18" customHeight="1">
      <c r="A309" s="45">
        <f>IF($N309="","",IF($N309="増",INDEX('仕入請求台帳'!$S$5:$S$504,$O309),INDEX('仕入請求台帳'!$K$5:$K$504,$O309)))</f>
        <v/>
      </c>
      <c r="B309" s="46">
        <f>IF($N309="","",IF($N309="増","仕入","支払"))</f>
        <v/>
      </c>
      <c r="C309" s="46">
        <f>IF($N309="","",IF($N309="増",INDEX('仕入請求台帳'!$E$5:$E$504,$O309)&amp;"",INDEX('仕入請求台帳'!$E$5:$E$504,$O309)&amp;""))</f>
        <v/>
      </c>
      <c r="D309" s="47">
        <f>IF($N309="","",IF($N309="増",INDEX('仕入請求台帳'!$F$5:$F$504,$O309)&amp;"","支払"))</f>
        <v/>
      </c>
      <c r="E309" s="48">
        <f>IF($N309&lt;&gt;"増","",INDEX('仕入請求台帳'!$G$5:$G$504,$O309))</f>
        <v/>
      </c>
      <c r="F309" s="48">
        <f>IF($N309&lt;&gt;"減","",N(INDEX('仕入請求台帳'!$L$5:$L$504,$O309)))</f>
        <v/>
      </c>
      <c r="G309" s="48">
        <f>IF($N309&lt;&gt;"減","",N(INDEX('仕入請求台帳'!$M$5:$M$504,$O309)))</f>
        <v/>
      </c>
      <c r="H309" s="49">
        <f>IF($N309="","",$H308+N($E309)-N($F309)-N($G309))</f>
        <v/>
      </c>
      <c r="I309" s="56" t="n"/>
      <c r="J309" s="32">
        <f>$J308+IF($N308="増",1,0)</f>
        <v/>
      </c>
      <c r="K309" s="32">
        <f>$K308+IF($N308="減",1,0)</f>
        <v/>
      </c>
      <c r="L309" s="35">
        <f>IF($B$3="",1E+9,IFERROR(SMALL('仕入請求台帳'!$U$5:$U$504,$J309+1),1E+9))</f>
        <v/>
      </c>
      <c r="M309" s="35">
        <f>IF($B$3="",1E+9,IFERROR(SMALL('仕入請求台帳'!$V$5:$V$504,$K309+1),1E+9))</f>
        <v/>
      </c>
      <c r="N309" s="32">
        <f>IF(MIN($L309,$M309)&gt;=1E+9,"",IF($L309&lt;=$M309,"増","減"))</f>
        <v/>
      </c>
      <c r="O309" s="32">
        <f>IF($N309="","",IF($N309="増",MATCH($L309,'仕入請求台帳'!$U$5:$U$504,0),MATCH($M309,'仕入請求台帳'!$V$5:$V$504,0)))</f>
        <v/>
      </c>
      <c r="P309" s="56" t="n"/>
      <c r="Q309" s="56" t="n"/>
    </row>
    <row r="310" ht="18" customHeight="1">
      <c r="A310" s="45">
        <f>IF($N310="","",IF($N310="増",INDEX('仕入請求台帳'!$S$5:$S$504,$O310),INDEX('仕入請求台帳'!$K$5:$K$504,$O310)))</f>
        <v/>
      </c>
      <c r="B310" s="46">
        <f>IF($N310="","",IF($N310="増","仕入","支払"))</f>
        <v/>
      </c>
      <c r="C310" s="46">
        <f>IF($N310="","",IF($N310="増",INDEX('仕入請求台帳'!$E$5:$E$504,$O310)&amp;"",INDEX('仕入請求台帳'!$E$5:$E$504,$O310)&amp;""))</f>
        <v/>
      </c>
      <c r="D310" s="47">
        <f>IF($N310="","",IF($N310="増",INDEX('仕入請求台帳'!$F$5:$F$504,$O310)&amp;"","支払"))</f>
        <v/>
      </c>
      <c r="E310" s="48">
        <f>IF($N310&lt;&gt;"増","",INDEX('仕入請求台帳'!$G$5:$G$504,$O310))</f>
        <v/>
      </c>
      <c r="F310" s="48">
        <f>IF($N310&lt;&gt;"減","",N(INDEX('仕入請求台帳'!$L$5:$L$504,$O310)))</f>
        <v/>
      </c>
      <c r="G310" s="48">
        <f>IF($N310&lt;&gt;"減","",N(INDEX('仕入請求台帳'!$M$5:$M$504,$O310)))</f>
        <v/>
      </c>
      <c r="H310" s="49">
        <f>IF($N310="","",$H309+N($E310)-N($F310)-N($G310))</f>
        <v/>
      </c>
      <c r="I310" s="56" t="n"/>
      <c r="J310" s="32">
        <f>$J309+IF($N309="増",1,0)</f>
        <v/>
      </c>
      <c r="K310" s="32">
        <f>$K309+IF($N309="減",1,0)</f>
        <v/>
      </c>
      <c r="L310" s="35">
        <f>IF($B$3="",1E+9,IFERROR(SMALL('仕入請求台帳'!$U$5:$U$504,$J310+1),1E+9))</f>
        <v/>
      </c>
      <c r="M310" s="35">
        <f>IF($B$3="",1E+9,IFERROR(SMALL('仕入請求台帳'!$V$5:$V$504,$K310+1),1E+9))</f>
        <v/>
      </c>
      <c r="N310" s="32">
        <f>IF(MIN($L310,$M310)&gt;=1E+9,"",IF($L310&lt;=$M310,"増","減"))</f>
        <v/>
      </c>
      <c r="O310" s="32">
        <f>IF($N310="","",IF($N310="増",MATCH($L310,'仕入請求台帳'!$U$5:$U$504,0),MATCH($M310,'仕入請求台帳'!$V$5:$V$504,0)))</f>
        <v/>
      </c>
      <c r="P310" s="56" t="n"/>
      <c r="Q310" s="56" t="n"/>
    </row>
    <row r="311" ht="18" customHeight="1">
      <c r="A311" s="45">
        <f>IF($N311="","",IF($N311="増",INDEX('仕入請求台帳'!$S$5:$S$504,$O311),INDEX('仕入請求台帳'!$K$5:$K$504,$O311)))</f>
        <v/>
      </c>
      <c r="B311" s="46">
        <f>IF($N311="","",IF($N311="増","仕入","支払"))</f>
        <v/>
      </c>
      <c r="C311" s="46">
        <f>IF($N311="","",IF($N311="増",INDEX('仕入請求台帳'!$E$5:$E$504,$O311)&amp;"",INDEX('仕入請求台帳'!$E$5:$E$504,$O311)&amp;""))</f>
        <v/>
      </c>
      <c r="D311" s="47">
        <f>IF($N311="","",IF($N311="増",INDEX('仕入請求台帳'!$F$5:$F$504,$O311)&amp;"","支払"))</f>
        <v/>
      </c>
      <c r="E311" s="48">
        <f>IF($N311&lt;&gt;"増","",INDEX('仕入請求台帳'!$G$5:$G$504,$O311))</f>
        <v/>
      </c>
      <c r="F311" s="48">
        <f>IF($N311&lt;&gt;"減","",N(INDEX('仕入請求台帳'!$L$5:$L$504,$O311)))</f>
        <v/>
      </c>
      <c r="G311" s="48">
        <f>IF($N311&lt;&gt;"減","",N(INDEX('仕入請求台帳'!$M$5:$M$504,$O311)))</f>
        <v/>
      </c>
      <c r="H311" s="49">
        <f>IF($N311="","",$H310+N($E311)-N($F311)-N($G311))</f>
        <v/>
      </c>
      <c r="I311" s="56" t="n"/>
      <c r="J311" s="32">
        <f>$J310+IF($N310="増",1,0)</f>
        <v/>
      </c>
      <c r="K311" s="32">
        <f>$K310+IF($N310="減",1,0)</f>
        <v/>
      </c>
      <c r="L311" s="35">
        <f>IF($B$3="",1E+9,IFERROR(SMALL('仕入請求台帳'!$U$5:$U$504,$J311+1),1E+9))</f>
        <v/>
      </c>
      <c r="M311" s="35">
        <f>IF($B$3="",1E+9,IFERROR(SMALL('仕入請求台帳'!$V$5:$V$504,$K311+1),1E+9))</f>
        <v/>
      </c>
      <c r="N311" s="32">
        <f>IF(MIN($L311,$M311)&gt;=1E+9,"",IF($L311&lt;=$M311,"増","減"))</f>
        <v/>
      </c>
      <c r="O311" s="32">
        <f>IF($N311="","",IF($N311="増",MATCH($L311,'仕入請求台帳'!$U$5:$U$504,0),MATCH($M311,'仕入請求台帳'!$V$5:$V$504,0)))</f>
        <v/>
      </c>
      <c r="P311" s="56" t="n"/>
      <c r="Q311" s="56" t="n"/>
    </row>
    <row r="312" ht="18" customHeight="1">
      <c r="A312" s="45">
        <f>IF($N312="","",IF($N312="増",INDEX('仕入請求台帳'!$S$5:$S$504,$O312),INDEX('仕入請求台帳'!$K$5:$K$504,$O312)))</f>
        <v/>
      </c>
      <c r="B312" s="46">
        <f>IF($N312="","",IF($N312="増","仕入","支払"))</f>
        <v/>
      </c>
      <c r="C312" s="46">
        <f>IF($N312="","",IF($N312="増",INDEX('仕入請求台帳'!$E$5:$E$504,$O312)&amp;"",INDEX('仕入請求台帳'!$E$5:$E$504,$O312)&amp;""))</f>
        <v/>
      </c>
      <c r="D312" s="47">
        <f>IF($N312="","",IF($N312="増",INDEX('仕入請求台帳'!$F$5:$F$504,$O312)&amp;"","支払"))</f>
        <v/>
      </c>
      <c r="E312" s="48">
        <f>IF($N312&lt;&gt;"増","",INDEX('仕入請求台帳'!$G$5:$G$504,$O312))</f>
        <v/>
      </c>
      <c r="F312" s="48">
        <f>IF($N312&lt;&gt;"減","",N(INDEX('仕入請求台帳'!$L$5:$L$504,$O312)))</f>
        <v/>
      </c>
      <c r="G312" s="48">
        <f>IF($N312&lt;&gt;"減","",N(INDEX('仕入請求台帳'!$M$5:$M$504,$O312)))</f>
        <v/>
      </c>
      <c r="H312" s="49">
        <f>IF($N312="","",$H311+N($E312)-N($F312)-N($G312))</f>
        <v/>
      </c>
      <c r="I312" s="56" t="n"/>
      <c r="J312" s="32">
        <f>$J311+IF($N311="増",1,0)</f>
        <v/>
      </c>
      <c r="K312" s="32">
        <f>$K311+IF($N311="減",1,0)</f>
        <v/>
      </c>
      <c r="L312" s="35">
        <f>IF($B$3="",1E+9,IFERROR(SMALL('仕入請求台帳'!$U$5:$U$504,$J312+1),1E+9))</f>
        <v/>
      </c>
      <c r="M312" s="35">
        <f>IF($B$3="",1E+9,IFERROR(SMALL('仕入請求台帳'!$V$5:$V$504,$K312+1),1E+9))</f>
        <v/>
      </c>
      <c r="N312" s="32">
        <f>IF(MIN($L312,$M312)&gt;=1E+9,"",IF($L312&lt;=$M312,"増","減"))</f>
        <v/>
      </c>
      <c r="O312" s="32">
        <f>IF($N312="","",IF($N312="増",MATCH($L312,'仕入請求台帳'!$U$5:$U$504,0),MATCH($M312,'仕入請求台帳'!$V$5:$V$504,0)))</f>
        <v/>
      </c>
      <c r="P312" s="56" t="n"/>
      <c r="Q312" s="56" t="n"/>
    </row>
    <row r="313" ht="18" customHeight="1">
      <c r="A313" s="45">
        <f>IF($N313="","",IF($N313="増",INDEX('仕入請求台帳'!$S$5:$S$504,$O313),INDEX('仕入請求台帳'!$K$5:$K$504,$O313)))</f>
        <v/>
      </c>
      <c r="B313" s="46">
        <f>IF($N313="","",IF($N313="増","仕入","支払"))</f>
        <v/>
      </c>
      <c r="C313" s="46">
        <f>IF($N313="","",IF($N313="増",INDEX('仕入請求台帳'!$E$5:$E$504,$O313)&amp;"",INDEX('仕入請求台帳'!$E$5:$E$504,$O313)&amp;""))</f>
        <v/>
      </c>
      <c r="D313" s="47">
        <f>IF($N313="","",IF($N313="増",INDEX('仕入請求台帳'!$F$5:$F$504,$O313)&amp;"","支払"))</f>
        <v/>
      </c>
      <c r="E313" s="48">
        <f>IF($N313&lt;&gt;"増","",INDEX('仕入請求台帳'!$G$5:$G$504,$O313))</f>
        <v/>
      </c>
      <c r="F313" s="48">
        <f>IF($N313&lt;&gt;"減","",N(INDEX('仕入請求台帳'!$L$5:$L$504,$O313)))</f>
        <v/>
      </c>
      <c r="G313" s="48">
        <f>IF($N313&lt;&gt;"減","",N(INDEX('仕入請求台帳'!$M$5:$M$504,$O313)))</f>
        <v/>
      </c>
      <c r="H313" s="49">
        <f>IF($N313="","",$H312+N($E313)-N($F313)-N($G313))</f>
        <v/>
      </c>
      <c r="I313" s="56" t="n"/>
      <c r="J313" s="32">
        <f>$J312+IF($N312="増",1,0)</f>
        <v/>
      </c>
      <c r="K313" s="32">
        <f>$K312+IF($N312="減",1,0)</f>
        <v/>
      </c>
      <c r="L313" s="35">
        <f>IF($B$3="",1E+9,IFERROR(SMALL('仕入請求台帳'!$U$5:$U$504,$J313+1),1E+9))</f>
        <v/>
      </c>
      <c r="M313" s="35">
        <f>IF($B$3="",1E+9,IFERROR(SMALL('仕入請求台帳'!$V$5:$V$504,$K313+1),1E+9))</f>
        <v/>
      </c>
      <c r="N313" s="32">
        <f>IF(MIN($L313,$M313)&gt;=1E+9,"",IF($L313&lt;=$M313,"増","減"))</f>
        <v/>
      </c>
      <c r="O313" s="32">
        <f>IF($N313="","",IF($N313="増",MATCH($L313,'仕入請求台帳'!$U$5:$U$504,0),MATCH($M313,'仕入請求台帳'!$V$5:$V$504,0)))</f>
        <v/>
      </c>
      <c r="P313" s="56" t="n"/>
      <c r="Q313" s="56" t="n"/>
    </row>
    <row r="314" ht="18" customHeight="1">
      <c r="A314" s="45">
        <f>IF($N314="","",IF($N314="増",INDEX('仕入請求台帳'!$S$5:$S$504,$O314),INDEX('仕入請求台帳'!$K$5:$K$504,$O314)))</f>
        <v/>
      </c>
      <c r="B314" s="46">
        <f>IF($N314="","",IF($N314="増","仕入","支払"))</f>
        <v/>
      </c>
      <c r="C314" s="46">
        <f>IF($N314="","",IF($N314="増",INDEX('仕入請求台帳'!$E$5:$E$504,$O314)&amp;"",INDEX('仕入請求台帳'!$E$5:$E$504,$O314)&amp;""))</f>
        <v/>
      </c>
      <c r="D314" s="47">
        <f>IF($N314="","",IF($N314="増",INDEX('仕入請求台帳'!$F$5:$F$504,$O314)&amp;"","支払"))</f>
        <v/>
      </c>
      <c r="E314" s="48">
        <f>IF($N314&lt;&gt;"増","",INDEX('仕入請求台帳'!$G$5:$G$504,$O314))</f>
        <v/>
      </c>
      <c r="F314" s="48">
        <f>IF($N314&lt;&gt;"減","",N(INDEX('仕入請求台帳'!$L$5:$L$504,$O314)))</f>
        <v/>
      </c>
      <c r="G314" s="48">
        <f>IF($N314&lt;&gt;"減","",N(INDEX('仕入請求台帳'!$M$5:$M$504,$O314)))</f>
        <v/>
      </c>
      <c r="H314" s="49">
        <f>IF($N314="","",$H313+N($E314)-N($F314)-N($G314))</f>
        <v/>
      </c>
      <c r="I314" s="56" t="n"/>
      <c r="J314" s="32">
        <f>$J313+IF($N313="増",1,0)</f>
        <v/>
      </c>
      <c r="K314" s="32">
        <f>$K313+IF($N313="減",1,0)</f>
        <v/>
      </c>
      <c r="L314" s="35">
        <f>IF($B$3="",1E+9,IFERROR(SMALL('仕入請求台帳'!$U$5:$U$504,$J314+1),1E+9))</f>
        <v/>
      </c>
      <c r="M314" s="35">
        <f>IF($B$3="",1E+9,IFERROR(SMALL('仕入請求台帳'!$V$5:$V$504,$K314+1),1E+9))</f>
        <v/>
      </c>
      <c r="N314" s="32">
        <f>IF(MIN($L314,$M314)&gt;=1E+9,"",IF($L314&lt;=$M314,"増","減"))</f>
        <v/>
      </c>
      <c r="O314" s="32">
        <f>IF($N314="","",IF($N314="増",MATCH($L314,'仕入請求台帳'!$U$5:$U$504,0),MATCH($M314,'仕入請求台帳'!$V$5:$V$504,0)))</f>
        <v/>
      </c>
      <c r="P314" s="56" t="n"/>
      <c r="Q314" s="56" t="n"/>
    </row>
    <row r="315" ht="18" customHeight="1">
      <c r="A315" s="45">
        <f>IF($N315="","",IF($N315="増",INDEX('仕入請求台帳'!$S$5:$S$504,$O315),INDEX('仕入請求台帳'!$K$5:$K$504,$O315)))</f>
        <v/>
      </c>
      <c r="B315" s="46">
        <f>IF($N315="","",IF($N315="増","仕入","支払"))</f>
        <v/>
      </c>
      <c r="C315" s="46">
        <f>IF($N315="","",IF($N315="増",INDEX('仕入請求台帳'!$E$5:$E$504,$O315)&amp;"",INDEX('仕入請求台帳'!$E$5:$E$504,$O315)&amp;""))</f>
        <v/>
      </c>
      <c r="D315" s="47">
        <f>IF($N315="","",IF($N315="増",INDEX('仕入請求台帳'!$F$5:$F$504,$O315)&amp;"","支払"))</f>
        <v/>
      </c>
      <c r="E315" s="48">
        <f>IF($N315&lt;&gt;"増","",INDEX('仕入請求台帳'!$G$5:$G$504,$O315))</f>
        <v/>
      </c>
      <c r="F315" s="48">
        <f>IF($N315&lt;&gt;"減","",N(INDEX('仕入請求台帳'!$L$5:$L$504,$O315)))</f>
        <v/>
      </c>
      <c r="G315" s="48">
        <f>IF($N315&lt;&gt;"減","",N(INDEX('仕入請求台帳'!$M$5:$M$504,$O315)))</f>
        <v/>
      </c>
      <c r="H315" s="49">
        <f>IF($N315="","",$H314+N($E315)-N($F315)-N($G315))</f>
        <v/>
      </c>
      <c r="I315" s="56" t="n"/>
      <c r="J315" s="32">
        <f>$J314+IF($N314="増",1,0)</f>
        <v/>
      </c>
      <c r="K315" s="32">
        <f>$K314+IF($N314="減",1,0)</f>
        <v/>
      </c>
      <c r="L315" s="35">
        <f>IF($B$3="",1E+9,IFERROR(SMALL('仕入請求台帳'!$U$5:$U$504,$J315+1),1E+9))</f>
        <v/>
      </c>
      <c r="M315" s="35">
        <f>IF($B$3="",1E+9,IFERROR(SMALL('仕入請求台帳'!$V$5:$V$504,$K315+1),1E+9))</f>
        <v/>
      </c>
      <c r="N315" s="32">
        <f>IF(MIN($L315,$M315)&gt;=1E+9,"",IF($L315&lt;=$M315,"増","減"))</f>
        <v/>
      </c>
      <c r="O315" s="32">
        <f>IF($N315="","",IF($N315="増",MATCH($L315,'仕入請求台帳'!$U$5:$U$504,0),MATCH($M315,'仕入請求台帳'!$V$5:$V$504,0)))</f>
        <v/>
      </c>
      <c r="P315" s="56" t="n"/>
      <c r="Q315" s="56" t="n"/>
    </row>
    <row r="316" ht="18" customHeight="1">
      <c r="A316" s="45">
        <f>IF($N316="","",IF($N316="増",INDEX('仕入請求台帳'!$S$5:$S$504,$O316),INDEX('仕入請求台帳'!$K$5:$K$504,$O316)))</f>
        <v/>
      </c>
      <c r="B316" s="46">
        <f>IF($N316="","",IF($N316="増","仕入","支払"))</f>
        <v/>
      </c>
      <c r="C316" s="46">
        <f>IF($N316="","",IF($N316="増",INDEX('仕入請求台帳'!$E$5:$E$504,$O316)&amp;"",INDEX('仕入請求台帳'!$E$5:$E$504,$O316)&amp;""))</f>
        <v/>
      </c>
      <c r="D316" s="47">
        <f>IF($N316="","",IF($N316="増",INDEX('仕入請求台帳'!$F$5:$F$504,$O316)&amp;"","支払"))</f>
        <v/>
      </c>
      <c r="E316" s="48">
        <f>IF($N316&lt;&gt;"増","",INDEX('仕入請求台帳'!$G$5:$G$504,$O316))</f>
        <v/>
      </c>
      <c r="F316" s="48">
        <f>IF($N316&lt;&gt;"減","",N(INDEX('仕入請求台帳'!$L$5:$L$504,$O316)))</f>
        <v/>
      </c>
      <c r="G316" s="48">
        <f>IF($N316&lt;&gt;"減","",N(INDEX('仕入請求台帳'!$M$5:$M$504,$O316)))</f>
        <v/>
      </c>
      <c r="H316" s="49">
        <f>IF($N316="","",$H315+N($E316)-N($F316)-N($G316))</f>
        <v/>
      </c>
      <c r="I316" s="56" t="n"/>
      <c r="J316" s="32">
        <f>$J315+IF($N315="増",1,0)</f>
        <v/>
      </c>
      <c r="K316" s="32">
        <f>$K315+IF($N315="減",1,0)</f>
        <v/>
      </c>
      <c r="L316" s="35">
        <f>IF($B$3="",1E+9,IFERROR(SMALL('仕入請求台帳'!$U$5:$U$504,$J316+1),1E+9))</f>
        <v/>
      </c>
      <c r="M316" s="35">
        <f>IF($B$3="",1E+9,IFERROR(SMALL('仕入請求台帳'!$V$5:$V$504,$K316+1),1E+9))</f>
        <v/>
      </c>
      <c r="N316" s="32">
        <f>IF(MIN($L316,$M316)&gt;=1E+9,"",IF($L316&lt;=$M316,"増","減"))</f>
        <v/>
      </c>
      <c r="O316" s="32">
        <f>IF($N316="","",IF($N316="増",MATCH($L316,'仕入請求台帳'!$U$5:$U$504,0),MATCH($M316,'仕入請求台帳'!$V$5:$V$504,0)))</f>
        <v/>
      </c>
      <c r="P316" s="56" t="n"/>
      <c r="Q316" s="56" t="n"/>
    </row>
    <row r="317" ht="18" customHeight="1">
      <c r="A317" s="45">
        <f>IF($N317="","",IF($N317="増",INDEX('仕入請求台帳'!$S$5:$S$504,$O317),INDEX('仕入請求台帳'!$K$5:$K$504,$O317)))</f>
        <v/>
      </c>
      <c r="B317" s="46">
        <f>IF($N317="","",IF($N317="増","仕入","支払"))</f>
        <v/>
      </c>
      <c r="C317" s="46">
        <f>IF($N317="","",IF($N317="増",INDEX('仕入請求台帳'!$E$5:$E$504,$O317)&amp;"",INDEX('仕入請求台帳'!$E$5:$E$504,$O317)&amp;""))</f>
        <v/>
      </c>
      <c r="D317" s="47">
        <f>IF($N317="","",IF($N317="増",INDEX('仕入請求台帳'!$F$5:$F$504,$O317)&amp;"","支払"))</f>
        <v/>
      </c>
      <c r="E317" s="48">
        <f>IF($N317&lt;&gt;"増","",INDEX('仕入請求台帳'!$G$5:$G$504,$O317))</f>
        <v/>
      </c>
      <c r="F317" s="48">
        <f>IF($N317&lt;&gt;"減","",N(INDEX('仕入請求台帳'!$L$5:$L$504,$O317)))</f>
        <v/>
      </c>
      <c r="G317" s="48">
        <f>IF($N317&lt;&gt;"減","",N(INDEX('仕入請求台帳'!$M$5:$M$504,$O317)))</f>
        <v/>
      </c>
      <c r="H317" s="49">
        <f>IF($N317="","",$H316+N($E317)-N($F317)-N($G317))</f>
        <v/>
      </c>
      <c r="I317" s="56" t="n"/>
      <c r="J317" s="32">
        <f>$J316+IF($N316="増",1,0)</f>
        <v/>
      </c>
      <c r="K317" s="32">
        <f>$K316+IF($N316="減",1,0)</f>
        <v/>
      </c>
      <c r="L317" s="35">
        <f>IF($B$3="",1E+9,IFERROR(SMALL('仕入請求台帳'!$U$5:$U$504,$J317+1),1E+9))</f>
        <v/>
      </c>
      <c r="M317" s="35">
        <f>IF($B$3="",1E+9,IFERROR(SMALL('仕入請求台帳'!$V$5:$V$504,$K317+1),1E+9))</f>
        <v/>
      </c>
      <c r="N317" s="32">
        <f>IF(MIN($L317,$M317)&gt;=1E+9,"",IF($L317&lt;=$M317,"増","減"))</f>
        <v/>
      </c>
      <c r="O317" s="32">
        <f>IF($N317="","",IF($N317="増",MATCH($L317,'仕入請求台帳'!$U$5:$U$504,0),MATCH($M317,'仕入請求台帳'!$V$5:$V$504,0)))</f>
        <v/>
      </c>
      <c r="P317" s="56" t="n"/>
      <c r="Q317" s="56" t="n"/>
    </row>
    <row r="318" ht="18" customHeight="1">
      <c r="A318" s="45">
        <f>IF($N318="","",IF($N318="増",INDEX('仕入請求台帳'!$S$5:$S$504,$O318),INDEX('仕入請求台帳'!$K$5:$K$504,$O318)))</f>
        <v/>
      </c>
      <c r="B318" s="46">
        <f>IF($N318="","",IF($N318="増","仕入","支払"))</f>
        <v/>
      </c>
      <c r="C318" s="46">
        <f>IF($N318="","",IF($N318="増",INDEX('仕入請求台帳'!$E$5:$E$504,$O318)&amp;"",INDEX('仕入請求台帳'!$E$5:$E$504,$O318)&amp;""))</f>
        <v/>
      </c>
      <c r="D318" s="47">
        <f>IF($N318="","",IF($N318="増",INDEX('仕入請求台帳'!$F$5:$F$504,$O318)&amp;"","支払"))</f>
        <v/>
      </c>
      <c r="E318" s="48">
        <f>IF($N318&lt;&gt;"増","",INDEX('仕入請求台帳'!$G$5:$G$504,$O318))</f>
        <v/>
      </c>
      <c r="F318" s="48">
        <f>IF($N318&lt;&gt;"減","",N(INDEX('仕入請求台帳'!$L$5:$L$504,$O318)))</f>
        <v/>
      </c>
      <c r="G318" s="48">
        <f>IF($N318&lt;&gt;"減","",N(INDEX('仕入請求台帳'!$M$5:$M$504,$O318)))</f>
        <v/>
      </c>
      <c r="H318" s="49">
        <f>IF($N318="","",$H317+N($E318)-N($F318)-N($G318))</f>
        <v/>
      </c>
      <c r="I318" s="56" t="n"/>
      <c r="J318" s="32">
        <f>$J317+IF($N317="増",1,0)</f>
        <v/>
      </c>
      <c r="K318" s="32">
        <f>$K317+IF($N317="減",1,0)</f>
        <v/>
      </c>
      <c r="L318" s="35">
        <f>IF($B$3="",1E+9,IFERROR(SMALL('仕入請求台帳'!$U$5:$U$504,$J318+1),1E+9))</f>
        <v/>
      </c>
      <c r="M318" s="35">
        <f>IF($B$3="",1E+9,IFERROR(SMALL('仕入請求台帳'!$V$5:$V$504,$K318+1),1E+9))</f>
        <v/>
      </c>
      <c r="N318" s="32">
        <f>IF(MIN($L318,$M318)&gt;=1E+9,"",IF($L318&lt;=$M318,"増","減"))</f>
        <v/>
      </c>
      <c r="O318" s="32">
        <f>IF($N318="","",IF($N318="増",MATCH($L318,'仕入請求台帳'!$U$5:$U$504,0),MATCH($M318,'仕入請求台帳'!$V$5:$V$504,0)))</f>
        <v/>
      </c>
      <c r="P318" s="56" t="n"/>
      <c r="Q318" s="56" t="n"/>
    </row>
    <row r="319" ht="18" customHeight="1">
      <c r="A319" s="45">
        <f>IF($N319="","",IF($N319="増",INDEX('仕入請求台帳'!$S$5:$S$504,$O319),INDEX('仕入請求台帳'!$K$5:$K$504,$O319)))</f>
        <v/>
      </c>
      <c r="B319" s="46">
        <f>IF($N319="","",IF($N319="増","仕入","支払"))</f>
        <v/>
      </c>
      <c r="C319" s="46">
        <f>IF($N319="","",IF($N319="増",INDEX('仕入請求台帳'!$E$5:$E$504,$O319)&amp;"",INDEX('仕入請求台帳'!$E$5:$E$504,$O319)&amp;""))</f>
        <v/>
      </c>
      <c r="D319" s="47">
        <f>IF($N319="","",IF($N319="増",INDEX('仕入請求台帳'!$F$5:$F$504,$O319)&amp;"","支払"))</f>
        <v/>
      </c>
      <c r="E319" s="48">
        <f>IF($N319&lt;&gt;"増","",INDEX('仕入請求台帳'!$G$5:$G$504,$O319))</f>
        <v/>
      </c>
      <c r="F319" s="48">
        <f>IF($N319&lt;&gt;"減","",N(INDEX('仕入請求台帳'!$L$5:$L$504,$O319)))</f>
        <v/>
      </c>
      <c r="G319" s="48">
        <f>IF($N319&lt;&gt;"減","",N(INDEX('仕入請求台帳'!$M$5:$M$504,$O319)))</f>
        <v/>
      </c>
      <c r="H319" s="49">
        <f>IF($N319="","",$H318+N($E319)-N($F319)-N($G319))</f>
        <v/>
      </c>
      <c r="I319" s="56" t="n"/>
      <c r="J319" s="32">
        <f>$J318+IF($N318="増",1,0)</f>
        <v/>
      </c>
      <c r="K319" s="32">
        <f>$K318+IF($N318="減",1,0)</f>
        <v/>
      </c>
      <c r="L319" s="35">
        <f>IF($B$3="",1E+9,IFERROR(SMALL('仕入請求台帳'!$U$5:$U$504,$J319+1),1E+9))</f>
        <v/>
      </c>
      <c r="M319" s="35">
        <f>IF($B$3="",1E+9,IFERROR(SMALL('仕入請求台帳'!$V$5:$V$504,$K319+1),1E+9))</f>
        <v/>
      </c>
      <c r="N319" s="32">
        <f>IF(MIN($L319,$M319)&gt;=1E+9,"",IF($L319&lt;=$M319,"増","減"))</f>
        <v/>
      </c>
      <c r="O319" s="32">
        <f>IF($N319="","",IF($N319="増",MATCH($L319,'仕入請求台帳'!$U$5:$U$504,0),MATCH($M319,'仕入請求台帳'!$V$5:$V$504,0)))</f>
        <v/>
      </c>
      <c r="P319" s="56" t="n"/>
      <c r="Q319" s="56" t="n"/>
    </row>
    <row r="320" ht="18" customHeight="1">
      <c r="A320" s="45">
        <f>IF($N320="","",IF($N320="増",INDEX('仕入請求台帳'!$S$5:$S$504,$O320),INDEX('仕入請求台帳'!$K$5:$K$504,$O320)))</f>
        <v/>
      </c>
      <c r="B320" s="46">
        <f>IF($N320="","",IF($N320="増","仕入","支払"))</f>
        <v/>
      </c>
      <c r="C320" s="46">
        <f>IF($N320="","",IF($N320="増",INDEX('仕入請求台帳'!$E$5:$E$504,$O320)&amp;"",INDEX('仕入請求台帳'!$E$5:$E$504,$O320)&amp;""))</f>
        <v/>
      </c>
      <c r="D320" s="47">
        <f>IF($N320="","",IF($N320="増",INDEX('仕入請求台帳'!$F$5:$F$504,$O320)&amp;"","支払"))</f>
        <v/>
      </c>
      <c r="E320" s="48">
        <f>IF($N320&lt;&gt;"増","",INDEX('仕入請求台帳'!$G$5:$G$504,$O320))</f>
        <v/>
      </c>
      <c r="F320" s="48">
        <f>IF($N320&lt;&gt;"減","",N(INDEX('仕入請求台帳'!$L$5:$L$504,$O320)))</f>
        <v/>
      </c>
      <c r="G320" s="48">
        <f>IF($N320&lt;&gt;"減","",N(INDEX('仕入請求台帳'!$M$5:$M$504,$O320)))</f>
        <v/>
      </c>
      <c r="H320" s="49">
        <f>IF($N320="","",$H319+N($E320)-N($F320)-N($G320))</f>
        <v/>
      </c>
      <c r="I320" s="56" t="n"/>
      <c r="J320" s="32">
        <f>$J319+IF($N319="増",1,0)</f>
        <v/>
      </c>
      <c r="K320" s="32">
        <f>$K319+IF($N319="減",1,0)</f>
        <v/>
      </c>
      <c r="L320" s="35">
        <f>IF($B$3="",1E+9,IFERROR(SMALL('仕入請求台帳'!$U$5:$U$504,$J320+1),1E+9))</f>
        <v/>
      </c>
      <c r="M320" s="35">
        <f>IF($B$3="",1E+9,IFERROR(SMALL('仕入請求台帳'!$V$5:$V$504,$K320+1),1E+9))</f>
        <v/>
      </c>
      <c r="N320" s="32">
        <f>IF(MIN($L320,$M320)&gt;=1E+9,"",IF($L320&lt;=$M320,"増","減"))</f>
        <v/>
      </c>
      <c r="O320" s="32">
        <f>IF($N320="","",IF($N320="増",MATCH($L320,'仕入請求台帳'!$U$5:$U$504,0),MATCH($M320,'仕入請求台帳'!$V$5:$V$504,0)))</f>
        <v/>
      </c>
      <c r="P320" s="56" t="n"/>
      <c r="Q320" s="56" t="n"/>
    </row>
    <row r="321" ht="18" customHeight="1">
      <c r="A321" s="45">
        <f>IF($N321="","",IF($N321="増",INDEX('仕入請求台帳'!$S$5:$S$504,$O321),INDEX('仕入請求台帳'!$K$5:$K$504,$O321)))</f>
        <v/>
      </c>
      <c r="B321" s="46">
        <f>IF($N321="","",IF($N321="増","仕入","支払"))</f>
        <v/>
      </c>
      <c r="C321" s="46">
        <f>IF($N321="","",IF($N321="増",INDEX('仕入請求台帳'!$E$5:$E$504,$O321)&amp;"",INDEX('仕入請求台帳'!$E$5:$E$504,$O321)&amp;""))</f>
        <v/>
      </c>
      <c r="D321" s="47">
        <f>IF($N321="","",IF($N321="増",INDEX('仕入請求台帳'!$F$5:$F$504,$O321)&amp;"","支払"))</f>
        <v/>
      </c>
      <c r="E321" s="48">
        <f>IF($N321&lt;&gt;"増","",INDEX('仕入請求台帳'!$G$5:$G$504,$O321))</f>
        <v/>
      </c>
      <c r="F321" s="48">
        <f>IF($N321&lt;&gt;"減","",N(INDEX('仕入請求台帳'!$L$5:$L$504,$O321)))</f>
        <v/>
      </c>
      <c r="G321" s="48">
        <f>IF($N321&lt;&gt;"減","",N(INDEX('仕入請求台帳'!$M$5:$M$504,$O321)))</f>
        <v/>
      </c>
      <c r="H321" s="49">
        <f>IF($N321="","",$H320+N($E321)-N($F321)-N($G321))</f>
        <v/>
      </c>
      <c r="I321" s="56" t="n"/>
      <c r="J321" s="32">
        <f>$J320+IF($N320="増",1,0)</f>
        <v/>
      </c>
      <c r="K321" s="32">
        <f>$K320+IF($N320="減",1,0)</f>
        <v/>
      </c>
      <c r="L321" s="35">
        <f>IF($B$3="",1E+9,IFERROR(SMALL('仕入請求台帳'!$U$5:$U$504,$J321+1),1E+9))</f>
        <v/>
      </c>
      <c r="M321" s="35">
        <f>IF($B$3="",1E+9,IFERROR(SMALL('仕入請求台帳'!$V$5:$V$504,$K321+1),1E+9))</f>
        <v/>
      </c>
      <c r="N321" s="32">
        <f>IF(MIN($L321,$M321)&gt;=1E+9,"",IF($L321&lt;=$M321,"増","減"))</f>
        <v/>
      </c>
      <c r="O321" s="32">
        <f>IF($N321="","",IF($N321="増",MATCH($L321,'仕入請求台帳'!$U$5:$U$504,0),MATCH($M321,'仕入請求台帳'!$V$5:$V$504,0)))</f>
        <v/>
      </c>
      <c r="P321" s="56" t="n"/>
      <c r="Q321" s="56" t="n"/>
    </row>
    <row r="322" ht="18" customHeight="1">
      <c r="A322" s="45">
        <f>IF($N322="","",IF($N322="増",INDEX('仕入請求台帳'!$S$5:$S$504,$O322),INDEX('仕入請求台帳'!$K$5:$K$504,$O322)))</f>
        <v/>
      </c>
      <c r="B322" s="46">
        <f>IF($N322="","",IF($N322="増","仕入","支払"))</f>
        <v/>
      </c>
      <c r="C322" s="46">
        <f>IF($N322="","",IF($N322="増",INDEX('仕入請求台帳'!$E$5:$E$504,$O322)&amp;"",INDEX('仕入請求台帳'!$E$5:$E$504,$O322)&amp;""))</f>
        <v/>
      </c>
      <c r="D322" s="47">
        <f>IF($N322="","",IF($N322="増",INDEX('仕入請求台帳'!$F$5:$F$504,$O322)&amp;"","支払"))</f>
        <v/>
      </c>
      <c r="E322" s="48">
        <f>IF($N322&lt;&gt;"増","",INDEX('仕入請求台帳'!$G$5:$G$504,$O322))</f>
        <v/>
      </c>
      <c r="F322" s="48">
        <f>IF($N322&lt;&gt;"減","",N(INDEX('仕入請求台帳'!$L$5:$L$504,$O322)))</f>
        <v/>
      </c>
      <c r="G322" s="48">
        <f>IF($N322&lt;&gt;"減","",N(INDEX('仕入請求台帳'!$M$5:$M$504,$O322)))</f>
        <v/>
      </c>
      <c r="H322" s="49">
        <f>IF($N322="","",$H321+N($E322)-N($F322)-N($G322))</f>
        <v/>
      </c>
      <c r="I322" s="56" t="n"/>
      <c r="J322" s="32">
        <f>$J321+IF($N321="増",1,0)</f>
        <v/>
      </c>
      <c r="K322" s="32">
        <f>$K321+IF($N321="減",1,0)</f>
        <v/>
      </c>
      <c r="L322" s="35">
        <f>IF($B$3="",1E+9,IFERROR(SMALL('仕入請求台帳'!$U$5:$U$504,$J322+1),1E+9))</f>
        <v/>
      </c>
      <c r="M322" s="35">
        <f>IF($B$3="",1E+9,IFERROR(SMALL('仕入請求台帳'!$V$5:$V$504,$K322+1),1E+9))</f>
        <v/>
      </c>
      <c r="N322" s="32">
        <f>IF(MIN($L322,$M322)&gt;=1E+9,"",IF($L322&lt;=$M322,"増","減"))</f>
        <v/>
      </c>
      <c r="O322" s="32">
        <f>IF($N322="","",IF($N322="増",MATCH($L322,'仕入請求台帳'!$U$5:$U$504,0),MATCH($M322,'仕入請求台帳'!$V$5:$V$504,0)))</f>
        <v/>
      </c>
      <c r="P322" s="56" t="n"/>
      <c r="Q322" s="56" t="n"/>
    </row>
    <row r="323" ht="18" customHeight="1">
      <c r="A323" s="45">
        <f>IF($N323="","",IF($N323="増",INDEX('仕入請求台帳'!$S$5:$S$504,$O323),INDEX('仕入請求台帳'!$K$5:$K$504,$O323)))</f>
        <v/>
      </c>
      <c r="B323" s="46">
        <f>IF($N323="","",IF($N323="増","仕入","支払"))</f>
        <v/>
      </c>
      <c r="C323" s="46">
        <f>IF($N323="","",IF($N323="増",INDEX('仕入請求台帳'!$E$5:$E$504,$O323)&amp;"",INDEX('仕入請求台帳'!$E$5:$E$504,$O323)&amp;""))</f>
        <v/>
      </c>
      <c r="D323" s="47">
        <f>IF($N323="","",IF($N323="増",INDEX('仕入請求台帳'!$F$5:$F$504,$O323)&amp;"","支払"))</f>
        <v/>
      </c>
      <c r="E323" s="48">
        <f>IF($N323&lt;&gt;"増","",INDEX('仕入請求台帳'!$G$5:$G$504,$O323))</f>
        <v/>
      </c>
      <c r="F323" s="48">
        <f>IF($N323&lt;&gt;"減","",N(INDEX('仕入請求台帳'!$L$5:$L$504,$O323)))</f>
        <v/>
      </c>
      <c r="G323" s="48">
        <f>IF($N323&lt;&gt;"減","",N(INDEX('仕入請求台帳'!$M$5:$M$504,$O323)))</f>
        <v/>
      </c>
      <c r="H323" s="49">
        <f>IF($N323="","",$H322+N($E323)-N($F323)-N($G323))</f>
        <v/>
      </c>
      <c r="I323" s="56" t="n"/>
      <c r="J323" s="32">
        <f>$J322+IF($N322="増",1,0)</f>
        <v/>
      </c>
      <c r="K323" s="32">
        <f>$K322+IF($N322="減",1,0)</f>
        <v/>
      </c>
      <c r="L323" s="35">
        <f>IF($B$3="",1E+9,IFERROR(SMALL('仕入請求台帳'!$U$5:$U$504,$J323+1),1E+9))</f>
        <v/>
      </c>
      <c r="M323" s="35">
        <f>IF($B$3="",1E+9,IFERROR(SMALL('仕入請求台帳'!$V$5:$V$504,$K323+1),1E+9))</f>
        <v/>
      </c>
      <c r="N323" s="32">
        <f>IF(MIN($L323,$M323)&gt;=1E+9,"",IF($L323&lt;=$M323,"増","減"))</f>
        <v/>
      </c>
      <c r="O323" s="32">
        <f>IF($N323="","",IF($N323="増",MATCH($L323,'仕入請求台帳'!$U$5:$U$504,0),MATCH($M323,'仕入請求台帳'!$V$5:$V$504,0)))</f>
        <v/>
      </c>
      <c r="P323" s="56" t="n"/>
      <c r="Q323" s="56" t="n"/>
    </row>
    <row r="324" ht="20" customHeight="1">
      <c r="A324" s="64" t="inlineStr">
        <is>
          <t>合計（期間内）と期間の終わりの残高</t>
        </is>
      </c>
      <c r="B324" s="65" t="n"/>
      <c r="C324" s="65" t="n"/>
      <c r="D324" s="66" t="n"/>
      <c r="E324" s="67">
        <f>IF($B$3="","",SUM(E24:E323))</f>
        <v/>
      </c>
      <c r="F324" s="67">
        <f>IF($B$3="","",SUM(F24:F323))</f>
        <v/>
      </c>
      <c r="G324" s="67">
        <f>IF($B$3="","",SUM(G24:G323))</f>
        <v/>
      </c>
      <c r="H324" s="67">
        <f>IF($B$3="","",$H$23+$E324-$F324-$G324)</f>
        <v/>
      </c>
      <c r="I324" s="56" t="n"/>
      <c r="J324" s="56" t="n"/>
      <c r="K324" s="56" t="n"/>
      <c r="L324" s="56" t="n"/>
      <c r="M324" s="56" t="n"/>
      <c r="N324" s="56" t="n"/>
      <c r="O324" s="56" t="n"/>
      <c r="P324" s="56" t="n"/>
      <c r="Q324" s="56" t="n"/>
    </row>
    <row r="325">
      <c r="A325" s="72">
        <f>IF(COUNT('仕入請求台帳'!$U$5:$U$504)+COUNT('仕入請求台帳'!$V$5:$V$504)&gt;300,"※期間内の行が300行を超えています。301行目からは出ません。期間を短くしてください。","")</f>
        <v/>
      </c>
      <c r="B325" s="56" t="n"/>
      <c r="C325" s="56" t="n"/>
      <c r="D325" s="56" t="n"/>
      <c r="E325" s="56" t="n"/>
      <c r="F325" s="56" t="n"/>
      <c r="G325" s="56" t="n"/>
      <c r="H325" s="56" t="n"/>
      <c r="I325" s="56" t="n"/>
      <c r="J325" s="56" t="n"/>
      <c r="K325" s="56" t="n"/>
      <c r="L325" s="56" t="n"/>
      <c r="M325" s="56" t="n"/>
      <c r="N325" s="56" t="n"/>
      <c r="O325" s="56" t="n"/>
      <c r="P325" s="56" t="n"/>
      <c r="Q325" s="56" t="n"/>
    </row>
  </sheetData>
  <mergeCells count="35">
    <mergeCell ref="G12:H12"/>
    <mergeCell ref="A15:B15"/>
    <mergeCell ref="A11:B11"/>
    <mergeCell ref="G11:H11"/>
    <mergeCell ref="A324:D324"/>
    <mergeCell ref="F3:H3"/>
    <mergeCell ref="A1:H1"/>
    <mergeCell ref="G8:H8"/>
    <mergeCell ref="A325:H325"/>
    <mergeCell ref="G17:H17"/>
    <mergeCell ref="A6:H6"/>
    <mergeCell ref="A16:B16"/>
    <mergeCell ref="A7:B7"/>
    <mergeCell ref="G7:H7"/>
    <mergeCell ref="G10:H10"/>
    <mergeCell ref="G19:H19"/>
    <mergeCell ref="G13:H13"/>
    <mergeCell ref="A18:B18"/>
    <mergeCell ref="G18:H18"/>
    <mergeCell ref="A12:B12"/>
    <mergeCell ref="A21:H21"/>
    <mergeCell ref="G15:H15"/>
    <mergeCell ref="A2:H2"/>
    <mergeCell ref="E4:H4"/>
    <mergeCell ref="A14:B14"/>
    <mergeCell ref="G14:H14"/>
    <mergeCell ref="A17:B17"/>
    <mergeCell ref="A8:B8"/>
    <mergeCell ref="G16:H16"/>
    <mergeCell ref="A19:B19"/>
    <mergeCell ref="A10:B10"/>
    <mergeCell ref="A13:B13"/>
    <mergeCell ref="A9:B9"/>
    <mergeCell ref="G9:H9"/>
    <mergeCell ref="C3:D3"/>
  </mergeCells>
  <conditionalFormatting sqref="A325">
    <cfRule type="expression" priority="1" dxfId="0">
      <formula>$A325&lt;&gt;""</formula>
    </cfRule>
  </conditionalFormatting>
  <dataValidations count="3">
    <dataValidation sqref="B3" showDropDown="0" showInputMessage="0" showErrorMessage="1" allowBlank="1" errorTitle="一覧から選んでください" error="「仕入先」シートのコードから選んでください。" type="list">
      <formula1>='仕入先'!$B$5:$B$54</formula1>
    </dataValidation>
    <dataValidation sqref="B4" showDropDown="0" showInputMessage="0" showErrorMessage="1" allowBlank="1" errorTitle="日付で入力してください" error="2026/9/30 のように、日付として入力してください。" type="date" operator="greaterThanOrEqual">
      <formula1>36526</formula1>
    </dataValidation>
    <dataValidation sqref="D4" showDropDown="0" showInputMessage="0" showErrorMessage="1" allowBlank="1" errorTitle="日付で入力してください" error="2026/9/30 のように、日付として入力してください。" type="date" operator="greaterThanOrEqual">
      <formula1>36526</formula1>
    </dataValidation>
  </dataValidations>
  <pageMargins left="0.4" right="0.4" top="0.45" bottom="0.45" header="0.2" footer="0.2"/>
  <pageSetup orientation="portrait" paperSize="9" fitToHeight="0" fitToWidth="1"/>
</worksheet>
</file>

<file path=xl/worksheets/sheet12.xml><?xml version="1.0" encoding="utf-8"?>
<worksheet xmlns="http://schemas.openxmlformats.org/spreadsheetml/2006/main">
  <sheetPr>
    <tabColor rgb="00B9C4CF"/>
    <outlinePr summaryBelow="1" summaryRight="1"/>
    <pageSetUpPr fitToPage="1"/>
  </sheetPr>
  <dimension ref="A1:N106"/>
  <sheetViews>
    <sheetView showGridLines="0" tabSelected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1" customWidth="1" min="2" max="2"/>
    <col width="13" customWidth="1" min="3" max="3"/>
    <col width="8" customWidth="1" min="4" max="4"/>
    <col width="22" customWidth="1" min="5" max="5"/>
    <col width="10" customWidth="1" min="6" max="6"/>
    <col width="11" customWidth="1" min="7" max="7"/>
    <col width="12" customWidth="1" min="8" max="8"/>
    <col width="12" customWidth="1" min="9" max="9"/>
    <col width="12" customWidth="1" min="10" max="10"/>
    <col width="13" customWidth="1" min="11" max="11"/>
    <col width="26" customWidth="1" min="12" max="12"/>
    <col width="2" customWidth="1" min="13" max="13"/>
    <col width="7" customWidth="1" min="14" max="14"/>
  </cols>
  <sheetData>
    <row r="1" ht="26" customHeight="1">
      <c r="A1" s="55" t="inlineStr">
        <is>
          <t>支払予定表（まだ払っていない請求・支払予定日の順）</t>
        </is>
      </c>
      <c r="B1" s="56" t="n"/>
      <c r="C1" s="56" t="n"/>
      <c r="D1" s="56" t="n"/>
      <c r="E1" s="56" t="n"/>
      <c r="F1" s="56" t="n"/>
      <c r="G1" s="56" t="n"/>
      <c r="H1" s="56" t="n"/>
      <c r="I1" s="56" t="n"/>
      <c r="J1" s="56" t="n"/>
      <c r="K1" s="56" t="n"/>
      <c r="L1" s="56" t="n"/>
      <c r="M1" s="56" t="n"/>
      <c r="N1" s="56" t="n"/>
    </row>
    <row r="2">
      <c r="A2" s="60" t="inlineStr">
        <is>
          <t>基準日</t>
        </is>
      </c>
      <c r="B2" s="66" t="n"/>
      <c r="C2" s="63">
        <f>'設定'!$B$7</f>
        <v/>
      </c>
      <c r="D2" s="56" t="n"/>
      <c r="E2" s="56" t="n"/>
      <c r="F2" s="56" t="n"/>
      <c r="G2" s="56" t="n"/>
      <c r="H2" s="56" t="n"/>
      <c r="I2" s="56" t="n"/>
      <c r="J2" s="56" t="n"/>
      <c r="K2" s="56" t="n"/>
      <c r="L2" s="56" t="n"/>
      <c r="M2" s="56" t="n"/>
      <c r="N2" s="56" t="n"/>
    </row>
    <row r="3" ht="18" customHeight="1">
      <c r="A3" s="64" t="inlineStr">
        <is>
          <t>支払予定日を過ぎた未払</t>
        </is>
      </c>
      <c r="B3" s="65" t="n"/>
      <c r="C3" s="66" t="n"/>
      <c r="D3" s="67">
        <f>SUMIFS('仕入請求台帳'!$N$5:$N$504,'仕入請求台帳'!$J$5:$J$504,"&lt;"&amp;'設定'!$B$7,'仕入請求台帳'!$N$5:$N$504,"&gt;0")</f>
        <v/>
      </c>
      <c r="E3" s="72">
        <f>"未払 "&amp;COUNT('仕入請求台帳'!$T$5:$T$504)&amp;"件"&amp;IF(COUNT('仕入請求台帳'!$T$5:$T$504)&gt;100,"（101件目からは出ません）","")</f>
        <v/>
      </c>
      <c r="F3" s="56" t="n"/>
      <c r="G3" s="56" t="n"/>
      <c r="H3" s="56" t="n"/>
      <c r="I3" s="56" t="n"/>
      <c r="J3" s="56" t="n"/>
      <c r="K3" s="56" t="n"/>
      <c r="L3" s="56" t="n"/>
      <c r="M3" s="56" t="n"/>
      <c r="N3" s="56" t="n"/>
    </row>
    <row r="4" ht="28" customHeight="1">
      <c r="A4" s="64" t="inlineStr">
        <is>
          <t>基準日から30日以内に払う額</t>
        </is>
      </c>
      <c r="B4" s="65" t="n"/>
      <c r="C4" s="66" t="n"/>
      <c r="D4" s="67">
        <f>SUMIFS('仕入請求台帳'!$N$5:$N$504,'仕入請求台帳'!$J$5:$J$504,"&gt;="&amp;'設定'!$B$7,'仕入請求台帳'!$J$5:$J$504,"&lt;="&amp;('設定'!$B$7+30),'仕入請求台帳'!$N$5:$N$504,"&gt;0")</f>
        <v/>
      </c>
      <c r="E4" s="59" t="inlineStr">
        <is>
          <t>支払予定日が空の請求（仕入先の締日などが未入力）は一番下に並びます。「同じ日の合計」は、その日に払う額の合計（その日の最後の行に出す）。</t>
        </is>
      </c>
      <c r="F4" s="56" t="n"/>
      <c r="G4" s="56" t="n"/>
      <c r="H4" s="56" t="n"/>
      <c r="I4" s="56" t="n"/>
      <c r="J4" s="56" t="n"/>
      <c r="K4" s="56" t="n"/>
      <c r="L4" s="56" t="n"/>
      <c r="M4" s="56" t="n"/>
      <c r="N4" s="56" t="n"/>
    </row>
    <row r="5" ht="18" customHeight="1">
      <c r="A5" s="64" t="inlineStr">
        <is>
          <t>未払の合計</t>
        </is>
      </c>
      <c r="B5" s="65" t="n"/>
      <c r="C5" s="66" t="n"/>
      <c r="D5" s="67">
        <f>SUMIF('仕入請求台帳'!$N$5:$N$504,"&gt;0")</f>
        <v/>
      </c>
      <c r="E5" s="56" t="n"/>
      <c r="F5" s="56" t="n"/>
      <c r="G5" s="56" t="n"/>
      <c r="H5" s="56" t="n"/>
      <c r="I5" s="56" t="n"/>
      <c r="J5" s="56" t="n"/>
      <c r="K5" s="56" t="n"/>
      <c r="L5" s="56" t="n"/>
      <c r="M5" s="56" t="n"/>
      <c r="N5" s="56" t="n"/>
    </row>
    <row r="6" ht="30" customHeight="1">
      <c r="A6" s="15" t="inlineStr">
        <is>
          <t>No.</t>
        </is>
      </c>
      <c r="B6" s="15" t="inlineStr">
        <is>
          <t>支払予定日</t>
        </is>
      </c>
      <c r="C6" s="15" t="inlineStr">
        <is>
          <t>期日まで</t>
        </is>
      </c>
      <c r="D6" s="15" t="inlineStr">
        <is>
          <t>仕入先コード</t>
        </is>
      </c>
      <c r="E6" s="15" t="inlineStr">
        <is>
          <t>仕入先名</t>
        </is>
      </c>
      <c r="F6" s="15" t="inlineStr">
        <is>
          <t>請求書No</t>
        </is>
      </c>
      <c r="G6" s="15" t="inlineStr">
        <is>
          <t>請求書の日付</t>
        </is>
      </c>
      <c r="H6" s="15" t="inlineStr">
        <is>
          <t>請求額</t>
        </is>
      </c>
      <c r="I6" s="15" t="inlineStr">
        <is>
          <t>支払済・値引</t>
        </is>
      </c>
      <c r="J6" s="15" t="inlineStr">
        <is>
          <t>未払残</t>
        </is>
      </c>
      <c r="K6" s="15" t="inlineStr">
        <is>
          <t>同じ日の合計</t>
        </is>
      </c>
      <c r="L6" s="15" t="inlineStr">
        <is>
          <t>振込先・メモ</t>
        </is>
      </c>
      <c r="M6" s="56" t="n"/>
      <c r="N6" s="25" t="inlineStr">
        <is>
          <t>作業:元の行</t>
        </is>
      </c>
    </row>
    <row r="7" ht="18" customHeight="1">
      <c r="A7" s="46">
        <f>IF($N7="","",1)</f>
        <v/>
      </c>
      <c r="B7" s="45">
        <f>IF($N7="","",IF(ISNUMBER(INDEX('仕入請求台帳'!$J$5:$J$504,$N7)),INDEX('仕入請求台帳'!$J$5:$J$504,$N7),""))</f>
        <v/>
      </c>
      <c r="C7" s="46">
        <f>IF($N7="","",IF(INDEX('仕入請求台帳'!$P$5:$P$504,$N7)="","（予定日なし）",INDEX('仕入請求台帳'!$P$5:$P$504,$N7)&amp;""))</f>
        <v/>
      </c>
      <c r="D7" s="46">
        <f>IF($N7="","",INDEX('仕入請求台帳'!$B$5:$B$504,$N7)&amp;"")</f>
        <v/>
      </c>
      <c r="E7" s="47">
        <f>IF($N7="","",INDEX('仕入請求台帳'!$C$5:$C$504,$N7)&amp;"")</f>
        <v/>
      </c>
      <c r="F7" s="46">
        <f>IF($N7="","",INDEX('仕入請求台帳'!$E$5:$E$504,$N7)&amp;"")</f>
        <v/>
      </c>
      <c r="G7" s="45">
        <f>IF($N7="","",IF(ISNUMBER(INDEX('仕入請求台帳'!$A$5:$A$504,$N7)),INDEX('仕入請求台帳'!$A$5:$A$504,$N7),""))</f>
        <v/>
      </c>
      <c r="H7" s="49">
        <f>IF($N7="","",N(INDEX('仕入請求台帳'!$G$5:$G$504,$N7)))</f>
        <v/>
      </c>
      <c r="I7" s="49">
        <f>IF($N7="","",N(INDEX('仕入請求台帳'!$L$5:$L$504,$N7))+N(INDEX('仕入請求台帳'!$M$5:$M$504,$N7)))</f>
        <v/>
      </c>
      <c r="J7" s="49">
        <f>IF($N7="","",INDEX('仕入請求台帳'!$N$5:$N$504,$N7))</f>
        <v/>
      </c>
      <c r="K7" s="49">
        <f>IF(OR($N7="",$B7=""),"",IF($B8=$B7,"",SUMIF($B$7:$B$106,$B7,$J$7:$J$106)))</f>
        <v/>
      </c>
      <c r="L7" s="47">
        <f>IF($N7="","",IFERROR(INDEX('仕入先'!$H$5:$H$54,INDEX('仕入請求台帳'!$R$5:$R$504,$N7))&amp;"",""))</f>
        <v/>
      </c>
      <c r="M7" s="56" t="n"/>
      <c r="N7" s="75">
        <f>IFERROR(MATCH(SMALL('仕入請求台帳'!$T$5:$T$504,1),'仕入請求台帳'!$T$5:$T$504,0),"")</f>
        <v/>
      </c>
    </row>
    <row r="8" ht="18" customHeight="1">
      <c r="A8" s="46">
        <f>IF($N8="","",2)</f>
        <v/>
      </c>
      <c r="B8" s="45">
        <f>IF($N8="","",IF(ISNUMBER(INDEX('仕入請求台帳'!$J$5:$J$504,$N8)),INDEX('仕入請求台帳'!$J$5:$J$504,$N8),""))</f>
        <v/>
      </c>
      <c r="C8" s="46">
        <f>IF($N8="","",IF(INDEX('仕入請求台帳'!$P$5:$P$504,$N8)="","（予定日なし）",INDEX('仕入請求台帳'!$P$5:$P$504,$N8)&amp;""))</f>
        <v/>
      </c>
      <c r="D8" s="46">
        <f>IF($N8="","",INDEX('仕入請求台帳'!$B$5:$B$504,$N8)&amp;"")</f>
        <v/>
      </c>
      <c r="E8" s="47">
        <f>IF($N8="","",INDEX('仕入請求台帳'!$C$5:$C$504,$N8)&amp;"")</f>
        <v/>
      </c>
      <c r="F8" s="46">
        <f>IF($N8="","",INDEX('仕入請求台帳'!$E$5:$E$504,$N8)&amp;"")</f>
        <v/>
      </c>
      <c r="G8" s="45">
        <f>IF($N8="","",IF(ISNUMBER(INDEX('仕入請求台帳'!$A$5:$A$504,$N8)),INDEX('仕入請求台帳'!$A$5:$A$504,$N8),""))</f>
        <v/>
      </c>
      <c r="H8" s="49">
        <f>IF($N8="","",N(INDEX('仕入請求台帳'!$G$5:$G$504,$N8)))</f>
        <v/>
      </c>
      <c r="I8" s="49">
        <f>IF($N8="","",N(INDEX('仕入請求台帳'!$L$5:$L$504,$N8))+N(INDEX('仕入請求台帳'!$M$5:$M$504,$N8)))</f>
        <v/>
      </c>
      <c r="J8" s="49">
        <f>IF($N8="","",INDEX('仕入請求台帳'!$N$5:$N$504,$N8))</f>
        <v/>
      </c>
      <c r="K8" s="49">
        <f>IF(OR($N8="",$B8=""),"",IF($B9=$B8,"",SUMIF($B$7:$B$106,$B8,$J$7:$J$106)))</f>
        <v/>
      </c>
      <c r="L8" s="47">
        <f>IF($N8="","",IFERROR(INDEX('仕入先'!$H$5:$H$54,INDEX('仕入請求台帳'!$R$5:$R$504,$N8))&amp;"",""))</f>
        <v/>
      </c>
      <c r="M8" s="56" t="n"/>
      <c r="N8" s="75">
        <f>IFERROR(MATCH(SMALL('仕入請求台帳'!$T$5:$T$504,2),'仕入請求台帳'!$T$5:$T$504,0),"")</f>
        <v/>
      </c>
    </row>
    <row r="9" ht="18" customHeight="1">
      <c r="A9" s="46">
        <f>IF($N9="","",3)</f>
        <v/>
      </c>
      <c r="B9" s="45">
        <f>IF($N9="","",IF(ISNUMBER(INDEX('仕入請求台帳'!$J$5:$J$504,$N9)),INDEX('仕入請求台帳'!$J$5:$J$504,$N9),""))</f>
        <v/>
      </c>
      <c r="C9" s="46">
        <f>IF($N9="","",IF(INDEX('仕入請求台帳'!$P$5:$P$504,$N9)="","（予定日なし）",INDEX('仕入請求台帳'!$P$5:$P$504,$N9)&amp;""))</f>
        <v/>
      </c>
      <c r="D9" s="46">
        <f>IF($N9="","",INDEX('仕入請求台帳'!$B$5:$B$504,$N9)&amp;"")</f>
        <v/>
      </c>
      <c r="E9" s="47">
        <f>IF($N9="","",INDEX('仕入請求台帳'!$C$5:$C$504,$N9)&amp;"")</f>
        <v/>
      </c>
      <c r="F9" s="46">
        <f>IF($N9="","",INDEX('仕入請求台帳'!$E$5:$E$504,$N9)&amp;"")</f>
        <v/>
      </c>
      <c r="G9" s="45">
        <f>IF($N9="","",IF(ISNUMBER(INDEX('仕入請求台帳'!$A$5:$A$504,$N9)),INDEX('仕入請求台帳'!$A$5:$A$504,$N9),""))</f>
        <v/>
      </c>
      <c r="H9" s="49">
        <f>IF($N9="","",N(INDEX('仕入請求台帳'!$G$5:$G$504,$N9)))</f>
        <v/>
      </c>
      <c r="I9" s="49">
        <f>IF($N9="","",N(INDEX('仕入請求台帳'!$L$5:$L$504,$N9))+N(INDEX('仕入請求台帳'!$M$5:$M$504,$N9)))</f>
        <v/>
      </c>
      <c r="J9" s="49">
        <f>IF($N9="","",INDEX('仕入請求台帳'!$N$5:$N$504,$N9))</f>
        <v/>
      </c>
      <c r="K9" s="49">
        <f>IF(OR($N9="",$B9=""),"",IF($B10=$B9,"",SUMIF($B$7:$B$106,$B9,$J$7:$J$106)))</f>
        <v/>
      </c>
      <c r="L9" s="47">
        <f>IF($N9="","",IFERROR(INDEX('仕入先'!$H$5:$H$54,INDEX('仕入請求台帳'!$R$5:$R$504,$N9))&amp;"",""))</f>
        <v/>
      </c>
      <c r="M9" s="56" t="n"/>
      <c r="N9" s="75">
        <f>IFERROR(MATCH(SMALL('仕入請求台帳'!$T$5:$T$504,3),'仕入請求台帳'!$T$5:$T$504,0),"")</f>
        <v/>
      </c>
    </row>
    <row r="10" ht="18" customHeight="1">
      <c r="A10" s="46">
        <f>IF($N10="","",4)</f>
        <v/>
      </c>
      <c r="B10" s="45">
        <f>IF($N10="","",IF(ISNUMBER(INDEX('仕入請求台帳'!$J$5:$J$504,$N10)),INDEX('仕入請求台帳'!$J$5:$J$504,$N10),""))</f>
        <v/>
      </c>
      <c r="C10" s="46">
        <f>IF($N10="","",IF(INDEX('仕入請求台帳'!$P$5:$P$504,$N10)="","（予定日なし）",INDEX('仕入請求台帳'!$P$5:$P$504,$N10)&amp;""))</f>
        <v/>
      </c>
      <c r="D10" s="46">
        <f>IF($N10="","",INDEX('仕入請求台帳'!$B$5:$B$504,$N10)&amp;"")</f>
        <v/>
      </c>
      <c r="E10" s="47">
        <f>IF($N10="","",INDEX('仕入請求台帳'!$C$5:$C$504,$N10)&amp;"")</f>
        <v/>
      </c>
      <c r="F10" s="46">
        <f>IF($N10="","",INDEX('仕入請求台帳'!$E$5:$E$504,$N10)&amp;"")</f>
        <v/>
      </c>
      <c r="G10" s="45">
        <f>IF($N10="","",IF(ISNUMBER(INDEX('仕入請求台帳'!$A$5:$A$504,$N10)),INDEX('仕入請求台帳'!$A$5:$A$504,$N10),""))</f>
        <v/>
      </c>
      <c r="H10" s="49">
        <f>IF($N10="","",N(INDEX('仕入請求台帳'!$G$5:$G$504,$N10)))</f>
        <v/>
      </c>
      <c r="I10" s="49">
        <f>IF($N10="","",N(INDEX('仕入請求台帳'!$L$5:$L$504,$N10))+N(INDEX('仕入請求台帳'!$M$5:$M$504,$N10)))</f>
        <v/>
      </c>
      <c r="J10" s="49">
        <f>IF($N10="","",INDEX('仕入請求台帳'!$N$5:$N$504,$N10))</f>
        <v/>
      </c>
      <c r="K10" s="49">
        <f>IF(OR($N10="",$B10=""),"",IF($B11=$B10,"",SUMIF($B$7:$B$106,$B10,$J$7:$J$106)))</f>
        <v/>
      </c>
      <c r="L10" s="47">
        <f>IF($N10="","",IFERROR(INDEX('仕入先'!$H$5:$H$54,INDEX('仕入請求台帳'!$R$5:$R$504,$N10))&amp;"",""))</f>
        <v/>
      </c>
      <c r="M10" s="56" t="n"/>
      <c r="N10" s="75">
        <f>IFERROR(MATCH(SMALL('仕入請求台帳'!$T$5:$T$504,4),'仕入請求台帳'!$T$5:$T$504,0),"")</f>
        <v/>
      </c>
    </row>
    <row r="11" ht="18" customHeight="1">
      <c r="A11" s="46">
        <f>IF($N11="","",5)</f>
        <v/>
      </c>
      <c r="B11" s="45">
        <f>IF($N11="","",IF(ISNUMBER(INDEX('仕入請求台帳'!$J$5:$J$504,$N11)),INDEX('仕入請求台帳'!$J$5:$J$504,$N11),""))</f>
        <v/>
      </c>
      <c r="C11" s="46">
        <f>IF($N11="","",IF(INDEX('仕入請求台帳'!$P$5:$P$504,$N11)="","（予定日なし）",INDEX('仕入請求台帳'!$P$5:$P$504,$N11)&amp;""))</f>
        <v/>
      </c>
      <c r="D11" s="46">
        <f>IF($N11="","",INDEX('仕入請求台帳'!$B$5:$B$504,$N11)&amp;"")</f>
        <v/>
      </c>
      <c r="E11" s="47">
        <f>IF($N11="","",INDEX('仕入請求台帳'!$C$5:$C$504,$N11)&amp;"")</f>
        <v/>
      </c>
      <c r="F11" s="46">
        <f>IF($N11="","",INDEX('仕入請求台帳'!$E$5:$E$504,$N11)&amp;"")</f>
        <v/>
      </c>
      <c r="G11" s="45">
        <f>IF($N11="","",IF(ISNUMBER(INDEX('仕入請求台帳'!$A$5:$A$504,$N11)),INDEX('仕入請求台帳'!$A$5:$A$504,$N11),""))</f>
        <v/>
      </c>
      <c r="H11" s="49">
        <f>IF($N11="","",N(INDEX('仕入請求台帳'!$G$5:$G$504,$N11)))</f>
        <v/>
      </c>
      <c r="I11" s="49">
        <f>IF($N11="","",N(INDEX('仕入請求台帳'!$L$5:$L$504,$N11))+N(INDEX('仕入請求台帳'!$M$5:$M$504,$N11)))</f>
        <v/>
      </c>
      <c r="J11" s="49">
        <f>IF($N11="","",INDEX('仕入請求台帳'!$N$5:$N$504,$N11))</f>
        <v/>
      </c>
      <c r="K11" s="49">
        <f>IF(OR($N11="",$B11=""),"",IF($B12=$B11,"",SUMIF($B$7:$B$106,$B11,$J$7:$J$106)))</f>
        <v/>
      </c>
      <c r="L11" s="47">
        <f>IF($N11="","",IFERROR(INDEX('仕入先'!$H$5:$H$54,INDEX('仕入請求台帳'!$R$5:$R$504,$N11))&amp;"",""))</f>
        <v/>
      </c>
      <c r="M11" s="56" t="n"/>
      <c r="N11" s="75">
        <f>IFERROR(MATCH(SMALL('仕入請求台帳'!$T$5:$T$504,5),'仕入請求台帳'!$T$5:$T$504,0),"")</f>
        <v/>
      </c>
    </row>
    <row r="12" ht="18" customHeight="1">
      <c r="A12" s="46">
        <f>IF($N12="","",6)</f>
        <v/>
      </c>
      <c r="B12" s="45">
        <f>IF($N12="","",IF(ISNUMBER(INDEX('仕入請求台帳'!$J$5:$J$504,$N12)),INDEX('仕入請求台帳'!$J$5:$J$504,$N12),""))</f>
        <v/>
      </c>
      <c r="C12" s="46">
        <f>IF($N12="","",IF(INDEX('仕入請求台帳'!$P$5:$P$504,$N12)="","（予定日なし）",INDEX('仕入請求台帳'!$P$5:$P$504,$N12)&amp;""))</f>
        <v/>
      </c>
      <c r="D12" s="46">
        <f>IF($N12="","",INDEX('仕入請求台帳'!$B$5:$B$504,$N12)&amp;"")</f>
        <v/>
      </c>
      <c r="E12" s="47">
        <f>IF($N12="","",INDEX('仕入請求台帳'!$C$5:$C$504,$N12)&amp;"")</f>
        <v/>
      </c>
      <c r="F12" s="46">
        <f>IF($N12="","",INDEX('仕入請求台帳'!$E$5:$E$504,$N12)&amp;"")</f>
        <v/>
      </c>
      <c r="G12" s="45">
        <f>IF($N12="","",IF(ISNUMBER(INDEX('仕入請求台帳'!$A$5:$A$504,$N12)),INDEX('仕入請求台帳'!$A$5:$A$504,$N12),""))</f>
        <v/>
      </c>
      <c r="H12" s="49">
        <f>IF($N12="","",N(INDEX('仕入請求台帳'!$G$5:$G$504,$N12)))</f>
        <v/>
      </c>
      <c r="I12" s="49">
        <f>IF($N12="","",N(INDEX('仕入請求台帳'!$L$5:$L$504,$N12))+N(INDEX('仕入請求台帳'!$M$5:$M$504,$N12)))</f>
        <v/>
      </c>
      <c r="J12" s="49">
        <f>IF($N12="","",INDEX('仕入請求台帳'!$N$5:$N$504,$N12))</f>
        <v/>
      </c>
      <c r="K12" s="49">
        <f>IF(OR($N12="",$B12=""),"",IF($B13=$B12,"",SUMIF($B$7:$B$106,$B12,$J$7:$J$106)))</f>
        <v/>
      </c>
      <c r="L12" s="47">
        <f>IF($N12="","",IFERROR(INDEX('仕入先'!$H$5:$H$54,INDEX('仕入請求台帳'!$R$5:$R$504,$N12))&amp;"",""))</f>
        <v/>
      </c>
      <c r="M12" s="56" t="n"/>
      <c r="N12" s="75">
        <f>IFERROR(MATCH(SMALL('仕入請求台帳'!$T$5:$T$504,6),'仕入請求台帳'!$T$5:$T$504,0),"")</f>
        <v/>
      </c>
    </row>
    <row r="13" ht="18" customHeight="1">
      <c r="A13" s="46">
        <f>IF($N13="","",7)</f>
        <v/>
      </c>
      <c r="B13" s="45">
        <f>IF($N13="","",IF(ISNUMBER(INDEX('仕入請求台帳'!$J$5:$J$504,$N13)),INDEX('仕入請求台帳'!$J$5:$J$504,$N13),""))</f>
        <v/>
      </c>
      <c r="C13" s="46">
        <f>IF($N13="","",IF(INDEX('仕入請求台帳'!$P$5:$P$504,$N13)="","（予定日なし）",INDEX('仕入請求台帳'!$P$5:$P$504,$N13)&amp;""))</f>
        <v/>
      </c>
      <c r="D13" s="46">
        <f>IF($N13="","",INDEX('仕入請求台帳'!$B$5:$B$504,$N13)&amp;"")</f>
        <v/>
      </c>
      <c r="E13" s="47">
        <f>IF($N13="","",INDEX('仕入請求台帳'!$C$5:$C$504,$N13)&amp;"")</f>
        <v/>
      </c>
      <c r="F13" s="46">
        <f>IF($N13="","",INDEX('仕入請求台帳'!$E$5:$E$504,$N13)&amp;"")</f>
        <v/>
      </c>
      <c r="G13" s="45">
        <f>IF($N13="","",IF(ISNUMBER(INDEX('仕入請求台帳'!$A$5:$A$504,$N13)),INDEX('仕入請求台帳'!$A$5:$A$504,$N13),""))</f>
        <v/>
      </c>
      <c r="H13" s="49">
        <f>IF($N13="","",N(INDEX('仕入請求台帳'!$G$5:$G$504,$N13)))</f>
        <v/>
      </c>
      <c r="I13" s="49">
        <f>IF($N13="","",N(INDEX('仕入請求台帳'!$L$5:$L$504,$N13))+N(INDEX('仕入請求台帳'!$M$5:$M$504,$N13)))</f>
        <v/>
      </c>
      <c r="J13" s="49">
        <f>IF($N13="","",INDEX('仕入請求台帳'!$N$5:$N$504,$N13))</f>
        <v/>
      </c>
      <c r="K13" s="49">
        <f>IF(OR($N13="",$B13=""),"",IF($B14=$B13,"",SUMIF($B$7:$B$106,$B13,$J$7:$J$106)))</f>
        <v/>
      </c>
      <c r="L13" s="47">
        <f>IF($N13="","",IFERROR(INDEX('仕入先'!$H$5:$H$54,INDEX('仕入請求台帳'!$R$5:$R$504,$N13))&amp;"",""))</f>
        <v/>
      </c>
      <c r="M13" s="56" t="n"/>
      <c r="N13" s="75">
        <f>IFERROR(MATCH(SMALL('仕入請求台帳'!$T$5:$T$504,7),'仕入請求台帳'!$T$5:$T$504,0),"")</f>
        <v/>
      </c>
    </row>
    <row r="14" ht="18" customHeight="1">
      <c r="A14" s="46">
        <f>IF($N14="","",8)</f>
        <v/>
      </c>
      <c r="B14" s="45">
        <f>IF($N14="","",IF(ISNUMBER(INDEX('仕入請求台帳'!$J$5:$J$504,$N14)),INDEX('仕入請求台帳'!$J$5:$J$504,$N14),""))</f>
        <v/>
      </c>
      <c r="C14" s="46">
        <f>IF($N14="","",IF(INDEX('仕入請求台帳'!$P$5:$P$504,$N14)="","（予定日なし）",INDEX('仕入請求台帳'!$P$5:$P$504,$N14)&amp;""))</f>
        <v/>
      </c>
      <c r="D14" s="46">
        <f>IF($N14="","",INDEX('仕入請求台帳'!$B$5:$B$504,$N14)&amp;"")</f>
        <v/>
      </c>
      <c r="E14" s="47">
        <f>IF($N14="","",INDEX('仕入請求台帳'!$C$5:$C$504,$N14)&amp;"")</f>
        <v/>
      </c>
      <c r="F14" s="46">
        <f>IF($N14="","",INDEX('仕入請求台帳'!$E$5:$E$504,$N14)&amp;"")</f>
        <v/>
      </c>
      <c r="G14" s="45">
        <f>IF($N14="","",IF(ISNUMBER(INDEX('仕入請求台帳'!$A$5:$A$504,$N14)),INDEX('仕入請求台帳'!$A$5:$A$504,$N14),""))</f>
        <v/>
      </c>
      <c r="H14" s="49">
        <f>IF($N14="","",N(INDEX('仕入請求台帳'!$G$5:$G$504,$N14)))</f>
        <v/>
      </c>
      <c r="I14" s="49">
        <f>IF($N14="","",N(INDEX('仕入請求台帳'!$L$5:$L$504,$N14))+N(INDEX('仕入請求台帳'!$M$5:$M$504,$N14)))</f>
        <v/>
      </c>
      <c r="J14" s="49">
        <f>IF($N14="","",INDEX('仕入請求台帳'!$N$5:$N$504,$N14))</f>
        <v/>
      </c>
      <c r="K14" s="49">
        <f>IF(OR($N14="",$B14=""),"",IF($B15=$B14,"",SUMIF($B$7:$B$106,$B14,$J$7:$J$106)))</f>
        <v/>
      </c>
      <c r="L14" s="47">
        <f>IF($N14="","",IFERROR(INDEX('仕入先'!$H$5:$H$54,INDEX('仕入請求台帳'!$R$5:$R$504,$N14))&amp;"",""))</f>
        <v/>
      </c>
      <c r="M14" s="56" t="n"/>
      <c r="N14" s="75">
        <f>IFERROR(MATCH(SMALL('仕入請求台帳'!$T$5:$T$504,8),'仕入請求台帳'!$T$5:$T$504,0),"")</f>
        <v/>
      </c>
    </row>
    <row r="15" ht="18" customHeight="1">
      <c r="A15" s="46">
        <f>IF($N15="","",9)</f>
        <v/>
      </c>
      <c r="B15" s="45">
        <f>IF($N15="","",IF(ISNUMBER(INDEX('仕入請求台帳'!$J$5:$J$504,$N15)),INDEX('仕入請求台帳'!$J$5:$J$504,$N15),""))</f>
        <v/>
      </c>
      <c r="C15" s="46">
        <f>IF($N15="","",IF(INDEX('仕入請求台帳'!$P$5:$P$504,$N15)="","（予定日なし）",INDEX('仕入請求台帳'!$P$5:$P$504,$N15)&amp;""))</f>
        <v/>
      </c>
      <c r="D15" s="46">
        <f>IF($N15="","",INDEX('仕入請求台帳'!$B$5:$B$504,$N15)&amp;"")</f>
        <v/>
      </c>
      <c r="E15" s="47">
        <f>IF($N15="","",INDEX('仕入請求台帳'!$C$5:$C$504,$N15)&amp;"")</f>
        <v/>
      </c>
      <c r="F15" s="46">
        <f>IF($N15="","",INDEX('仕入請求台帳'!$E$5:$E$504,$N15)&amp;"")</f>
        <v/>
      </c>
      <c r="G15" s="45">
        <f>IF($N15="","",IF(ISNUMBER(INDEX('仕入請求台帳'!$A$5:$A$504,$N15)),INDEX('仕入請求台帳'!$A$5:$A$504,$N15),""))</f>
        <v/>
      </c>
      <c r="H15" s="49">
        <f>IF($N15="","",N(INDEX('仕入請求台帳'!$G$5:$G$504,$N15)))</f>
        <v/>
      </c>
      <c r="I15" s="49">
        <f>IF($N15="","",N(INDEX('仕入請求台帳'!$L$5:$L$504,$N15))+N(INDEX('仕入請求台帳'!$M$5:$M$504,$N15)))</f>
        <v/>
      </c>
      <c r="J15" s="49">
        <f>IF($N15="","",INDEX('仕入請求台帳'!$N$5:$N$504,$N15))</f>
        <v/>
      </c>
      <c r="K15" s="49">
        <f>IF(OR($N15="",$B15=""),"",IF($B16=$B15,"",SUMIF($B$7:$B$106,$B15,$J$7:$J$106)))</f>
        <v/>
      </c>
      <c r="L15" s="47">
        <f>IF($N15="","",IFERROR(INDEX('仕入先'!$H$5:$H$54,INDEX('仕入請求台帳'!$R$5:$R$504,$N15))&amp;"",""))</f>
        <v/>
      </c>
      <c r="M15" s="56" t="n"/>
      <c r="N15" s="75">
        <f>IFERROR(MATCH(SMALL('仕入請求台帳'!$T$5:$T$504,9),'仕入請求台帳'!$T$5:$T$504,0),"")</f>
        <v/>
      </c>
    </row>
    <row r="16" ht="18" customHeight="1">
      <c r="A16" s="46">
        <f>IF($N16="","",10)</f>
        <v/>
      </c>
      <c r="B16" s="45">
        <f>IF($N16="","",IF(ISNUMBER(INDEX('仕入請求台帳'!$J$5:$J$504,$N16)),INDEX('仕入請求台帳'!$J$5:$J$504,$N16),""))</f>
        <v/>
      </c>
      <c r="C16" s="46">
        <f>IF($N16="","",IF(INDEX('仕入請求台帳'!$P$5:$P$504,$N16)="","（予定日なし）",INDEX('仕入請求台帳'!$P$5:$P$504,$N16)&amp;""))</f>
        <v/>
      </c>
      <c r="D16" s="46">
        <f>IF($N16="","",INDEX('仕入請求台帳'!$B$5:$B$504,$N16)&amp;"")</f>
        <v/>
      </c>
      <c r="E16" s="47">
        <f>IF($N16="","",INDEX('仕入請求台帳'!$C$5:$C$504,$N16)&amp;"")</f>
        <v/>
      </c>
      <c r="F16" s="46">
        <f>IF($N16="","",INDEX('仕入請求台帳'!$E$5:$E$504,$N16)&amp;"")</f>
        <v/>
      </c>
      <c r="G16" s="45">
        <f>IF($N16="","",IF(ISNUMBER(INDEX('仕入請求台帳'!$A$5:$A$504,$N16)),INDEX('仕入請求台帳'!$A$5:$A$504,$N16),""))</f>
        <v/>
      </c>
      <c r="H16" s="49">
        <f>IF($N16="","",N(INDEX('仕入請求台帳'!$G$5:$G$504,$N16)))</f>
        <v/>
      </c>
      <c r="I16" s="49">
        <f>IF($N16="","",N(INDEX('仕入請求台帳'!$L$5:$L$504,$N16))+N(INDEX('仕入請求台帳'!$M$5:$M$504,$N16)))</f>
        <v/>
      </c>
      <c r="J16" s="49">
        <f>IF($N16="","",INDEX('仕入請求台帳'!$N$5:$N$504,$N16))</f>
        <v/>
      </c>
      <c r="K16" s="49">
        <f>IF(OR($N16="",$B16=""),"",IF($B17=$B16,"",SUMIF($B$7:$B$106,$B16,$J$7:$J$106)))</f>
        <v/>
      </c>
      <c r="L16" s="47">
        <f>IF($N16="","",IFERROR(INDEX('仕入先'!$H$5:$H$54,INDEX('仕入請求台帳'!$R$5:$R$504,$N16))&amp;"",""))</f>
        <v/>
      </c>
      <c r="M16" s="56" t="n"/>
      <c r="N16" s="75">
        <f>IFERROR(MATCH(SMALL('仕入請求台帳'!$T$5:$T$504,10),'仕入請求台帳'!$T$5:$T$504,0),"")</f>
        <v/>
      </c>
    </row>
    <row r="17" ht="18" customHeight="1">
      <c r="A17" s="46">
        <f>IF($N17="","",11)</f>
        <v/>
      </c>
      <c r="B17" s="45">
        <f>IF($N17="","",IF(ISNUMBER(INDEX('仕入請求台帳'!$J$5:$J$504,$N17)),INDEX('仕入請求台帳'!$J$5:$J$504,$N17),""))</f>
        <v/>
      </c>
      <c r="C17" s="46">
        <f>IF($N17="","",IF(INDEX('仕入請求台帳'!$P$5:$P$504,$N17)="","（予定日なし）",INDEX('仕入請求台帳'!$P$5:$P$504,$N17)&amp;""))</f>
        <v/>
      </c>
      <c r="D17" s="46">
        <f>IF($N17="","",INDEX('仕入請求台帳'!$B$5:$B$504,$N17)&amp;"")</f>
        <v/>
      </c>
      <c r="E17" s="47">
        <f>IF($N17="","",INDEX('仕入請求台帳'!$C$5:$C$504,$N17)&amp;"")</f>
        <v/>
      </c>
      <c r="F17" s="46">
        <f>IF($N17="","",INDEX('仕入請求台帳'!$E$5:$E$504,$N17)&amp;"")</f>
        <v/>
      </c>
      <c r="G17" s="45">
        <f>IF($N17="","",IF(ISNUMBER(INDEX('仕入請求台帳'!$A$5:$A$504,$N17)),INDEX('仕入請求台帳'!$A$5:$A$504,$N17),""))</f>
        <v/>
      </c>
      <c r="H17" s="49">
        <f>IF($N17="","",N(INDEX('仕入請求台帳'!$G$5:$G$504,$N17)))</f>
        <v/>
      </c>
      <c r="I17" s="49">
        <f>IF($N17="","",N(INDEX('仕入請求台帳'!$L$5:$L$504,$N17))+N(INDEX('仕入請求台帳'!$M$5:$M$504,$N17)))</f>
        <v/>
      </c>
      <c r="J17" s="49">
        <f>IF($N17="","",INDEX('仕入請求台帳'!$N$5:$N$504,$N17))</f>
        <v/>
      </c>
      <c r="K17" s="49">
        <f>IF(OR($N17="",$B17=""),"",IF($B18=$B17,"",SUMIF($B$7:$B$106,$B17,$J$7:$J$106)))</f>
        <v/>
      </c>
      <c r="L17" s="47">
        <f>IF($N17="","",IFERROR(INDEX('仕入先'!$H$5:$H$54,INDEX('仕入請求台帳'!$R$5:$R$504,$N17))&amp;"",""))</f>
        <v/>
      </c>
      <c r="M17" s="56" t="n"/>
      <c r="N17" s="75">
        <f>IFERROR(MATCH(SMALL('仕入請求台帳'!$T$5:$T$504,11),'仕入請求台帳'!$T$5:$T$504,0),"")</f>
        <v/>
      </c>
    </row>
    <row r="18" ht="18" customHeight="1">
      <c r="A18" s="46">
        <f>IF($N18="","",12)</f>
        <v/>
      </c>
      <c r="B18" s="45">
        <f>IF($N18="","",IF(ISNUMBER(INDEX('仕入請求台帳'!$J$5:$J$504,$N18)),INDEX('仕入請求台帳'!$J$5:$J$504,$N18),""))</f>
        <v/>
      </c>
      <c r="C18" s="46">
        <f>IF($N18="","",IF(INDEX('仕入請求台帳'!$P$5:$P$504,$N18)="","（予定日なし）",INDEX('仕入請求台帳'!$P$5:$P$504,$N18)&amp;""))</f>
        <v/>
      </c>
      <c r="D18" s="46">
        <f>IF($N18="","",INDEX('仕入請求台帳'!$B$5:$B$504,$N18)&amp;"")</f>
        <v/>
      </c>
      <c r="E18" s="47">
        <f>IF($N18="","",INDEX('仕入請求台帳'!$C$5:$C$504,$N18)&amp;"")</f>
        <v/>
      </c>
      <c r="F18" s="46">
        <f>IF($N18="","",INDEX('仕入請求台帳'!$E$5:$E$504,$N18)&amp;"")</f>
        <v/>
      </c>
      <c r="G18" s="45">
        <f>IF($N18="","",IF(ISNUMBER(INDEX('仕入請求台帳'!$A$5:$A$504,$N18)),INDEX('仕入請求台帳'!$A$5:$A$504,$N18),""))</f>
        <v/>
      </c>
      <c r="H18" s="49">
        <f>IF($N18="","",N(INDEX('仕入請求台帳'!$G$5:$G$504,$N18)))</f>
        <v/>
      </c>
      <c r="I18" s="49">
        <f>IF($N18="","",N(INDEX('仕入請求台帳'!$L$5:$L$504,$N18))+N(INDEX('仕入請求台帳'!$M$5:$M$504,$N18)))</f>
        <v/>
      </c>
      <c r="J18" s="49">
        <f>IF($N18="","",INDEX('仕入請求台帳'!$N$5:$N$504,$N18))</f>
        <v/>
      </c>
      <c r="K18" s="49">
        <f>IF(OR($N18="",$B18=""),"",IF($B19=$B18,"",SUMIF($B$7:$B$106,$B18,$J$7:$J$106)))</f>
        <v/>
      </c>
      <c r="L18" s="47">
        <f>IF($N18="","",IFERROR(INDEX('仕入先'!$H$5:$H$54,INDEX('仕入請求台帳'!$R$5:$R$504,$N18))&amp;"",""))</f>
        <v/>
      </c>
      <c r="M18" s="56" t="n"/>
      <c r="N18" s="75">
        <f>IFERROR(MATCH(SMALL('仕入請求台帳'!$T$5:$T$504,12),'仕入請求台帳'!$T$5:$T$504,0),"")</f>
        <v/>
      </c>
    </row>
    <row r="19" ht="18" customHeight="1">
      <c r="A19" s="46">
        <f>IF($N19="","",13)</f>
        <v/>
      </c>
      <c r="B19" s="45">
        <f>IF($N19="","",IF(ISNUMBER(INDEX('仕入請求台帳'!$J$5:$J$504,$N19)),INDEX('仕入請求台帳'!$J$5:$J$504,$N19),""))</f>
        <v/>
      </c>
      <c r="C19" s="46">
        <f>IF($N19="","",IF(INDEX('仕入請求台帳'!$P$5:$P$504,$N19)="","（予定日なし）",INDEX('仕入請求台帳'!$P$5:$P$504,$N19)&amp;""))</f>
        <v/>
      </c>
      <c r="D19" s="46">
        <f>IF($N19="","",INDEX('仕入請求台帳'!$B$5:$B$504,$N19)&amp;"")</f>
        <v/>
      </c>
      <c r="E19" s="47">
        <f>IF($N19="","",INDEX('仕入請求台帳'!$C$5:$C$504,$N19)&amp;"")</f>
        <v/>
      </c>
      <c r="F19" s="46">
        <f>IF($N19="","",INDEX('仕入請求台帳'!$E$5:$E$504,$N19)&amp;"")</f>
        <v/>
      </c>
      <c r="G19" s="45">
        <f>IF($N19="","",IF(ISNUMBER(INDEX('仕入請求台帳'!$A$5:$A$504,$N19)),INDEX('仕入請求台帳'!$A$5:$A$504,$N19),""))</f>
        <v/>
      </c>
      <c r="H19" s="49">
        <f>IF($N19="","",N(INDEX('仕入請求台帳'!$G$5:$G$504,$N19)))</f>
        <v/>
      </c>
      <c r="I19" s="49">
        <f>IF($N19="","",N(INDEX('仕入請求台帳'!$L$5:$L$504,$N19))+N(INDEX('仕入請求台帳'!$M$5:$M$504,$N19)))</f>
        <v/>
      </c>
      <c r="J19" s="49">
        <f>IF($N19="","",INDEX('仕入請求台帳'!$N$5:$N$504,$N19))</f>
        <v/>
      </c>
      <c r="K19" s="49">
        <f>IF(OR($N19="",$B19=""),"",IF($B20=$B19,"",SUMIF($B$7:$B$106,$B19,$J$7:$J$106)))</f>
        <v/>
      </c>
      <c r="L19" s="47">
        <f>IF($N19="","",IFERROR(INDEX('仕入先'!$H$5:$H$54,INDEX('仕入請求台帳'!$R$5:$R$504,$N19))&amp;"",""))</f>
        <v/>
      </c>
      <c r="M19" s="56" t="n"/>
      <c r="N19" s="75">
        <f>IFERROR(MATCH(SMALL('仕入請求台帳'!$T$5:$T$504,13),'仕入請求台帳'!$T$5:$T$504,0),"")</f>
        <v/>
      </c>
    </row>
    <row r="20" ht="18" customHeight="1">
      <c r="A20" s="46">
        <f>IF($N20="","",14)</f>
        <v/>
      </c>
      <c r="B20" s="45">
        <f>IF($N20="","",IF(ISNUMBER(INDEX('仕入請求台帳'!$J$5:$J$504,$N20)),INDEX('仕入請求台帳'!$J$5:$J$504,$N20),""))</f>
        <v/>
      </c>
      <c r="C20" s="46">
        <f>IF($N20="","",IF(INDEX('仕入請求台帳'!$P$5:$P$504,$N20)="","（予定日なし）",INDEX('仕入請求台帳'!$P$5:$P$504,$N20)&amp;""))</f>
        <v/>
      </c>
      <c r="D20" s="46">
        <f>IF($N20="","",INDEX('仕入請求台帳'!$B$5:$B$504,$N20)&amp;"")</f>
        <v/>
      </c>
      <c r="E20" s="47">
        <f>IF($N20="","",INDEX('仕入請求台帳'!$C$5:$C$504,$N20)&amp;"")</f>
        <v/>
      </c>
      <c r="F20" s="46">
        <f>IF($N20="","",INDEX('仕入請求台帳'!$E$5:$E$504,$N20)&amp;"")</f>
        <v/>
      </c>
      <c r="G20" s="45">
        <f>IF($N20="","",IF(ISNUMBER(INDEX('仕入請求台帳'!$A$5:$A$504,$N20)),INDEX('仕入請求台帳'!$A$5:$A$504,$N20),""))</f>
        <v/>
      </c>
      <c r="H20" s="49">
        <f>IF($N20="","",N(INDEX('仕入請求台帳'!$G$5:$G$504,$N20)))</f>
        <v/>
      </c>
      <c r="I20" s="49">
        <f>IF($N20="","",N(INDEX('仕入請求台帳'!$L$5:$L$504,$N20))+N(INDEX('仕入請求台帳'!$M$5:$M$504,$N20)))</f>
        <v/>
      </c>
      <c r="J20" s="49">
        <f>IF($N20="","",INDEX('仕入請求台帳'!$N$5:$N$504,$N20))</f>
        <v/>
      </c>
      <c r="K20" s="49">
        <f>IF(OR($N20="",$B20=""),"",IF($B21=$B20,"",SUMIF($B$7:$B$106,$B20,$J$7:$J$106)))</f>
        <v/>
      </c>
      <c r="L20" s="47">
        <f>IF($N20="","",IFERROR(INDEX('仕入先'!$H$5:$H$54,INDEX('仕入請求台帳'!$R$5:$R$504,$N20))&amp;"",""))</f>
        <v/>
      </c>
      <c r="M20" s="56" t="n"/>
      <c r="N20" s="75">
        <f>IFERROR(MATCH(SMALL('仕入請求台帳'!$T$5:$T$504,14),'仕入請求台帳'!$T$5:$T$504,0),"")</f>
        <v/>
      </c>
    </row>
    <row r="21" ht="18" customHeight="1">
      <c r="A21" s="46">
        <f>IF($N21="","",15)</f>
        <v/>
      </c>
      <c r="B21" s="45">
        <f>IF($N21="","",IF(ISNUMBER(INDEX('仕入請求台帳'!$J$5:$J$504,$N21)),INDEX('仕入請求台帳'!$J$5:$J$504,$N21),""))</f>
        <v/>
      </c>
      <c r="C21" s="46">
        <f>IF($N21="","",IF(INDEX('仕入請求台帳'!$P$5:$P$504,$N21)="","（予定日なし）",INDEX('仕入請求台帳'!$P$5:$P$504,$N21)&amp;""))</f>
        <v/>
      </c>
      <c r="D21" s="46">
        <f>IF($N21="","",INDEX('仕入請求台帳'!$B$5:$B$504,$N21)&amp;"")</f>
        <v/>
      </c>
      <c r="E21" s="47">
        <f>IF($N21="","",INDEX('仕入請求台帳'!$C$5:$C$504,$N21)&amp;"")</f>
        <v/>
      </c>
      <c r="F21" s="46">
        <f>IF($N21="","",INDEX('仕入請求台帳'!$E$5:$E$504,$N21)&amp;"")</f>
        <v/>
      </c>
      <c r="G21" s="45">
        <f>IF($N21="","",IF(ISNUMBER(INDEX('仕入請求台帳'!$A$5:$A$504,$N21)),INDEX('仕入請求台帳'!$A$5:$A$504,$N21),""))</f>
        <v/>
      </c>
      <c r="H21" s="49">
        <f>IF($N21="","",N(INDEX('仕入請求台帳'!$G$5:$G$504,$N21)))</f>
        <v/>
      </c>
      <c r="I21" s="49">
        <f>IF($N21="","",N(INDEX('仕入請求台帳'!$L$5:$L$504,$N21))+N(INDEX('仕入請求台帳'!$M$5:$M$504,$N21)))</f>
        <v/>
      </c>
      <c r="J21" s="49">
        <f>IF($N21="","",INDEX('仕入請求台帳'!$N$5:$N$504,$N21))</f>
        <v/>
      </c>
      <c r="K21" s="49">
        <f>IF(OR($N21="",$B21=""),"",IF($B22=$B21,"",SUMIF($B$7:$B$106,$B21,$J$7:$J$106)))</f>
        <v/>
      </c>
      <c r="L21" s="47">
        <f>IF($N21="","",IFERROR(INDEX('仕入先'!$H$5:$H$54,INDEX('仕入請求台帳'!$R$5:$R$504,$N21))&amp;"",""))</f>
        <v/>
      </c>
      <c r="M21" s="56" t="n"/>
      <c r="N21" s="75">
        <f>IFERROR(MATCH(SMALL('仕入請求台帳'!$T$5:$T$504,15),'仕入請求台帳'!$T$5:$T$504,0),"")</f>
        <v/>
      </c>
    </row>
    <row r="22" ht="18" customHeight="1">
      <c r="A22" s="46">
        <f>IF($N22="","",16)</f>
        <v/>
      </c>
      <c r="B22" s="45">
        <f>IF($N22="","",IF(ISNUMBER(INDEX('仕入請求台帳'!$J$5:$J$504,$N22)),INDEX('仕入請求台帳'!$J$5:$J$504,$N22),""))</f>
        <v/>
      </c>
      <c r="C22" s="46">
        <f>IF($N22="","",IF(INDEX('仕入請求台帳'!$P$5:$P$504,$N22)="","（予定日なし）",INDEX('仕入請求台帳'!$P$5:$P$504,$N22)&amp;""))</f>
        <v/>
      </c>
      <c r="D22" s="46">
        <f>IF($N22="","",INDEX('仕入請求台帳'!$B$5:$B$504,$N22)&amp;"")</f>
        <v/>
      </c>
      <c r="E22" s="47">
        <f>IF($N22="","",INDEX('仕入請求台帳'!$C$5:$C$504,$N22)&amp;"")</f>
        <v/>
      </c>
      <c r="F22" s="46">
        <f>IF($N22="","",INDEX('仕入請求台帳'!$E$5:$E$504,$N22)&amp;"")</f>
        <v/>
      </c>
      <c r="G22" s="45">
        <f>IF($N22="","",IF(ISNUMBER(INDEX('仕入請求台帳'!$A$5:$A$504,$N22)),INDEX('仕入請求台帳'!$A$5:$A$504,$N22),""))</f>
        <v/>
      </c>
      <c r="H22" s="49">
        <f>IF($N22="","",N(INDEX('仕入請求台帳'!$G$5:$G$504,$N22)))</f>
        <v/>
      </c>
      <c r="I22" s="49">
        <f>IF($N22="","",N(INDEX('仕入請求台帳'!$L$5:$L$504,$N22))+N(INDEX('仕入請求台帳'!$M$5:$M$504,$N22)))</f>
        <v/>
      </c>
      <c r="J22" s="49">
        <f>IF($N22="","",INDEX('仕入請求台帳'!$N$5:$N$504,$N22))</f>
        <v/>
      </c>
      <c r="K22" s="49">
        <f>IF(OR($N22="",$B22=""),"",IF($B23=$B22,"",SUMIF($B$7:$B$106,$B22,$J$7:$J$106)))</f>
        <v/>
      </c>
      <c r="L22" s="47">
        <f>IF($N22="","",IFERROR(INDEX('仕入先'!$H$5:$H$54,INDEX('仕入請求台帳'!$R$5:$R$504,$N22))&amp;"",""))</f>
        <v/>
      </c>
      <c r="M22" s="56" t="n"/>
      <c r="N22" s="75">
        <f>IFERROR(MATCH(SMALL('仕入請求台帳'!$T$5:$T$504,16),'仕入請求台帳'!$T$5:$T$504,0),"")</f>
        <v/>
      </c>
    </row>
    <row r="23" ht="18" customHeight="1">
      <c r="A23" s="46">
        <f>IF($N23="","",17)</f>
        <v/>
      </c>
      <c r="B23" s="45">
        <f>IF($N23="","",IF(ISNUMBER(INDEX('仕入請求台帳'!$J$5:$J$504,$N23)),INDEX('仕入請求台帳'!$J$5:$J$504,$N23),""))</f>
        <v/>
      </c>
      <c r="C23" s="46">
        <f>IF($N23="","",IF(INDEX('仕入請求台帳'!$P$5:$P$504,$N23)="","（予定日なし）",INDEX('仕入請求台帳'!$P$5:$P$504,$N23)&amp;""))</f>
        <v/>
      </c>
      <c r="D23" s="46">
        <f>IF($N23="","",INDEX('仕入請求台帳'!$B$5:$B$504,$N23)&amp;"")</f>
        <v/>
      </c>
      <c r="E23" s="47">
        <f>IF($N23="","",INDEX('仕入請求台帳'!$C$5:$C$504,$N23)&amp;"")</f>
        <v/>
      </c>
      <c r="F23" s="46">
        <f>IF($N23="","",INDEX('仕入請求台帳'!$E$5:$E$504,$N23)&amp;"")</f>
        <v/>
      </c>
      <c r="G23" s="45">
        <f>IF($N23="","",IF(ISNUMBER(INDEX('仕入請求台帳'!$A$5:$A$504,$N23)),INDEX('仕入請求台帳'!$A$5:$A$504,$N23),""))</f>
        <v/>
      </c>
      <c r="H23" s="49">
        <f>IF($N23="","",N(INDEX('仕入請求台帳'!$G$5:$G$504,$N23)))</f>
        <v/>
      </c>
      <c r="I23" s="49">
        <f>IF($N23="","",N(INDEX('仕入請求台帳'!$L$5:$L$504,$N23))+N(INDEX('仕入請求台帳'!$M$5:$M$504,$N23)))</f>
        <v/>
      </c>
      <c r="J23" s="49">
        <f>IF($N23="","",INDEX('仕入請求台帳'!$N$5:$N$504,$N23))</f>
        <v/>
      </c>
      <c r="K23" s="49">
        <f>IF(OR($N23="",$B23=""),"",IF($B24=$B23,"",SUMIF($B$7:$B$106,$B23,$J$7:$J$106)))</f>
        <v/>
      </c>
      <c r="L23" s="47">
        <f>IF($N23="","",IFERROR(INDEX('仕入先'!$H$5:$H$54,INDEX('仕入請求台帳'!$R$5:$R$504,$N23))&amp;"",""))</f>
        <v/>
      </c>
      <c r="M23" s="56" t="n"/>
      <c r="N23" s="75">
        <f>IFERROR(MATCH(SMALL('仕入請求台帳'!$T$5:$T$504,17),'仕入請求台帳'!$T$5:$T$504,0),"")</f>
        <v/>
      </c>
    </row>
    <row r="24" ht="18" customHeight="1">
      <c r="A24" s="46">
        <f>IF($N24="","",18)</f>
        <v/>
      </c>
      <c r="B24" s="45">
        <f>IF($N24="","",IF(ISNUMBER(INDEX('仕入請求台帳'!$J$5:$J$504,$N24)),INDEX('仕入請求台帳'!$J$5:$J$504,$N24),""))</f>
        <v/>
      </c>
      <c r="C24" s="46">
        <f>IF($N24="","",IF(INDEX('仕入請求台帳'!$P$5:$P$504,$N24)="","（予定日なし）",INDEX('仕入請求台帳'!$P$5:$P$504,$N24)&amp;""))</f>
        <v/>
      </c>
      <c r="D24" s="46">
        <f>IF($N24="","",INDEX('仕入請求台帳'!$B$5:$B$504,$N24)&amp;"")</f>
        <v/>
      </c>
      <c r="E24" s="47">
        <f>IF($N24="","",INDEX('仕入請求台帳'!$C$5:$C$504,$N24)&amp;"")</f>
        <v/>
      </c>
      <c r="F24" s="46">
        <f>IF($N24="","",INDEX('仕入請求台帳'!$E$5:$E$504,$N24)&amp;"")</f>
        <v/>
      </c>
      <c r="G24" s="45">
        <f>IF($N24="","",IF(ISNUMBER(INDEX('仕入請求台帳'!$A$5:$A$504,$N24)),INDEX('仕入請求台帳'!$A$5:$A$504,$N24),""))</f>
        <v/>
      </c>
      <c r="H24" s="49">
        <f>IF($N24="","",N(INDEX('仕入請求台帳'!$G$5:$G$504,$N24)))</f>
        <v/>
      </c>
      <c r="I24" s="49">
        <f>IF($N24="","",N(INDEX('仕入請求台帳'!$L$5:$L$504,$N24))+N(INDEX('仕入請求台帳'!$M$5:$M$504,$N24)))</f>
        <v/>
      </c>
      <c r="J24" s="49">
        <f>IF($N24="","",INDEX('仕入請求台帳'!$N$5:$N$504,$N24))</f>
        <v/>
      </c>
      <c r="K24" s="49">
        <f>IF(OR($N24="",$B24=""),"",IF($B25=$B24,"",SUMIF($B$7:$B$106,$B24,$J$7:$J$106)))</f>
        <v/>
      </c>
      <c r="L24" s="47">
        <f>IF($N24="","",IFERROR(INDEX('仕入先'!$H$5:$H$54,INDEX('仕入請求台帳'!$R$5:$R$504,$N24))&amp;"",""))</f>
        <v/>
      </c>
      <c r="M24" s="56" t="n"/>
      <c r="N24" s="75">
        <f>IFERROR(MATCH(SMALL('仕入請求台帳'!$T$5:$T$504,18),'仕入請求台帳'!$T$5:$T$504,0),"")</f>
        <v/>
      </c>
    </row>
    <row r="25" ht="18" customHeight="1">
      <c r="A25" s="46">
        <f>IF($N25="","",19)</f>
        <v/>
      </c>
      <c r="B25" s="45">
        <f>IF($N25="","",IF(ISNUMBER(INDEX('仕入請求台帳'!$J$5:$J$504,$N25)),INDEX('仕入請求台帳'!$J$5:$J$504,$N25),""))</f>
        <v/>
      </c>
      <c r="C25" s="46">
        <f>IF($N25="","",IF(INDEX('仕入請求台帳'!$P$5:$P$504,$N25)="","（予定日なし）",INDEX('仕入請求台帳'!$P$5:$P$504,$N25)&amp;""))</f>
        <v/>
      </c>
      <c r="D25" s="46">
        <f>IF($N25="","",INDEX('仕入請求台帳'!$B$5:$B$504,$N25)&amp;"")</f>
        <v/>
      </c>
      <c r="E25" s="47">
        <f>IF($N25="","",INDEX('仕入請求台帳'!$C$5:$C$504,$N25)&amp;"")</f>
        <v/>
      </c>
      <c r="F25" s="46">
        <f>IF($N25="","",INDEX('仕入請求台帳'!$E$5:$E$504,$N25)&amp;"")</f>
        <v/>
      </c>
      <c r="G25" s="45">
        <f>IF($N25="","",IF(ISNUMBER(INDEX('仕入請求台帳'!$A$5:$A$504,$N25)),INDEX('仕入請求台帳'!$A$5:$A$504,$N25),""))</f>
        <v/>
      </c>
      <c r="H25" s="49">
        <f>IF($N25="","",N(INDEX('仕入請求台帳'!$G$5:$G$504,$N25)))</f>
        <v/>
      </c>
      <c r="I25" s="49">
        <f>IF($N25="","",N(INDEX('仕入請求台帳'!$L$5:$L$504,$N25))+N(INDEX('仕入請求台帳'!$M$5:$M$504,$N25)))</f>
        <v/>
      </c>
      <c r="J25" s="49">
        <f>IF($N25="","",INDEX('仕入請求台帳'!$N$5:$N$504,$N25))</f>
        <v/>
      </c>
      <c r="K25" s="49">
        <f>IF(OR($N25="",$B25=""),"",IF($B26=$B25,"",SUMIF($B$7:$B$106,$B25,$J$7:$J$106)))</f>
        <v/>
      </c>
      <c r="L25" s="47">
        <f>IF($N25="","",IFERROR(INDEX('仕入先'!$H$5:$H$54,INDEX('仕入請求台帳'!$R$5:$R$504,$N25))&amp;"",""))</f>
        <v/>
      </c>
      <c r="M25" s="56" t="n"/>
      <c r="N25" s="75">
        <f>IFERROR(MATCH(SMALL('仕入請求台帳'!$T$5:$T$504,19),'仕入請求台帳'!$T$5:$T$504,0),"")</f>
        <v/>
      </c>
    </row>
    <row r="26" ht="18" customHeight="1">
      <c r="A26" s="46">
        <f>IF($N26="","",20)</f>
        <v/>
      </c>
      <c r="B26" s="45">
        <f>IF($N26="","",IF(ISNUMBER(INDEX('仕入請求台帳'!$J$5:$J$504,$N26)),INDEX('仕入請求台帳'!$J$5:$J$504,$N26),""))</f>
        <v/>
      </c>
      <c r="C26" s="46">
        <f>IF($N26="","",IF(INDEX('仕入請求台帳'!$P$5:$P$504,$N26)="","（予定日なし）",INDEX('仕入請求台帳'!$P$5:$P$504,$N26)&amp;""))</f>
        <v/>
      </c>
      <c r="D26" s="46">
        <f>IF($N26="","",INDEX('仕入請求台帳'!$B$5:$B$504,$N26)&amp;"")</f>
        <v/>
      </c>
      <c r="E26" s="47">
        <f>IF($N26="","",INDEX('仕入請求台帳'!$C$5:$C$504,$N26)&amp;"")</f>
        <v/>
      </c>
      <c r="F26" s="46">
        <f>IF($N26="","",INDEX('仕入請求台帳'!$E$5:$E$504,$N26)&amp;"")</f>
        <v/>
      </c>
      <c r="G26" s="45">
        <f>IF($N26="","",IF(ISNUMBER(INDEX('仕入請求台帳'!$A$5:$A$504,$N26)),INDEX('仕入請求台帳'!$A$5:$A$504,$N26),""))</f>
        <v/>
      </c>
      <c r="H26" s="49">
        <f>IF($N26="","",N(INDEX('仕入請求台帳'!$G$5:$G$504,$N26)))</f>
        <v/>
      </c>
      <c r="I26" s="49">
        <f>IF($N26="","",N(INDEX('仕入請求台帳'!$L$5:$L$504,$N26))+N(INDEX('仕入請求台帳'!$M$5:$M$504,$N26)))</f>
        <v/>
      </c>
      <c r="J26" s="49">
        <f>IF($N26="","",INDEX('仕入請求台帳'!$N$5:$N$504,$N26))</f>
        <v/>
      </c>
      <c r="K26" s="49">
        <f>IF(OR($N26="",$B26=""),"",IF($B27=$B26,"",SUMIF($B$7:$B$106,$B26,$J$7:$J$106)))</f>
        <v/>
      </c>
      <c r="L26" s="47">
        <f>IF($N26="","",IFERROR(INDEX('仕入先'!$H$5:$H$54,INDEX('仕入請求台帳'!$R$5:$R$504,$N26))&amp;"",""))</f>
        <v/>
      </c>
      <c r="M26" s="56" t="n"/>
      <c r="N26" s="75">
        <f>IFERROR(MATCH(SMALL('仕入請求台帳'!$T$5:$T$504,20),'仕入請求台帳'!$T$5:$T$504,0),"")</f>
        <v/>
      </c>
    </row>
    <row r="27" ht="18" customHeight="1">
      <c r="A27" s="46">
        <f>IF($N27="","",21)</f>
        <v/>
      </c>
      <c r="B27" s="45">
        <f>IF($N27="","",IF(ISNUMBER(INDEX('仕入請求台帳'!$J$5:$J$504,$N27)),INDEX('仕入請求台帳'!$J$5:$J$504,$N27),""))</f>
        <v/>
      </c>
      <c r="C27" s="46">
        <f>IF($N27="","",IF(INDEX('仕入請求台帳'!$P$5:$P$504,$N27)="","（予定日なし）",INDEX('仕入請求台帳'!$P$5:$P$504,$N27)&amp;""))</f>
        <v/>
      </c>
      <c r="D27" s="46">
        <f>IF($N27="","",INDEX('仕入請求台帳'!$B$5:$B$504,$N27)&amp;"")</f>
        <v/>
      </c>
      <c r="E27" s="47">
        <f>IF($N27="","",INDEX('仕入請求台帳'!$C$5:$C$504,$N27)&amp;"")</f>
        <v/>
      </c>
      <c r="F27" s="46">
        <f>IF($N27="","",INDEX('仕入請求台帳'!$E$5:$E$504,$N27)&amp;"")</f>
        <v/>
      </c>
      <c r="G27" s="45">
        <f>IF($N27="","",IF(ISNUMBER(INDEX('仕入請求台帳'!$A$5:$A$504,$N27)),INDEX('仕入請求台帳'!$A$5:$A$504,$N27),""))</f>
        <v/>
      </c>
      <c r="H27" s="49">
        <f>IF($N27="","",N(INDEX('仕入請求台帳'!$G$5:$G$504,$N27)))</f>
        <v/>
      </c>
      <c r="I27" s="49">
        <f>IF($N27="","",N(INDEX('仕入請求台帳'!$L$5:$L$504,$N27))+N(INDEX('仕入請求台帳'!$M$5:$M$504,$N27)))</f>
        <v/>
      </c>
      <c r="J27" s="49">
        <f>IF($N27="","",INDEX('仕入請求台帳'!$N$5:$N$504,$N27))</f>
        <v/>
      </c>
      <c r="K27" s="49">
        <f>IF(OR($N27="",$B27=""),"",IF($B28=$B27,"",SUMIF($B$7:$B$106,$B27,$J$7:$J$106)))</f>
        <v/>
      </c>
      <c r="L27" s="47">
        <f>IF($N27="","",IFERROR(INDEX('仕入先'!$H$5:$H$54,INDEX('仕入請求台帳'!$R$5:$R$504,$N27))&amp;"",""))</f>
        <v/>
      </c>
      <c r="M27" s="56" t="n"/>
      <c r="N27" s="75">
        <f>IFERROR(MATCH(SMALL('仕入請求台帳'!$T$5:$T$504,21),'仕入請求台帳'!$T$5:$T$504,0),"")</f>
        <v/>
      </c>
    </row>
    <row r="28" ht="18" customHeight="1">
      <c r="A28" s="46">
        <f>IF($N28="","",22)</f>
        <v/>
      </c>
      <c r="B28" s="45">
        <f>IF($N28="","",IF(ISNUMBER(INDEX('仕入請求台帳'!$J$5:$J$504,$N28)),INDEX('仕入請求台帳'!$J$5:$J$504,$N28),""))</f>
        <v/>
      </c>
      <c r="C28" s="46">
        <f>IF($N28="","",IF(INDEX('仕入請求台帳'!$P$5:$P$504,$N28)="","（予定日なし）",INDEX('仕入請求台帳'!$P$5:$P$504,$N28)&amp;""))</f>
        <v/>
      </c>
      <c r="D28" s="46">
        <f>IF($N28="","",INDEX('仕入請求台帳'!$B$5:$B$504,$N28)&amp;"")</f>
        <v/>
      </c>
      <c r="E28" s="47">
        <f>IF($N28="","",INDEX('仕入請求台帳'!$C$5:$C$504,$N28)&amp;"")</f>
        <v/>
      </c>
      <c r="F28" s="46">
        <f>IF($N28="","",INDEX('仕入請求台帳'!$E$5:$E$504,$N28)&amp;"")</f>
        <v/>
      </c>
      <c r="G28" s="45">
        <f>IF($N28="","",IF(ISNUMBER(INDEX('仕入請求台帳'!$A$5:$A$504,$N28)),INDEX('仕入請求台帳'!$A$5:$A$504,$N28),""))</f>
        <v/>
      </c>
      <c r="H28" s="49">
        <f>IF($N28="","",N(INDEX('仕入請求台帳'!$G$5:$G$504,$N28)))</f>
        <v/>
      </c>
      <c r="I28" s="49">
        <f>IF($N28="","",N(INDEX('仕入請求台帳'!$L$5:$L$504,$N28))+N(INDEX('仕入請求台帳'!$M$5:$M$504,$N28)))</f>
        <v/>
      </c>
      <c r="J28" s="49">
        <f>IF($N28="","",INDEX('仕入請求台帳'!$N$5:$N$504,$N28))</f>
        <v/>
      </c>
      <c r="K28" s="49">
        <f>IF(OR($N28="",$B28=""),"",IF($B29=$B28,"",SUMIF($B$7:$B$106,$B28,$J$7:$J$106)))</f>
        <v/>
      </c>
      <c r="L28" s="47">
        <f>IF($N28="","",IFERROR(INDEX('仕入先'!$H$5:$H$54,INDEX('仕入請求台帳'!$R$5:$R$504,$N28))&amp;"",""))</f>
        <v/>
      </c>
      <c r="M28" s="56" t="n"/>
      <c r="N28" s="75">
        <f>IFERROR(MATCH(SMALL('仕入請求台帳'!$T$5:$T$504,22),'仕入請求台帳'!$T$5:$T$504,0),"")</f>
        <v/>
      </c>
    </row>
    <row r="29" ht="18" customHeight="1">
      <c r="A29" s="46">
        <f>IF($N29="","",23)</f>
        <v/>
      </c>
      <c r="B29" s="45">
        <f>IF($N29="","",IF(ISNUMBER(INDEX('仕入請求台帳'!$J$5:$J$504,$N29)),INDEX('仕入請求台帳'!$J$5:$J$504,$N29),""))</f>
        <v/>
      </c>
      <c r="C29" s="46">
        <f>IF($N29="","",IF(INDEX('仕入請求台帳'!$P$5:$P$504,$N29)="","（予定日なし）",INDEX('仕入請求台帳'!$P$5:$P$504,$N29)&amp;""))</f>
        <v/>
      </c>
      <c r="D29" s="46">
        <f>IF($N29="","",INDEX('仕入請求台帳'!$B$5:$B$504,$N29)&amp;"")</f>
        <v/>
      </c>
      <c r="E29" s="47">
        <f>IF($N29="","",INDEX('仕入請求台帳'!$C$5:$C$504,$N29)&amp;"")</f>
        <v/>
      </c>
      <c r="F29" s="46">
        <f>IF($N29="","",INDEX('仕入請求台帳'!$E$5:$E$504,$N29)&amp;"")</f>
        <v/>
      </c>
      <c r="G29" s="45">
        <f>IF($N29="","",IF(ISNUMBER(INDEX('仕入請求台帳'!$A$5:$A$504,$N29)),INDEX('仕入請求台帳'!$A$5:$A$504,$N29),""))</f>
        <v/>
      </c>
      <c r="H29" s="49">
        <f>IF($N29="","",N(INDEX('仕入請求台帳'!$G$5:$G$504,$N29)))</f>
        <v/>
      </c>
      <c r="I29" s="49">
        <f>IF($N29="","",N(INDEX('仕入請求台帳'!$L$5:$L$504,$N29))+N(INDEX('仕入請求台帳'!$M$5:$M$504,$N29)))</f>
        <v/>
      </c>
      <c r="J29" s="49">
        <f>IF($N29="","",INDEX('仕入請求台帳'!$N$5:$N$504,$N29))</f>
        <v/>
      </c>
      <c r="K29" s="49">
        <f>IF(OR($N29="",$B29=""),"",IF($B30=$B29,"",SUMIF($B$7:$B$106,$B29,$J$7:$J$106)))</f>
        <v/>
      </c>
      <c r="L29" s="47">
        <f>IF($N29="","",IFERROR(INDEX('仕入先'!$H$5:$H$54,INDEX('仕入請求台帳'!$R$5:$R$504,$N29))&amp;"",""))</f>
        <v/>
      </c>
      <c r="M29" s="56" t="n"/>
      <c r="N29" s="75">
        <f>IFERROR(MATCH(SMALL('仕入請求台帳'!$T$5:$T$504,23),'仕入請求台帳'!$T$5:$T$504,0),"")</f>
        <v/>
      </c>
    </row>
    <row r="30" ht="18" customHeight="1">
      <c r="A30" s="46">
        <f>IF($N30="","",24)</f>
        <v/>
      </c>
      <c r="B30" s="45">
        <f>IF($N30="","",IF(ISNUMBER(INDEX('仕入請求台帳'!$J$5:$J$504,$N30)),INDEX('仕入請求台帳'!$J$5:$J$504,$N30),""))</f>
        <v/>
      </c>
      <c r="C30" s="46">
        <f>IF($N30="","",IF(INDEX('仕入請求台帳'!$P$5:$P$504,$N30)="","（予定日なし）",INDEX('仕入請求台帳'!$P$5:$P$504,$N30)&amp;""))</f>
        <v/>
      </c>
      <c r="D30" s="46">
        <f>IF($N30="","",INDEX('仕入請求台帳'!$B$5:$B$504,$N30)&amp;"")</f>
        <v/>
      </c>
      <c r="E30" s="47">
        <f>IF($N30="","",INDEX('仕入請求台帳'!$C$5:$C$504,$N30)&amp;"")</f>
        <v/>
      </c>
      <c r="F30" s="46">
        <f>IF($N30="","",INDEX('仕入請求台帳'!$E$5:$E$504,$N30)&amp;"")</f>
        <v/>
      </c>
      <c r="G30" s="45">
        <f>IF($N30="","",IF(ISNUMBER(INDEX('仕入請求台帳'!$A$5:$A$504,$N30)),INDEX('仕入請求台帳'!$A$5:$A$504,$N30),""))</f>
        <v/>
      </c>
      <c r="H30" s="49">
        <f>IF($N30="","",N(INDEX('仕入請求台帳'!$G$5:$G$504,$N30)))</f>
        <v/>
      </c>
      <c r="I30" s="49">
        <f>IF($N30="","",N(INDEX('仕入請求台帳'!$L$5:$L$504,$N30))+N(INDEX('仕入請求台帳'!$M$5:$M$504,$N30)))</f>
        <v/>
      </c>
      <c r="J30" s="49">
        <f>IF($N30="","",INDEX('仕入請求台帳'!$N$5:$N$504,$N30))</f>
        <v/>
      </c>
      <c r="K30" s="49">
        <f>IF(OR($N30="",$B30=""),"",IF($B31=$B30,"",SUMIF($B$7:$B$106,$B30,$J$7:$J$106)))</f>
        <v/>
      </c>
      <c r="L30" s="47">
        <f>IF($N30="","",IFERROR(INDEX('仕入先'!$H$5:$H$54,INDEX('仕入請求台帳'!$R$5:$R$504,$N30))&amp;"",""))</f>
        <v/>
      </c>
      <c r="M30" s="56" t="n"/>
      <c r="N30" s="75">
        <f>IFERROR(MATCH(SMALL('仕入請求台帳'!$T$5:$T$504,24),'仕入請求台帳'!$T$5:$T$504,0),"")</f>
        <v/>
      </c>
    </row>
    <row r="31" ht="18" customHeight="1">
      <c r="A31" s="46">
        <f>IF($N31="","",25)</f>
        <v/>
      </c>
      <c r="B31" s="45">
        <f>IF($N31="","",IF(ISNUMBER(INDEX('仕入請求台帳'!$J$5:$J$504,$N31)),INDEX('仕入請求台帳'!$J$5:$J$504,$N31),""))</f>
        <v/>
      </c>
      <c r="C31" s="46">
        <f>IF($N31="","",IF(INDEX('仕入請求台帳'!$P$5:$P$504,$N31)="","（予定日なし）",INDEX('仕入請求台帳'!$P$5:$P$504,$N31)&amp;""))</f>
        <v/>
      </c>
      <c r="D31" s="46">
        <f>IF($N31="","",INDEX('仕入請求台帳'!$B$5:$B$504,$N31)&amp;"")</f>
        <v/>
      </c>
      <c r="E31" s="47">
        <f>IF($N31="","",INDEX('仕入請求台帳'!$C$5:$C$504,$N31)&amp;"")</f>
        <v/>
      </c>
      <c r="F31" s="46">
        <f>IF($N31="","",INDEX('仕入請求台帳'!$E$5:$E$504,$N31)&amp;"")</f>
        <v/>
      </c>
      <c r="G31" s="45">
        <f>IF($N31="","",IF(ISNUMBER(INDEX('仕入請求台帳'!$A$5:$A$504,$N31)),INDEX('仕入請求台帳'!$A$5:$A$504,$N31),""))</f>
        <v/>
      </c>
      <c r="H31" s="49">
        <f>IF($N31="","",N(INDEX('仕入請求台帳'!$G$5:$G$504,$N31)))</f>
        <v/>
      </c>
      <c r="I31" s="49">
        <f>IF($N31="","",N(INDEX('仕入請求台帳'!$L$5:$L$504,$N31))+N(INDEX('仕入請求台帳'!$M$5:$M$504,$N31)))</f>
        <v/>
      </c>
      <c r="J31" s="49">
        <f>IF($N31="","",INDEX('仕入請求台帳'!$N$5:$N$504,$N31))</f>
        <v/>
      </c>
      <c r="K31" s="49">
        <f>IF(OR($N31="",$B31=""),"",IF($B32=$B31,"",SUMIF($B$7:$B$106,$B31,$J$7:$J$106)))</f>
        <v/>
      </c>
      <c r="L31" s="47">
        <f>IF($N31="","",IFERROR(INDEX('仕入先'!$H$5:$H$54,INDEX('仕入請求台帳'!$R$5:$R$504,$N31))&amp;"",""))</f>
        <v/>
      </c>
      <c r="M31" s="56" t="n"/>
      <c r="N31" s="75">
        <f>IFERROR(MATCH(SMALL('仕入請求台帳'!$T$5:$T$504,25),'仕入請求台帳'!$T$5:$T$504,0),"")</f>
        <v/>
      </c>
    </row>
    <row r="32" ht="18" customHeight="1">
      <c r="A32" s="46">
        <f>IF($N32="","",26)</f>
        <v/>
      </c>
      <c r="B32" s="45">
        <f>IF($N32="","",IF(ISNUMBER(INDEX('仕入請求台帳'!$J$5:$J$504,$N32)),INDEX('仕入請求台帳'!$J$5:$J$504,$N32),""))</f>
        <v/>
      </c>
      <c r="C32" s="46">
        <f>IF($N32="","",IF(INDEX('仕入請求台帳'!$P$5:$P$504,$N32)="","（予定日なし）",INDEX('仕入請求台帳'!$P$5:$P$504,$N32)&amp;""))</f>
        <v/>
      </c>
      <c r="D32" s="46">
        <f>IF($N32="","",INDEX('仕入請求台帳'!$B$5:$B$504,$N32)&amp;"")</f>
        <v/>
      </c>
      <c r="E32" s="47">
        <f>IF($N32="","",INDEX('仕入請求台帳'!$C$5:$C$504,$N32)&amp;"")</f>
        <v/>
      </c>
      <c r="F32" s="46">
        <f>IF($N32="","",INDEX('仕入請求台帳'!$E$5:$E$504,$N32)&amp;"")</f>
        <v/>
      </c>
      <c r="G32" s="45">
        <f>IF($N32="","",IF(ISNUMBER(INDEX('仕入請求台帳'!$A$5:$A$504,$N32)),INDEX('仕入請求台帳'!$A$5:$A$504,$N32),""))</f>
        <v/>
      </c>
      <c r="H32" s="49">
        <f>IF($N32="","",N(INDEX('仕入請求台帳'!$G$5:$G$504,$N32)))</f>
        <v/>
      </c>
      <c r="I32" s="49">
        <f>IF($N32="","",N(INDEX('仕入請求台帳'!$L$5:$L$504,$N32))+N(INDEX('仕入請求台帳'!$M$5:$M$504,$N32)))</f>
        <v/>
      </c>
      <c r="J32" s="49">
        <f>IF($N32="","",INDEX('仕入請求台帳'!$N$5:$N$504,$N32))</f>
        <v/>
      </c>
      <c r="K32" s="49">
        <f>IF(OR($N32="",$B32=""),"",IF($B33=$B32,"",SUMIF($B$7:$B$106,$B32,$J$7:$J$106)))</f>
        <v/>
      </c>
      <c r="L32" s="47">
        <f>IF($N32="","",IFERROR(INDEX('仕入先'!$H$5:$H$54,INDEX('仕入請求台帳'!$R$5:$R$504,$N32))&amp;"",""))</f>
        <v/>
      </c>
      <c r="M32" s="56" t="n"/>
      <c r="N32" s="75">
        <f>IFERROR(MATCH(SMALL('仕入請求台帳'!$T$5:$T$504,26),'仕入請求台帳'!$T$5:$T$504,0),"")</f>
        <v/>
      </c>
    </row>
    <row r="33" ht="18" customHeight="1">
      <c r="A33" s="46">
        <f>IF($N33="","",27)</f>
        <v/>
      </c>
      <c r="B33" s="45">
        <f>IF($N33="","",IF(ISNUMBER(INDEX('仕入請求台帳'!$J$5:$J$504,$N33)),INDEX('仕入請求台帳'!$J$5:$J$504,$N33),""))</f>
        <v/>
      </c>
      <c r="C33" s="46">
        <f>IF($N33="","",IF(INDEX('仕入請求台帳'!$P$5:$P$504,$N33)="","（予定日なし）",INDEX('仕入請求台帳'!$P$5:$P$504,$N33)&amp;""))</f>
        <v/>
      </c>
      <c r="D33" s="46">
        <f>IF($N33="","",INDEX('仕入請求台帳'!$B$5:$B$504,$N33)&amp;"")</f>
        <v/>
      </c>
      <c r="E33" s="47">
        <f>IF($N33="","",INDEX('仕入請求台帳'!$C$5:$C$504,$N33)&amp;"")</f>
        <v/>
      </c>
      <c r="F33" s="46">
        <f>IF($N33="","",INDEX('仕入請求台帳'!$E$5:$E$504,$N33)&amp;"")</f>
        <v/>
      </c>
      <c r="G33" s="45">
        <f>IF($N33="","",IF(ISNUMBER(INDEX('仕入請求台帳'!$A$5:$A$504,$N33)),INDEX('仕入請求台帳'!$A$5:$A$504,$N33),""))</f>
        <v/>
      </c>
      <c r="H33" s="49">
        <f>IF($N33="","",N(INDEX('仕入請求台帳'!$G$5:$G$504,$N33)))</f>
        <v/>
      </c>
      <c r="I33" s="49">
        <f>IF($N33="","",N(INDEX('仕入請求台帳'!$L$5:$L$504,$N33))+N(INDEX('仕入請求台帳'!$M$5:$M$504,$N33)))</f>
        <v/>
      </c>
      <c r="J33" s="49">
        <f>IF($N33="","",INDEX('仕入請求台帳'!$N$5:$N$504,$N33))</f>
        <v/>
      </c>
      <c r="K33" s="49">
        <f>IF(OR($N33="",$B33=""),"",IF($B34=$B33,"",SUMIF($B$7:$B$106,$B33,$J$7:$J$106)))</f>
        <v/>
      </c>
      <c r="L33" s="47">
        <f>IF($N33="","",IFERROR(INDEX('仕入先'!$H$5:$H$54,INDEX('仕入請求台帳'!$R$5:$R$504,$N33))&amp;"",""))</f>
        <v/>
      </c>
      <c r="M33" s="56" t="n"/>
      <c r="N33" s="75">
        <f>IFERROR(MATCH(SMALL('仕入請求台帳'!$T$5:$T$504,27),'仕入請求台帳'!$T$5:$T$504,0),"")</f>
        <v/>
      </c>
    </row>
    <row r="34" ht="18" customHeight="1">
      <c r="A34" s="46">
        <f>IF($N34="","",28)</f>
        <v/>
      </c>
      <c r="B34" s="45">
        <f>IF($N34="","",IF(ISNUMBER(INDEX('仕入請求台帳'!$J$5:$J$504,$N34)),INDEX('仕入請求台帳'!$J$5:$J$504,$N34),""))</f>
        <v/>
      </c>
      <c r="C34" s="46">
        <f>IF($N34="","",IF(INDEX('仕入請求台帳'!$P$5:$P$504,$N34)="","（予定日なし）",INDEX('仕入請求台帳'!$P$5:$P$504,$N34)&amp;""))</f>
        <v/>
      </c>
      <c r="D34" s="46">
        <f>IF($N34="","",INDEX('仕入請求台帳'!$B$5:$B$504,$N34)&amp;"")</f>
        <v/>
      </c>
      <c r="E34" s="47">
        <f>IF($N34="","",INDEX('仕入請求台帳'!$C$5:$C$504,$N34)&amp;"")</f>
        <v/>
      </c>
      <c r="F34" s="46">
        <f>IF($N34="","",INDEX('仕入請求台帳'!$E$5:$E$504,$N34)&amp;"")</f>
        <v/>
      </c>
      <c r="G34" s="45">
        <f>IF($N34="","",IF(ISNUMBER(INDEX('仕入請求台帳'!$A$5:$A$504,$N34)),INDEX('仕入請求台帳'!$A$5:$A$504,$N34),""))</f>
        <v/>
      </c>
      <c r="H34" s="49">
        <f>IF($N34="","",N(INDEX('仕入請求台帳'!$G$5:$G$504,$N34)))</f>
        <v/>
      </c>
      <c r="I34" s="49">
        <f>IF($N34="","",N(INDEX('仕入請求台帳'!$L$5:$L$504,$N34))+N(INDEX('仕入請求台帳'!$M$5:$M$504,$N34)))</f>
        <v/>
      </c>
      <c r="J34" s="49">
        <f>IF($N34="","",INDEX('仕入請求台帳'!$N$5:$N$504,$N34))</f>
        <v/>
      </c>
      <c r="K34" s="49">
        <f>IF(OR($N34="",$B34=""),"",IF($B35=$B34,"",SUMIF($B$7:$B$106,$B34,$J$7:$J$106)))</f>
        <v/>
      </c>
      <c r="L34" s="47">
        <f>IF($N34="","",IFERROR(INDEX('仕入先'!$H$5:$H$54,INDEX('仕入請求台帳'!$R$5:$R$504,$N34))&amp;"",""))</f>
        <v/>
      </c>
      <c r="M34" s="56" t="n"/>
      <c r="N34" s="75">
        <f>IFERROR(MATCH(SMALL('仕入請求台帳'!$T$5:$T$504,28),'仕入請求台帳'!$T$5:$T$504,0),"")</f>
        <v/>
      </c>
    </row>
    <row r="35" ht="18" customHeight="1">
      <c r="A35" s="46">
        <f>IF($N35="","",29)</f>
        <v/>
      </c>
      <c r="B35" s="45">
        <f>IF($N35="","",IF(ISNUMBER(INDEX('仕入請求台帳'!$J$5:$J$504,$N35)),INDEX('仕入請求台帳'!$J$5:$J$504,$N35),""))</f>
        <v/>
      </c>
      <c r="C35" s="46">
        <f>IF($N35="","",IF(INDEX('仕入請求台帳'!$P$5:$P$504,$N35)="","（予定日なし）",INDEX('仕入請求台帳'!$P$5:$P$504,$N35)&amp;""))</f>
        <v/>
      </c>
      <c r="D35" s="46">
        <f>IF($N35="","",INDEX('仕入請求台帳'!$B$5:$B$504,$N35)&amp;"")</f>
        <v/>
      </c>
      <c r="E35" s="47">
        <f>IF($N35="","",INDEX('仕入請求台帳'!$C$5:$C$504,$N35)&amp;"")</f>
        <v/>
      </c>
      <c r="F35" s="46">
        <f>IF($N35="","",INDEX('仕入請求台帳'!$E$5:$E$504,$N35)&amp;"")</f>
        <v/>
      </c>
      <c r="G35" s="45">
        <f>IF($N35="","",IF(ISNUMBER(INDEX('仕入請求台帳'!$A$5:$A$504,$N35)),INDEX('仕入請求台帳'!$A$5:$A$504,$N35),""))</f>
        <v/>
      </c>
      <c r="H35" s="49">
        <f>IF($N35="","",N(INDEX('仕入請求台帳'!$G$5:$G$504,$N35)))</f>
        <v/>
      </c>
      <c r="I35" s="49">
        <f>IF($N35="","",N(INDEX('仕入請求台帳'!$L$5:$L$504,$N35))+N(INDEX('仕入請求台帳'!$M$5:$M$504,$N35)))</f>
        <v/>
      </c>
      <c r="J35" s="49">
        <f>IF($N35="","",INDEX('仕入請求台帳'!$N$5:$N$504,$N35))</f>
        <v/>
      </c>
      <c r="K35" s="49">
        <f>IF(OR($N35="",$B35=""),"",IF($B36=$B35,"",SUMIF($B$7:$B$106,$B35,$J$7:$J$106)))</f>
        <v/>
      </c>
      <c r="L35" s="47">
        <f>IF($N35="","",IFERROR(INDEX('仕入先'!$H$5:$H$54,INDEX('仕入請求台帳'!$R$5:$R$504,$N35))&amp;"",""))</f>
        <v/>
      </c>
      <c r="M35" s="56" t="n"/>
      <c r="N35" s="75">
        <f>IFERROR(MATCH(SMALL('仕入請求台帳'!$T$5:$T$504,29),'仕入請求台帳'!$T$5:$T$504,0),"")</f>
        <v/>
      </c>
    </row>
    <row r="36" ht="18" customHeight="1">
      <c r="A36" s="46">
        <f>IF($N36="","",30)</f>
        <v/>
      </c>
      <c r="B36" s="45">
        <f>IF($N36="","",IF(ISNUMBER(INDEX('仕入請求台帳'!$J$5:$J$504,$N36)),INDEX('仕入請求台帳'!$J$5:$J$504,$N36),""))</f>
        <v/>
      </c>
      <c r="C36" s="46">
        <f>IF($N36="","",IF(INDEX('仕入請求台帳'!$P$5:$P$504,$N36)="","（予定日なし）",INDEX('仕入請求台帳'!$P$5:$P$504,$N36)&amp;""))</f>
        <v/>
      </c>
      <c r="D36" s="46">
        <f>IF($N36="","",INDEX('仕入請求台帳'!$B$5:$B$504,$N36)&amp;"")</f>
        <v/>
      </c>
      <c r="E36" s="47">
        <f>IF($N36="","",INDEX('仕入請求台帳'!$C$5:$C$504,$N36)&amp;"")</f>
        <v/>
      </c>
      <c r="F36" s="46">
        <f>IF($N36="","",INDEX('仕入請求台帳'!$E$5:$E$504,$N36)&amp;"")</f>
        <v/>
      </c>
      <c r="G36" s="45">
        <f>IF($N36="","",IF(ISNUMBER(INDEX('仕入請求台帳'!$A$5:$A$504,$N36)),INDEX('仕入請求台帳'!$A$5:$A$504,$N36),""))</f>
        <v/>
      </c>
      <c r="H36" s="49">
        <f>IF($N36="","",N(INDEX('仕入請求台帳'!$G$5:$G$504,$N36)))</f>
        <v/>
      </c>
      <c r="I36" s="49">
        <f>IF($N36="","",N(INDEX('仕入請求台帳'!$L$5:$L$504,$N36))+N(INDEX('仕入請求台帳'!$M$5:$M$504,$N36)))</f>
        <v/>
      </c>
      <c r="J36" s="49">
        <f>IF($N36="","",INDEX('仕入請求台帳'!$N$5:$N$504,$N36))</f>
        <v/>
      </c>
      <c r="K36" s="49">
        <f>IF(OR($N36="",$B36=""),"",IF($B37=$B36,"",SUMIF($B$7:$B$106,$B36,$J$7:$J$106)))</f>
        <v/>
      </c>
      <c r="L36" s="47">
        <f>IF($N36="","",IFERROR(INDEX('仕入先'!$H$5:$H$54,INDEX('仕入請求台帳'!$R$5:$R$504,$N36))&amp;"",""))</f>
        <v/>
      </c>
      <c r="M36" s="56" t="n"/>
      <c r="N36" s="75">
        <f>IFERROR(MATCH(SMALL('仕入請求台帳'!$T$5:$T$504,30),'仕入請求台帳'!$T$5:$T$504,0),"")</f>
        <v/>
      </c>
    </row>
    <row r="37" ht="18" customHeight="1">
      <c r="A37" s="46">
        <f>IF($N37="","",31)</f>
        <v/>
      </c>
      <c r="B37" s="45">
        <f>IF($N37="","",IF(ISNUMBER(INDEX('仕入請求台帳'!$J$5:$J$504,$N37)),INDEX('仕入請求台帳'!$J$5:$J$504,$N37),""))</f>
        <v/>
      </c>
      <c r="C37" s="46">
        <f>IF($N37="","",IF(INDEX('仕入請求台帳'!$P$5:$P$504,$N37)="","（予定日なし）",INDEX('仕入請求台帳'!$P$5:$P$504,$N37)&amp;""))</f>
        <v/>
      </c>
      <c r="D37" s="46">
        <f>IF($N37="","",INDEX('仕入請求台帳'!$B$5:$B$504,$N37)&amp;"")</f>
        <v/>
      </c>
      <c r="E37" s="47">
        <f>IF($N37="","",INDEX('仕入請求台帳'!$C$5:$C$504,$N37)&amp;"")</f>
        <v/>
      </c>
      <c r="F37" s="46">
        <f>IF($N37="","",INDEX('仕入請求台帳'!$E$5:$E$504,$N37)&amp;"")</f>
        <v/>
      </c>
      <c r="G37" s="45">
        <f>IF($N37="","",IF(ISNUMBER(INDEX('仕入請求台帳'!$A$5:$A$504,$N37)),INDEX('仕入請求台帳'!$A$5:$A$504,$N37),""))</f>
        <v/>
      </c>
      <c r="H37" s="49">
        <f>IF($N37="","",N(INDEX('仕入請求台帳'!$G$5:$G$504,$N37)))</f>
        <v/>
      </c>
      <c r="I37" s="49">
        <f>IF($N37="","",N(INDEX('仕入請求台帳'!$L$5:$L$504,$N37))+N(INDEX('仕入請求台帳'!$M$5:$M$504,$N37)))</f>
        <v/>
      </c>
      <c r="J37" s="49">
        <f>IF($N37="","",INDEX('仕入請求台帳'!$N$5:$N$504,$N37))</f>
        <v/>
      </c>
      <c r="K37" s="49">
        <f>IF(OR($N37="",$B37=""),"",IF($B38=$B37,"",SUMIF($B$7:$B$106,$B37,$J$7:$J$106)))</f>
        <v/>
      </c>
      <c r="L37" s="47">
        <f>IF($N37="","",IFERROR(INDEX('仕入先'!$H$5:$H$54,INDEX('仕入請求台帳'!$R$5:$R$504,$N37))&amp;"",""))</f>
        <v/>
      </c>
      <c r="M37" s="56" t="n"/>
      <c r="N37" s="75">
        <f>IFERROR(MATCH(SMALL('仕入請求台帳'!$T$5:$T$504,31),'仕入請求台帳'!$T$5:$T$504,0),"")</f>
        <v/>
      </c>
    </row>
    <row r="38" ht="18" customHeight="1">
      <c r="A38" s="46">
        <f>IF($N38="","",32)</f>
        <v/>
      </c>
      <c r="B38" s="45">
        <f>IF($N38="","",IF(ISNUMBER(INDEX('仕入請求台帳'!$J$5:$J$504,$N38)),INDEX('仕入請求台帳'!$J$5:$J$504,$N38),""))</f>
        <v/>
      </c>
      <c r="C38" s="46">
        <f>IF($N38="","",IF(INDEX('仕入請求台帳'!$P$5:$P$504,$N38)="","（予定日なし）",INDEX('仕入請求台帳'!$P$5:$P$504,$N38)&amp;""))</f>
        <v/>
      </c>
      <c r="D38" s="46">
        <f>IF($N38="","",INDEX('仕入請求台帳'!$B$5:$B$504,$N38)&amp;"")</f>
        <v/>
      </c>
      <c r="E38" s="47">
        <f>IF($N38="","",INDEX('仕入請求台帳'!$C$5:$C$504,$N38)&amp;"")</f>
        <v/>
      </c>
      <c r="F38" s="46">
        <f>IF($N38="","",INDEX('仕入請求台帳'!$E$5:$E$504,$N38)&amp;"")</f>
        <v/>
      </c>
      <c r="G38" s="45">
        <f>IF($N38="","",IF(ISNUMBER(INDEX('仕入請求台帳'!$A$5:$A$504,$N38)),INDEX('仕入請求台帳'!$A$5:$A$504,$N38),""))</f>
        <v/>
      </c>
      <c r="H38" s="49">
        <f>IF($N38="","",N(INDEX('仕入請求台帳'!$G$5:$G$504,$N38)))</f>
        <v/>
      </c>
      <c r="I38" s="49">
        <f>IF($N38="","",N(INDEX('仕入請求台帳'!$L$5:$L$504,$N38))+N(INDEX('仕入請求台帳'!$M$5:$M$504,$N38)))</f>
        <v/>
      </c>
      <c r="J38" s="49">
        <f>IF($N38="","",INDEX('仕入請求台帳'!$N$5:$N$504,$N38))</f>
        <v/>
      </c>
      <c r="K38" s="49">
        <f>IF(OR($N38="",$B38=""),"",IF($B39=$B38,"",SUMIF($B$7:$B$106,$B38,$J$7:$J$106)))</f>
        <v/>
      </c>
      <c r="L38" s="47">
        <f>IF($N38="","",IFERROR(INDEX('仕入先'!$H$5:$H$54,INDEX('仕入請求台帳'!$R$5:$R$504,$N38))&amp;"",""))</f>
        <v/>
      </c>
      <c r="M38" s="56" t="n"/>
      <c r="N38" s="75">
        <f>IFERROR(MATCH(SMALL('仕入請求台帳'!$T$5:$T$504,32),'仕入請求台帳'!$T$5:$T$504,0),"")</f>
        <v/>
      </c>
    </row>
    <row r="39" ht="18" customHeight="1">
      <c r="A39" s="46">
        <f>IF($N39="","",33)</f>
        <v/>
      </c>
      <c r="B39" s="45">
        <f>IF($N39="","",IF(ISNUMBER(INDEX('仕入請求台帳'!$J$5:$J$504,$N39)),INDEX('仕入請求台帳'!$J$5:$J$504,$N39),""))</f>
        <v/>
      </c>
      <c r="C39" s="46">
        <f>IF($N39="","",IF(INDEX('仕入請求台帳'!$P$5:$P$504,$N39)="","（予定日なし）",INDEX('仕入請求台帳'!$P$5:$P$504,$N39)&amp;""))</f>
        <v/>
      </c>
      <c r="D39" s="46">
        <f>IF($N39="","",INDEX('仕入請求台帳'!$B$5:$B$504,$N39)&amp;"")</f>
        <v/>
      </c>
      <c r="E39" s="47">
        <f>IF($N39="","",INDEX('仕入請求台帳'!$C$5:$C$504,$N39)&amp;"")</f>
        <v/>
      </c>
      <c r="F39" s="46">
        <f>IF($N39="","",INDEX('仕入請求台帳'!$E$5:$E$504,$N39)&amp;"")</f>
        <v/>
      </c>
      <c r="G39" s="45">
        <f>IF($N39="","",IF(ISNUMBER(INDEX('仕入請求台帳'!$A$5:$A$504,$N39)),INDEX('仕入請求台帳'!$A$5:$A$504,$N39),""))</f>
        <v/>
      </c>
      <c r="H39" s="49">
        <f>IF($N39="","",N(INDEX('仕入請求台帳'!$G$5:$G$504,$N39)))</f>
        <v/>
      </c>
      <c r="I39" s="49">
        <f>IF($N39="","",N(INDEX('仕入請求台帳'!$L$5:$L$504,$N39))+N(INDEX('仕入請求台帳'!$M$5:$M$504,$N39)))</f>
        <v/>
      </c>
      <c r="J39" s="49">
        <f>IF($N39="","",INDEX('仕入請求台帳'!$N$5:$N$504,$N39))</f>
        <v/>
      </c>
      <c r="K39" s="49">
        <f>IF(OR($N39="",$B39=""),"",IF($B40=$B39,"",SUMIF($B$7:$B$106,$B39,$J$7:$J$106)))</f>
        <v/>
      </c>
      <c r="L39" s="47">
        <f>IF($N39="","",IFERROR(INDEX('仕入先'!$H$5:$H$54,INDEX('仕入請求台帳'!$R$5:$R$504,$N39))&amp;"",""))</f>
        <v/>
      </c>
      <c r="M39" s="56" t="n"/>
      <c r="N39" s="75">
        <f>IFERROR(MATCH(SMALL('仕入請求台帳'!$T$5:$T$504,33),'仕入請求台帳'!$T$5:$T$504,0),"")</f>
        <v/>
      </c>
    </row>
    <row r="40" ht="18" customHeight="1">
      <c r="A40" s="46">
        <f>IF($N40="","",34)</f>
        <v/>
      </c>
      <c r="B40" s="45">
        <f>IF($N40="","",IF(ISNUMBER(INDEX('仕入請求台帳'!$J$5:$J$504,$N40)),INDEX('仕入請求台帳'!$J$5:$J$504,$N40),""))</f>
        <v/>
      </c>
      <c r="C40" s="46">
        <f>IF($N40="","",IF(INDEX('仕入請求台帳'!$P$5:$P$504,$N40)="","（予定日なし）",INDEX('仕入請求台帳'!$P$5:$P$504,$N40)&amp;""))</f>
        <v/>
      </c>
      <c r="D40" s="46">
        <f>IF($N40="","",INDEX('仕入請求台帳'!$B$5:$B$504,$N40)&amp;"")</f>
        <v/>
      </c>
      <c r="E40" s="47">
        <f>IF($N40="","",INDEX('仕入請求台帳'!$C$5:$C$504,$N40)&amp;"")</f>
        <v/>
      </c>
      <c r="F40" s="46">
        <f>IF($N40="","",INDEX('仕入請求台帳'!$E$5:$E$504,$N40)&amp;"")</f>
        <v/>
      </c>
      <c r="G40" s="45">
        <f>IF($N40="","",IF(ISNUMBER(INDEX('仕入請求台帳'!$A$5:$A$504,$N40)),INDEX('仕入請求台帳'!$A$5:$A$504,$N40),""))</f>
        <v/>
      </c>
      <c r="H40" s="49">
        <f>IF($N40="","",N(INDEX('仕入請求台帳'!$G$5:$G$504,$N40)))</f>
        <v/>
      </c>
      <c r="I40" s="49">
        <f>IF($N40="","",N(INDEX('仕入請求台帳'!$L$5:$L$504,$N40))+N(INDEX('仕入請求台帳'!$M$5:$M$504,$N40)))</f>
        <v/>
      </c>
      <c r="J40" s="49">
        <f>IF($N40="","",INDEX('仕入請求台帳'!$N$5:$N$504,$N40))</f>
        <v/>
      </c>
      <c r="K40" s="49">
        <f>IF(OR($N40="",$B40=""),"",IF($B41=$B40,"",SUMIF($B$7:$B$106,$B40,$J$7:$J$106)))</f>
        <v/>
      </c>
      <c r="L40" s="47">
        <f>IF($N40="","",IFERROR(INDEX('仕入先'!$H$5:$H$54,INDEX('仕入請求台帳'!$R$5:$R$504,$N40))&amp;"",""))</f>
        <v/>
      </c>
      <c r="M40" s="56" t="n"/>
      <c r="N40" s="75">
        <f>IFERROR(MATCH(SMALL('仕入請求台帳'!$T$5:$T$504,34),'仕入請求台帳'!$T$5:$T$504,0),"")</f>
        <v/>
      </c>
    </row>
    <row r="41" ht="18" customHeight="1">
      <c r="A41" s="46">
        <f>IF($N41="","",35)</f>
        <v/>
      </c>
      <c r="B41" s="45">
        <f>IF($N41="","",IF(ISNUMBER(INDEX('仕入請求台帳'!$J$5:$J$504,$N41)),INDEX('仕入請求台帳'!$J$5:$J$504,$N41),""))</f>
        <v/>
      </c>
      <c r="C41" s="46">
        <f>IF($N41="","",IF(INDEX('仕入請求台帳'!$P$5:$P$504,$N41)="","（予定日なし）",INDEX('仕入請求台帳'!$P$5:$P$504,$N41)&amp;""))</f>
        <v/>
      </c>
      <c r="D41" s="46">
        <f>IF($N41="","",INDEX('仕入請求台帳'!$B$5:$B$504,$N41)&amp;"")</f>
        <v/>
      </c>
      <c r="E41" s="47">
        <f>IF($N41="","",INDEX('仕入請求台帳'!$C$5:$C$504,$N41)&amp;"")</f>
        <v/>
      </c>
      <c r="F41" s="46">
        <f>IF($N41="","",INDEX('仕入請求台帳'!$E$5:$E$504,$N41)&amp;"")</f>
        <v/>
      </c>
      <c r="G41" s="45">
        <f>IF($N41="","",IF(ISNUMBER(INDEX('仕入請求台帳'!$A$5:$A$504,$N41)),INDEX('仕入請求台帳'!$A$5:$A$504,$N41),""))</f>
        <v/>
      </c>
      <c r="H41" s="49">
        <f>IF($N41="","",N(INDEX('仕入請求台帳'!$G$5:$G$504,$N41)))</f>
        <v/>
      </c>
      <c r="I41" s="49">
        <f>IF($N41="","",N(INDEX('仕入請求台帳'!$L$5:$L$504,$N41))+N(INDEX('仕入請求台帳'!$M$5:$M$504,$N41)))</f>
        <v/>
      </c>
      <c r="J41" s="49">
        <f>IF($N41="","",INDEX('仕入請求台帳'!$N$5:$N$504,$N41))</f>
        <v/>
      </c>
      <c r="K41" s="49">
        <f>IF(OR($N41="",$B41=""),"",IF($B42=$B41,"",SUMIF($B$7:$B$106,$B41,$J$7:$J$106)))</f>
        <v/>
      </c>
      <c r="L41" s="47">
        <f>IF($N41="","",IFERROR(INDEX('仕入先'!$H$5:$H$54,INDEX('仕入請求台帳'!$R$5:$R$504,$N41))&amp;"",""))</f>
        <v/>
      </c>
      <c r="M41" s="56" t="n"/>
      <c r="N41" s="75">
        <f>IFERROR(MATCH(SMALL('仕入請求台帳'!$T$5:$T$504,35),'仕入請求台帳'!$T$5:$T$504,0),"")</f>
        <v/>
      </c>
    </row>
    <row r="42" ht="18" customHeight="1">
      <c r="A42" s="46">
        <f>IF($N42="","",36)</f>
        <v/>
      </c>
      <c r="B42" s="45">
        <f>IF($N42="","",IF(ISNUMBER(INDEX('仕入請求台帳'!$J$5:$J$504,$N42)),INDEX('仕入請求台帳'!$J$5:$J$504,$N42),""))</f>
        <v/>
      </c>
      <c r="C42" s="46">
        <f>IF($N42="","",IF(INDEX('仕入請求台帳'!$P$5:$P$504,$N42)="","（予定日なし）",INDEX('仕入請求台帳'!$P$5:$P$504,$N42)&amp;""))</f>
        <v/>
      </c>
      <c r="D42" s="46">
        <f>IF($N42="","",INDEX('仕入請求台帳'!$B$5:$B$504,$N42)&amp;"")</f>
        <v/>
      </c>
      <c r="E42" s="47">
        <f>IF($N42="","",INDEX('仕入請求台帳'!$C$5:$C$504,$N42)&amp;"")</f>
        <v/>
      </c>
      <c r="F42" s="46">
        <f>IF($N42="","",INDEX('仕入請求台帳'!$E$5:$E$504,$N42)&amp;"")</f>
        <v/>
      </c>
      <c r="G42" s="45">
        <f>IF($N42="","",IF(ISNUMBER(INDEX('仕入請求台帳'!$A$5:$A$504,$N42)),INDEX('仕入請求台帳'!$A$5:$A$504,$N42),""))</f>
        <v/>
      </c>
      <c r="H42" s="49">
        <f>IF($N42="","",N(INDEX('仕入請求台帳'!$G$5:$G$504,$N42)))</f>
        <v/>
      </c>
      <c r="I42" s="49">
        <f>IF($N42="","",N(INDEX('仕入請求台帳'!$L$5:$L$504,$N42))+N(INDEX('仕入請求台帳'!$M$5:$M$504,$N42)))</f>
        <v/>
      </c>
      <c r="J42" s="49">
        <f>IF($N42="","",INDEX('仕入請求台帳'!$N$5:$N$504,$N42))</f>
        <v/>
      </c>
      <c r="K42" s="49">
        <f>IF(OR($N42="",$B42=""),"",IF($B43=$B42,"",SUMIF($B$7:$B$106,$B42,$J$7:$J$106)))</f>
        <v/>
      </c>
      <c r="L42" s="47">
        <f>IF($N42="","",IFERROR(INDEX('仕入先'!$H$5:$H$54,INDEX('仕入請求台帳'!$R$5:$R$504,$N42))&amp;"",""))</f>
        <v/>
      </c>
      <c r="M42" s="56" t="n"/>
      <c r="N42" s="75">
        <f>IFERROR(MATCH(SMALL('仕入請求台帳'!$T$5:$T$504,36),'仕入請求台帳'!$T$5:$T$504,0),"")</f>
        <v/>
      </c>
    </row>
    <row r="43" ht="18" customHeight="1">
      <c r="A43" s="46">
        <f>IF($N43="","",37)</f>
        <v/>
      </c>
      <c r="B43" s="45">
        <f>IF($N43="","",IF(ISNUMBER(INDEX('仕入請求台帳'!$J$5:$J$504,$N43)),INDEX('仕入請求台帳'!$J$5:$J$504,$N43),""))</f>
        <v/>
      </c>
      <c r="C43" s="46">
        <f>IF($N43="","",IF(INDEX('仕入請求台帳'!$P$5:$P$504,$N43)="","（予定日なし）",INDEX('仕入請求台帳'!$P$5:$P$504,$N43)&amp;""))</f>
        <v/>
      </c>
      <c r="D43" s="46">
        <f>IF($N43="","",INDEX('仕入請求台帳'!$B$5:$B$504,$N43)&amp;"")</f>
        <v/>
      </c>
      <c r="E43" s="47">
        <f>IF($N43="","",INDEX('仕入請求台帳'!$C$5:$C$504,$N43)&amp;"")</f>
        <v/>
      </c>
      <c r="F43" s="46">
        <f>IF($N43="","",INDEX('仕入請求台帳'!$E$5:$E$504,$N43)&amp;"")</f>
        <v/>
      </c>
      <c r="G43" s="45">
        <f>IF($N43="","",IF(ISNUMBER(INDEX('仕入請求台帳'!$A$5:$A$504,$N43)),INDEX('仕入請求台帳'!$A$5:$A$504,$N43),""))</f>
        <v/>
      </c>
      <c r="H43" s="49">
        <f>IF($N43="","",N(INDEX('仕入請求台帳'!$G$5:$G$504,$N43)))</f>
        <v/>
      </c>
      <c r="I43" s="49">
        <f>IF($N43="","",N(INDEX('仕入請求台帳'!$L$5:$L$504,$N43))+N(INDEX('仕入請求台帳'!$M$5:$M$504,$N43)))</f>
        <v/>
      </c>
      <c r="J43" s="49">
        <f>IF($N43="","",INDEX('仕入請求台帳'!$N$5:$N$504,$N43))</f>
        <v/>
      </c>
      <c r="K43" s="49">
        <f>IF(OR($N43="",$B43=""),"",IF($B44=$B43,"",SUMIF($B$7:$B$106,$B43,$J$7:$J$106)))</f>
        <v/>
      </c>
      <c r="L43" s="47">
        <f>IF($N43="","",IFERROR(INDEX('仕入先'!$H$5:$H$54,INDEX('仕入請求台帳'!$R$5:$R$504,$N43))&amp;"",""))</f>
        <v/>
      </c>
      <c r="M43" s="56" t="n"/>
      <c r="N43" s="75">
        <f>IFERROR(MATCH(SMALL('仕入請求台帳'!$T$5:$T$504,37),'仕入請求台帳'!$T$5:$T$504,0),"")</f>
        <v/>
      </c>
    </row>
    <row r="44" ht="18" customHeight="1">
      <c r="A44" s="46">
        <f>IF($N44="","",38)</f>
        <v/>
      </c>
      <c r="B44" s="45">
        <f>IF($N44="","",IF(ISNUMBER(INDEX('仕入請求台帳'!$J$5:$J$504,$N44)),INDEX('仕入請求台帳'!$J$5:$J$504,$N44),""))</f>
        <v/>
      </c>
      <c r="C44" s="46">
        <f>IF($N44="","",IF(INDEX('仕入請求台帳'!$P$5:$P$504,$N44)="","（予定日なし）",INDEX('仕入請求台帳'!$P$5:$P$504,$N44)&amp;""))</f>
        <v/>
      </c>
      <c r="D44" s="46">
        <f>IF($N44="","",INDEX('仕入請求台帳'!$B$5:$B$504,$N44)&amp;"")</f>
        <v/>
      </c>
      <c r="E44" s="47">
        <f>IF($N44="","",INDEX('仕入請求台帳'!$C$5:$C$504,$N44)&amp;"")</f>
        <v/>
      </c>
      <c r="F44" s="46">
        <f>IF($N44="","",INDEX('仕入請求台帳'!$E$5:$E$504,$N44)&amp;"")</f>
        <v/>
      </c>
      <c r="G44" s="45">
        <f>IF($N44="","",IF(ISNUMBER(INDEX('仕入請求台帳'!$A$5:$A$504,$N44)),INDEX('仕入請求台帳'!$A$5:$A$504,$N44),""))</f>
        <v/>
      </c>
      <c r="H44" s="49">
        <f>IF($N44="","",N(INDEX('仕入請求台帳'!$G$5:$G$504,$N44)))</f>
        <v/>
      </c>
      <c r="I44" s="49">
        <f>IF($N44="","",N(INDEX('仕入請求台帳'!$L$5:$L$504,$N44))+N(INDEX('仕入請求台帳'!$M$5:$M$504,$N44)))</f>
        <v/>
      </c>
      <c r="J44" s="49">
        <f>IF($N44="","",INDEX('仕入請求台帳'!$N$5:$N$504,$N44))</f>
        <v/>
      </c>
      <c r="K44" s="49">
        <f>IF(OR($N44="",$B44=""),"",IF($B45=$B44,"",SUMIF($B$7:$B$106,$B44,$J$7:$J$106)))</f>
        <v/>
      </c>
      <c r="L44" s="47">
        <f>IF($N44="","",IFERROR(INDEX('仕入先'!$H$5:$H$54,INDEX('仕入請求台帳'!$R$5:$R$504,$N44))&amp;"",""))</f>
        <v/>
      </c>
      <c r="M44" s="56" t="n"/>
      <c r="N44" s="75">
        <f>IFERROR(MATCH(SMALL('仕入請求台帳'!$T$5:$T$504,38),'仕入請求台帳'!$T$5:$T$504,0),"")</f>
        <v/>
      </c>
    </row>
    <row r="45" ht="18" customHeight="1">
      <c r="A45" s="46">
        <f>IF($N45="","",39)</f>
        <v/>
      </c>
      <c r="B45" s="45">
        <f>IF($N45="","",IF(ISNUMBER(INDEX('仕入請求台帳'!$J$5:$J$504,$N45)),INDEX('仕入請求台帳'!$J$5:$J$504,$N45),""))</f>
        <v/>
      </c>
      <c r="C45" s="46">
        <f>IF($N45="","",IF(INDEX('仕入請求台帳'!$P$5:$P$504,$N45)="","（予定日なし）",INDEX('仕入請求台帳'!$P$5:$P$504,$N45)&amp;""))</f>
        <v/>
      </c>
      <c r="D45" s="46">
        <f>IF($N45="","",INDEX('仕入請求台帳'!$B$5:$B$504,$N45)&amp;"")</f>
        <v/>
      </c>
      <c r="E45" s="47">
        <f>IF($N45="","",INDEX('仕入請求台帳'!$C$5:$C$504,$N45)&amp;"")</f>
        <v/>
      </c>
      <c r="F45" s="46">
        <f>IF($N45="","",INDEX('仕入請求台帳'!$E$5:$E$504,$N45)&amp;"")</f>
        <v/>
      </c>
      <c r="G45" s="45">
        <f>IF($N45="","",IF(ISNUMBER(INDEX('仕入請求台帳'!$A$5:$A$504,$N45)),INDEX('仕入請求台帳'!$A$5:$A$504,$N45),""))</f>
        <v/>
      </c>
      <c r="H45" s="49">
        <f>IF($N45="","",N(INDEX('仕入請求台帳'!$G$5:$G$504,$N45)))</f>
        <v/>
      </c>
      <c r="I45" s="49">
        <f>IF($N45="","",N(INDEX('仕入請求台帳'!$L$5:$L$504,$N45))+N(INDEX('仕入請求台帳'!$M$5:$M$504,$N45)))</f>
        <v/>
      </c>
      <c r="J45" s="49">
        <f>IF($N45="","",INDEX('仕入請求台帳'!$N$5:$N$504,$N45))</f>
        <v/>
      </c>
      <c r="K45" s="49">
        <f>IF(OR($N45="",$B45=""),"",IF($B46=$B45,"",SUMIF($B$7:$B$106,$B45,$J$7:$J$106)))</f>
        <v/>
      </c>
      <c r="L45" s="47">
        <f>IF($N45="","",IFERROR(INDEX('仕入先'!$H$5:$H$54,INDEX('仕入請求台帳'!$R$5:$R$504,$N45))&amp;"",""))</f>
        <v/>
      </c>
      <c r="M45" s="56" t="n"/>
      <c r="N45" s="75">
        <f>IFERROR(MATCH(SMALL('仕入請求台帳'!$T$5:$T$504,39),'仕入請求台帳'!$T$5:$T$504,0),"")</f>
        <v/>
      </c>
    </row>
    <row r="46" ht="18" customHeight="1">
      <c r="A46" s="46">
        <f>IF($N46="","",40)</f>
        <v/>
      </c>
      <c r="B46" s="45">
        <f>IF($N46="","",IF(ISNUMBER(INDEX('仕入請求台帳'!$J$5:$J$504,$N46)),INDEX('仕入請求台帳'!$J$5:$J$504,$N46),""))</f>
        <v/>
      </c>
      <c r="C46" s="46">
        <f>IF($N46="","",IF(INDEX('仕入請求台帳'!$P$5:$P$504,$N46)="","（予定日なし）",INDEX('仕入請求台帳'!$P$5:$P$504,$N46)&amp;""))</f>
        <v/>
      </c>
      <c r="D46" s="46">
        <f>IF($N46="","",INDEX('仕入請求台帳'!$B$5:$B$504,$N46)&amp;"")</f>
        <v/>
      </c>
      <c r="E46" s="47">
        <f>IF($N46="","",INDEX('仕入請求台帳'!$C$5:$C$504,$N46)&amp;"")</f>
        <v/>
      </c>
      <c r="F46" s="46">
        <f>IF($N46="","",INDEX('仕入請求台帳'!$E$5:$E$504,$N46)&amp;"")</f>
        <v/>
      </c>
      <c r="G46" s="45">
        <f>IF($N46="","",IF(ISNUMBER(INDEX('仕入請求台帳'!$A$5:$A$504,$N46)),INDEX('仕入請求台帳'!$A$5:$A$504,$N46),""))</f>
        <v/>
      </c>
      <c r="H46" s="49">
        <f>IF($N46="","",N(INDEX('仕入請求台帳'!$G$5:$G$504,$N46)))</f>
        <v/>
      </c>
      <c r="I46" s="49">
        <f>IF($N46="","",N(INDEX('仕入請求台帳'!$L$5:$L$504,$N46))+N(INDEX('仕入請求台帳'!$M$5:$M$504,$N46)))</f>
        <v/>
      </c>
      <c r="J46" s="49">
        <f>IF($N46="","",INDEX('仕入請求台帳'!$N$5:$N$504,$N46))</f>
        <v/>
      </c>
      <c r="K46" s="49">
        <f>IF(OR($N46="",$B46=""),"",IF($B47=$B46,"",SUMIF($B$7:$B$106,$B46,$J$7:$J$106)))</f>
        <v/>
      </c>
      <c r="L46" s="47">
        <f>IF($N46="","",IFERROR(INDEX('仕入先'!$H$5:$H$54,INDEX('仕入請求台帳'!$R$5:$R$504,$N46))&amp;"",""))</f>
        <v/>
      </c>
      <c r="M46" s="56" t="n"/>
      <c r="N46" s="75">
        <f>IFERROR(MATCH(SMALL('仕入請求台帳'!$T$5:$T$504,40),'仕入請求台帳'!$T$5:$T$504,0),"")</f>
        <v/>
      </c>
    </row>
    <row r="47" ht="18" customHeight="1">
      <c r="A47" s="46">
        <f>IF($N47="","",41)</f>
        <v/>
      </c>
      <c r="B47" s="45">
        <f>IF($N47="","",IF(ISNUMBER(INDEX('仕入請求台帳'!$J$5:$J$504,$N47)),INDEX('仕入請求台帳'!$J$5:$J$504,$N47),""))</f>
        <v/>
      </c>
      <c r="C47" s="46">
        <f>IF($N47="","",IF(INDEX('仕入請求台帳'!$P$5:$P$504,$N47)="","（予定日なし）",INDEX('仕入請求台帳'!$P$5:$P$504,$N47)&amp;""))</f>
        <v/>
      </c>
      <c r="D47" s="46">
        <f>IF($N47="","",INDEX('仕入請求台帳'!$B$5:$B$504,$N47)&amp;"")</f>
        <v/>
      </c>
      <c r="E47" s="47">
        <f>IF($N47="","",INDEX('仕入請求台帳'!$C$5:$C$504,$N47)&amp;"")</f>
        <v/>
      </c>
      <c r="F47" s="46">
        <f>IF($N47="","",INDEX('仕入請求台帳'!$E$5:$E$504,$N47)&amp;"")</f>
        <v/>
      </c>
      <c r="G47" s="45">
        <f>IF($N47="","",IF(ISNUMBER(INDEX('仕入請求台帳'!$A$5:$A$504,$N47)),INDEX('仕入請求台帳'!$A$5:$A$504,$N47),""))</f>
        <v/>
      </c>
      <c r="H47" s="49">
        <f>IF($N47="","",N(INDEX('仕入請求台帳'!$G$5:$G$504,$N47)))</f>
        <v/>
      </c>
      <c r="I47" s="49">
        <f>IF($N47="","",N(INDEX('仕入請求台帳'!$L$5:$L$504,$N47))+N(INDEX('仕入請求台帳'!$M$5:$M$504,$N47)))</f>
        <v/>
      </c>
      <c r="J47" s="49">
        <f>IF($N47="","",INDEX('仕入請求台帳'!$N$5:$N$504,$N47))</f>
        <v/>
      </c>
      <c r="K47" s="49">
        <f>IF(OR($N47="",$B47=""),"",IF($B48=$B47,"",SUMIF($B$7:$B$106,$B47,$J$7:$J$106)))</f>
        <v/>
      </c>
      <c r="L47" s="47">
        <f>IF($N47="","",IFERROR(INDEX('仕入先'!$H$5:$H$54,INDEX('仕入請求台帳'!$R$5:$R$504,$N47))&amp;"",""))</f>
        <v/>
      </c>
      <c r="M47" s="56" t="n"/>
      <c r="N47" s="75">
        <f>IFERROR(MATCH(SMALL('仕入請求台帳'!$T$5:$T$504,41),'仕入請求台帳'!$T$5:$T$504,0),"")</f>
        <v/>
      </c>
    </row>
    <row r="48" ht="18" customHeight="1">
      <c r="A48" s="46">
        <f>IF($N48="","",42)</f>
        <v/>
      </c>
      <c r="B48" s="45">
        <f>IF($N48="","",IF(ISNUMBER(INDEX('仕入請求台帳'!$J$5:$J$504,$N48)),INDEX('仕入請求台帳'!$J$5:$J$504,$N48),""))</f>
        <v/>
      </c>
      <c r="C48" s="46">
        <f>IF($N48="","",IF(INDEX('仕入請求台帳'!$P$5:$P$504,$N48)="","（予定日なし）",INDEX('仕入請求台帳'!$P$5:$P$504,$N48)&amp;""))</f>
        <v/>
      </c>
      <c r="D48" s="46">
        <f>IF($N48="","",INDEX('仕入請求台帳'!$B$5:$B$504,$N48)&amp;"")</f>
        <v/>
      </c>
      <c r="E48" s="47">
        <f>IF($N48="","",INDEX('仕入請求台帳'!$C$5:$C$504,$N48)&amp;"")</f>
        <v/>
      </c>
      <c r="F48" s="46">
        <f>IF($N48="","",INDEX('仕入請求台帳'!$E$5:$E$504,$N48)&amp;"")</f>
        <v/>
      </c>
      <c r="G48" s="45">
        <f>IF($N48="","",IF(ISNUMBER(INDEX('仕入請求台帳'!$A$5:$A$504,$N48)),INDEX('仕入請求台帳'!$A$5:$A$504,$N48),""))</f>
        <v/>
      </c>
      <c r="H48" s="49">
        <f>IF($N48="","",N(INDEX('仕入請求台帳'!$G$5:$G$504,$N48)))</f>
        <v/>
      </c>
      <c r="I48" s="49">
        <f>IF($N48="","",N(INDEX('仕入請求台帳'!$L$5:$L$504,$N48))+N(INDEX('仕入請求台帳'!$M$5:$M$504,$N48)))</f>
        <v/>
      </c>
      <c r="J48" s="49">
        <f>IF($N48="","",INDEX('仕入請求台帳'!$N$5:$N$504,$N48))</f>
        <v/>
      </c>
      <c r="K48" s="49">
        <f>IF(OR($N48="",$B48=""),"",IF($B49=$B48,"",SUMIF($B$7:$B$106,$B48,$J$7:$J$106)))</f>
        <v/>
      </c>
      <c r="L48" s="47">
        <f>IF($N48="","",IFERROR(INDEX('仕入先'!$H$5:$H$54,INDEX('仕入請求台帳'!$R$5:$R$504,$N48))&amp;"",""))</f>
        <v/>
      </c>
      <c r="M48" s="56" t="n"/>
      <c r="N48" s="75">
        <f>IFERROR(MATCH(SMALL('仕入請求台帳'!$T$5:$T$504,42),'仕入請求台帳'!$T$5:$T$504,0),"")</f>
        <v/>
      </c>
    </row>
    <row r="49" ht="18" customHeight="1">
      <c r="A49" s="46">
        <f>IF($N49="","",43)</f>
        <v/>
      </c>
      <c r="B49" s="45">
        <f>IF($N49="","",IF(ISNUMBER(INDEX('仕入請求台帳'!$J$5:$J$504,$N49)),INDEX('仕入請求台帳'!$J$5:$J$504,$N49),""))</f>
        <v/>
      </c>
      <c r="C49" s="46">
        <f>IF($N49="","",IF(INDEX('仕入請求台帳'!$P$5:$P$504,$N49)="","（予定日なし）",INDEX('仕入請求台帳'!$P$5:$P$504,$N49)&amp;""))</f>
        <v/>
      </c>
      <c r="D49" s="46">
        <f>IF($N49="","",INDEX('仕入請求台帳'!$B$5:$B$504,$N49)&amp;"")</f>
        <v/>
      </c>
      <c r="E49" s="47">
        <f>IF($N49="","",INDEX('仕入請求台帳'!$C$5:$C$504,$N49)&amp;"")</f>
        <v/>
      </c>
      <c r="F49" s="46">
        <f>IF($N49="","",INDEX('仕入請求台帳'!$E$5:$E$504,$N49)&amp;"")</f>
        <v/>
      </c>
      <c r="G49" s="45">
        <f>IF($N49="","",IF(ISNUMBER(INDEX('仕入請求台帳'!$A$5:$A$504,$N49)),INDEX('仕入請求台帳'!$A$5:$A$504,$N49),""))</f>
        <v/>
      </c>
      <c r="H49" s="49">
        <f>IF($N49="","",N(INDEX('仕入請求台帳'!$G$5:$G$504,$N49)))</f>
        <v/>
      </c>
      <c r="I49" s="49">
        <f>IF($N49="","",N(INDEX('仕入請求台帳'!$L$5:$L$504,$N49))+N(INDEX('仕入請求台帳'!$M$5:$M$504,$N49)))</f>
        <v/>
      </c>
      <c r="J49" s="49">
        <f>IF($N49="","",INDEX('仕入請求台帳'!$N$5:$N$504,$N49))</f>
        <v/>
      </c>
      <c r="K49" s="49">
        <f>IF(OR($N49="",$B49=""),"",IF($B50=$B49,"",SUMIF($B$7:$B$106,$B49,$J$7:$J$106)))</f>
        <v/>
      </c>
      <c r="L49" s="47">
        <f>IF($N49="","",IFERROR(INDEX('仕入先'!$H$5:$H$54,INDEX('仕入請求台帳'!$R$5:$R$504,$N49))&amp;"",""))</f>
        <v/>
      </c>
      <c r="M49" s="56" t="n"/>
      <c r="N49" s="75">
        <f>IFERROR(MATCH(SMALL('仕入請求台帳'!$T$5:$T$504,43),'仕入請求台帳'!$T$5:$T$504,0),"")</f>
        <v/>
      </c>
    </row>
    <row r="50" ht="18" customHeight="1">
      <c r="A50" s="46">
        <f>IF($N50="","",44)</f>
        <v/>
      </c>
      <c r="B50" s="45">
        <f>IF($N50="","",IF(ISNUMBER(INDEX('仕入請求台帳'!$J$5:$J$504,$N50)),INDEX('仕入請求台帳'!$J$5:$J$504,$N50),""))</f>
        <v/>
      </c>
      <c r="C50" s="46">
        <f>IF($N50="","",IF(INDEX('仕入請求台帳'!$P$5:$P$504,$N50)="","（予定日なし）",INDEX('仕入請求台帳'!$P$5:$P$504,$N50)&amp;""))</f>
        <v/>
      </c>
      <c r="D50" s="46">
        <f>IF($N50="","",INDEX('仕入請求台帳'!$B$5:$B$504,$N50)&amp;"")</f>
        <v/>
      </c>
      <c r="E50" s="47">
        <f>IF($N50="","",INDEX('仕入請求台帳'!$C$5:$C$504,$N50)&amp;"")</f>
        <v/>
      </c>
      <c r="F50" s="46">
        <f>IF($N50="","",INDEX('仕入請求台帳'!$E$5:$E$504,$N50)&amp;"")</f>
        <v/>
      </c>
      <c r="G50" s="45">
        <f>IF($N50="","",IF(ISNUMBER(INDEX('仕入請求台帳'!$A$5:$A$504,$N50)),INDEX('仕入請求台帳'!$A$5:$A$504,$N50),""))</f>
        <v/>
      </c>
      <c r="H50" s="49">
        <f>IF($N50="","",N(INDEX('仕入請求台帳'!$G$5:$G$504,$N50)))</f>
        <v/>
      </c>
      <c r="I50" s="49">
        <f>IF($N50="","",N(INDEX('仕入請求台帳'!$L$5:$L$504,$N50))+N(INDEX('仕入請求台帳'!$M$5:$M$504,$N50)))</f>
        <v/>
      </c>
      <c r="J50" s="49">
        <f>IF($N50="","",INDEX('仕入請求台帳'!$N$5:$N$504,$N50))</f>
        <v/>
      </c>
      <c r="K50" s="49">
        <f>IF(OR($N50="",$B50=""),"",IF($B51=$B50,"",SUMIF($B$7:$B$106,$B50,$J$7:$J$106)))</f>
        <v/>
      </c>
      <c r="L50" s="47">
        <f>IF($N50="","",IFERROR(INDEX('仕入先'!$H$5:$H$54,INDEX('仕入請求台帳'!$R$5:$R$504,$N50))&amp;"",""))</f>
        <v/>
      </c>
      <c r="M50" s="56" t="n"/>
      <c r="N50" s="75">
        <f>IFERROR(MATCH(SMALL('仕入請求台帳'!$T$5:$T$504,44),'仕入請求台帳'!$T$5:$T$504,0),"")</f>
        <v/>
      </c>
    </row>
    <row r="51" ht="18" customHeight="1">
      <c r="A51" s="46">
        <f>IF($N51="","",45)</f>
        <v/>
      </c>
      <c r="B51" s="45">
        <f>IF($N51="","",IF(ISNUMBER(INDEX('仕入請求台帳'!$J$5:$J$504,$N51)),INDEX('仕入請求台帳'!$J$5:$J$504,$N51),""))</f>
        <v/>
      </c>
      <c r="C51" s="46">
        <f>IF($N51="","",IF(INDEX('仕入請求台帳'!$P$5:$P$504,$N51)="","（予定日なし）",INDEX('仕入請求台帳'!$P$5:$P$504,$N51)&amp;""))</f>
        <v/>
      </c>
      <c r="D51" s="46">
        <f>IF($N51="","",INDEX('仕入請求台帳'!$B$5:$B$504,$N51)&amp;"")</f>
        <v/>
      </c>
      <c r="E51" s="47">
        <f>IF($N51="","",INDEX('仕入請求台帳'!$C$5:$C$504,$N51)&amp;"")</f>
        <v/>
      </c>
      <c r="F51" s="46">
        <f>IF($N51="","",INDEX('仕入請求台帳'!$E$5:$E$504,$N51)&amp;"")</f>
        <v/>
      </c>
      <c r="G51" s="45">
        <f>IF($N51="","",IF(ISNUMBER(INDEX('仕入請求台帳'!$A$5:$A$504,$N51)),INDEX('仕入請求台帳'!$A$5:$A$504,$N51),""))</f>
        <v/>
      </c>
      <c r="H51" s="49">
        <f>IF($N51="","",N(INDEX('仕入請求台帳'!$G$5:$G$504,$N51)))</f>
        <v/>
      </c>
      <c r="I51" s="49">
        <f>IF($N51="","",N(INDEX('仕入請求台帳'!$L$5:$L$504,$N51))+N(INDEX('仕入請求台帳'!$M$5:$M$504,$N51)))</f>
        <v/>
      </c>
      <c r="J51" s="49">
        <f>IF($N51="","",INDEX('仕入請求台帳'!$N$5:$N$504,$N51))</f>
        <v/>
      </c>
      <c r="K51" s="49">
        <f>IF(OR($N51="",$B51=""),"",IF($B52=$B51,"",SUMIF($B$7:$B$106,$B51,$J$7:$J$106)))</f>
        <v/>
      </c>
      <c r="L51" s="47">
        <f>IF($N51="","",IFERROR(INDEX('仕入先'!$H$5:$H$54,INDEX('仕入請求台帳'!$R$5:$R$504,$N51))&amp;"",""))</f>
        <v/>
      </c>
      <c r="M51" s="56" t="n"/>
      <c r="N51" s="75">
        <f>IFERROR(MATCH(SMALL('仕入請求台帳'!$T$5:$T$504,45),'仕入請求台帳'!$T$5:$T$504,0),"")</f>
        <v/>
      </c>
    </row>
    <row r="52" ht="18" customHeight="1">
      <c r="A52" s="46">
        <f>IF($N52="","",46)</f>
        <v/>
      </c>
      <c r="B52" s="45">
        <f>IF($N52="","",IF(ISNUMBER(INDEX('仕入請求台帳'!$J$5:$J$504,$N52)),INDEX('仕入請求台帳'!$J$5:$J$504,$N52),""))</f>
        <v/>
      </c>
      <c r="C52" s="46">
        <f>IF($N52="","",IF(INDEX('仕入請求台帳'!$P$5:$P$504,$N52)="","（予定日なし）",INDEX('仕入請求台帳'!$P$5:$P$504,$N52)&amp;""))</f>
        <v/>
      </c>
      <c r="D52" s="46">
        <f>IF($N52="","",INDEX('仕入請求台帳'!$B$5:$B$504,$N52)&amp;"")</f>
        <v/>
      </c>
      <c r="E52" s="47">
        <f>IF($N52="","",INDEX('仕入請求台帳'!$C$5:$C$504,$N52)&amp;"")</f>
        <v/>
      </c>
      <c r="F52" s="46">
        <f>IF($N52="","",INDEX('仕入請求台帳'!$E$5:$E$504,$N52)&amp;"")</f>
        <v/>
      </c>
      <c r="G52" s="45">
        <f>IF($N52="","",IF(ISNUMBER(INDEX('仕入請求台帳'!$A$5:$A$504,$N52)),INDEX('仕入請求台帳'!$A$5:$A$504,$N52),""))</f>
        <v/>
      </c>
      <c r="H52" s="49">
        <f>IF($N52="","",N(INDEX('仕入請求台帳'!$G$5:$G$504,$N52)))</f>
        <v/>
      </c>
      <c r="I52" s="49">
        <f>IF($N52="","",N(INDEX('仕入請求台帳'!$L$5:$L$504,$N52))+N(INDEX('仕入請求台帳'!$M$5:$M$504,$N52)))</f>
        <v/>
      </c>
      <c r="J52" s="49">
        <f>IF($N52="","",INDEX('仕入請求台帳'!$N$5:$N$504,$N52))</f>
        <v/>
      </c>
      <c r="K52" s="49">
        <f>IF(OR($N52="",$B52=""),"",IF($B53=$B52,"",SUMIF($B$7:$B$106,$B52,$J$7:$J$106)))</f>
        <v/>
      </c>
      <c r="L52" s="47">
        <f>IF($N52="","",IFERROR(INDEX('仕入先'!$H$5:$H$54,INDEX('仕入請求台帳'!$R$5:$R$504,$N52))&amp;"",""))</f>
        <v/>
      </c>
      <c r="M52" s="56" t="n"/>
      <c r="N52" s="75">
        <f>IFERROR(MATCH(SMALL('仕入請求台帳'!$T$5:$T$504,46),'仕入請求台帳'!$T$5:$T$504,0),"")</f>
        <v/>
      </c>
    </row>
    <row r="53" ht="18" customHeight="1">
      <c r="A53" s="46">
        <f>IF($N53="","",47)</f>
        <v/>
      </c>
      <c r="B53" s="45">
        <f>IF($N53="","",IF(ISNUMBER(INDEX('仕入請求台帳'!$J$5:$J$504,$N53)),INDEX('仕入請求台帳'!$J$5:$J$504,$N53),""))</f>
        <v/>
      </c>
      <c r="C53" s="46">
        <f>IF($N53="","",IF(INDEX('仕入請求台帳'!$P$5:$P$504,$N53)="","（予定日なし）",INDEX('仕入請求台帳'!$P$5:$P$504,$N53)&amp;""))</f>
        <v/>
      </c>
      <c r="D53" s="46">
        <f>IF($N53="","",INDEX('仕入請求台帳'!$B$5:$B$504,$N53)&amp;"")</f>
        <v/>
      </c>
      <c r="E53" s="47">
        <f>IF($N53="","",INDEX('仕入請求台帳'!$C$5:$C$504,$N53)&amp;"")</f>
        <v/>
      </c>
      <c r="F53" s="46">
        <f>IF($N53="","",INDEX('仕入請求台帳'!$E$5:$E$504,$N53)&amp;"")</f>
        <v/>
      </c>
      <c r="G53" s="45">
        <f>IF($N53="","",IF(ISNUMBER(INDEX('仕入請求台帳'!$A$5:$A$504,$N53)),INDEX('仕入請求台帳'!$A$5:$A$504,$N53),""))</f>
        <v/>
      </c>
      <c r="H53" s="49">
        <f>IF($N53="","",N(INDEX('仕入請求台帳'!$G$5:$G$504,$N53)))</f>
        <v/>
      </c>
      <c r="I53" s="49">
        <f>IF($N53="","",N(INDEX('仕入請求台帳'!$L$5:$L$504,$N53))+N(INDEX('仕入請求台帳'!$M$5:$M$504,$N53)))</f>
        <v/>
      </c>
      <c r="J53" s="49">
        <f>IF($N53="","",INDEX('仕入請求台帳'!$N$5:$N$504,$N53))</f>
        <v/>
      </c>
      <c r="K53" s="49">
        <f>IF(OR($N53="",$B53=""),"",IF($B54=$B53,"",SUMIF($B$7:$B$106,$B53,$J$7:$J$106)))</f>
        <v/>
      </c>
      <c r="L53" s="47">
        <f>IF($N53="","",IFERROR(INDEX('仕入先'!$H$5:$H$54,INDEX('仕入請求台帳'!$R$5:$R$504,$N53))&amp;"",""))</f>
        <v/>
      </c>
      <c r="M53" s="56" t="n"/>
      <c r="N53" s="75">
        <f>IFERROR(MATCH(SMALL('仕入請求台帳'!$T$5:$T$504,47),'仕入請求台帳'!$T$5:$T$504,0),"")</f>
        <v/>
      </c>
    </row>
    <row r="54" ht="18" customHeight="1">
      <c r="A54" s="46">
        <f>IF($N54="","",48)</f>
        <v/>
      </c>
      <c r="B54" s="45">
        <f>IF($N54="","",IF(ISNUMBER(INDEX('仕入請求台帳'!$J$5:$J$504,$N54)),INDEX('仕入請求台帳'!$J$5:$J$504,$N54),""))</f>
        <v/>
      </c>
      <c r="C54" s="46">
        <f>IF($N54="","",IF(INDEX('仕入請求台帳'!$P$5:$P$504,$N54)="","（予定日なし）",INDEX('仕入請求台帳'!$P$5:$P$504,$N54)&amp;""))</f>
        <v/>
      </c>
      <c r="D54" s="46">
        <f>IF($N54="","",INDEX('仕入請求台帳'!$B$5:$B$504,$N54)&amp;"")</f>
        <v/>
      </c>
      <c r="E54" s="47">
        <f>IF($N54="","",INDEX('仕入請求台帳'!$C$5:$C$504,$N54)&amp;"")</f>
        <v/>
      </c>
      <c r="F54" s="46">
        <f>IF($N54="","",INDEX('仕入請求台帳'!$E$5:$E$504,$N54)&amp;"")</f>
        <v/>
      </c>
      <c r="G54" s="45">
        <f>IF($N54="","",IF(ISNUMBER(INDEX('仕入請求台帳'!$A$5:$A$504,$N54)),INDEX('仕入請求台帳'!$A$5:$A$504,$N54),""))</f>
        <v/>
      </c>
      <c r="H54" s="49">
        <f>IF($N54="","",N(INDEX('仕入請求台帳'!$G$5:$G$504,$N54)))</f>
        <v/>
      </c>
      <c r="I54" s="49">
        <f>IF($N54="","",N(INDEX('仕入請求台帳'!$L$5:$L$504,$N54))+N(INDEX('仕入請求台帳'!$M$5:$M$504,$N54)))</f>
        <v/>
      </c>
      <c r="J54" s="49">
        <f>IF($N54="","",INDEX('仕入請求台帳'!$N$5:$N$504,$N54))</f>
        <v/>
      </c>
      <c r="K54" s="49">
        <f>IF(OR($N54="",$B54=""),"",IF($B55=$B54,"",SUMIF($B$7:$B$106,$B54,$J$7:$J$106)))</f>
        <v/>
      </c>
      <c r="L54" s="47">
        <f>IF($N54="","",IFERROR(INDEX('仕入先'!$H$5:$H$54,INDEX('仕入請求台帳'!$R$5:$R$504,$N54))&amp;"",""))</f>
        <v/>
      </c>
      <c r="M54" s="56" t="n"/>
      <c r="N54" s="75">
        <f>IFERROR(MATCH(SMALL('仕入請求台帳'!$T$5:$T$504,48),'仕入請求台帳'!$T$5:$T$504,0),"")</f>
        <v/>
      </c>
    </row>
    <row r="55" ht="18" customHeight="1">
      <c r="A55" s="46">
        <f>IF($N55="","",49)</f>
        <v/>
      </c>
      <c r="B55" s="45">
        <f>IF($N55="","",IF(ISNUMBER(INDEX('仕入請求台帳'!$J$5:$J$504,$N55)),INDEX('仕入請求台帳'!$J$5:$J$504,$N55),""))</f>
        <v/>
      </c>
      <c r="C55" s="46">
        <f>IF($N55="","",IF(INDEX('仕入請求台帳'!$P$5:$P$504,$N55)="","（予定日なし）",INDEX('仕入請求台帳'!$P$5:$P$504,$N55)&amp;""))</f>
        <v/>
      </c>
      <c r="D55" s="46">
        <f>IF($N55="","",INDEX('仕入請求台帳'!$B$5:$B$504,$N55)&amp;"")</f>
        <v/>
      </c>
      <c r="E55" s="47">
        <f>IF($N55="","",INDEX('仕入請求台帳'!$C$5:$C$504,$N55)&amp;"")</f>
        <v/>
      </c>
      <c r="F55" s="46">
        <f>IF($N55="","",INDEX('仕入請求台帳'!$E$5:$E$504,$N55)&amp;"")</f>
        <v/>
      </c>
      <c r="G55" s="45">
        <f>IF($N55="","",IF(ISNUMBER(INDEX('仕入請求台帳'!$A$5:$A$504,$N55)),INDEX('仕入請求台帳'!$A$5:$A$504,$N55),""))</f>
        <v/>
      </c>
      <c r="H55" s="49">
        <f>IF($N55="","",N(INDEX('仕入請求台帳'!$G$5:$G$504,$N55)))</f>
        <v/>
      </c>
      <c r="I55" s="49">
        <f>IF($N55="","",N(INDEX('仕入請求台帳'!$L$5:$L$504,$N55))+N(INDEX('仕入請求台帳'!$M$5:$M$504,$N55)))</f>
        <v/>
      </c>
      <c r="J55" s="49">
        <f>IF($N55="","",INDEX('仕入請求台帳'!$N$5:$N$504,$N55))</f>
        <v/>
      </c>
      <c r="K55" s="49">
        <f>IF(OR($N55="",$B55=""),"",IF($B56=$B55,"",SUMIF($B$7:$B$106,$B55,$J$7:$J$106)))</f>
        <v/>
      </c>
      <c r="L55" s="47">
        <f>IF($N55="","",IFERROR(INDEX('仕入先'!$H$5:$H$54,INDEX('仕入請求台帳'!$R$5:$R$504,$N55))&amp;"",""))</f>
        <v/>
      </c>
      <c r="M55" s="56" t="n"/>
      <c r="N55" s="75">
        <f>IFERROR(MATCH(SMALL('仕入請求台帳'!$T$5:$T$504,49),'仕入請求台帳'!$T$5:$T$504,0),"")</f>
        <v/>
      </c>
    </row>
    <row r="56" ht="18" customHeight="1">
      <c r="A56" s="46">
        <f>IF($N56="","",50)</f>
        <v/>
      </c>
      <c r="B56" s="45">
        <f>IF($N56="","",IF(ISNUMBER(INDEX('仕入請求台帳'!$J$5:$J$504,$N56)),INDEX('仕入請求台帳'!$J$5:$J$504,$N56),""))</f>
        <v/>
      </c>
      <c r="C56" s="46">
        <f>IF($N56="","",IF(INDEX('仕入請求台帳'!$P$5:$P$504,$N56)="","（予定日なし）",INDEX('仕入請求台帳'!$P$5:$P$504,$N56)&amp;""))</f>
        <v/>
      </c>
      <c r="D56" s="46">
        <f>IF($N56="","",INDEX('仕入請求台帳'!$B$5:$B$504,$N56)&amp;"")</f>
        <v/>
      </c>
      <c r="E56" s="47">
        <f>IF($N56="","",INDEX('仕入請求台帳'!$C$5:$C$504,$N56)&amp;"")</f>
        <v/>
      </c>
      <c r="F56" s="46">
        <f>IF($N56="","",INDEX('仕入請求台帳'!$E$5:$E$504,$N56)&amp;"")</f>
        <v/>
      </c>
      <c r="G56" s="45">
        <f>IF($N56="","",IF(ISNUMBER(INDEX('仕入請求台帳'!$A$5:$A$504,$N56)),INDEX('仕入請求台帳'!$A$5:$A$504,$N56),""))</f>
        <v/>
      </c>
      <c r="H56" s="49">
        <f>IF($N56="","",N(INDEX('仕入請求台帳'!$G$5:$G$504,$N56)))</f>
        <v/>
      </c>
      <c r="I56" s="49">
        <f>IF($N56="","",N(INDEX('仕入請求台帳'!$L$5:$L$504,$N56))+N(INDEX('仕入請求台帳'!$M$5:$M$504,$N56)))</f>
        <v/>
      </c>
      <c r="J56" s="49">
        <f>IF($N56="","",INDEX('仕入請求台帳'!$N$5:$N$504,$N56))</f>
        <v/>
      </c>
      <c r="K56" s="49">
        <f>IF(OR($N56="",$B56=""),"",IF($B57=$B56,"",SUMIF($B$7:$B$106,$B56,$J$7:$J$106)))</f>
        <v/>
      </c>
      <c r="L56" s="47">
        <f>IF($N56="","",IFERROR(INDEX('仕入先'!$H$5:$H$54,INDEX('仕入請求台帳'!$R$5:$R$504,$N56))&amp;"",""))</f>
        <v/>
      </c>
      <c r="M56" s="56" t="n"/>
      <c r="N56" s="75">
        <f>IFERROR(MATCH(SMALL('仕入請求台帳'!$T$5:$T$504,50),'仕入請求台帳'!$T$5:$T$504,0),"")</f>
        <v/>
      </c>
    </row>
    <row r="57" ht="18" customHeight="1">
      <c r="A57" s="46">
        <f>IF($N57="","",51)</f>
        <v/>
      </c>
      <c r="B57" s="45">
        <f>IF($N57="","",IF(ISNUMBER(INDEX('仕入請求台帳'!$J$5:$J$504,$N57)),INDEX('仕入請求台帳'!$J$5:$J$504,$N57),""))</f>
        <v/>
      </c>
      <c r="C57" s="46">
        <f>IF($N57="","",IF(INDEX('仕入請求台帳'!$P$5:$P$504,$N57)="","（予定日なし）",INDEX('仕入請求台帳'!$P$5:$P$504,$N57)&amp;""))</f>
        <v/>
      </c>
      <c r="D57" s="46">
        <f>IF($N57="","",INDEX('仕入請求台帳'!$B$5:$B$504,$N57)&amp;"")</f>
        <v/>
      </c>
      <c r="E57" s="47">
        <f>IF($N57="","",INDEX('仕入請求台帳'!$C$5:$C$504,$N57)&amp;"")</f>
        <v/>
      </c>
      <c r="F57" s="46">
        <f>IF($N57="","",INDEX('仕入請求台帳'!$E$5:$E$504,$N57)&amp;"")</f>
        <v/>
      </c>
      <c r="G57" s="45">
        <f>IF($N57="","",IF(ISNUMBER(INDEX('仕入請求台帳'!$A$5:$A$504,$N57)),INDEX('仕入請求台帳'!$A$5:$A$504,$N57),""))</f>
        <v/>
      </c>
      <c r="H57" s="49">
        <f>IF($N57="","",N(INDEX('仕入請求台帳'!$G$5:$G$504,$N57)))</f>
        <v/>
      </c>
      <c r="I57" s="49">
        <f>IF($N57="","",N(INDEX('仕入請求台帳'!$L$5:$L$504,$N57))+N(INDEX('仕入請求台帳'!$M$5:$M$504,$N57)))</f>
        <v/>
      </c>
      <c r="J57" s="49">
        <f>IF($N57="","",INDEX('仕入請求台帳'!$N$5:$N$504,$N57))</f>
        <v/>
      </c>
      <c r="K57" s="49">
        <f>IF(OR($N57="",$B57=""),"",IF($B58=$B57,"",SUMIF($B$7:$B$106,$B57,$J$7:$J$106)))</f>
        <v/>
      </c>
      <c r="L57" s="47">
        <f>IF($N57="","",IFERROR(INDEX('仕入先'!$H$5:$H$54,INDEX('仕入請求台帳'!$R$5:$R$504,$N57))&amp;"",""))</f>
        <v/>
      </c>
      <c r="M57" s="56" t="n"/>
      <c r="N57" s="75">
        <f>IFERROR(MATCH(SMALL('仕入請求台帳'!$T$5:$T$504,51),'仕入請求台帳'!$T$5:$T$504,0),"")</f>
        <v/>
      </c>
    </row>
    <row r="58" ht="18" customHeight="1">
      <c r="A58" s="46">
        <f>IF($N58="","",52)</f>
        <v/>
      </c>
      <c r="B58" s="45">
        <f>IF($N58="","",IF(ISNUMBER(INDEX('仕入請求台帳'!$J$5:$J$504,$N58)),INDEX('仕入請求台帳'!$J$5:$J$504,$N58),""))</f>
        <v/>
      </c>
      <c r="C58" s="46">
        <f>IF($N58="","",IF(INDEX('仕入請求台帳'!$P$5:$P$504,$N58)="","（予定日なし）",INDEX('仕入請求台帳'!$P$5:$P$504,$N58)&amp;""))</f>
        <v/>
      </c>
      <c r="D58" s="46">
        <f>IF($N58="","",INDEX('仕入請求台帳'!$B$5:$B$504,$N58)&amp;"")</f>
        <v/>
      </c>
      <c r="E58" s="47">
        <f>IF($N58="","",INDEX('仕入請求台帳'!$C$5:$C$504,$N58)&amp;"")</f>
        <v/>
      </c>
      <c r="F58" s="46">
        <f>IF($N58="","",INDEX('仕入請求台帳'!$E$5:$E$504,$N58)&amp;"")</f>
        <v/>
      </c>
      <c r="G58" s="45">
        <f>IF($N58="","",IF(ISNUMBER(INDEX('仕入請求台帳'!$A$5:$A$504,$N58)),INDEX('仕入請求台帳'!$A$5:$A$504,$N58),""))</f>
        <v/>
      </c>
      <c r="H58" s="49">
        <f>IF($N58="","",N(INDEX('仕入請求台帳'!$G$5:$G$504,$N58)))</f>
        <v/>
      </c>
      <c r="I58" s="49">
        <f>IF($N58="","",N(INDEX('仕入請求台帳'!$L$5:$L$504,$N58))+N(INDEX('仕入請求台帳'!$M$5:$M$504,$N58)))</f>
        <v/>
      </c>
      <c r="J58" s="49">
        <f>IF($N58="","",INDEX('仕入請求台帳'!$N$5:$N$504,$N58))</f>
        <v/>
      </c>
      <c r="K58" s="49">
        <f>IF(OR($N58="",$B58=""),"",IF($B59=$B58,"",SUMIF($B$7:$B$106,$B58,$J$7:$J$106)))</f>
        <v/>
      </c>
      <c r="L58" s="47">
        <f>IF($N58="","",IFERROR(INDEX('仕入先'!$H$5:$H$54,INDEX('仕入請求台帳'!$R$5:$R$504,$N58))&amp;"",""))</f>
        <v/>
      </c>
      <c r="M58" s="56" t="n"/>
      <c r="N58" s="75">
        <f>IFERROR(MATCH(SMALL('仕入請求台帳'!$T$5:$T$504,52),'仕入請求台帳'!$T$5:$T$504,0),"")</f>
        <v/>
      </c>
    </row>
    <row r="59" ht="18" customHeight="1">
      <c r="A59" s="46">
        <f>IF($N59="","",53)</f>
        <v/>
      </c>
      <c r="B59" s="45">
        <f>IF($N59="","",IF(ISNUMBER(INDEX('仕入請求台帳'!$J$5:$J$504,$N59)),INDEX('仕入請求台帳'!$J$5:$J$504,$N59),""))</f>
        <v/>
      </c>
      <c r="C59" s="46">
        <f>IF($N59="","",IF(INDEX('仕入請求台帳'!$P$5:$P$504,$N59)="","（予定日なし）",INDEX('仕入請求台帳'!$P$5:$P$504,$N59)&amp;""))</f>
        <v/>
      </c>
      <c r="D59" s="46">
        <f>IF($N59="","",INDEX('仕入請求台帳'!$B$5:$B$504,$N59)&amp;"")</f>
        <v/>
      </c>
      <c r="E59" s="47">
        <f>IF($N59="","",INDEX('仕入請求台帳'!$C$5:$C$504,$N59)&amp;"")</f>
        <v/>
      </c>
      <c r="F59" s="46">
        <f>IF($N59="","",INDEX('仕入請求台帳'!$E$5:$E$504,$N59)&amp;"")</f>
        <v/>
      </c>
      <c r="G59" s="45">
        <f>IF($N59="","",IF(ISNUMBER(INDEX('仕入請求台帳'!$A$5:$A$504,$N59)),INDEX('仕入請求台帳'!$A$5:$A$504,$N59),""))</f>
        <v/>
      </c>
      <c r="H59" s="49">
        <f>IF($N59="","",N(INDEX('仕入請求台帳'!$G$5:$G$504,$N59)))</f>
        <v/>
      </c>
      <c r="I59" s="49">
        <f>IF($N59="","",N(INDEX('仕入請求台帳'!$L$5:$L$504,$N59))+N(INDEX('仕入請求台帳'!$M$5:$M$504,$N59)))</f>
        <v/>
      </c>
      <c r="J59" s="49">
        <f>IF($N59="","",INDEX('仕入請求台帳'!$N$5:$N$504,$N59))</f>
        <v/>
      </c>
      <c r="K59" s="49">
        <f>IF(OR($N59="",$B59=""),"",IF($B60=$B59,"",SUMIF($B$7:$B$106,$B59,$J$7:$J$106)))</f>
        <v/>
      </c>
      <c r="L59" s="47">
        <f>IF($N59="","",IFERROR(INDEX('仕入先'!$H$5:$H$54,INDEX('仕入請求台帳'!$R$5:$R$504,$N59))&amp;"",""))</f>
        <v/>
      </c>
      <c r="M59" s="56" t="n"/>
      <c r="N59" s="75">
        <f>IFERROR(MATCH(SMALL('仕入請求台帳'!$T$5:$T$504,53),'仕入請求台帳'!$T$5:$T$504,0),"")</f>
        <v/>
      </c>
    </row>
    <row r="60" ht="18" customHeight="1">
      <c r="A60" s="46">
        <f>IF($N60="","",54)</f>
        <v/>
      </c>
      <c r="B60" s="45">
        <f>IF($N60="","",IF(ISNUMBER(INDEX('仕入請求台帳'!$J$5:$J$504,$N60)),INDEX('仕入請求台帳'!$J$5:$J$504,$N60),""))</f>
        <v/>
      </c>
      <c r="C60" s="46">
        <f>IF($N60="","",IF(INDEX('仕入請求台帳'!$P$5:$P$504,$N60)="","（予定日なし）",INDEX('仕入請求台帳'!$P$5:$P$504,$N60)&amp;""))</f>
        <v/>
      </c>
      <c r="D60" s="46">
        <f>IF($N60="","",INDEX('仕入請求台帳'!$B$5:$B$504,$N60)&amp;"")</f>
        <v/>
      </c>
      <c r="E60" s="47">
        <f>IF($N60="","",INDEX('仕入請求台帳'!$C$5:$C$504,$N60)&amp;"")</f>
        <v/>
      </c>
      <c r="F60" s="46">
        <f>IF($N60="","",INDEX('仕入請求台帳'!$E$5:$E$504,$N60)&amp;"")</f>
        <v/>
      </c>
      <c r="G60" s="45">
        <f>IF($N60="","",IF(ISNUMBER(INDEX('仕入請求台帳'!$A$5:$A$504,$N60)),INDEX('仕入請求台帳'!$A$5:$A$504,$N60),""))</f>
        <v/>
      </c>
      <c r="H60" s="49">
        <f>IF($N60="","",N(INDEX('仕入請求台帳'!$G$5:$G$504,$N60)))</f>
        <v/>
      </c>
      <c r="I60" s="49">
        <f>IF($N60="","",N(INDEX('仕入請求台帳'!$L$5:$L$504,$N60))+N(INDEX('仕入請求台帳'!$M$5:$M$504,$N60)))</f>
        <v/>
      </c>
      <c r="J60" s="49">
        <f>IF($N60="","",INDEX('仕入請求台帳'!$N$5:$N$504,$N60))</f>
        <v/>
      </c>
      <c r="K60" s="49">
        <f>IF(OR($N60="",$B60=""),"",IF($B61=$B60,"",SUMIF($B$7:$B$106,$B60,$J$7:$J$106)))</f>
        <v/>
      </c>
      <c r="L60" s="47">
        <f>IF($N60="","",IFERROR(INDEX('仕入先'!$H$5:$H$54,INDEX('仕入請求台帳'!$R$5:$R$504,$N60))&amp;"",""))</f>
        <v/>
      </c>
      <c r="M60" s="56" t="n"/>
      <c r="N60" s="75">
        <f>IFERROR(MATCH(SMALL('仕入請求台帳'!$T$5:$T$504,54),'仕入請求台帳'!$T$5:$T$504,0),"")</f>
        <v/>
      </c>
    </row>
    <row r="61" ht="18" customHeight="1">
      <c r="A61" s="46">
        <f>IF($N61="","",55)</f>
        <v/>
      </c>
      <c r="B61" s="45">
        <f>IF($N61="","",IF(ISNUMBER(INDEX('仕入請求台帳'!$J$5:$J$504,$N61)),INDEX('仕入請求台帳'!$J$5:$J$504,$N61),""))</f>
        <v/>
      </c>
      <c r="C61" s="46">
        <f>IF($N61="","",IF(INDEX('仕入請求台帳'!$P$5:$P$504,$N61)="","（予定日なし）",INDEX('仕入請求台帳'!$P$5:$P$504,$N61)&amp;""))</f>
        <v/>
      </c>
      <c r="D61" s="46">
        <f>IF($N61="","",INDEX('仕入請求台帳'!$B$5:$B$504,$N61)&amp;"")</f>
        <v/>
      </c>
      <c r="E61" s="47">
        <f>IF($N61="","",INDEX('仕入請求台帳'!$C$5:$C$504,$N61)&amp;"")</f>
        <v/>
      </c>
      <c r="F61" s="46">
        <f>IF($N61="","",INDEX('仕入請求台帳'!$E$5:$E$504,$N61)&amp;"")</f>
        <v/>
      </c>
      <c r="G61" s="45">
        <f>IF($N61="","",IF(ISNUMBER(INDEX('仕入請求台帳'!$A$5:$A$504,$N61)),INDEX('仕入請求台帳'!$A$5:$A$504,$N61),""))</f>
        <v/>
      </c>
      <c r="H61" s="49">
        <f>IF($N61="","",N(INDEX('仕入請求台帳'!$G$5:$G$504,$N61)))</f>
        <v/>
      </c>
      <c r="I61" s="49">
        <f>IF($N61="","",N(INDEX('仕入請求台帳'!$L$5:$L$504,$N61))+N(INDEX('仕入請求台帳'!$M$5:$M$504,$N61)))</f>
        <v/>
      </c>
      <c r="J61" s="49">
        <f>IF($N61="","",INDEX('仕入請求台帳'!$N$5:$N$504,$N61))</f>
        <v/>
      </c>
      <c r="K61" s="49">
        <f>IF(OR($N61="",$B61=""),"",IF($B62=$B61,"",SUMIF($B$7:$B$106,$B61,$J$7:$J$106)))</f>
        <v/>
      </c>
      <c r="L61" s="47">
        <f>IF($N61="","",IFERROR(INDEX('仕入先'!$H$5:$H$54,INDEX('仕入請求台帳'!$R$5:$R$504,$N61))&amp;"",""))</f>
        <v/>
      </c>
      <c r="M61" s="56" t="n"/>
      <c r="N61" s="75">
        <f>IFERROR(MATCH(SMALL('仕入請求台帳'!$T$5:$T$504,55),'仕入請求台帳'!$T$5:$T$504,0),"")</f>
        <v/>
      </c>
    </row>
    <row r="62" ht="18" customHeight="1">
      <c r="A62" s="46">
        <f>IF($N62="","",56)</f>
        <v/>
      </c>
      <c r="B62" s="45">
        <f>IF($N62="","",IF(ISNUMBER(INDEX('仕入請求台帳'!$J$5:$J$504,$N62)),INDEX('仕入請求台帳'!$J$5:$J$504,$N62),""))</f>
        <v/>
      </c>
      <c r="C62" s="46">
        <f>IF($N62="","",IF(INDEX('仕入請求台帳'!$P$5:$P$504,$N62)="","（予定日なし）",INDEX('仕入請求台帳'!$P$5:$P$504,$N62)&amp;""))</f>
        <v/>
      </c>
      <c r="D62" s="46">
        <f>IF($N62="","",INDEX('仕入請求台帳'!$B$5:$B$504,$N62)&amp;"")</f>
        <v/>
      </c>
      <c r="E62" s="47">
        <f>IF($N62="","",INDEX('仕入請求台帳'!$C$5:$C$504,$N62)&amp;"")</f>
        <v/>
      </c>
      <c r="F62" s="46">
        <f>IF($N62="","",INDEX('仕入請求台帳'!$E$5:$E$504,$N62)&amp;"")</f>
        <v/>
      </c>
      <c r="G62" s="45">
        <f>IF($N62="","",IF(ISNUMBER(INDEX('仕入請求台帳'!$A$5:$A$504,$N62)),INDEX('仕入請求台帳'!$A$5:$A$504,$N62),""))</f>
        <v/>
      </c>
      <c r="H62" s="49">
        <f>IF($N62="","",N(INDEX('仕入請求台帳'!$G$5:$G$504,$N62)))</f>
        <v/>
      </c>
      <c r="I62" s="49">
        <f>IF($N62="","",N(INDEX('仕入請求台帳'!$L$5:$L$504,$N62))+N(INDEX('仕入請求台帳'!$M$5:$M$504,$N62)))</f>
        <v/>
      </c>
      <c r="J62" s="49">
        <f>IF($N62="","",INDEX('仕入請求台帳'!$N$5:$N$504,$N62))</f>
        <v/>
      </c>
      <c r="K62" s="49">
        <f>IF(OR($N62="",$B62=""),"",IF($B63=$B62,"",SUMIF($B$7:$B$106,$B62,$J$7:$J$106)))</f>
        <v/>
      </c>
      <c r="L62" s="47">
        <f>IF($N62="","",IFERROR(INDEX('仕入先'!$H$5:$H$54,INDEX('仕入請求台帳'!$R$5:$R$504,$N62))&amp;"",""))</f>
        <v/>
      </c>
      <c r="M62" s="56" t="n"/>
      <c r="N62" s="75">
        <f>IFERROR(MATCH(SMALL('仕入請求台帳'!$T$5:$T$504,56),'仕入請求台帳'!$T$5:$T$504,0),"")</f>
        <v/>
      </c>
    </row>
    <row r="63" ht="18" customHeight="1">
      <c r="A63" s="46">
        <f>IF($N63="","",57)</f>
        <v/>
      </c>
      <c r="B63" s="45">
        <f>IF($N63="","",IF(ISNUMBER(INDEX('仕入請求台帳'!$J$5:$J$504,$N63)),INDEX('仕入請求台帳'!$J$5:$J$504,$N63),""))</f>
        <v/>
      </c>
      <c r="C63" s="46">
        <f>IF($N63="","",IF(INDEX('仕入請求台帳'!$P$5:$P$504,$N63)="","（予定日なし）",INDEX('仕入請求台帳'!$P$5:$P$504,$N63)&amp;""))</f>
        <v/>
      </c>
      <c r="D63" s="46">
        <f>IF($N63="","",INDEX('仕入請求台帳'!$B$5:$B$504,$N63)&amp;"")</f>
        <v/>
      </c>
      <c r="E63" s="47">
        <f>IF($N63="","",INDEX('仕入請求台帳'!$C$5:$C$504,$N63)&amp;"")</f>
        <v/>
      </c>
      <c r="F63" s="46">
        <f>IF($N63="","",INDEX('仕入請求台帳'!$E$5:$E$504,$N63)&amp;"")</f>
        <v/>
      </c>
      <c r="G63" s="45">
        <f>IF($N63="","",IF(ISNUMBER(INDEX('仕入請求台帳'!$A$5:$A$504,$N63)),INDEX('仕入請求台帳'!$A$5:$A$504,$N63),""))</f>
        <v/>
      </c>
      <c r="H63" s="49">
        <f>IF($N63="","",N(INDEX('仕入請求台帳'!$G$5:$G$504,$N63)))</f>
        <v/>
      </c>
      <c r="I63" s="49">
        <f>IF($N63="","",N(INDEX('仕入請求台帳'!$L$5:$L$504,$N63))+N(INDEX('仕入請求台帳'!$M$5:$M$504,$N63)))</f>
        <v/>
      </c>
      <c r="J63" s="49">
        <f>IF($N63="","",INDEX('仕入請求台帳'!$N$5:$N$504,$N63))</f>
        <v/>
      </c>
      <c r="K63" s="49">
        <f>IF(OR($N63="",$B63=""),"",IF($B64=$B63,"",SUMIF($B$7:$B$106,$B63,$J$7:$J$106)))</f>
        <v/>
      </c>
      <c r="L63" s="47">
        <f>IF($N63="","",IFERROR(INDEX('仕入先'!$H$5:$H$54,INDEX('仕入請求台帳'!$R$5:$R$504,$N63))&amp;"",""))</f>
        <v/>
      </c>
      <c r="M63" s="56" t="n"/>
      <c r="N63" s="75">
        <f>IFERROR(MATCH(SMALL('仕入請求台帳'!$T$5:$T$504,57),'仕入請求台帳'!$T$5:$T$504,0),"")</f>
        <v/>
      </c>
    </row>
    <row r="64" ht="18" customHeight="1">
      <c r="A64" s="46">
        <f>IF($N64="","",58)</f>
        <v/>
      </c>
      <c r="B64" s="45">
        <f>IF($N64="","",IF(ISNUMBER(INDEX('仕入請求台帳'!$J$5:$J$504,$N64)),INDEX('仕入請求台帳'!$J$5:$J$504,$N64),""))</f>
        <v/>
      </c>
      <c r="C64" s="46">
        <f>IF($N64="","",IF(INDEX('仕入請求台帳'!$P$5:$P$504,$N64)="","（予定日なし）",INDEX('仕入請求台帳'!$P$5:$P$504,$N64)&amp;""))</f>
        <v/>
      </c>
      <c r="D64" s="46">
        <f>IF($N64="","",INDEX('仕入請求台帳'!$B$5:$B$504,$N64)&amp;"")</f>
        <v/>
      </c>
      <c r="E64" s="47">
        <f>IF($N64="","",INDEX('仕入請求台帳'!$C$5:$C$504,$N64)&amp;"")</f>
        <v/>
      </c>
      <c r="F64" s="46">
        <f>IF($N64="","",INDEX('仕入請求台帳'!$E$5:$E$504,$N64)&amp;"")</f>
        <v/>
      </c>
      <c r="G64" s="45">
        <f>IF($N64="","",IF(ISNUMBER(INDEX('仕入請求台帳'!$A$5:$A$504,$N64)),INDEX('仕入請求台帳'!$A$5:$A$504,$N64),""))</f>
        <v/>
      </c>
      <c r="H64" s="49">
        <f>IF($N64="","",N(INDEX('仕入請求台帳'!$G$5:$G$504,$N64)))</f>
        <v/>
      </c>
      <c r="I64" s="49">
        <f>IF($N64="","",N(INDEX('仕入請求台帳'!$L$5:$L$504,$N64))+N(INDEX('仕入請求台帳'!$M$5:$M$504,$N64)))</f>
        <v/>
      </c>
      <c r="J64" s="49">
        <f>IF($N64="","",INDEX('仕入請求台帳'!$N$5:$N$504,$N64))</f>
        <v/>
      </c>
      <c r="K64" s="49">
        <f>IF(OR($N64="",$B64=""),"",IF($B65=$B64,"",SUMIF($B$7:$B$106,$B64,$J$7:$J$106)))</f>
        <v/>
      </c>
      <c r="L64" s="47">
        <f>IF($N64="","",IFERROR(INDEX('仕入先'!$H$5:$H$54,INDEX('仕入請求台帳'!$R$5:$R$504,$N64))&amp;"",""))</f>
        <v/>
      </c>
      <c r="M64" s="56" t="n"/>
      <c r="N64" s="75">
        <f>IFERROR(MATCH(SMALL('仕入請求台帳'!$T$5:$T$504,58),'仕入請求台帳'!$T$5:$T$504,0),"")</f>
        <v/>
      </c>
    </row>
    <row r="65" ht="18" customHeight="1">
      <c r="A65" s="46">
        <f>IF($N65="","",59)</f>
        <v/>
      </c>
      <c r="B65" s="45">
        <f>IF($N65="","",IF(ISNUMBER(INDEX('仕入請求台帳'!$J$5:$J$504,$N65)),INDEX('仕入請求台帳'!$J$5:$J$504,$N65),""))</f>
        <v/>
      </c>
      <c r="C65" s="46">
        <f>IF($N65="","",IF(INDEX('仕入請求台帳'!$P$5:$P$504,$N65)="","（予定日なし）",INDEX('仕入請求台帳'!$P$5:$P$504,$N65)&amp;""))</f>
        <v/>
      </c>
      <c r="D65" s="46">
        <f>IF($N65="","",INDEX('仕入請求台帳'!$B$5:$B$504,$N65)&amp;"")</f>
        <v/>
      </c>
      <c r="E65" s="47">
        <f>IF($N65="","",INDEX('仕入請求台帳'!$C$5:$C$504,$N65)&amp;"")</f>
        <v/>
      </c>
      <c r="F65" s="46">
        <f>IF($N65="","",INDEX('仕入請求台帳'!$E$5:$E$504,$N65)&amp;"")</f>
        <v/>
      </c>
      <c r="G65" s="45">
        <f>IF($N65="","",IF(ISNUMBER(INDEX('仕入請求台帳'!$A$5:$A$504,$N65)),INDEX('仕入請求台帳'!$A$5:$A$504,$N65),""))</f>
        <v/>
      </c>
      <c r="H65" s="49">
        <f>IF($N65="","",N(INDEX('仕入請求台帳'!$G$5:$G$504,$N65)))</f>
        <v/>
      </c>
      <c r="I65" s="49">
        <f>IF($N65="","",N(INDEX('仕入請求台帳'!$L$5:$L$504,$N65))+N(INDEX('仕入請求台帳'!$M$5:$M$504,$N65)))</f>
        <v/>
      </c>
      <c r="J65" s="49">
        <f>IF($N65="","",INDEX('仕入請求台帳'!$N$5:$N$504,$N65))</f>
        <v/>
      </c>
      <c r="K65" s="49">
        <f>IF(OR($N65="",$B65=""),"",IF($B66=$B65,"",SUMIF($B$7:$B$106,$B65,$J$7:$J$106)))</f>
        <v/>
      </c>
      <c r="L65" s="47">
        <f>IF($N65="","",IFERROR(INDEX('仕入先'!$H$5:$H$54,INDEX('仕入請求台帳'!$R$5:$R$504,$N65))&amp;"",""))</f>
        <v/>
      </c>
      <c r="M65" s="56" t="n"/>
      <c r="N65" s="75">
        <f>IFERROR(MATCH(SMALL('仕入請求台帳'!$T$5:$T$504,59),'仕入請求台帳'!$T$5:$T$504,0),"")</f>
        <v/>
      </c>
    </row>
    <row r="66" ht="18" customHeight="1">
      <c r="A66" s="46">
        <f>IF($N66="","",60)</f>
        <v/>
      </c>
      <c r="B66" s="45">
        <f>IF($N66="","",IF(ISNUMBER(INDEX('仕入請求台帳'!$J$5:$J$504,$N66)),INDEX('仕入請求台帳'!$J$5:$J$504,$N66),""))</f>
        <v/>
      </c>
      <c r="C66" s="46">
        <f>IF($N66="","",IF(INDEX('仕入請求台帳'!$P$5:$P$504,$N66)="","（予定日なし）",INDEX('仕入請求台帳'!$P$5:$P$504,$N66)&amp;""))</f>
        <v/>
      </c>
      <c r="D66" s="46">
        <f>IF($N66="","",INDEX('仕入請求台帳'!$B$5:$B$504,$N66)&amp;"")</f>
        <v/>
      </c>
      <c r="E66" s="47">
        <f>IF($N66="","",INDEX('仕入請求台帳'!$C$5:$C$504,$N66)&amp;"")</f>
        <v/>
      </c>
      <c r="F66" s="46">
        <f>IF($N66="","",INDEX('仕入請求台帳'!$E$5:$E$504,$N66)&amp;"")</f>
        <v/>
      </c>
      <c r="G66" s="45">
        <f>IF($N66="","",IF(ISNUMBER(INDEX('仕入請求台帳'!$A$5:$A$504,$N66)),INDEX('仕入請求台帳'!$A$5:$A$504,$N66),""))</f>
        <v/>
      </c>
      <c r="H66" s="49">
        <f>IF($N66="","",N(INDEX('仕入請求台帳'!$G$5:$G$504,$N66)))</f>
        <v/>
      </c>
      <c r="I66" s="49">
        <f>IF($N66="","",N(INDEX('仕入請求台帳'!$L$5:$L$504,$N66))+N(INDEX('仕入請求台帳'!$M$5:$M$504,$N66)))</f>
        <v/>
      </c>
      <c r="J66" s="49">
        <f>IF($N66="","",INDEX('仕入請求台帳'!$N$5:$N$504,$N66))</f>
        <v/>
      </c>
      <c r="K66" s="49">
        <f>IF(OR($N66="",$B66=""),"",IF($B67=$B66,"",SUMIF($B$7:$B$106,$B66,$J$7:$J$106)))</f>
        <v/>
      </c>
      <c r="L66" s="47">
        <f>IF($N66="","",IFERROR(INDEX('仕入先'!$H$5:$H$54,INDEX('仕入請求台帳'!$R$5:$R$504,$N66))&amp;"",""))</f>
        <v/>
      </c>
      <c r="M66" s="56" t="n"/>
      <c r="N66" s="75">
        <f>IFERROR(MATCH(SMALL('仕入請求台帳'!$T$5:$T$504,60),'仕入請求台帳'!$T$5:$T$504,0),"")</f>
        <v/>
      </c>
    </row>
    <row r="67" ht="18" customHeight="1">
      <c r="A67" s="46">
        <f>IF($N67="","",61)</f>
        <v/>
      </c>
      <c r="B67" s="45">
        <f>IF($N67="","",IF(ISNUMBER(INDEX('仕入請求台帳'!$J$5:$J$504,$N67)),INDEX('仕入請求台帳'!$J$5:$J$504,$N67),""))</f>
        <v/>
      </c>
      <c r="C67" s="46">
        <f>IF($N67="","",IF(INDEX('仕入請求台帳'!$P$5:$P$504,$N67)="","（予定日なし）",INDEX('仕入請求台帳'!$P$5:$P$504,$N67)&amp;""))</f>
        <v/>
      </c>
      <c r="D67" s="46">
        <f>IF($N67="","",INDEX('仕入請求台帳'!$B$5:$B$504,$N67)&amp;"")</f>
        <v/>
      </c>
      <c r="E67" s="47">
        <f>IF($N67="","",INDEX('仕入請求台帳'!$C$5:$C$504,$N67)&amp;"")</f>
        <v/>
      </c>
      <c r="F67" s="46">
        <f>IF($N67="","",INDEX('仕入請求台帳'!$E$5:$E$504,$N67)&amp;"")</f>
        <v/>
      </c>
      <c r="G67" s="45">
        <f>IF($N67="","",IF(ISNUMBER(INDEX('仕入請求台帳'!$A$5:$A$504,$N67)),INDEX('仕入請求台帳'!$A$5:$A$504,$N67),""))</f>
        <v/>
      </c>
      <c r="H67" s="49">
        <f>IF($N67="","",N(INDEX('仕入請求台帳'!$G$5:$G$504,$N67)))</f>
        <v/>
      </c>
      <c r="I67" s="49">
        <f>IF($N67="","",N(INDEX('仕入請求台帳'!$L$5:$L$504,$N67))+N(INDEX('仕入請求台帳'!$M$5:$M$504,$N67)))</f>
        <v/>
      </c>
      <c r="J67" s="49">
        <f>IF($N67="","",INDEX('仕入請求台帳'!$N$5:$N$504,$N67))</f>
        <v/>
      </c>
      <c r="K67" s="49">
        <f>IF(OR($N67="",$B67=""),"",IF($B68=$B67,"",SUMIF($B$7:$B$106,$B67,$J$7:$J$106)))</f>
        <v/>
      </c>
      <c r="L67" s="47">
        <f>IF($N67="","",IFERROR(INDEX('仕入先'!$H$5:$H$54,INDEX('仕入請求台帳'!$R$5:$R$504,$N67))&amp;"",""))</f>
        <v/>
      </c>
      <c r="M67" s="56" t="n"/>
      <c r="N67" s="75">
        <f>IFERROR(MATCH(SMALL('仕入請求台帳'!$T$5:$T$504,61),'仕入請求台帳'!$T$5:$T$504,0),"")</f>
        <v/>
      </c>
    </row>
    <row r="68" ht="18" customHeight="1">
      <c r="A68" s="46">
        <f>IF($N68="","",62)</f>
        <v/>
      </c>
      <c r="B68" s="45">
        <f>IF($N68="","",IF(ISNUMBER(INDEX('仕入請求台帳'!$J$5:$J$504,$N68)),INDEX('仕入請求台帳'!$J$5:$J$504,$N68),""))</f>
        <v/>
      </c>
      <c r="C68" s="46">
        <f>IF($N68="","",IF(INDEX('仕入請求台帳'!$P$5:$P$504,$N68)="","（予定日なし）",INDEX('仕入請求台帳'!$P$5:$P$504,$N68)&amp;""))</f>
        <v/>
      </c>
      <c r="D68" s="46">
        <f>IF($N68="","",INDEX('仕入請求台帳'!$B$5:$B$504,$N68)&amp;"")</f>
        <v/>
      </c>
      <c r="E68" s="47">
        <f>IF($N68="","",INDEX('仕入請求台帳'!$C$5:$C$504,$N68)&amp;"")</f>
        <v/>
      </c>
      <c r="F68" s="46">
        <f>IF($N68="","",INDEX('仕入請求台帳'!$E$5:$E$504,$N68)&amp;"")</f>
        <v/>
      </c>
      <c r="G68" s="45">
        <f>IF($N68="","",IF(ISNUMBER(INDEX('仕入請求台帳'!$A$5:$A$504,$N68)),INDEX('仕入請求台帳'!$A$5:$A$504,$N68),""))</f>
        <v/>
      </c>
      <c r="H68" s="49">
        <f>IF($N68="","",N(INDEX('仕入請求台帳'!$G$5:$G$504,$N68)))</f>
        <v/>
      </c>
      <c r="I68" s="49">
        <f>IF($N68="","",N(INDEX('仕入請求台帳'!$L$5:$L$504,$N68))+N(INDEX('仕入請求台帳'!$M$5:$M$504,$N68)))</f>
        <v/>
      </c>
      <c r="J68" s="49">
        <f>IF($N68="","",INDEX('仕入請求台帳'!$N$5:$N$504,$N68))</f>
        <v/>
      </c>
      <c r="K68" s="49">
        <f>IF(OR($N68="",$B68=""),"",IF($B69=$B68,"",SUMIF($B$7:$B$106,$B68,$J$7:$J$106)))</f>
        <v/>
      </c>
      <c r="L68" s="47">
        <f>IF($N68="","",IFERROR(INDEX('仕入先'!$H$5:$H$54,INDEX('仕入請求台帳'!$R$5:$R$504,$N68))&amp;"",""))</f>
        <v/>
      </c>
      <c r="M68" s="56" t="n"/>
      <c r="N68" s="75">
        <f>IFERROR(MATCH(SMALL('仕入請求台帳'!$T$5:$T$504,62),'仕入請求台帳'!$T$5:$T$504,0),"")</f>
        <v/>
      </c>
    </row>
    <row r="69" ht="18" customHeight="1">
      <c r="A69" s="46">
        <f>IF($N69="","",63)</f>
        <v/>
      </c>
      <c r="B69" s="45">
        <f>IF($N69="","",IF(ISNUMBER(INDEX('仕入請求台帳'!$J$5:$J$504,$N69)),INDEX('仕入請求台帳'!$J$5:$J$504,$N69),""))</f>
        <v/>
      </c>
      <c r="C69" s="46">
        <f>IF($N69="","",IF(INDEX('仕入請求台帳'!$P$5:$P$504,$N69)="","（予定日なし）",INDEX('仕入請求台帳'!$P$5:$P$504,$N69)&amp;""))</f>
        <v/>
      </c>
      <c r="D69" s="46">
        <f>IF($N69="","",INDEX('仕入請求台帳'!$B$5:$B$504,$N69)&amp;"")</f>
        <v/>
      </c>
      <c r="E69" s="47">
        <f>IF($N69="","",INDEX('仕入請求台帳'!$C$5:$C$504,$N69)&amp;"")</f>
        <v/>
      </c>
      <c r="F69" s="46">
        <f>IF($N69="","",INDEX('仕入請求台帳'!$E$5:$E$504,$N69)&amp;"")</f>
        <v/>
      </c>
      <c r="G69" s="45">
        <f>IF($N69="","",IF(ISNUMBER(INDEX('仕入請求台帳'!$A$5:$A$504,$N69)),INDEX('仕入請求台帳'!$A$5:$A$504,$N69),""))</f>
        <v/>
      </c>
      <c r="H69" s="49">
        <f>IF($N69="","",N(INDEX('仕入請求台帳'!$G$5:$G$504,$N69)))</f>
        <v/>
      </c>
      <c r="I69" s="49">
        <f>IF($N69="","",N(INDEX('仕入請求台帳'!$L$5:$L$504,$N69))+N(INDEX('仕入請求台帳'!$M$5:$M$504,$N69)))</f>
        <v/>
      </c>
      <c r="J69" s="49">
        <f>IF($N69="","",INDEX('仕入請求台帳'!$N$5:$N$504,$N69))</f>
        <v/>
      </c>
      <c r="K69" s="49">
        <f>IF(OR($N69="",$B69=""),"",IF($B70=$B69,"",SUMIF($B$7:$B$106,$B69,$J$7:$J$106)))</f>
        <v/>
      </c>
      <c r="L69" s="47">
        <f>IF($N69="","",IFERROR(INDEX('仕入先'!$H$5:$H$54,INDEX('仕入請求台帳'!$R$5:$R$504,$N69))&amp;"",""))</f>
        <v/>
      </c>
      <c r="M69" s="56" t="n"/>
      <c r="N69" s="75">
        <f>IFERROR(MATCH(SMALL('仕入請求台帳'!$T$5:$T$504,63),'仕入請求台帳'!$T$5:$T$504,0),"")</f>
        <v/>
      </c>
    </row>
    <row r="70" ht="18" customHeight="1">
      <c r="A70" s="46">
        <f>IF($N70="","",64)</f>
        <v/>
      </c>
      <c r="B70" s="45">
        <f>IF($N70="","",IF(ISNUMBER(INDEX('仕入請求台帳'!$J$5:$J$504,$N70)),INDEX('仕入請求台帳'!$J$5:$J$504,$N70),""))</f>
        <v/>
      </c>
      <c r="C70" s="46">
        <f>IF($N70="","",IF(INDEX('仕入請求台帳'!$P$5:$P$504,$N70)="","（予定日なし）",INDEX('仕入請求台帳'!$P$5:$P$504,$N70)&amp;""))</f>
        <v/>
      </c>
      <c r="D70" s="46">
        <f>IF($N70="","",INDEX('仕入請求台帳'!$B$5:$B$504,$N70)&amp;"")</f>
        <v/>
      </c>
      <c r="E70" s="47">
        <f>IF($N70="","",INDEX('仕入請求台帳'!$C$5:$C$504,$N70)&amp;"")</f>
        <v/>
      </c>
      <c r="F70" s="46">
        <f>IF($N70="","",INDEX('仕入請求台帳'!$E$5:$E$504,$N70)&amp;"")</f>
        <v/>
      </c>
      <c r="G70" s="45">
        <f>IF($N70="","",IF(ISNUMBER(INDEX('仕入請求台帳'!$A$5:$A$504,$N70)),INDEX('仕入請求台帳'!$A$5:$A$504,$N70),""))</f>
        <v/>
      </c>
      <c r="H70" s="49">
        <f>IF($N70="","",N(INDEX('仕入請求台帳'!$G$5:$G$504,$N70)))</f>
        <v/>
      </c>
      <c r="I70" s="49">
        <f>IF($N70="","",N(INDEX('仕入請求台帳'!$L$5:$L$504,$N70))+N(INDEX('仕入請求台帳'!$M$5:$M$504,$N70)))</f>
        <v/>
      </c>
      <c r="J70" s="49">
        <f>IF($N70="","",INDEX('仕入請求台帳'!$N$5:$N$504,$N70))</f>
        <v/>
      </c>
      <c r="K70" s="49">
        <f>IF(OR($N70="",$B70=""),"",IF($B71=$B70,"",SUMIF($B$7:$B$106,$B70,$J$7:$J$106)))</f>
        <v/>
      </c>
      <c r="L70" s="47">
        <f>IF($N70="","",IFERROR(INDEX('仕入先'!$H$5:$H$54,INDEX('仕入請求台帳'!$R$5:$R$504,$N70))&amp;"",""))</f>
        <v/>
      </c>
      <c r="M70" s="56" t="n"/>
      <c r="N70" s="75">
        <f>IFERROR(MATCH(SMALL('仕入請求台帳'!$T$5:$T$504,64),'仕入請求台帳'!$T$5:$T$504,0),"")</f>
        <v/>
      </c>
    </row>
    <row r="71" ht="18" customHeight="1">
      <c r="A71" s="46">
        <f>IF($N71="","",65)</f>
        <v/>
      </c>
      <c r="B71" s="45">
        <f>IF($N71="","",IF(ISNUMBER(INDEX('仕入請求台帳'!$J$5:$J$504,$N71)),INDEX('仕入請求台帳'!$J$5:$J$504,$N71),""))</f>
        <v/>
      </c>
      <c r="C71" s="46">
        <f>IF($N71="","",IF(INDEX('仕入請求台帳'!$P$5:$P$504,$N71)="","（予定日なし）",INDEX('仕入請求台帳'!$P$5:$P$504,$N71)&amp;""))</f>
        <v/>
      </c>
      <c r="D71" s="46">
        <f>IF($N71="","",INDEX('仕入請求台帳'!$B$5:$B$504,$N71)&amp;"")</f>
        <v/>
      </c>
      <c r="E71" s="47">
        <f>IF($N71="","",INDEX('仕入請求台帳'!$C$5:$C$504,$N71)&amp;"")</f>
        <v/>
      </c>
      <c r="F71" s="46">
        <f>IF($N71="","",INDEX('仕入請求台帳'!$E$5:$E$504,$N71)&amp;"")</f>
        <v/>
      </c>
      <c r="G71" s="45">
        <f>IF($N71="","",IF(ISNUMBER(INDEX('仕入請求台帳'!$A$5:$A$504,$N71)),INDEX('仕入請求台帳'!$A$5:$A$504,$N71),""))</f>
        <v/>
      </c>
      <c r="H71" s="49">
        <f>IF($N71="","",N(INDEX('仕入請求台帳'!$G$5:$G$504,$N71)))</f>
        <v/>
      </c>
      <c r="I71" s="49">
        <f>IF($N71="","",N(INDEX('仕入請求台帳'!$L$5:$L$504,$N71))+N(INDEX('仕入請求台帳'!$M$5:$M$504,$N71)))</f>
        <v/>
      </c>
      <c r="J71" s="49">
        <f>IF($N71="","",INDEX('仕入請求台帳'!$N$5:$N$504,$N71))</f>
        <v/>
      </c>
      <c r="K71" s="49">
        <f>IF(OR($N71="",$B71=""),"",IF($B72=$B71,"",SUMIF($B$7:$B$106,$B71,$J$7:$J$106)))</f>
        <v/>
      </c>
      <c r="L71" s="47">
        <f>IF($N71="","",IFERROR(INDEX('仕入先'!$H$5:$H$54,INDEX('仕入請求台帳'!$R$5:$R$504,$N71))&amp;"",""))</f>
        <v/>
      </c>
      <c r="M71" s="56" t="n"/>
      <c r="N71" s="75">
        <f>IFERROR(MATCH(SMALL('仕入請求台帳'!$T$5:$T$504,65),'仕入請求台帳'!$T$5:$T$504,0),"")</f>
        <v/>
      </c>
    </row>
    <row r="72" ht="18" customHeight="1">
      <c r="A72" s="46">
        <f>IF($N72="","",66)</f>
        <v/>
      </c>
      <c r="B72" s="45">
        <f>IF($N72="","",IF(ISNUMBER(INDEX('仕入請求台帳'!$J$5:$J$504,$N72)),INDEX('仕入請求台帳'!$J$5:$J$504,$N72),""))</f>
        <v/>
      </c>
      <c r="C72" s="46">
        <f>IF($N72="","",IF(INDEX('仕入請求台帳'!$P$5:$P$504,$N72)="","（予定日なし）",INDEX('仕入請求台帳'!$P$5:$P$504,$N72)&amp;""))</f>
        <v/>
      </c>
      <c r="D72" s="46">
        <f>IF($N72="","",INDEX('仕入請求台帳'!$B$5:$B$504,$N72)&amp;"")</f>
        <v/>
      </c>
      <c r="E72" s="47">
        <f>IF($N72="","",INDEX('仕入請求台帳'!$C$5:$C$504,$N72)&amp;"")</f>
        <v/>
      </c>
      <c r="F72" s="46">
        <f>IF($N72="","",INDEX('仕入請求台帳'!$E$5:$E$504,$N72)&amp;"")</f>
        <v/>
      </c>
      <c r="G72" s="45">
        <f>IF($N72="","",IF(ISNUMBER(INDEX('仕入請求台帳'!$A$5:$A$504,$N72)),INDEX('仕入請求台帳'!$A$5:$A$504,$N72),""))</f>
        <v/>
      </c>
      <c r="H72" s="49">
        <f>IF($N72="","",N(INDEX('仕入請求台帳'!$G$5:$G$504,$N72)))</f>
        <v/>
      </c>
      <c r="I72" s="49">
        <f>IF($N72="","",N(INDEX('仕入請求台帳'!$L$5:$L$504,$N72))+N(INDEX('仕入請求台帳'!$M$5:$M$504,$N72)))</f>
        <v/>
      </c>
      <c r="J72" s="49">
        <f>IF($N72="","",INDEX('仕入請求台帳'!$N$5:$N$504,$N72))</f>
        <v/>
      </c>
      <c r="K72" s="49">
        <f>IF(OR($N72="",$B72=""),"",IF($B73=$B72,"",SUMIF($B$7:$B$106,$B72,$J$7:$J$106)))</f>
        <v/>
      </c>
      <c r="L72" s="47">
        <f>IF($N72="","",IFERROR(INDEX('仕入先'!$H$5:$H$54,INDEX('仕入請求台帳'!$R$5:$R$504,$N72))&amp;"",""))</f>
        <v/>
      </c>
      <c r="M72" s="56" t="n"/>
      <c r="N72" s="75">
        <f>IFERROR(MATCH(SMALL('仕入請求台帳'!$T$5:$T$504,66),'仕入請求台帳'!$T$5:$T$504,0),"")</f>
        <v/>
      </c>
    </row>
    <row r="73" ht="18" customHeight="1">
      <c r="A73" s="46">
        <f>IF($N73="","",67)</f>
        <v/>
      </c>
      <c r="B73" s="45">
        <f>IF($N73="","",IF(ISNUMBER(INDEX('仕入請求台帳'!$J$5:$J$504,$N73)),INDEX('仕入請求台帳'!$J$5:$J$504,$N73),""))</f>
        <v/>
      </c>
      <c r="C73" s="46">
        <f>IF($N73="","",IF(INDEX('仕入請求台帳'!$P$5:$P$504,$N73)="","（予定日なし）",INDEX('仕入請求台帳'!$P$5:$P$504,$N73)&amp;""))</f>
        <v/>
      </c>
      <c r="D73" s="46">
        <f>IF($N73="","",INDEX('仕入請求台帳'!$B$5:$B$504,$N73)&amp;"")</f>
        <v/>
      </c>
      <c r="E73" s="47">
        <f>IF($N73="","",INDEX('仕入請求台帳'!$C$5:$C$504,$N73)&amp;"")</f>
        <v/>
      </c>
      <c r="F73" s="46">
        <f>IF($N73="","",INDEX('仕入請求台帳'!$E$5:$E$504,$N73)&amp;"")</f>
        <v/>
      </c>
      <c r="G73" s="45">
        <f>IF($N73="","",IF(ISNUMBER(INDEX('仕入請求台帳'!$A$5:$A$504,$N73)),INDEX('仕入請求台帳'!$A$5:$A$504,$N73),""))</f>
        <v/>
      </c>
      <c r="H73" s="49">
        <f>IF($N73="","",N(INDEX('仕入請求台帳'!$G$5:$G$504,$N73)))</f>
        <v/>
      </c>
      <c r="I73" s="49">
        <f>IF($N73="","",N(INDEX('仕入請求台帳'!$L$5:$L$504,$N73))+N(INDEX('仕入請求台帳'!$M$5:$M$504,$N73)))</f>
        <v/>
      </c>
      <c r="J73" s="49">
        <f>IF($N73="","",INDEX('仕入請求台帳'!$N$5:$N$504,$N73))</f>
        <v/>
      </c>
      <c r="K73" s="49">
        <f>IF(OR($N73="",$B73=""),"",IF($B74=$B73,"",SUMIF($B$7:$B$106,$B73,$J$7:$J$106)))</f>
        <v/>
      </c>
      <c r="L73" s="47">
        <f>IF($N73="","",IFERROR(INDEX('仕入先'!$H$5:$H$54,INDEX('仕入請求台帳'!$R$5:$R$504,$N73))&amp;"",""))</f>
        <v/>
      </c>
      <c r="M73" s="56" t="n"/>
      <c r="N73" s="75">
        <f>IFERROR(MATCH(SMALL('仕入請求台帳'!$T$5:$T$504,67),'仕入請求台帳'!$T$5:$T$504,0),"")</f>
        <v/>
      </c>
    </row>
    <row r="74" ht="18" customHeight="1">
      <c r="A74" s="46">
        <f>IF($N74="","",68)</f>
        <v/>
      </c>
      <c r="B74" s="45">
        <f>IF($N74="","",IF(ISNUMBER(INDEX('仕入請求台帳'!$J$5:$J$504,$N74)),INDEX('仕入請求台帳'!$J$5:$J$504,$N74),""))</f>
        <v/>
      </c>
      <c r="C74" s="46">
        <f>IF($N74="","",IF(INDEX('仕入請求台帳'!$P$5:$P$504,$N74)="","（予定日なし）",INDEX('仕入請求台帳'!$P$5:$P$504,$N74)&amp;""))</f>
        <v/>
      </c>
      <c r="D74" s="46">
        <f>IF($N74="","",INDEX('仕入請求台帳'!$B$5:$B$504,$N74)&amp;"")</f>
        <v/>
      </c>
      <c r="E74" s="47">
        <f>IF($N74="","",INDEX('仕入請求台帳'!$C$5:$C$504,$N74)&amp;"")</f>
        <v/>
      </c>
      <c r="F74" s="46">
        <f>IF($N74="","",INDEX('仕入請求台帳'!$E$5:$E$504,$N74)&amp;"")</f>
        <v/>
      </c>
      <c r="G74" s="45">
        <f>IF($N74="","",IF(ISNUMBER(INDEX('仕入請求台帳'!$A$5:$A$504,$N74)),INDEX('仕入請求台帳'!$A$5:$A$504,$N74),""))</f>
        <v/>
      </c>
      <c r="H74" s="49">
        <f>IF($N74="","",N(INDEX('仕入請求台帳'!$G$5:$G$504,$N74)))</f>
        <v/>
      </c>
      <c r="I74" s="49">
        <f>IF($N74="","",N(INDEX('仕入請求台帳'!$L$5:$L$504,$N74))+N(INDEX('仕入請求台帳'!$M$5:$M$504,$N74)))</f>
        <v/>
      </c>
      <c r="J74" s="49">
        <f>IF($N74="","",INDEX('仕入請求台帳'!$N$5:$N$504,$N74))</f>
        <v/>
      </c>
      <c r="K74" s="49">
        <f>IF(OR($N74="",$B74=""),"",IF($B75=$B74,"",SUMIF($B$7:$B$106,$B74,$J$7:$J$106)))</f>
        <v/>
      </c>
      <c r="L74" s="47">
        <f>IF($N74="","",IFERROR(INDEX('仕入先'!$H$5:$H$54,INDEX('仕入請求台帳'!$R$5:$R$504,$N74))&amp;"",""))</f>
        <v/>
      </c>
      <c r="M74" s="56" t="n"/>
      <c r="N74" s="75">
        <f>IFERROR(MATCH(SMALL('仕入請求台帳'!$T$5:$T$504,68),'仕入請求台帳'!$T$5:$T$504,0),"")</f>
        <v/>
      </c>
    </row>
    <row r="75" ht="18" customHeight="1">
      <c r="A75" s="46">
        <f>IF($N75="","",69)</f>
        <v/>
      </c>
      <c r="B75" s="45">
        <f>IF($N75="","",IF(ISNUMBER(INDEX('仕入請求台帳'!$J$5:$J$504,$N75)),INDEX('仕入請求台帳'!$J$5:$J$504,$N75),""))</f>
        <v/>
      </c>
      <c r="C75" s="46">
        <f>IF($N75="","",IF(INDEX('仕入請求台帳'!$P$5:$P$504,$N75)="","（予定日なし）",INDEX('仕入請求台帳'!$P$5:$P$504,$N75)&amp;""))</f>
        <v/>
      </c>
      <c r="D75" s="46">
        <f>IF($N75="","",INDEX('仕入請求台帳'!$B$5:$B$504,$N75)&amp;"")</f>
        <v/>
      </c>
      <c r="E75" s="47">
        <f>IF($N75="","",INDEX('仕入請求台帳'!$C$5:$C$504,$N75)&amp;"")</f>
        <v/>
      </c>
      <c r="F75" s="46">
        <f>IF($N75="","",INDEX('仕入請求台帳'!$E$5:$E$504,$N75)&amp;"")</f>
        <v/>
      </c>
      <c r="G75" s="45">
        <f>IF($N75="","",IF(ISNUMBER(INDEX('仕入請求台帳'!$A$5:$A$504,$N75)),INDEX('仕入請求台帳'!$A$5:$A$504,$N75),""))</f>
        <v/>
      </c>
      <c r="H75" s="49">
        <f>IF($N75="","",N(INDEX('仕入請求台帳'!$G$5:$G$504,$N75)))</f>
        <v/>
      </c>
      <c r="I75" s="49">
        <f>IF($N75="","",N(INDEX('仕入請求台帳'!$L$5:$L$504,$N75))+N(INDEX('仕入請求台帳'!$M$5:$M$504,$N75)))</f>
        <v/>
      </c>
      <c r="J75" s="49">
        <f>IF($N75="","",INDEX('仕入請求台帳'!$N$5:$N$504,$N75))</f>
        <v/>
      </c>
      <c r="K75" s="49">
        <f>IF(OR($N75="",$B75=""),"",IF($B76=$B75,"",SUMIF($B$7:$B$106,$B75,$J$7:$J$106)))</f>
        <v/>
      </c>
      <c r="L75" s="47">
        <f>IF($N75="","",IFERROR(INDEX('仕入先'!$H$5:$H$54,INDEX('仕入請求台帳'!$R$5:$R$504,$N75))&amp;"",""))</f>
        <v/>
      </c>
      <c r="M75" s="56" t="n"/>
      <c r="N75" s="75">
        <f>IFERROR(MATCH(SMALL('仕入請求台帳'!$T$5:$T$504,69),'仕入請求台帳'!$T$5:$T$504,0),"")</f>
        <v/>
      </c>
    </row>
    <row r="76" ht="18" customHeight="1">
      <c r="A76" s="46">
        <f>IF($N76="","",70)</f>
        <v/>
      </c>
      <c r="B76" s="45">
        <f>IF($N76="","",IF(ISNUMBER(INDEX('仕入請求台帳'!$J$5:$J$504,$N76)),INDEX('仕入請求台帳'!$J$5:$J$504,$N76),""))</f>
        <v/>
      </c>
      <c r="C76" s="46">
        <f>IF($N76="","",IF(INDEX('仕入請求台帳'!$P$5:$P$504,$N76)="","（予定日なし）",INDEX('仕入請求台帳'!$P$5:$P$504,$N76)&amp;""))</f>
        <v/>
      </c>
      <c r="D76" s="46">
        <f>IF($N76="","",INDEX('仕入請求台帳'!$B$5:$B$504,$N76)&amp;"")</f>
        <v/>
      </c>
      <c r="E76" s="47">
        <f>IF($N76="","",INDEX('仕入請求台帳'!$C$5:$C$504,$N76)&amp;"")</f>
        <v/>
      </c>
      <c r="F76" s="46">
        <f>IF($N76="","",INDEX('仕入請求台帳'!$E$5:$E$504,$N76)&amp;"")</f>
        <v/>
      </c>
      <c r="G76" s="45">
        <f>IF($N76="","",IF(ISNUMBER(INDEX('仕入請求台帳'!$A$5:$A$504,$N76)),INDEX('仕入請求台帳'!$A$5:$A$504,$N76),""))</f>
        <v/>
      </c>
      <c r="H76" s="49">
        <f>IF($N76="","",N(INDEX('仕入請求台帳'!$G$5:$G$504,$N76)))</f>
        <v/>
      </c>
      <c r="I76" s="49">
        <f>IF($N76="","",N(INDEX('仕入請求台帳'!$L$5:$L$504,$N76))+N(INDEX('仕入請求台帳'!$M$5:$M$504,$N76)))</f>
        <v/>
      </c>
      <c r="J76" s="49">
        <f>IF($N76="","",INDEX('仕入請求台帳'!$N$5:$N$504,$N76))</f>
        <v/>
      </c>
      <c r="K76" s="49">
        <f>IF(OR($N76="",$B76=""),"",IF($B77=$B76,"",SUMIF($B$7:$B$106,$B76,$J$7:$J$106)))</f>
        <v/>
      </c>
      <c r="L76" s="47">
        <f>IF($N76="","",IFERROR(INDEX('仕入先'!$H$5:$H$54,INDEX('仕入請求台帳'!$R$5:$R$504,$N76))&amp;"",""))</f>
        <v/>
      </c>
      <c r="M76" s="56" t="n"/>
      <c r="N76" s="75">
        <f>IFERROR(MATCH(SMALL('仕入請求台帳'!$T$5:$T$504,70),'仕入請求台帳'!$T$5:$T$504,0),"")</f>
        <v/>
      </c>
    </row>
    <row r="77" ht="18" customHeight="1">
      <c r="A77" s="46">
        <f>IF($N77="","",71)</f>
        <v/>
      </c>
      <c r="B77" s="45">
        <f>IF($N77="","",IF(ISNUMBER(INDEX('仕入請求台帳'!$J$5:$J$504,$N77)),INDEX('仕入請求台帳'!$J$5:$J$504,$N77),""))</f>
        <v/>
      </c>
      <c r="C77" s="46">
        <f>IF($N77="","",IF(INDEX('仕入請求台帳'!$P$5:$P$504,$N77)="","（予定日なし）",INDEX('仕入請求台帳'!$P$5:$P$504,$N77)&amp;""))</f>
        <v/>
      </c>
      <c r="D77" s="46">
        <f>IF($N77="","",INDEX('仕入請求台帳'!$B$5:$B$504,$N77)&amp;"")</f>
        <v/>
      </c>
      <c r="E77" s="47">
        <f>IF($N77="","",INDEX('仕入請求台帳'!$C$5:$C$504,$N77)&amp;"")</f>
        <v/>
      </c>
      <c r="F77" s="46">
        <f>IF($N77="","",INDEX('仕入請求台帳'!$E$5:$E$504,$N77)&amp;"")</f>
        <v/>
      </c>
      <c r="G77" s="45">
        <f>IF($N77="","",IF(ISNUMBER(INDEX('仕入請求台帳'!$A$5:$A$504,$N77)),INDEX('仕入請求台帳'!$A$5:$A$504,$N77),""))</f>
        <v/>
      </c>
      <c r="H77" s="49">
        <f>IF($N77="","",N(INDEX('仕入請求台帳'!$G$5:$G$504,$N77)))</f>
        <v/>
      </c>
      <c r="I77" s="49">
        <f>IF($N77="","",N(INDEX('仕入請求台帳'!$L$5:$L$504,$N77))+N(INDEX('仕入請求台帳'!$M$5:$M$504,$N77)))</f>
        <v/>
      </c>
      <c r="J77" s="49">
        <f>IF($N77="","",INDEX('仕入請求台帳'!$N$5:$N$504,$N77))</f>
        <v/>
      </c>
      <c r="K77" s="49">
        <f>IF(OR($N77="",$B77=""),"",IF($B78=$B77,"",SUMIF($B$7:$B$106,$B77,$J$7:$J$106)))</f>
        <v/>
      </c>
      <c r="L77" s="47">
        <f>IF($N77="","",IFERROR(INDEX('仕入先'!$H$5:$H$54,INDEX('仕入請求台帳'!$R$5:$R$504,$N77))&amp;"",""))</f>
        <v/>
      </c>
      <c r="M77" s="56" t="n"/>
      <c r="N77" s="75">
        <f>IFERROR(MATCH(SMALL('仕入請求台帳'!$T$5:$T$504,71),'仕入請求台帳'!$T$5:$T$504,0),"")</f>
        <v/>
      </c>
    </row>
    <row r="78" ht="18" customHeight="1">
      <c r="A78" s="46">
        <f>IF($N78="","",72)</f>
        <v/>
      </c>
      <c r="B78" s="45">
        <f>IF($N78="","",IF(ISNUMBER(INDEX('仕入請求台帳'!$J$5:$J$504,$N78)),INDEX('仕入請求台帳'!$J$5:$J$504,$N78),""))</f>
        <v/>
      </c>
      <c r="C78" s="46">
        <f>IF($N78="","",IF(INDEX('仕入請求台帳'!$P$5:$P$504,$N78)="","（予定日なし）",INDEX('仕入請求台帳'!$P$5:$P$504,$N78)&amp;""))</f>
        <v/>
      </c>
      <c r="D78" s="46">
        <f>IF($N78="","",INDEX('仕入請求台帳'!$B$5:$B$504,$N78)&amp;"")</f>
        <v/>
      </c>
      <c r="E78" s="47">
        <f>IF($N78="","",INDEX('仕入請求台帳'!$C$5:$C$504,$N78)&amp;"")</f>
        <v/>
      </c>
      <c r="F78" s="46">
        <f>IF($N78="","",INDEX('仕入請求台帳'!$E$5:$E$504,$N78)&amp;"")</f>
        <v/>
      </c>
      <c r="G78" s="45">
        <f>IF($N78="","",IF(ISNUMBER(INDEX('仕入請求台帳'!$A$5:$A$504,$N78)),INDEX('仕入請求台帳'!$A$5:$A$504,$N78),""))</f>
        <v/>
      </c>
      <c r="H78" s="49">
        <f>IF($N78="","",N(INDEX('仕入請求台帳'!$G$5:$G$504,$N78)))</f>
        <v/>
      </c>
      <c r="I78" s="49">
        <f>IF($N78="","",N(INDEX('仕入請求台帳'!$L$5:$L$504,$N78))+N(INDEX('仕入請求台帳'!$M$5:$M$504,$N78)))</f>
        <v/>
      </c>
      <c r="J78" s="49">
        <f>IF($N78="","",INDEX('仕入請求台帳'!$N$5:$N$504,$N78))</f>
        <v/>
      </c>
      <c r="K78" s="49">
        <f>IF(OR($N78="",$B78=""),"",IF($B79=$B78,"",SUMIF($B$7:$B$106,$B78,$J$7:$J$106)))</f>
        <v/>
      </c>
      <c r="L78" s="47">
        <f>IF($N78="","",IFERROR(INDEX('仕入先'!$H$5:$H$54,INDEX('仕入請求台帳'!$R$5:$R$504,$N78))&amp;"",""))</f>
        <v/>
      </c>
      <c r="M78" s="56" t="n"/>
      <c r="N78" s="75">
        <f>IFERROR(MATCH(SMALL('仕入請求台帳'!$T$5:$T$504,72),'仕入請求台帳'!$T$5:$T$504,0),"")</f>
        <v/>
      </c>
    </row>
    <row r="79" ht="18" customHeight="1">
      <c r="A79" s="46">
        <f>IF($N79="","",73)</f>
        <v/>
      </c>
      <c r="B79" s="45">
        <f>IF($N79="","",IF(ISNUMBER(INDEX('仕入請求台帳'!$J$5:$J$504,$N79)),INDEX('仕入請求台帳'!$J$5:$J$504,$N79),""))</f>
        <v/>
      </c>
      <c r="C79" s="46">
        <f>IF($N79="","",IF(INDEX('仕入請求台帳'!$P$5:$P$504,$N79)="","（予定日なし）",INDEX('仕入請求台帳'!$P$5:$P$504,$N79)&amp;""))</f>
        <v/>
      </c>
      <c r="D79" s="46">
        <f>IF($N79="","",INDEX('仕入請求台帳'!$B$5:$B$504,$N79)&amp;"")</f>
        <v/>
      </c>
      <c r="E79" s="47">
        <f>IF($N79="","",INDEX('仕入請求台帳'!$C$5:$C$504,$N79)&amp;"")</f>
        <v/>
      </c>
      <c r="F79" s="46">
        <f>IF($N79="","",INDEX('仕入請求台帳'!$E$5:$E$504,$N79)&amp;"")</f>
        <v/>
      </c>
      <c r="G79" s="45">
        <f>IF($N79="","",IF(ISNUMBER(INDEX('仕入請求台帳'!$A$5:$A$504,$N79)),INDEX('仕入請求台帳'!$A$5:$A$504,$N79),""))</f>
        <v/>
      </c>
      <c r="H79" s="49">
        <f>IF($N79="","",N(INDEX('仕入請求台帳'!$G$5:$G$504,$N79)))</f>
        <v/>
      </c>
      <c r="I79" s="49">
        <f>IF($N79="","",N(INDEX('仕入請求台帳'!$L$5:$L$504,$N79))+N(INDEX('仕入請求台帳'!$M$5:$M$504,$N79)))</f>
        <v/>
      </c>
      <c r="J79" s="49">
        <f>IF($N79="","",INDEX('仕入請求台帳'!$N$5:$N$504,$N79))</f>
        <v/>
      </c>
      <c r="K79" s="49">
        <f>IF(OR($N79="",$B79=""),"",IF($B80=$B79,"",SUMIF($B$7:$B$106,$B79,$J$7:$J$106)))</f>
        <v/>
      </c>
      <c r="L79" s="47">
        <f>IF($N79="","",IFERROR(INDEX('仕入先'!$H$5:$H$54,INDEX('仕入請求台帳'!$R$5:$R$504,$N79))&amp;"",""))</f>
        <v/>
      </c>
      <c r="M79" s="56" t="n"/>
      <c r="N79" s="75">
        <f>IFERROR(MATCH(SMALL('仕入請求台帳'!$T$5:$T$504,73),'仕入請求台帳'!$T$5:$T$504,0),"")</f>
        <v/>
      </c>
    </row>
    <row r="80" ht="18" customHeight="1">
      <c r="A80" s="46">
        <f>IF($N80="","",74)</f>
        <v/>
      </c>
      <c r="B80" s="45">
        <f>IF($N80="","",IF(ISNUMBER(INDEX('仕入請求台帳'!$J$5:$J$504,$N80)),INDEX('仕入請求台帳'!$J$5:$J$504,$N80),""))</f>
        <v/>
      </c>
      <c r="C80" s="46">
        <f>IF($N80="","",IF(INDEX('仕入請求台帳'!$P$5:$P$504,$N80)="","（予定日なし）",INDEX('仕入請求台帳'!$P$5:$P$504,$N80)&amp;""))</f>
        <v/>
      </c>
      <c r="D80" s="46">
        <f>IF($N80="","",INDEX('仕入請求台帳'!$B$5:$B$504,$N80)&amp;"")</f>
        <v/>
      </c>
      <c r="E80" s="47">
        <f>IF($N80="","",INDEX('仕入請求台帳'!$C$5:$C$504,$N80)&amp;"")</f>
        <v/>
      </c>
      <c r="F80" s="46">
        <f>IF($N80="","",INDEX('仕入請求台帳'!$E$5:$E$504,$N80)&amp;"")</f>
        <v/>
      </c>
      <c r="G80" s="45">
        <f>IF($N80="","",IF(ISNUMBER(INDEX('仕入請求台帳'!$A$5:$A$504,$N80)),INDEX('仕入請求台帳'!$A$5:$A$504,$N80),""))</f>
        <v/>
      </c>
      <c r="H80" s="49">
        <f>IF($N80="","",N(INDEX('仕入請求台帳'!$G$5:$G$504,$N80)))</f>
        <v/>
      </c>
      <c r="I80" s="49">
        <f>IF($N80="","",N(INDEX('仕入請求台帳'!$L$5:$L$504,$N80))+N(INDEX('仕入請求台帳'!$M$5:$M$504,$N80)))</f>
        <v/>
      </c>
      <c r="J80" s="49">
        <f>IF($N80="","",INDEX('仕入請求台帳'!$N$5:$N$504,$N80))</f>
        <v/>
      </c>
      <c r="K80" s="49">
        <f>IF(OR($N80="",$B80=""),"",IF($B81=$B80,"",SUMIF($B$7:$B$106,$B80,$J$7:$J$106)))</f>
        <v/>
      </c>
      <c r="L80" s="47">
        <f>IF($N80="","",IFERROR(INDEX('仕入先'!$H$5:$H$54,INDEX('仕入請求台帳'!$R$5:$R$504,$N80))&amp;"",""))</f>
        <v/>
      </c>
      <c r="M80" s="56" t="n"/>
      <c r="N80" s="75">
        <f>IFERROR(MATCH(SMALL('仕入請求台帳'!$T$5:$T$504,74),'仕入請求台帳'!$T$5:$T$504,0),"")</f>
        <v/>
      </c>
    </row>
    <row r="81" ht="18" customHeight="1">
      <c r="A81" s="46">
        <f>IF($N81="","",75)</f>
        <v/>
      </c>
      <c r="B81" s="45">
        <f>IF($N81="","",IF(ISNUMBER(INDEX('仕入請求台帳'!$J$5:$J$504,$N81)),INDEX('仕入請求台帳'!$J$5:$J$504,$N81),""))</f>
        <v/>
      </c>
      <c r="C81" s="46">
        <f>IF($N81="","",IF(INDEX('仕入請求台帳'!$P$5:$P$504,$N81)="","（予定日なし）",INDEX('仕入請求台帳'!$P$5:$P$504,$N81)&amp;""))</f>
        <v/>
      </c>
      <c r="D81" s="46">
        <f>IF($N81="","",INDEX('仕入請求台帳'!$B$5:$B$504,$N81)&amp;"")</f>
        <v/>
      </c>
      <c r="E81" s="47">
        <f>IF($N81="","",INDEX('仕入請求台帳'!$C$5:$C$504,$N81)&amp;"")</f>
        <v/>
      </c>
      <c r="F81" s="46">
        <f>IF($N81="","",INDEX('仕入請求台帳'!$E$5:$E$504,$N81)&amp;"")</f>
        <v/>
      </c>
      <c r="G81" s="45">
        <f>IF($N81="","",IF(ISNUMBER(INDEX('仕入請求台帳'!$A$5:$A$504,$N81)),INDEX('仕入請求台帳'!$A$5:$A$504,$N81),""))</f>
        <v/>
      </c>
      <c r="H81" s="49">
        <f>IF($N81="","",N(INDEX('仕入請求台帳'!$G$5:$G$504,$N81)))</f>
        <v/>
      </c>
      <c r="I81" s="49">
        <f>IF($N81="","",N(INDEX('仕入請求台帳'!$L$5:$L$504,$N81))+N(INDEX('仕入請求台帳'!$M$5:$M$504,$N81)))</f>
        <v/>
      </c>
      <c r="J81" s="49">
        <f>IF($N81="","",INDEX('仕入請求台帳'!$N$5:$N$504,$N81))</f>
        <v/>
      </c>
      <c r="K81" s="49">
        <f>IF(OR($N81="",$B81=""),"",IF($B82=$B81,"",SUMIF($B$7:$B$106,$B81,$J$7:$J$106)))</f>
        <v/>
      </c>
      <c r="L81" s="47">
        <f>IF($N81="","",IFERROR(INDEX('仕入先'!$H$5:$H$54,INDEX('仕入請求台帳'!$R$5:$R$504,$N81))&amp;"",""))</f>
        <v/>
      </c>
      <c r="M81" s="56" t="n"/>
      <c r="N81" s="75">
        <f>IFERROR(MATCH(SMALL('仕入請求台帳'!$T$5:$T$504,75),'仕入請求台帳'!$T$5:$T$504,0),"")</f>
        <v/>
      </c>
    </row>
    <row r="82" ht="18" customHeight="1">
      <c r="A82" s="46">
        <f>IF($N82="","",76)</f>
        <v/>
      </c>
      <c r="B82" s="45">
        <f>IF($N82="","",IF(ISNUMBER(INDEX('仕入請求台帳'!$J$5:$J$504,$N82)),INDEX('仕入請求台帳'!$J$5:$J$504,$N82),""))</f>
        <v/>
      </c>
      <c r="C82" s="46">
        <f>IF($N82="","",IF(INDEX('仕入請求台帳'!$P$5:$P$504,$N82)="","（予定日なし）",INDEX('仕入請求台帳'!$P$5:$P$504,$N82)&amp;""))</f>
        <v/>
      </c>
      <c r="D82" s="46">
        <f>IF($N82="","",INDEX('仕入請求台帳'!$B$5:$B$504,$N82)&amp;"")</f>
        <v/>
      </c>
      <c r="E82" s="47">
        <f>IF($N82="","",INDEX('仕入請求台帳'!$C$5:$C$504,$N82)&amp;"")</f>
        <v/>
      </c>
      <c r="F82" s="46">
        <f>IF($N82="","",INDEX('仕入請求台帳'!$E$5:$E$504,$N82)&amp;"")</f>
        <v/>
      </c>
      <c r="G82" s="45">
        <f>IF($N82="","",IF(ISNUMBER(INDEX('仕入請求台帳'!$A$5:$A$504,$N82)),INDEX('仕入請求台帳'!$A$5:$A$504,$N82),""))</f>
        <v/>
      </c>
      <c r="H82" s="49">
        <f>IF($N82="","",N(INDEX('仕入請求台帳'!$G$5:$G$504,$N82)))</f>
        <v/>
      </c>
      <c r="I82" s="49">
        <f>IF($N82="","",N(INDEX('仕入請求台帳'!$L$5:$L$504,$N82))+N(INDEX('仕入請求台帳'!$M$5:$M$504,$N82)))</f>
        <v/>
      </c>
      <c r="J82" s="49">
        <f>IF($N82="","",INDEX('仕入請求台帳'!$N$5:$N$504,$N82))</f>
        <v/>
      </c>
      <c r="K82" s="49">
        <f>IF(OR($N82="",$B82=""),"",IF($B83=$B82,"",SUMIF($B$7:$B$106,$B82,$J$7:$J$106)))</f>
        <v/>
      </c>
      <c r="L82" s="47">
        <f>IF($N82="","",IFERROR(INDEX('仕入先'!$H$5:$H$54,INDEX('仕入請求台帳'!$R$5:$R$504,$N82))&amp;"",""))</f>
        <v/>
      </c>
      <c r="M82" s="56" t="n"/>
      <c r="N82" s="75">
        <f>IFERROR(MATCH(SMALL('仕入請求台帳'!$T$5:$T$504,76),'仕入請求台帳'!$T$5:$T$504,0),"")</f>
        <v/>
      </c>
    </row>
    <row r="83" ht="18" customHeight="1">
      <c r="A83" s="46">
        <f>IF($N83="","",77)</f>
        <v/>
      </c>
      <c r="B83" s="45">
        <f>IF($N83="","",IF(ISNUMBER(INDEX('仕入請求台帳'!$J$5:$J$504,$N83)),INDEX('仕入請求台帳'!$J$5:$J$504,$N83),""))</f>
        <v/>
      </c>
      <c r="C83" s="46">
        <f>IF($N83="","",IF(INDEX('仕入請求台帳'!$P$5:$P$504,$N83)="","（予定日なし）",INDEX('仕入請求台帳'!$P$5:$P$504,$N83)&amp;""))</f>
        <v/>
      </c>
      <c r="D83" s="46">
        <f>IF($N83="","",INDEX('仕入請求台帳'!$B$5:$B$504,$N83)&amp;"")</f>
        <v/>
      </c>
      <c r="E83" s="47">
        <f>IF($N83="","",INDEX('仕入請求台帳'!$C$5:$C$504,$N83)&amp;"")</f>
        <v/>
      </c>
      <c r="F83" s="46">
        <f>IF($N83="","",INDEX('仕入請求台帳'!$E$5:$E$504,$N83)&amp;"")</f>
        <v/>
      </c>
      <c r="G83" s="45">
        <f>IF($N83="","",IF(ISNUMBER(INDEX('仕入請求台帳'!$A$5:$A$504,$N83)),INDEX('仕入請求台帳'!$A$5:$A$504,$N83),""))</f>
        <v/>
      </c>
      <c r="H83" s="49">
        <f>IF($N83="","",N(INDEX('仕入請求台帳'!$G$5:$G$504,$N83)))</f>
        <v/>
      </c>
      <c r="I83" s="49">
        <f>IF($N83="","",N(INDEX('仕入請求台帳'!$L$5:$L$504,$N83))+N(INDEX('仕入請求台帳'!$M$5:$M$504,$N83)))</f>
        <v/>
      </c>
      <c r="J83" s="49">
        <f>IF($N83="","",INDEX('仕入請求台帳'!$N$5:$N$504,$N83))</f>
        <v/>
      </c>
      <c r="K83" s="49">
        <f>IF(OR($N83="",$B83=""),"",IF($B84=$B83,"",SUMIF($B$7:$B$106,$B83,$J$7:$J$106)))</f>
        <v/>
      </c>
      <c r="L83" s="47">
        <f>IF($N83="","",IFERROR(INDEX('仕入先'!$H$5:$H$54,INDEX('仕入請求台帳'!$R$5:$R$504,$N83))&amp;"",""))</f>
        <v/>
      </c>
      <c r="M83" s="56" t="n"/>
      <c r="N83" s="75">
        <f>IFERROR(MATCH(SMALL('仕入請求台帳'!$T$5:$T$504,77),'仕入請求台帳'!$T$5:$T$504,0),"")</f>
        <v/>
      </c>
    </row>
    <row r="84" ht="18" customHeight="1">
      <c r="A84" s="46">
        <f>IF($N84="","",78)</f>
        <v/>
      </c>
      <c r="B84" s="45">
        <f>IF($N84="","",IF(ISNUMBER(INDEX('仕入請求台帳'!$J$5:$J$504,$N84)),INDEX('仕入請求台帳'!$J$5:$J$504,$N84),""))</f>
        <v/>
      </c>
      <c r="C84" s="46">
        <f>IF($N84="","",IF(INDEX('仕入請求台帳'!$P$5:$P$504,$N84)="","（予定日なし）",INDEX('仕入請求台帳'!$P$5:$P$504,$N84)&amp;""))</f>
        <v/>
      </c>
      <c r="D84" s="46">
        <f>IF($N84="","",INDEX('仕入請求台帳'!$B$5:$B$504,$N84)&amp;"")</f>
        <v/>
      </c>
      <c r="E84" s="47">
        <f>IF($N84="","",INDEX('仕入請求台帳'!$C$5:$C$504,$N84)&amp;"")</f>
        <v/>
      </c>
      <c r="F84" s="46">
        <f>IF($N84="","",INDEX('仕入請求台帳'!$E$5:$E$504,$N84)&amp;"")</f>
        <v/>
      </c>
      <c r="G84" s="45">
        <f>IF($N84="","",IF(ISNUMBER(INDEX('仕入請求台帳'!$A$5:$A$504,$N84)),INDEX('仕入請求台帳'!$A$5:$A$504,$N84),""))</f>
        <v/>
      </c>
      <c r="H84" s="49">
        <f>IF($N84="","",N(INDEX('仕入請求台帳'!$G$5:$G$504,$N84)))</f>
        <v/>
      </c>
      <c r="I84" s="49">
        <f>IF($N84="","",N(INDEX('仕入請求台帳'!$L$5:$L$504,$N84))+N(INDEX('仕入請求台帳'!$M$5:$M$504,$N84)))</f>
        <v/>
      </c>
      <c r="J84" s="49">
        <f>IF($N84="","",INDEX('仕入請求台帳'!$N$5:$N$504,$N84))</f>
        <v/>
      </c>
      <c r="K84" s="49">
        <f>IF(OR($N84="",$B84=""),"",IF($B85=$B84,"",SUMIF($B$7:$B$106,$B84,$J$7:$J$106)))</f>
        <v/>
      </c>
      <c r="L84" s="47">
        <f>IF($N84="","",IFERROR(INDEX('仕入先'!$H$5:$H$54,INDEX('仕入請求台帳'!$R$5:$R$504,$N84))&amp;"",""))</f>
        <v/>
      </c>
      <c r="M84" s="56" t="n"/>
      <c r="N84" s="75">
        <f>IFERROR(MATCH(SMALL('仕入請求台帳'!$T$5:$T$504,78),'仕入請求台帳'!$T$5:$T$504,0),"")</f>
        <v/>
      </c>
    </row>
    <row r="85" ht="18" customHeight="1">
      <c r="A85" s="46">
        <f>IF($N85="","",79)</f>
        <v/>
      </c>
      <c r="B85" s="45">
        <f>IF($N85="","",IF(ISNUMBER(INDEX('仕入請求台帳'!$J$5:$J$504,$N85)),INDEX('仕入請求台帳'!$J$5:$J$504,$N85),""))</f>
        <v/>
      </c>
      <c r="C85" s="46">
        <f>IF($N85="","",IF(INDEX('仕入請求台帳'!$P$5:$P$504,$N85)="","（予定日なし）",INDEX('仕入請求台帳'!$P$5:$P$504,$N85)&amp;""))</f>
        <v/>
      </c>
      <c r="D85" s="46">
        <f>IF($N85="","",INDEX('仕入請求台帳'!$B$5:$B$504,$N85)&amp;"")</f>
        <v/>
      </c>
      <c r="E85" s="47">
        <f>IF($N85="","",INDEX('仕入請求台帳'!$C$5:$C$504,$N85)&amp;"")</f>
        <v/>
      </c>
      <c r="F85" s="46">
        <f>IF($N85="","",INDEX('仕入請求台帳'!$E$5:$E$504,$N85)&amp;"")</f>
        <v/>
      </c>
      <c r="G85" s="45">
        <f>IF($N85="","",IF(ISNUMBER(INDEX('仕入請求台帳'!$A$5:$A$504,$N85)),INDEX('仕入請求台帳'!$A$5:$A$504,$N85),""))</f>
        <v/>
      </c>
      <c r="H85" s="49">
        <f>IF($N85="","",N(INDEX('仕入請求台帳'!$G$5:$G$504,$N85)))</f>
        <v/>
      </c>
      <c r="I85" s="49">
        <f>IF($N85="","",N(INDEX('仕入請求台帳'!$L$5:$L$504,$N85))+N(INDEX('仕入請求台帳'!$M$5:$M$504,$N85)))</f>
        <v/>
      </c>
      <c r="J85" s="49">
        <f>IF($N85="","",INDEX('仕入請求台帳'!$N$5:$N$504,$N85))</f>
        <v/>
      </c>
      <c r="K85" s="49">
        <f>IF(OR($N85="",$B85=""),"",IF($B86=$B85,"",SUMIF($B$7:$B$106,$B85,$J$7:$J$106)))</f>
        <v/>
      </c>
      <c r="L85" s="47">
        <f>IF($N85="","",IFERROR(INDEX('仕入先'!$H$5:$H$54,INDEX('仕入請求台帳'!$R$5:$R$504,$N85))&amp;"",""))</f>
        <v/>
      </c>
      <c r="M85" s="56" t="n"/>
      <c r="N85" s="75">
        <f>IFERROR(MATCH(SMALL('仕入請求台帳'!$T$5:$T$504,79),'仕入請求台帳'!$T$5:$T$504,0),"")</f>
        <v/>
      </c>
    </row>
    <row r="86" ht="18" customHeight="1">
      <c r="A86" s="46">
        <f>IF($N86="","",80)</f>
        <v/>
      </c>
      <c r="B86" s="45">
        <f>IF($N86="","",IF(ISNUMBER(INDEX('仕入請求台帳'!$J$5:$J$504,$N86)),INDEX('仕入請求台帳'!$J$5:$J$504,$N86),""))</f>
        <v/>
      </c>
      <c r="C86" s="46">
        <f>IF($N86="","",IF(INDEX('仕入請求台帳'!$P$5:$P$504,$N86)="","（予定日なし）",INDEX('仕入請求台帳'!$P$5:$P$504,$N86)&amp;""))</f>
        <v/>
      </c>
      <c r="D86" s="46">
        <f>IF($N86="","",INDEX('仕入請求台帳'!$B$5:$B$504,$N86)&amp;"")</f>
        <v/>
      </c>
      <c r="E86" s="47">
        <f>IF($N86="","",INDEX('仕入請求台帳'!$C$5:$C$504,$N86)&amp;"")</f>
        <v/>
      </c>
      <c r="F86" s="46">
        <f>IF($N86="","",INDEX('仕入請求台帳'!$E$5:$E$504,$N86)&amp;"")</f>
        <v/>
      </c>
      <c r="G86" s="45">
        <f>IF($N86="","",IF(ISNUMBER(INDEX('仕入請求台帳'!$A$5:$A$504,$N86)),INDEX('仕入請求台帳'!$A$5:$A$504,$N86),""))</f>
        <v/>
      </c>
      <c r="H86" s="49">
        <f>IF($N86="","",N(INDEX('仕入請求台帳'!$G$5:$G$504,$N86)))</f>
        <v/>
      </c>
      <c r="I86" s="49">
        <f>IF($N86="","",N(INDEX('仕入請求台帳'!$L$5:$L$504,$N86))+N(INDEX('仕入請求台帳'!$M$5:$M$504,$N86)))</f>
        <v/>
      </c>
      <c r="J86" s="49">
        <f>IF($N86="","",INDEX('仕入請求台帳'!$N$5:$N$504,$N86))</f>
        <v/>
      </c>
      <c r="K86" s="49">
        <f>IF(OR($N86="",$B86=""),"",IF($B87=$B86,"",SUMIF($B$7:$B$106,$B86,$J$7:$J$106)))</f>
        <v/>
      </c>
      <c r="L86" s="47">
        <f>IF($N86="","",IFERROR(INDEX('仕入先'!$H$5:$H$54,INDEX('仕入請求台帳'!$R$5:$R$504,$N86))&amp;"",""))</f>
        <v/>
      </c>
      <c r="M86" s="56" t="n"/>
      <c r="N86" s="75">
        <f>IFERROR(MATCH(SMALL('仕入請求台帳'!$T$5:$T$504,80),'仕入請求台帳'!$T$5:$T$504,0),"")</f>
        <v/>
      </c>
    </row>
    <row r="87" ht="18" customHeight="1">
      <c r="A87" s="46">
        <f>IF($N87="","",81)</f>
        <v/>
      </c>
      <c r="B87" s="45">
        <f>IF($N87="","",IF(ISNUMBER(INDEX('仕入請求台帳'!$J$5:$J$504,$N87)),INDEX('仕入請求台帳'!$J$5:$J$504,$N87),""))</f>
        <v/>
      </c>
      <c r="C87" s="46">
        <f>IF($N87="","",IF(INDEX('仕入請求台帳'!$P$5:$P$504,$N87)="","（予定日なし）",INDEX('仕入請求台帳'!$P$5:$P$504,$N87)&amp;""))</f>
        <v/>
      </c>
      <c r="D87" s="46">
        <f>IF($N87="","",INDEX('仕入請求台帳'!$B$5:$B$504,$N87)&amp;"")</f>
        <v/>
      </c>
      <c r="E87" s="47">
        <f>IF($N87="","",INDEX('仕入請求台帳'!$C$5:$C$504,$N87)&amp;"")</f>
        <v/>
      </c>
      <c r="F87" s="46">
        <f>IF($N87="","",INDEX('仕入請求台帳'!$E$5:$E$504,$N87)&amp;"")</f>
        <v/>
      </c>
      <c r="G87" s="45">
        <f>IF($N87="","",IF(ISNUMBER(INDEX('仕入請求台帳'!$A$5:$A$504,$N87)),INDEX('仕入請求台帳'!$A$5:$A$504,$N87),""))</f>
        <v/>
      </c>
      <c r="H87" s="49">
        <f>IF($N87="","",N(INDEX('仕入請求台帳'!$G$5:$G$504,$N87)))</f>
        <v/>
      </c>
      <c r="I87" s="49">
        <f>IF($N87="","",N(INDEX('仕入請求台帳'!$L$5:$L$504,$N87))+N(INDEX('仕入請求台帳'!$M$5:$M$504,$N87)))</f>
        <v/>
      </c>
      <c r="J87" s="49">
        <f>IF($N87="","",INDEX('仕入請求台帳'!$N$5:$N$504,$N87))</f>
        <v/>
      </c>
      <c r="K87" s="49">
        <f>IF(OR($N87="",$B87=""),"",IF($B88=$B87,"",SUMIF($B$7:$B$106,$B87,$J$7:$J$106)))</f>
        <v/>
      </c>
      <c r="L87" s="47">
        <f>IF($N87="","",IFERROR(INDEX('仕入先'!$H$5:$H$54,INDEX('仕入請求台帳'!$R$5:$R$504,$N87))&amp;"",""))</f>
        <v/>
      </c>
      <c r="M87" s="56" t="n"/>
      <c r="N87" s="75">
        <f>IFERROR(MATCH(SMALL('仕入請求台帳'!$T$5:$T$504,81),'仕入請求台帳'!$T$5:$T$504,0),"")</f>
        <v/>
      </c>
    </row>
    <row r="88" ht="18" customHeight="1">
      <c r="A88" s="46">
        <f>IF($N88="","",82)</f>
        <v/>
      </c>
      <c r="B88" s="45">
        <f>IF($N88="","",IF(ISNUMBER(INDEX('仕入請求台帳'!$J$5:$J$504,$N88)),INDEX('仕入請求台帳'!$J$5:$J$504,$N88),""))</f>
        <v/>
      </c>
      <c r="C88" s="46">
        <f>IF($N88="","",IF(INDEX('仕入請求台帳'!$P$5:$P$504,$N88)="","（予定日なし）",INDEX('仕入請求台帳'!$P$5:$P$504,$N88)&amp;""))</f>
        <v/>
      </c>
      <c r="D88" s="46">
        <f>IF($N88="","",INDEX('仕入請求台帳'!$B$5:$B$504,$N88)&amp;"")</f>
        <v/>
      </c>
      <c r="E88" s="47">
        <f>IF($N88="","",INDEX('仕入請求台帳'!$C$5:$C$504,$N88)&amp;"")</f>
        <v/>
      </c>
      <c r="F88" s="46">
        <f>IF($N88="","",INDEX('仕入請求台帳'!$E$5:$E$504,$N88)&amp;"")</f>
        <v/>
      </c>
      <c r="G88" s="45">
        <f>IF($N88="","",IF(ISNUMBER(INDEX('仕入請求台帳'!$A$5:$A$504,$N88)),INDEX('仕入請求台帳'!$A$5:$A$504,$N88),""))</f>
        <v/>
      </c>
      <c r="H88" s="49">
        <f>IF($N88="","",N(INDEX('仕入請求台帳'!$G$5:$G$504,$N88)))</f>
        <v/>
      </c>
      <c r="I88" s="49">
        <f>IF($N88="","",N(INDEX('仕入請求台帳'!$L$5:$L$504,$N88))+N(INDEX('仕入請求台帳'!$M$5:$M$504,$N88)))</f>
        <v/>
      </c>
      <c r="J88" s="49">
        <f>IF($N88="","",INDEX('仕入請求台帳'!$N$5:$N$504,$N88))</f>
        <v/>
      </c>
      <c r="K88" s="49">
        <f>IF(OR($N88="",$B88=""),"",IF($B89=$B88,"",SUMIF($B$7:$B$106,$B88,$J$7:$J$106)))</f>
        <v/>
      </c>
      <c r="L88" s="47">
        <f>IF($N88="","",IFERROR(INDEX('仕入先'!$H$5:$H$54,INDEX('仕入請求台帳'!$R$5:$R$504,$N88))&amp;"",""))</f>
        <v/>
      </c>
      <c r="M88" s="56" t="n"/>
      <c r="N88" s="75">
        <f>IFERROR(MATCH(SMALL('仕入請求台帳'!$T$5:$T$504,82),'仕入請求台帳'!$T$5:$T$504,0),"")</f>
        <v/>
      </c>
    </row>
    <row r="89" ht="18" customHeight="1">
      <c r="A89" s="46">
        <f>IF($N89="","",83)</f>
        <v/>
      </c>
      <c r="B89" s="45">
        <f>IF($N89="","",IF(ISNUMBER(INDEX('仕入請求台帳'!$J$5:$J$504,$N89)),INDEX('仕入請求台帳'!$J$5:$J$504,$N89),""))</f>
        <v/>
      </c>
      <c r="C89" s="46">
        <f>IF($N89="","",IF(INDEX('仕入請求台帳'!$P$5:$P$504,$N89)="","（予定日なし）",INDEX('仕入請求台帳'!$P$5:$P$504,$N89)&amp;""))</f>
        <v/>
      </c>
      <c r="D89" s="46">
        <f>IF($N89="","",INDEX('仕入請求台帳'!$B$5:$B$504,$N89)&amp;"")</f>
        <v/>
      </c>
      <c r="E89" s="47">
        <f>IF($N89="","",INDEX('仕入請求台帳'!$C$5:$C$504,$N89)&amp;"")</f>
        <v/>
      </c>
      <c r="F89" s="46">
        <f>IF($N89="","",INDEX('仕入請求台帳'!$E$5:$E$504,$N89)&amp;"")</f>
        <v/>
      </c>
      <c r="G89" s="45">
        <f>IF($N89="","",IF(ISNUMBER(INDEX('仕入請求台帳'!$A$5:$A$504,$N89)),INDEX('仕入請求台帳'!$A$5:$A$504,$N89),""))</f>
        <v/>
      </c>
      <c r="H89" s="49">
        <f>IF($N89="","",N(INDEX('仕入請求台帳'!$G$5:$G$504,$N89)))</f>
        <v/>
      </c>
      <c r="I89" s="49">
        <f>IF($N89="","",N(INDEX('仕入請求台帳'!$L$5:$L$504,$N89))+N(INDEX('仕入請求台帳'!$M$5:$M$504,$N89)))</f>
        <v/>
      </c>
      <c r="J89" s="49">
        <f>IF($N89="","",INDEX('仕入請求台帳'!$N$5:$N$504,$N89))</f>
        <v/>
      </c>
      <c r="K89" s="49">
        <f>IF(OR($N89="",$B89=""),"",IF($B90=$B89,"",SUMIF($B$7:$B$106,$B89,$J$7:$J$106)))</f>
        <v/>
      </c>
      <c r="L89" s="47">
        <f>IF($N89="","",IFERROR(INDEX('仕入先'!$H$5:$H$54,INDEX('仕入請求台帳'!$R$5:$R$504,$N89))&amp;"",""))</f>
        <v/>
      </c>
      <c r="M89" s="56" t="n"/>
      <c r="N89" s="75">
        <f>IFERROR(MATCH(SMALL('仕入請求台帳'!$T$5:$T$504,83),'仕入請求台帳'!$T$5:$T$504,0),"")</f>
        <v/>
      </c>
    </row>
    <row r="90" ht="18" customHeight="1">
      <c r="A90" s="46">
        <f>IF($N90="","",84)</f>
        <v/>
      </c>
      <c r="B90" s="45">
        <f>IF($N90="","",IF(ISNUMBER(INDEX('仕入請求台帳'!$J$5:$J$504,$N90)),INDEX('仕入請求台帳'!$J$5:$J$504,$N90),""))</f>
        <v/>
      </c>
      <c r="C90" s="46">
        <f>IF($N90="","",IF(INDEX('仕入請求台帳'!$P$5:$P$504,$N90)="","（予定日なし）",INDEX('仕入請求台帳'!$P$5:$P$504,$N90)&amp;""))</f>
        <v/>
      </c>
      <c r="D90" s="46">
        <f>IF($N90="","",INDEX('仕入請求台帳'!$B$5:$B$504,$N90)&amp;"")</f>
        <v/>
      </c>
      <c r="E90" s="47">
        <f>IF($N90="","",INDEX('仕入請求台帳'!$C$5:$C$504,$N90)&amp;"")</f>
        <v/>
      </c>
      <c r="F90" s="46">
        <f>IF($N90="","",INDEX('仕入請求台帳'!$E$5:$E$504,$N90)&amp;"")</f>
        <v/>
      </c>
      <c r="G90" s="45">
        <f>IF($N90="","",IF(ISNUMBER(INDEX('仕入請求台帳'!$A$5:$A$504,$N90)),INDEX('仕入請求台帳'!$A$5:$A$504,$N90),""))</f>
        <v/>
      </c>
      <c r="H90" s="49">
        <f>IF($N90="","",N(INDEX('仕入請求台帳'!$G$5:$G$504,$N90)))</f>
        <v/>
      </c>
      <c r="I90" s="49">
        <f>IF($N90="","",N(INDEX('仕入請求台帳'!$L$5:$L$504,$N90))+N(INDEX('仕入請求台帳'!$M$5:$M$504,$N90)))</f>
        <v/>
      </c>
      <c r="J90" s="49">
        <f>IF($N90="","",INDEX('仕入請求台帳'!$N$5:$N$504,$N90))</f>
        <v/>
      </c>
      <c r="K90" s="49">
        <f>IF(OR($N90="",$B90=""),"",IF($B91=$B90,"",SUMIF($B$7:$B$106,$B90,$J$7:$J$106)))</f>
        <v/>
      </c>
      <c r="L90" s="47">
        <f>IF($N90="","",IFERROR(INDEX('仕入先'!$H$5:$H$54,INDEX('仕入請求台帳'!$R$5:$R$504,$N90))&amp;"",""))</f>
        <v/>
      </c>
      <c r="M90" s="56" t="n"/>
      <c r="N90" s="75">
        <f>IFERROR(MATCH(SMALL('仕入請求台帳'!$T$5:$T$504,84),'仕入請求台帳'!$T$5:$T$504,0),"")</f>
        <v/>
      </c>
    </row>
    <row r="91" ht="18" customHeight="1">
      <c r="A91" s="46">
        <f>IF($N91="","",85)</f>
        <v/>
      </c>
      <c r="B91" s="45">
        <f>IF($N91="","",IF(ISNUMBER(INDEX('仕入請求台帳'!$J$5:$J$504,$N91)),INDEX('仕入請求台帳'!$J$5:$J$504,$N91),""))</f>
        <v/>
      </c>
      <c r="C91" s="46">
        <f>IF($N91="","",IF(INDEX('仕入請求台帳'!$P$5:$P$504,$N91)="","（予定日なし）",INDEX('仕入請求台帳'!$P$5:$P$504,$N91)&amp;""))</f>
        <v/>
      </c>
      <c r="D91" s="46">
        <f>IF($N91="","",INDEX('仕入請求台帳'!$B$5:$B$504,$N91)&amp;"")</f>
        <v/>
      </c>
      <c r="E91" s="47">
        <f>IF($N91="","",INDEX('仕入請求台帳'!$C$5:$C$504,$N91)&amp;"")</f>
        <v/>
      </c>
      <c r="F91" s="46">
        <f>IF($N91="","",INDEX('仕入請求台帳'!$E$5:$E$504,$N91)&amp;"")</f>
        <v/>
      </c>
      <c r="G91" s="45">
        <f>IF($N91="","",IF(ISNUMBER(INDEX('仕入請求台帳'!$A$5:$A$504,$N91)),INDEX('仕入請求台帳'!$A$5:$A$504,$N91),""))</f>
        <v/>
      </c>
      <c r="H91" s="49">
        <f>IF($N91="","",N(INDEX('仕入請求台帳'!$G$5:$G$504,$N91)))</f>
        <v/>
      </c>
      <c r="I91" s="49">
        <f>IF($N91="","",N(INDEX('仕入請求台帳'!$L$5:$L$504,$N91))+N(INDEX('仕入請求台帳'!$M$5:$M$504,$N91)))</f>
        <v/>
      </c>
      <c r="J91" s="49">
        <f>IF($N91="","",INDEX('仕入請求台帳'!$N$5:$N$504,$N91))</f>
        <v/>
      </c>
      <c r="K91" s="49">
        <f>IF(OR($N91="",$B91=""),"",IF($B92=$B91,"",SUMIF($B$7:$B$106,$B91,$J$7:$J$106)))</f>
        <v/>
      </c>
      <c r="L91" s="47">
        <f>IF($N91="","",IFERROR(INDEX('仕入先'!$H$5:$H$54,INDEX('仕入請求台帳'!$R$5:$R$504,$N91))&amp;"",""))</f>
        <v/>
      </c>
      <c r="M91" s="56" t="n"/>
      <c r="N91" s="75">
        <f>IFERROR(MATCH(SMALL('仕入請求台帳'!$T$5:$T$504,85),'仕入請求台帳'!$T$5:$T$504,0),"")</f>
        <v/>
      </c>
    </row>
    <row r="92" ht="18" customHeight="1">
      <c r="A92" s="46">
        <f>IF($N92="","",86)</f>
        <v/>
      </c>
      <c r="B92" s="45">
        <f>IF($N92="","",IF(ISNUMBER(INDEX('仕入請求台帳'!$J$5:$J$504,$N92)),INDEX('仕入請求台帳'!$J$5:$J$504,$N92),""))</f>
        <v/>
      </c>
      <c r="C92" s="46">
        <f>IF($N92="","",IF(INDEX('仕入請求台帳'!$P$5:$P$504,$N92)="","（予定日なし）",INDEX('仕入請求台帳'!$P$5:$P$504,$N92)&amp;""))</f>
        <v/>
      </c>
      <c r="D92" s="46">
        <f>IF($N92="","",INDEX('仕入請求台帳'!$B$5:$B$504,$N92)&amp;"")</f>
        <v/>
      </c>
      <c r="E92" s="47">
        <f>IF($N92="","",INDEX('仕入請求台帳'!$C$5:$C$504,$N92)&amp;"")</f>
        <v/>
      </c>
      <c r="F92" s="46">
        <f>IF($N92="","",INDEX('仕入請求台帳'!$E$5:$E$504,$N92)&amp;"")</f>
        <v/>
      </c>
      <c r="G92" s="45">
        <f>IF($N92="","",IF(ISNUMBER(INDEX('仕入請求台帳'!$A$5:$A$504,$N92)),INDEX('仕入請求台帳'!$A$5:$A$504,$N92),""))</f>
        <v/>
      </c>
      <c r="H92" s="49">
        <f>IF($N92="","",N(INDEX('仕入請求台帳'!$G$5:$G$504,$N92)))</f>
        <v/>
      </c>
      <c r="I92" s="49">
        <f>IF($N92="","",N(INDEX('仕入請求台帳'!$L$5:$L$504,$N92))+N(INDEX('仕入請求台帳'!$M$5:$M$504,$N92)))</f>
        <v/>
      </c>
      <c r="J92" s="49">
        <f>IF($N92="","",INDEX('仕入請求台帳'!$N$5:$N$504,$N92))</f>
        <v/>
      </c>
      <c r="K92" s="49">
        <f>IF(OR($N92="",$B92=""),"",IF($B93=$B92,"",SUMIF($B$7:$B$106,$B92,$J$7:$J$106)))</f>
        <v/>
      </c>
      <c r="L92" s="47">
        <f>IF($N92="","",IFERROR(INDEX('仕入先'!$H$5:$H$54,INDEX('仕入請求台帳'!$R$5:$R$504,$N92))&amp;"",""))</f>
        <v/>
      </c>
      <c r="M92" s="56" t="n"/>
      <c r="N92" s="75">
        <f>IFERROR(MATCH(SMALL('仕入請求台帳'!$T$5:$T$504,86),'仕入請求台帳'!$T$5:$T$504,0),"")</f>
        <v/>
      </c>
    </row>
    <row r="93" ht="18" customHeight="1">
      <c r="A93" s="46">
        <f>IF($N93="","",87)</f>
        <v/>
      </c>
      <c r="B93" s="45">
        <f>IF($N93="","",IF(ISNUMBER(INDEX('仕入請求台帳'!$J$5:$J$504,$N93)),INDEX('仕入請求台帳'!$J$5:$J$504,$N93),""))</f>
        <v/>
      </c>
      <c r="C93" s="46">
        <f>IF($N93="","",IF(INDEX('仕入請求台帳'!$P$5:$P$504,$N93)="","（予定日なし）",INDEX('仕入請求台帳'!$P$5:$P$504,$N93)&amp;""))</f>
        <v/>
      </c>
      <c r="D93" s="46">
        <f>IF($N93="","",INDEX('仕入請求台帳'!$B$5:$B$504,$N93)&amp;"")</f>
        <v/>
      </c>
      <c r="E93" s="47">
        <f>IF($N93="","",INDEX('仕入請求台帳'!$C$5:$C$504,$N93)&amp;"")</f>
        <v/>
      </c>
      <c r="F93" s="46">
        <f>IF($N93="","",INDEX('仕入請求台帳'!$E$5:$E$504,$N93)&amp;"")</f>
        <v/>
      </c>
      <c r="G93" s="45">
        <f>IF($N93="","",IF(ISNUMBER(INDEX('仕入請求台帳'!$A$5:$A$504,$N93)),INDEX('仕入請求台帳'!$A$5:$A$504,$N93),""))</f>
        <v/>
      </c>
      <c r="H93" s="49">
        <f>IF($N93="","",N(INDEX('仕入請求台帳'!$G$5:$G$504,$N93)))</f>
        <v/>
      </c>
      <c r="I93" s="49">
        <f>IF($N93="","",N(INDEX('仕入請求台帳'!$L$5:$L$504,$N93))+N(INDEX('仕入請求台帳'!$M$5:$M$504,$N93)))</f>
        <v/>
      </c>
      <c r="J93" s="49">
        <f>IF($N93="","",INDEX('仕入請求台帳'!$N$5:$N$504,$N93))</f>
        <v/>
      </c>
      <c r="K93" s="49">
        <f>IF(OR($N93="",$B93=""),"",IF($B94=$B93,"",SUMIF($B$7:$B$106,$B93,$J$7:$J$106)))</f>
        <v/>
      </c>
      <c r="L93" s="47">
        <f>IF($N93="","",IFERROR(INDEX('仕入先'!$H$5:$H$54,INDEX('仕入請求台帳'!$R$5:$R$504,$N93))&amp;"",""))</f>
        <v/>
      </c>
      <c r="M93" s="56" t="n"/>
      <c r="N93" s="75">
        <f>IFERROR(MATCH(SMALL('仕入請求台帳'!$T$5:$T$504,87),'仕入請求台帳'!$T$5:$T$504,0),"")</f>
        <v/>
      </c>
    </row>
    <row r="94" ht="18" customHeight="1">
      <c r="A94" s="46">
        <f>IF($N94="","",88)</f>
        <v/>
      </c>
      <c r="B94" s="45">
        <f>IF($N94="","",IF(ISNUMBER(INDEX('仕入請求台帳'!$J$5:$J$504,$N94)),INDEX('仕入請求台帳'!$J$5:$J$504,$N94),""))</f>
        <v/>
      </c>
      <c r="C94" s="46">
        <f>IF($N94="","",IF(INDEX('仕入請求台帳'!$P$5:$P$504,$N94)="","（予定日なし）",INDEX('仕入請求台帳'!$P$5:$P$504,$N94)&amp;""))</f>
        <v/>
      </c>
      <c r="D94" s="46">
        <f>IF($N94="","",INDEX('仕入請求台帳'!$B$5:$B$504,$N94)&amp;"")</f>
        <v/>
      </c>
      <c r="E94" s="47">
        <f>IF($N94="","",INDEX('仕入請求台帳'!$C$5:$C$504,$N94)&amp;"")</f>
        <v/>
      </c>
      <c r="F94" s="46">
        <f>IF($N94="","",INDEX('仕入請求台帳'!$E$5:$E$504,$N94)&amp;"")</f>
        <v/>
      </c>
      <c r="G94" s="45">
        <f>IF($N94="","",IF(ISNUMBER(INDEX('仕入請求台帳'!$A$5:$A$504,$N94)),INDEX('仕入請求台帳'!$A$5:$A$504,$N94),""))</f>
        <v/>
      </c>
      <c r="H94" s="49">
        <f>IF($N94="","",N(INDEX('仕入請求台帳'!$G$5:$G$504,$N94)))</f>
        <v/>
      </c>
      <c r="I94" s="49">
        <f>IF($N94="","",N(INDEX('仕入請求台帳'!$L$5:$L$504,$N94))+N(INDEX('仕入請求台帳'!$M$5:$M$504,$N94)))</f>
        <v/>
      </c>
      <c r="J94" s="49">
        <f>IF($N94="","",INDEX('仕入請求台帳'!$N$5:$N$504,$N94))</f>
        <v/>
      </c>
      <c r="K94" s="49">
        <f>IF(OR($N94="",$B94=""),"",IF($B95=$B94,"",SUMIF($B$7:$B$106,$B94,$J$7:$J$106)))</f>
        <v/>
      </c>
      <c r="L94" s="47">
        <f>IF($N94="","",IFERROR(INDEX('仕入先'!$H$5:$H$54,INDEX('仕入請求台帳'!$R$5:$R$504,$N94))&amp;"",""))</f>
        <v/>
      </c>
      <c r="M94" s="56" t="n"/>
      <c r="N94" s="75">
        <f>IFERROR(MATCH(SMALL('仕入請求台帳'!$T$5:$T$504,88),'仕入請求台帳'!$T$5:$T$504,0),"")</f>
        <v/>
      </c>
    </row>
    <row r="95" ht="18" customHeight="1">
      <c r="A95" s="46">
        <f>IF($N95="","",89)</f>
        <v/>
      </c>
      <c r="B95" s="45">
        <f>IF($N95="","",IF(ISNUMBER(INDEX('仕入請求台帳'!$J$5:$J$504,$N95)),INDEX('仕入請求台帳'!$J$5:$J$504,$N95),""))</f>
        <v/>
      </c>
      <c r="C95" s="46">
        <f>IF($N95="","",IF(INDEX('仕入請求台帳'!$P$5:$P$504,$N95)="","（予定日なし）",INDEX('仕入請求台帳'!$P$5:$P$504,$N95)&amp;""))</f>
        <v/>
      </c>
      <c r="D95" s="46">
        <f>IF($N95="","",INDEX('仕入請求台帳'!$B$5:$B$504,$N95)&amp;"")</f>
        <v/>
      </c>
      <c r="E95" s="47">
        <f>IF($N95="","",INDEX('仕入請求台帳'!$C$5:$C$504,$N95)&amp;"")</f>
        <v/>
      </c>
      <c r="F95" s="46">
        <f>IF($N95="","",INDEX('仕入請求台帳'!$E$5:$E$504,$N95)&amp;"")</f>
        <v/>
      </c>
      <c r="G95" s="45">
        <f>IF($N95="","",IF(ISNUMBER(INDEX('仕入請求台帳'!$A$5:$A$504,$N95)),INDEX('仕入請求台帳'!$A$5:$A$504,$N95),""))</f>
        <v/>
      </c>
      <c r="H95" s="49">
        <f>IF($N95="","",N(INDEX('仕入請求台帳'!$G$5:$G$504,$N95)))</f>
        <v/>
      </c>
      <c r="I95" s="49">
        <f>IF($N95="","",N(INDEX('仕入請求台帳'!$L$5:$L$504,$N95))+N(INDEX('仕入請求台帳'!$M$5:$M$504,$N95)))</f>
        <v/>
      </c>
      <c r="J95" s="49">
        <f>IF($N95="","",INDEX('仕入請求台帳'!$N$5:$N$504,$N95))</f>
        <v/>
      </c>
      <c r="K95" s="49">
        <f>IF(OR($N95="",$B95=""),"",IF($B96=$B95,"",SUMIF($B$7:$B$106,$B95,$J$7:$J$106)))</f>
        <v/>
      </c>
      <c r="L95" s="47">
        <f>IF($N95="","",IFERROR(INDEX('仕入先'!$H$5:$H$54,INDEX('仕入請求台帳'!$R$5:$R$504,$N95))&amp;"",""))</f>
        <v/>
      </c>
      <c r="M95" s="56" t="n"/>
      <c r="N95" s="75">
        <f>IFERROR(MATCH(SMALL('仕入請求台帳'!$T$5:$T$504,89),'仕入請求台帳'!$T$5:$T$504,0),"")</f>
        <v/>
      </c>
    </row>
    <row r="96" ht="18" customHeight="1">
      <c r="A96" s="46">
        <f>IF($N96="","",90)</f>
        <v/>
      </c>
      <c r="B96" s="45">
        <f>IF($N96="","",IF(ISNUMBER(INDEX('仕入請求台帳'!$J$5:$J$504,$N96)),INDEX('仕入請求台帳'!$J$5:$J$504,$N96),""))</f>
        <v/>
      </c>
      <c r="C96" s="46">
        <f>IF($N96="","",IF(INDEX('仕入請求台帳'!$P$5:$P$504,$N96)="","（予定日なし）",INDEX('仕入請求台帳'!$P$5:$P$504,$N96)&amp;""))</f>
        <v/>
      </c>
      <c r="D96" s="46">
        <f>IF($N96="","",INDEX('仕入請求台帳'!$B$5:$B$504,$N96)&amp;"")</f>
        <v/>
      </c>
      <c r="E96" s="47">
        <f>IF($N96="","",INDEX('仕入請求台帳'!$C$5:$C$504,$N96)&amp;"")</f>
        <v/>
      </c>
      <c r="F96" s="46">
        <f>IF($N96="","",INDEX('仕入請求台帳'!$E$5:$E$504,$N96)&amp;"")</f>
        <v/>
      </c>
      <c r="G96" s="45">
        <f>IF($N96="","",IF(ISNUMBER(INDEX('仕入請求台帳'!$A$5:$A$504,$N96)),INDEX('仕入請求台帳'!$A$5:$A$504,$N96),""))</f>
        <v/>
      </c>
      <c r="H96" s="49">
        <f>IF($N96="","",N(INDEX('仕入請求台帳'!$G$5:$G$504,$N96)))</f>
        <v/>
      </c>
      <c r="I96" s="49">
        <f>IF($N96="","",N(INDEX('仕入請求台帳'!$L$5:$L$504,$N96))+N(INDEX('仕入請求台帳'!$M$5:$M$504,$N96)))</f>
        <v/>
      </c>
      <c r="J96" s="49">
        <f>IF($N96="","",INDEX('仕入請求台帳'!$N$5:$N$504,$N96))</f>
        <v/>
      </c>
      <c r="K96" s="49">
        <f>IF(OR($N96="",$B96=""),"",IF($B97=$B96,"",SUMIF($B$7:$B$106,$B96,$J$7:$J$106)))</f>
        <v/>
      </c>
      <c r="L96" s="47">
        <f>IF($N96="","",IFERROR(INDEX('仕入先'!$H$5:$H$54,INDEX('仕入請求台帳'!$R$5:$R$504,$N96))&amp;"",""))</f>
        <v/>
      </c>
      <c r="M96" s="56" t="n"/>
      <c r="N96" s="75">
        <f>IFERROR(MATCH(SMALL('仕入請求台帳'!$T$5:$T$504,90),'仕入請求台帳'!$T$5:$T$504,0),"")</f>
        <v/>
      </c>
    </row>
    <row r="97" ht="18" customHeight="1">
      <c r="A97" s="46">
        <f>IF($N97="","",91)</f>
        <v/>
      </c>
      <c r="B97" s="45">
        <f>IF($N97="","",IF(ISNUMBER(INDEX('仕入請求台帳'!$J$5:$J$504,$N97)),INDEX('仕入請求台帳'!$J$5:$J$504,$N97),""))</f>
        <v/>
      </c>
      <c r="C97" s="46">
        <f>IF($N97="","",IF(INDEX('仕入請求台帳'!$P$5:$P$504,$N97)="","（予定日なし）",INDEX('仕入請求台帳'!$P$5:$P$504,$N97)&amp;""))</f>
        <v/>
      </c>
      <c r="D97" s="46">
        <f>IF($N97="","",INDEX('仕入請求台帳'!$B$5:$B$504,$N97)&amp;"")</f>
        <v/>
      </c>
      <c r="E97" s="47">
        <f>IF($N97="","",INDEX('仕入請求台帳'!$C$5:$C$504,$N97)&amp;"")</f>
        <v/>
      </c>
      <c r="F97" s="46">
        <f>IF($N97="","",INDEX('仕入請求台帳'!$E$5:$E$504,$N97)&amp;"")</f>
        <v/>
      </c>
      <c r="G97" s="45">
        <f>IF($N97="","",IF(ISNUMBER(INDEX('仕入請求台帳'!$A$5:$A$504,$N97)),INDEX('仕入請求台帳'!$A$5:$A$504,$N97),""))</f>
        <v/>
      </c>
      <c r="H97" s="49">
        <f>IF($N97="","",N(INDEX('仕入請求台帳'!$G$5:$G$504,$N97)))</f>
        <v/>
      </c>
      <c r="I97" s="49">
        <f>IF($N97="","",N(INDEX('仕入請求台帳'!$L$5:$L$504,$N97))+N(INDEX('仕入請求台帳'!$M$5:$M$504,$N97)))</f>
        <v/>
      </c>
      <c r="J97" s="49">
        <f>IF($N97="","",INDEX('仕入請求台帳'!$N$5:$N$504,$N97))</f>
        <v/>
      </c>
      <c r="K97" s="49">
        <f>IF(OR($N97="",$B97=""),"",IF($B98=$B97,"",SUMIF($B$7:$B$106,$B97,$J$7:$J$106)))</f>
        <v/>
      </c>
      <c r="L97" s="47">
        <f>IF($N97="","",IFERROR(INDEX('仕入先'!$H$5:$H$54,INDEX('仕入請求台帳'!$R$5:$R$504,$N97))&amp;"",""))</f>
        <v/>
      </c>
      <c r="M97" s="56" t="n"/>
      <c r="N97" s="75">
        <f>IFERROR(MATCH(SMALL('仕入請求台帳'!$T$5:$T$504,91),'仕入請求台帳'!$T$5:$T$504,0),"")</f>
        <v/>
      </c>
    </row>
    <row r="98" ht="18" customHeight="1">
      <c r="A98" s="46">
        <f>IF($N98="","",92)</f>
        <v/>
      </c>
      <c r="B98" s="45">
        <f>IF($N98="","",IF(ISNUMBER(INDEX('仕入請求台帳'!$J$5:$J$504,$N98)),INDEX('仕入請求台帳'!$J$5:$J$504,$N98),""))</f>
        <v/>
      </c>
      <c r="C98" s="46">
        <f>IF($N98="","",IF(INDEX('仕入請求台帳'!$P$5:$P$504,$N98)="","（予定日なし）",INDEX('仕入請求台帳'!$P$5:$P$504,$N98)&amp;""))</f>
        <v/>
      </c>
      <c r="D98" s="46">
        <f>IF($N98="","",INDEX('仕入請求台帳'!$B$5:$B$504,$N98)&amp;"")</f>
        <v/>
      </c>
      <c r="E98" s="47">
        <f>IF($N98="","",INDEX('仕入請求台帳'!$C$5:$C$504,$N98)&amp;"")</f>
        <v/>
      </c>
      <c r="F98" s="46">
        <f>IF($N98="","",INDEX('仕入請求台帳'!$E$5:$E$504,$N98)&amp;"")</f>
        <v/>
      </c>
      <c r="G98" s="45">
        <f>IF($N98="","",IF(ISNUMBER(INDEX('仕入請求台帳'!$A$5:$A$504,$N98)),INDEX('仕入請求台帳'!$A$5:$A$504,$N98),""))</f>
        <v/>
      </c>
      <c r="H98" s="49">
        <f>IF($N98="","",N(INDEX('仕入請求台帳'!$G$5:$G$504,$N98)))</f>
        <v/>
      </c>
      <c r="I98" s="49">
        <f>IF($N98="","",N(INDEX('仕入請求台帳'!$L$5:$L$504,$N98))+N(INDEX('仕入請求台帳'!$M$5:$M$504,$N98)))</f>
        <v/>
      </c>
      <c r="J98" s="49">
        <f>IF($N98="","",INDEX('仕入請求台帳'!$N$5:$N$504,$N98))</f>
        <v/>
      </c>
      <c r="K98" s="49">
        <f>IF(OR($N98="",$B98=""),"",IF($B99=$B98,"",SUMIF($B$7:$B$106,$B98,$J$7:$J$106)))</f>
        <v/>
      </c>
      <c r="L98" s="47">
        <f>IF($N98="","",IFERROR(INDEX('仕入先'!$H$5:$H$54,INDEX('仕入請求台帳'!$R$5:$R$504,$N98))&amp;"",""))</f>
        <v/>
      </c>
      <c r="M98" s="56" t="n"/>
      <c r="N98" s="75">
        <f>IFERROR(MATCH(SMALL('仕入請求台帳'!$T$5:$T$504,92),'仕入請求台帳'!$T$5:$T$504,0),"")</f>
        <v/>
      </c>
    </row>
    <row r="99" ht="18" customHeight="1">
      <c r="A99" s="46">
        <f>IF($N99="","",93)</f>
        <v/>
      </c>
      <c r="B99" s="45">
        <f>IF($N99="","",IF(ISNUMBER(INDEX('仕入請求台帳'!$J$5:$J$504,$N99)),INDEX('仕入請求台帳'!$J$5:$J$504,$N99),""))</f>
        <v/>
      </c>
      <c r="C99" s="46">
        <f>IF($N99="","",IF(INDEX('仕入請求台帳'!$P$5:$P$504,$N99)="","（予定日なし）",INDEX('仕入請求台帳'!$P$5:$P$504,$N99)&amp;""))</f>
        <v/>
      </c>
      <c r="D99" s="46">
        <f>IF($N99="","",INDEX('仕入請求台帳'!$B$5:$B$504,$N99)&amp;"")</f>
        <v/>
      </c>
      <c r="E99" s="47">
        <f>IF($N99="","",INDEX('仕入請求台帳'!$C$5:$C$504,$N99)&amp;"")</f>
        <v/>
      </c>
      <c r="F99" s="46">
        <f>IF($N99="","",INDEX('仕入請求台帳'!$E$5:$E$504,$N99)&amp;"")</f>
        <v/>
      </c>
      <c r="G99" s="45">
        <f>IF($N99="","",IF(ISNUMBER(INDEX('仕入請求台帳'!$A$5:$A$504,$N99)),INDEX('仕入請求台帳'!$A$5:$A$504,$N99),""))</f>
        <v/>
      </c>
      <c r="H99" s="49">
        <f>IF($N99="","",N(INDEX('仕入請求台帳'!$G$5:$G$504,$N99)))</f>
        <v/>
      </c>
      <c r="I99" s="49">
        <f>IF($N99="","",N(INDEX('仕入請求台帳'!$L$5:$L$504,$N99))+N(INDEX('仕入請求台帳'!$M$5:$M$504,$N99)))</f>
        <v/>
      </c>
      <c r="J99" s="49">
        <f>IF($N99="","",INDEX('仕入請求台帳'!$N$5:$N$504,$N99))</f>
        <v/>
      </c>
      <c r="K99" s="49">
        <f>IF(OR($N99="",$B99=""),"",IF($B100=$B99,"",SUMIF($B$7:$B$106,$B99,$J$7:$J$106)))</f>
        <v/>
      </c>
      <c r="L99" s="47">
        <f>IF($N99="","",IFERROR(INDEX('仕入先'!$H$5:$H$54,INDEX('仕入請求台帳'!$R$5:$R$504,$N99))&amp;"",""))</f>
        <v/>
      </c>
      <c r="M99" s="56" t="n"/>
      <c r="N99" s="75">
        <f>IFERROR(MATCH(SMALL('仕入請求台帳'!$T$5:$T$504,93),'仕入請求台帳'!$T$5:$T$504,0),"")</f>
        <v/>
      </c>
    </row>
    <row r="100" ht="18" customHeight="1">
      <c r="A100" s="46">
        <f>IF($N100="","",94)</f>
        <v/>
      </c>
      <c r="B100" s="45">
        <f>IF($N100="","",IF(ISNUMBER(INDEX('仕入請求台帳'!$J$5:$J$504,$N100)),INDEX('仕入請求台帳'!$J$5:$J$504,$N100),""))</f>
        <v/>
      </c>
      <c r="C100" s="46">
        <f>IF($N100="","",IF(INDEX('仕入請求台帳'!$P$5:$P$504,$N100)="","（予定日なし）",INDEX('仕入請求台帳'!$P$5:$P$504,$N100)&amp;""))</f>
        <v/>
      </c>
      <c r="D100" s="46">
        <f>IF($N100="","",INDEX('仕入請求台帳'!$B$5:$B$504,$N100)&amp;"")</f>
        <v/>
      </c>
      <c r="E100" s="47">
        <f>IF($N100="","",INDEX('仕入請求台帳'!$C$5:$C$504,$N100)&amp;"")</f>
        <v/>
      </c>
      <c r="F100" s="46">
        <f>IF($N100="","",INDEX('仕入請求台帳'!$E$5:$E$504,$N100)&amp;"")</f>
        <v/>
      </c>
      <c r="G100" s="45">
        <f>IF($N100="","",IF(ISNUMBER(INDEX('仕入請求台帳'!$A$5:$A$504,$N100)),INDEX('仕入請求台帳'!$A$5:$A$504,$N100),""))</f>
        <v/>
      </c>
      <c r="H100" s="49">
        <f>IF($N100="","",N(INDEX('仕入請求台帳'!$G$5:$G$504,$N100)))</f>
        <v/>
      </c>
      <c r="I100" s="49">
        <f>IF($N100="","",N(INDEX('仕入請求台帳'!$L$5:$L$504,$N100))+N(INDEX('仕入請求台帳'!$M$5:$M$504,$N100)))</f>
        <v/>
      </c>
      <c r="J100" s="49">
        <f>IF($N100="","",INDEX('仕入請求台帳'!$N$5:$N$504,$N100))</f>
        <v/>
      </c>
      <c r="K100" s="49">
        <f>IF(OR($N100="",$B100=""),"",IF($B101=$B100,"",SUMIF($B$7:$B$106,$B100,$J$7:$J$106)))</f>
        <v/>
      </c>
      <c r="L100" s="47">
        <f>IF($N100="","",IFERROR(INDEX('仕入先'!$H$5:$H$54,INDEX('仕入請求台帳'!$R$5:$R$504,$N100))&amp;"",""))</f>
        <v/>
      </c>
      <c r="M100" s="56" t="n"/>
      <c r="N100" s="75">
        <f>IFERROR(MATCH(SMALL('仕入請求台帳'!$T$5:$T$504,94),'仕入請求台帳'!$T$5:$T$504,0),"")</f>
        <v/>
      </c>
    </row>
    <row r="101" ht="18" customHeight="1">
      <c r="A101" s="46">
        <f>IF($N101="","",95)</f>
        <v/>
      </c>
      <c r="B101" s="45">
        <f>IF($N101="","",IF(ISNUMBER(INDEX('仕入請求台帳'!$J$5:$J$504,$N101)),INDEX('仕入請求台帳'!$J$5:$J$504,$N101),""))</f>
        <v/>
      </c>
      <c r="C101" s="46">
        <f>IF($N101="","",IF(INDEX('仕入請求台帳'!$P$5:$P$504,$N101)="","（予定日なし）",INDEX('仕入請求台帳'!$P$5:$P$504,$N101)&amp;""))</f>
        <v/>
      </c>
      <c r="D101" s="46">
        <f>IF($N101="","",INDEX('仕入請求台帳'!$B$5:$B$504,$N101)&amp;"")</f>
        <v/>
      </c>
      <c r="E101" s="47">
        <f>IF($N101="","",INDEX('仕入請求台帳'!$C$5:$C$504,$N101)&amp;"")</f>
        <v/>
      </c>
      <c r="F101" s="46">
        <f>IF($N101="","",INDEX('仕入請求台帳'!$E$5:$E$504,$N101)&amp;"")</f>
        <v/>
      </c>
      <c r="G101" s="45">
        <f>IF($N101="","",IF(ISNUMBER(INDEX('仕入請求台帳'!$A$5:$A$504,$N101)),INDEX('仕入請求台帳'!$A$5:$A$504,$N101),""))</f>
        <v/>
      </c>
      <c r="H101" s="49">
        <f>IF($N101="","",N(INDEX('仕入請求台帳'!$G$5:$G$504,$N101)))</f>
        <v/>
      </c>
      <c r="I101" s="49">
        <f>IF($N101="","",N(INDEX('仕入請求台帳'!$L$5:$L$504,$N101))+N(INDEX('仕入請求台帳'!$M$5:$M$504,$N101)))</f>
        <v/>
      </c>
      <c r="J101" s="49">
        <f>IF($N101="","",INDEX('仕入請求台帳'!$N$5:$N$504,$N101))</f>
        <v/>
      </c>
      <c r="K101" s="49">
        <f>IF(OR($N101="",$B101=""),"",IF($B102=$B101,"",SUMIF($B$7:$B$106,$B101,$J$7:$J$106)))</f>
        <v/>
      </c>
      <c r="L101" s="47">
        <f>IF($N101="","",IFERROR(INDEX('仕入先'!$H$5:$H$54,INDEX('仕入請求台帳'!$R$5:$R$504,$N101))&amp;"",""))</f>
        <v/>
      </c>
      <c r="M101" s="56" t="n"/>
      <c r="N101" s="75">
        <f>IFERROR(MATCH(SMALL('仕入請求台帳'!$T$5:$T$504,95),'仕入請求台帳'!$T$5:$T$504,0),"")</f>
        <v/>
      </c>
    </row>
    <row r="102" ht="18" customHeight="1">
      <c r="A102" s="46">
        <f>IF($N102="","",96)</f>
        <v/>
      </c>
      <c r="B102" s="45">
        <f>IF($N102="","",IF(ISNUMBER(INDEX('仕入請求台帳'!$J$5:$J$504,$N102)),INDEX('仕入請求台帳'!$J$5:$J$504,$N102),""))</f>
        <v/>
      </c>
      <c r="C102" s="46">
        <f>IF($N102="","",IF(INDEX('仕入請求台帳'!$P$5:$P$504,$N102)="","（予定日なし）",INDEX('仕入請求台帳'!$P$5:$P$504,$N102)&amp;""))</f>
        <v/>
      </c>
      <c r="D102" s="46">
        <f>IF($N102="","",INDEX('仕入請求台帳'!$B$5:$B$504,$N102)&amp;"")</f>
        <v/>
      </c>
      <c r="E102" s="47">
        <f>IF($N102="","",INDEX('仕入請求台帳'!$C$5:$C$504,$N102)&amp;"")</f>
        <v/>
      </c>
      <c r="F102" s="46">
        <f>IF($N102="","",INDEX('仕入請求台帳'!$E$5:$E$504,$N102)&amp;"")</f>
        <v/>
      </c>
      <c r="G102" s="45">
        <f>IF($N102="","",IF(ISNUMBER(INDEX('仕入請求台帳'!$A$5:$A$504,$N102)),INDEX('仕入請求台帳'!$A$5:$A$504,$N102),""))</f>
        <v/>
      </c>
      <c r="H102" s="49">
        <f>IF($N102="","",N(INDEX('仕入請求台帳'!$G$5:$G$504,$N102)))</f>
        <v/>
      </c>
      <c r="I102" s="49">
        <f>IF($N102="","",N(INDEX('仕入請求台帳'!$L$5:$L$504,$N102))+N(INDEX('仕入請求台帳'!$M$5:$M$504,$N102)))</f>
        <v/>
      </c>
      <c r="J102" s="49">
        <f>IF($N102="","",INDEX('仕入請求台帳'!$N$5:$N$504,$N102))</f>
        <v/>
      </c>
      <c r="K102" s="49">
        <f>IF(OR($N102="",$B102=""),"",IF($B103=$B102,"",SUMIF($B$7:$B$106,$B102,$J$7:$J$106)))</f>
        <v/>
      </c>
      <c r="L102" s="47">
        <f>IF($N102="","",IFERROR(INDEX('仕入先'!$H$5:$H$54,INDEX('仕入請求台帳'!$R$5:$R$504,$N102))&amp;"",""))</f>
        <v/>
      </c>
      <c r="M102" s="56" t="n"/>
      <c r="N102" s="75">
        <f>IFERROR(MATCH(SMALL('仕入請求台帳'!$T$5:$T$504,96),'仕入請求台帳'!$T$5:$T$504,0),"")</f>
        <v/>
      </c>
    </row>
    <row r="103" ht="18" customHeight="1">
      <c r="A103" s="46">
        <f>IF($N103="","",97)</f>
        <v/>
      </c>
      <c r="B103" s="45">
        <f>IF($N103="","",IF(ISNUMBER(INDEX('仕入請求台帳'!$J$5:$J$504,$N103)),INDEX('仕入請求台帳'!$J$5:$J$504,$N103),""))</f>
        <v/>
      </c>
      <c r="C103" s="46">
        <f>IF($N103="","",IF(INDEX('仕入請求台帳'!$P$5:$P$504,$N103)="","（予定日なし）",INDEX('仕入請求台帳'!$P$5:$P$504,$N103)&amp;""))</f>
        <v/>
      </c>
      <c r="D103" s="46">
        <f>IF($N103="","",INDEX('仕入請求台帳'!$B$5:$B$504,$N103)&amp;"")</f>
        <v/>
      </c>
      <c r="E103" s="47">
        <f>IF($N103="","",INDEX('仕入請求台帳'!$C$5:$C$504,$N103)&amp;"")</f>
        <v/>
      </c>
      <c r="F103" s="46">
        <f>IF($N103="","",INDEX('仕入請求台帳'!$E$5:$E$504,$N103)&amp;"")</f>
        <v/>
      </c>
      <c r="G103" s="45">
        <f>IF($N103="","",IF(ISNUMBER(INDEX('仕入請求台帳'!$A$5:$A$504,$N103)),INDEX('仕入請求台帳'!$A$5:$A$504,$N103),""))</f>
        <v/>
      </c>
      <c r="H103" s="49">
        <f>IF($N103="","",N(INDEX('仕入請求台帳'!$G$5:$G$504,$N103)))</f>
        <v/>
      </c>
      <c r="I103" s="49">
        <f>IF($N103="","",N(INDEX('仕入請求台帳'!$L$5:$L$504,$N103))+N(INDEX('仕入請求台帳'!$M$5:$M$504,$N103)))</f>
        <v/>
      </c>
      <c r="J103" s="49">
        <f>IF($N103="","",INDEX('仕入請求台帳'!$N$5:$N$504,$N103))</f>
        <v/>
      </c>
      <c r="K103" s="49">
        <f>IF(OR($N103="",$B103=""),"",IF($B104=$B103,"",SUMIF($B$7:$B$106,$B103,$J$7:$J$106)))</f>
        <v/>
      </c>
      <c r="L103" s="47">
        <f>IF($N103="","",IFERROR(INDEX('仕入先'!$H$5:$H$54,INDEX('仕入請求台帳'!$R$5:$R$504,$N103))&amp;"",""))</f>
        <v/>
      </c>
      <c r="M103" s="56" t="n"/>
      <c r="N103" s="75">
        <f>IFERROR(MATCH(SMALL('仕入請求台帳'!$T$5:$T$504,97),'仕入請求台帳'!$T$5:$T$504,0),"")</f>
        <v/>
      </c>
    </row>
    <row r="104" ht="18" customHeight="1">
      <c r="A104" s="46">
        <f>IF($N104="","",98)</f>
        <v/>
      </c>
      <c r="B104" s="45">
        <f>IF($N104="","",IF(ISNUMBER(INDEX('仕入請求台帳'!$J$5:$J$504,$N104)),INDEX('仕入請求台帳'!$J$5:$J$504,$N104),""))</f>
        <v/>
      </c>
      <c r="C104" s="46">
        <f>IF($N104="","",IF(INDEX('仕入請求台帳'!$P$5:$P$504,$N104)="","（予定日なし）",INDEX('仕入請求台帳'!$P$5:$P$504,$N104)&amp;""))</f>
        <v/>
      </c>
      <c r="D104" s="46">
        <f>IF($N104="","",INDEX('仕入請求台帳'!$B$5:$B$504,$N104)&amp;"")</f>
        <v/>
      </c>
      <c r="E104" s="47">
        <f>IF($N104="","",INDEX('仕入請求台帳'!$C$5:$C$504,$N104)&amp;"")</f>
        <v/>
      </c>
      <c r="F104" s="46">
        <f>IF($N104="","",INDEX('仕入請求台帳'!$E$5:$E$504,$N104)&amp;"")</f>
        <v/>
      </c>
      <c r="G104" s="45">
        <f>IF($N104="","",IF(ISNUMBER(INDEX('仕入請求台帳'!$A$5:$A$504,$N104)),INDEX('仕入請求台帳'!$A$5:$A$504,$N104),""))</f>
        <v/>
      </c>
      <c r="H104" s="49">
        <f>IF($N104="","",N(INDEX('仕入請求台帳'!$G$5:$G$504,$N104)))</f>
        <v/>
      </c>
      <c r="I104" s="49">
        <f>IF($N104="","",N(INDEX('仕入請求台帳'!$L$5:$L$504,$N104))+N(INDEX('仕入請求台帳'!$M$5:$M$504,$N104)))</f>
        <v/>
      </c>
      <c r="J104" s="49">
        <f>IF($N104="","",INDEX('仕入請求台帳'!$N$5:$N$504,$N104))</f>
        <v/>
      </c>
      <c r="K104" s="49">
        <f>IF(OR($N104="",$B104=""),"",IF($B105=$B104,"",SUMIF($B$7:$B$106,$B104,$J$7:$J$106)))</f>
        <v/>
      </c>
      <c r="L104" s="47">
        <f>IF($N104="","",IFERROR(INDEX('仕入先'!$H$5:$H$54,INDEX('仕入請求台帳'!$R$5:$R$504,$N104))&amp;"",""))</f>
        <v/>
      </c>
      <c r="M104" s="56" t="n"/>
      <c r="N104" s="75">
        <f>IFERROR(MATCH(SMALL('仕入請求台帳'!$T$5:$T$504,98),'仕入請求台帳'!$T$5:$T$504,0),"")</f>
        <v/>
      </c>
    </row>
    <row r="105" ht="18" customHeight="1">
      <c r="A105" s="46">
        <f>IF($N105="","",99)</f>
        <v/>
      </c>
      <c r="B105" s="45">
        <f>IF($N105="","",IF(ISNUMBER(INDEX('仕入請求台帳'!$J$5:$J$504,$N105)),INDEX('仕入請求台帳'!$J$5:$J$504,$N105),""))</f>
        <v/>
      </c>
      <c r="C105" s="46">
        <f>IF($N105="","",IF(INDEX('仕入請求台帳'!$P$5:$P$504,$N105)="","（予定日なし）",INDEX('仕入請求台帳'!$P$5:$P$504,$N105)&amp;""))</f>
        <v/>
      </c>
      <c r="D105" s="46">
        <f>IF($N105="","",INDEX('仕入請求台帳'!$B$5:$B$504,$N105)&amp;"")</f>
        <v/>
      </c>
      <c r="E105" s="47">
        <f>IF($N105="","",INDEX('仕入請求台帳'!$C$5:$C$504,$N105)&amp;"")</f>
        <v/>
      </c>
      <c r="F105" s="46">
        <f>IF($N105="","",INDEX('仕入請求台帳'!$E$5:$E$504,$N105)&amp;"")</f>
        <v/>
      </c>
      <c r="G105" s="45">
        <f>IF($N105="","",IF(ISNUMBER(INDEX('仕入請求台帳'!$A$5:$A$504,$N105)),INDEX('仕入請求台帳'!$A$5:$A$504,$N105),""))</f>
        <v/>
      </c>
      <c r="H105" s="49">
        <f>IF($N105="","",N(INDEX('仕入請求台帳'!$G$5:$G$504,$N105)))</f>
        <v/>
      </c>
      <c r="I105" s="49">
        <f>IF($N105="","",N(INDEX('仕入請求台帳'!$L$5:$L$504,$N105))+N(INDEX('仕入請求台帳'!$M$5:$M$504,$N105)))</f>
        <v/>
      </c>
      <c r="J105" s="49">
        <f>IF($N105="","",INDEX('仕入請求台帳'!$N$5:$N$504,$N105))</f>
        <v/>
      </c>
      <c r="K105" s="49">
        <f>IF(OR($N105="",$B105=""),"",IF($B106=$B105,"",SUMIF($B$7:$B$106,$B105,$J$7:$J$106)))</f>
        <v/>
      </c>
      <c r="L105" s="47">
        <f>IF($N105="","",IFERROR(INDEX('仕入先'!$H$5:$H$54,INDEX('仕入請求台帳'!$R$5:$R$504,$N105))&amp;"",""))</f>
        <v/>
      </c>
      <c r="M105" s="56" t="n"/>
      <c r="N105" s="75">
        <f>IFERROR(MATCH(SMALL('仕入請求台帳'!$T$5:$T$504,99),'仕入請求台帳'!$T$5:$T$504,0),"")</f>
        <v/>
      </c>
    </row>
    <row r="106" ht="18" customHeight="1">
      <c r="A106" s="46">
        <f>IF($N106="","",100)</f>
        <v/>
      </c>
      <c r="B106" s="45">
        <f>IF($N106="","",IF(ISNUMBER(INDEX('仕入請求台帳'!$J$5:$J$504,$N106)),INDEX('仕入請求台帳'!$J$5:$J$504,$N106),""))</f>
        <v/>
      </c>
      <c r="C106" s="46">
        <f>IF($N106="","",IF(INDEX('仕入請求台帳'!$P$5:$P$504,$N106)="","（予定日なし）",INDEX('仕入請求台帳'!$P$5:$P$504,$N106)&amp;""))</f>
        <v/>
      </c>
      <c r="D106" s="46">
        <f>IF($N106="","",INDEX('仕入請求台帳'!$B$5:$B$504,$N106)&amp;"")</f>
        <v/>
      </c>
      <c r="E106" s="47">
        <f>IF($N106="","",INDEX('仕入請求台帳'!$C$5:$C$504,$N106)&amp;"")</f>
        <v/>
      </c>
      <c r="F106" s="46">
        <f>IF($N106="","",INDEX('仕入請求台帳'!$E$5:$E$504,$N106)&amp;"")</f>
        <v/>
      </c>
      <c r="G106" s="45">
        <f>IF($N106="","",IF(ISNUMBER(INDEX('仕入請求台帳'!$A$5:$A$504,$N106)),INDEX('仕入請求台帳'!$A$5:$A$504,$N106),""))</f>
        <v/>
      </c>
      <c r="H106" s="49">
        <f>IF($N106="","",N(INDEX('仕入請求台帳'!$G$5:$G$504,$N106)))</f>
        <v/>
      </c>
      <c r="I106" s="49">
        <f>IF($N106="","",N(INDEX('仕入請求台帳'!$L$5:$L$504,$N106))+N(INDEX('仕入請求台帳'!$M$5:$M$504,$N106)))</f>
        <v/>
      </c>
      <c r="J106" s="49">
        <f>IF($N106="","",INDEX('仕入請求台帳'!$N$5:$N$504,$N106))</f>
        <v/>
      </c>
      <c r="K106" s="49">
        <f>IF(OR($N106="",$B106=""),"",IF($B107=$B106,"",SUMIF($B$7:$B$106,$B106,$J$7:$J$106)))</f>
        <v/>
      </c>
      <c r="L106" s="47">
        <f>IF($N106="","",IFERROR(INDEX('仕入先'!$H$5:$H$54,INDEX('仕入請求台帳'!$R$5:$R$504,$N106))&amp;"",""))</f>
        <v/>
      </c>
      <c r="M106" s="56" t="n"/>
      <c r="N106" s="75">
        <f>IFERROR(MATCH(SMALL('仕入請求台帳'!$T$5:$T$504,100),'仕入請求台帳'!$T$5:$T$504,0),"")</f>
        <v/>
      </c>
    </row>
  </sheetData>
  <mergeCells count="7">
    <mergeCell ref="E4:L4"/>
    <mergeCell ref="A2:B2"/>
    <mergeCell ref="E3:L3"/>
    <mergeCell ref="A5:C5"/>
    <mergeCell ref="A1:L1"/>
    <mergeCell ref="A3:C3"/>
    <mergeCell ref="A4:C4"/>
  </mergeCells>
  <conditionalFormatting sqref="D3">
    <cfRule type="expression" priority="1" dxfId="0">
      <formula>AND(ISNUMBER($D$3),$D$3&gt;0)</formula>
    </cfRule>
  </conditionalFormatting>
  <conditionalFormatting sqref="A7:L106">
    <cfRule type="expression" priority="2" dxfId="0">
      <formula>LEFT($C7,4)="期日超過"</formula>
    </cfRule>
    <cfRule type="expression" priority="3" dxfId="1">
      <formula>AND(ISNUMBER($B7),$B7-'設定'!$B$7&lt;=7)</formula>
    </cfRule>
  </conditionalFormatting>
  <pageMargins left="0.4" right="0.4" top="0.45" bottom="0.45" header="0.2" footer="0.2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2026-10-03T00:28:42Z</dcterms:created>
  <dcterms:modified xmlns:dcterms="http://purl.org/dc/terms/" xmlns:xsi="http://www.w3.org/2001/XMLSchema-instance" xsi:type="dcterms:W3CDTF">2026-10-03T00:28:59Z</dcterms:modified>
</cp:coreProperties>
</file>